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defaultThemeVersion="166925"/>
  <mc:AlternateContent xmlns:mc="http://schemas.openxmlformats.org/markup-compatibility/2006">
    <mc:Choice Requires="x15">
      <x15ac:absPath xmlns:x15ac="http://schemas.microsoft.com/office/spreadsheetml/2010/11/ac" url="E:\Excel\Spielpläne\Turnierpläne\Volleyball_Badminton\"/>
    </mc:Choice>
  </mc:AlternateContent>
  <xr:revisionPtr revIDLastSave="0" documentId="13_ncr:1_{A9C84DD8-83DA-4906-95C1-66A13C91492C}" xr6:coauthVersionLast="36" xr6:coauthVersionMax="36" xr10:uidLastSave="{00000000-0000-0000-0000-000000000000}"/>
  <bookViews>
    <workbookView xWindow="-120" yWindow="-120" windowWidth="29040" windowHeight="15750" tabRatio="712" activeTab="3" xr2:uid="{00000000-000D-0000-FFFF-FFFF00000000}"/>
  </bookViews>
  <sheets>
    <sheet name="Planung" sheetId="22" r:id="rId1"/>
    <sheet name="proof" sheetId="25" state="hidden" r:id="rId2"/>
    <sheet name="Pairings" sheetId="13" state="hidden" r:id="rId3"/>
    <sheet name="Vorrunde" sheetId="6" r:id="rId4"/>
    <sheet name="Playoffs" sheetId="37" r:id="rId5"/>
    <sheet name="DirVergleich_A" sheetId="10" state="hidden" r:id="rId6"/>
    <sheet name="DirVergleich_B" sheetId="31" state="hidden" r:id="rId7"/>
    <sheet name="Endrunde 1" sheetId="21" r:id="rId8"/>
    <sheet name="Endrunde 2" sheetId="32" r:id="rId9"/>
    <sheet name="Endrunde 2a" sheetId="36" r:id="rId10"/>
    <sheet name="Endrunde 3" sheetId="26" r:id="rId11"/>
    <sheet name="Endrunde 4" sheetId="27" r:id="rId12"/>
    <sheet name="Anstoßzeiten Endrunde 4" sheetId="35" r:id="rId13"/>
    <sheet name="Sprache" sheetId="9" r:id="rId14"/>
    <sheet name="Einstellungen" sheetId="14" r:id="rId15"/>
    <sheet name="Info" sheetId="38" r:id="rId16"/>
    <sheet name="Calc1" sheetId="3" state="hidden" r:id="rId17"/>
    <sheet name="Calc2" sheetId="17" state="hidden" r:id="rId18"/>
    <sheet name="CalcE1" sheetId="28" state="hidden" r:id="rId19"/>
    <sheet name="CalcE2" sheetId="29" state="hidden" r:id="rId20"/>
    <sheet name="CalcE3" sheetId="30" state="hidden" r:id="rId21"/>
    <sheet name="CalcE4" sheetId="33" state="hidden" r:id="rId22"/>
    <sheet name="CalcE5" sheetId="34" state="hidden" r:id="rId23"/>
  </sheets>
  <definedNames>
    <definedName name="_xlnm.Print_Area" localSheetId="12">'Anstoßzeiten Endrunde 4'!$A$4:$I$94</definedName>
  </definedNames>
  <calcPr calcId="191029" concurrentCalc="0"/>
</workbook>
</file>

<file path=xl/calcChain.xml><?xml version="1.0" encoding="utf-8"?>
<calcChain xmlns="http://schemas.openxmlformats.org/spreadsheetml/2006/main">
  <c r="AW10" i="27" l="1"/>
  <c r="V36" i="27"/>
  <c r="V35" i="27"/>
  <c r="V34" i="27"/>
  <c r="V33" i="27"/>
  <c r="V32" i="27"/>
  <c r="V31" i="27"/>
  <c r="V30" i="27"/>
  <c r="V29" i="27"/>
  <c r="V28" i="27"/>
  <c r="V27" i="27"/>
  <c r="V26" i="27"/>
  <c r="V25" i="27"/>
  <c r="V24" i="27"/>
  <c r="V23" i="27"/>
  <c r="V22" i="27"/>
  <c r="V21" i="27"/>
  <c r="V20" i="27"/>
  <c r="V19" i="27"/>
  <c r="V18" i="27"/>
  <c r="V17" i="27"/>
  <c r="V16" i="27"/>
  <c r="V15" i="27"/>
  <c r="V14" i="27"/>
  <c r="V13" i="27"/>
  <c r="AX36" i="27"/>
  <c r="AY36" i="27"/>
  <c r="AZ36" i="27"/>
  <c r="BA36" i="27"/>
  <c r="BB36" i="27"/>
  <c r="BC36" i="27"/>
  <c r="AX13" i="27"/>
  <c r="AY13" i="27"/>
  <c r="AZ13" i="27"/>
  <c r="AX14" i="27"/>
  <c r="AY14" i="27"/>
  <c r="AZ14" i="27"/>
  <c r="AX15" i="27"/>
  <c r="AY15" i="27"/>
  <c r="AZ15" i="27"/>
  <c r="AX16" i="27"/>
  <c r="AY16" i="27"/>
  <c r="AZ16" i="27"/>
  <c r="AX17" i="27"/>
  <c r="AY17" i="27"/>
  <c r="AZ17" i="27"/>
  <c r="AX18" i="27"/>
  <c r="AY18" i="27"/>
  <c r="AZ18" i="27"/>
  <c r="AX19" i="27"/>
  <c r="AY19" i="27"/>
  <c r="AZ19" i="27"/>
  <c r="AX20" i="27"/>
  <c r="AY20" i="27"/>
  <c r="AZ20" i="27"/>
  <c r="AX21" i="27"/>
  <c r="AY21" i="27"/>
  <c r="AZ21" i="27"/>
  <c r="AX22" i="27"/>
  <c r="AY22" i="27"/>
  <c r="AZ22" i="27"/>
  <c r="AX23" i="27"/>
  <c r="AY23" i="27"/>
  <c r="AZ23" i="27"/>
  <c r="AX24" i="27"/>
  <c r="AY24" i="27"/>
  <c r="AZ24" i="27"/>
  <c r="AX25" i="27"/>
  <c r="AY25" i="27"/>
  <c r="AZ25" i="27"/>
  <c r="AX26" i="27"/>
  <c r="AY26" i="27"/>
  <c r="AZ26" i="27"/>
  <c r="AX27" i="27"/>
  <c r="AY27" i="27"/>
  <c r="AZ27" i="27"/>
  <c r="AX28" i="27"/>
  <c r="AY28" i="27"/>
  <c r="AZ28" i="27"/>
  <c r="AX29" i="27"/>
  <c r="AY29" i="27"/>
  <c r="AZ29" i="27"/>
  <c r="AX30" i="27"/>
  <c r="AY30" i="27"/>
  <c r="AZ30" i="27"/>
  <c r="AX31" i="27"/>
  <c r="AY31" i="27"/>
  <c r="AZ31" i="27"/>
  <c r="AX32" i="27"/>
  <c r="AY32" i="27"/>
  <c r="AZ32" i="27"/>
  <c r="AX33" i="27"/>
  <c r="AY33" i="27"/>
  <c r="AZ33" i="27"/>
  <c r="AX34" i="27"/>
  <c r="AY34" i="27"/>
  <c r="AZ34" i="27"/>
  <c r="AX35" i="27"/>
  <c r="AY35" i="27"/>
  <c r="AZ35" i="27"/>
  <c r="AZ12" i="27"/>
  <c r="BC12" i="27"/>
  <c r="AY12" i="27"/>
  <c r="BB12" i="27"/>
  <c r="AX12" i="27"/>
  <c r="BA12" i="27"/>
  <c r="W10" i="26"/>
  <c r="Y13" i="26"/>
  <c r="AA13" i="26"/>
  <c r="AE13" i="26"/>
  <c r="AF13" i="26"/>
  <c r="Y15" i="26"/>
  <c r="AA15" i="26"/>
  <c r="Y12" i="26"/>
  <c r="AA12" i="26"/>
  <c r="AE15" i="26"/>
  <c r="AF15" i="26"/>
  <c r="Y16" i="26"/>
  <c r="AA16" i="26"/>
  <c r="AE16" i="26"/>
  <c r="AF16" i="26"/>
  <c r="AF12" i="26"/>
  <c r="AE12" i="26"/>
  <c r="W10" i="36"/>
  <c r="Y13" i="36"/>
  <c r="AA13" i="36"/>
  <c r="AE13" i="36"/>
  <c r="AF13" i="36"/>
  <c r="Y14" i="36"/>
  <c r="AA14" i="36"/>
  <c r="AE14" i="36"/>
  <c r="AF14" i="36"/>
  <c r="Y15" i="36"/>
  <c r="AA15" i="36"/>
  <c r="AE15" i="36"/>
  <c r="AF15" i="36"/>
  <c r="Y16" i="36"/>
  <c r="AA16" i="36"/>
  <c r="AE16" i="36"/>
  <c r="AF16" i="36"/>
  <c r="Y18" i="36"/>
  <c r="AA18" i="36"/>
  <c r="AE18" i="36"/>
  <c r="AF18" i="36"/>
  <c r="Y19" i="36"/>
  <c r="AA19" i="36"/>
  <c r="AE19" i="36"/>
  <c r="AF19" i="36"/>
  <c r="Y21" i="36"/>
  <c r="AA21" i="36"/>
  <c r="AE21" i="36"/>
  <c r="AF21" i="36"/>
  <c r="Y22" i="36"/>
  <c r="AA22" i="36"/>
  <c r="AE22" i="36"/>
  <c r="AF22" i="36"/>
  <c r="Y24" i="36"/>
  <c r="AA24" i="36"/>
  <c r="AE24" i="36"/>
  <c r="AF24" i="36"/>
  <c r="Y25" i="36"/>
  <c r="AA25" i="36"/>
  <c r="AE25" i="36"/>
  <c r="AF25" i="36"/>
  <c r="Y27" i="36"/>
  <c r="AA27" i="36"/>
  <c r="AE27" i="36"/>
  <c r="AF27" i="36"/>
  <c r="Y28" i="36"/>
  <c r="AA28" i="36"/>
  <c r="AE28" i="36"/>
  <c r="AF28" i="36"/>
  <c r="Y12" i="36"/>
  <c r="AA12" i="36"/>
  <c r="AF12" i="36"/>
  <c r="AE12" i="36"/>
  <c r="W10" i="32"/>
  <c r="Y13" i="32"/>
  <c r="AA13" i="32"/>
  <c r="AE13" i="32"/>
  <c r="AF13" i="32"/>
  <c r="Y14" i="32"/>
  <c r="AA14" i="32"/>
  <c r="AE14" i="32"/>
  <c r="AF14" i="32"/>
  <c r="Y15" i="32"/>
  <c r="AA15" i="32"/>
  <c r="AE15" i="32"/>
  <c r="AF15" i="32"/>
  <c r="Y16" i="32"/>
  <c r="AA16" i="32"/>
  <c r="AE16" i="32"/>
  <c r="AF16" i="32"/>
  <c r="Y17" i="32"/>
  <c r="AA17" i="32"/>
  <c r="AE17" i="32"/>
  <c r="AF17" i="32"/>
  <c r="Y18" i="32"/>
  <c r="AA18" i="32"/>
  <c r="AE18" i="32"/>
  <c r="AF18" i="32"/>
  <c r="Y20" i="32"/>
  <c r="AA20" i="32"/>
  <c r="AE20" i="32"/>
  <c r="AF20" i="32"/>
  <c r="Y21" i="32"/>
  <c r="AA21" i="32"/>
  <c r="AE21" i="32"/>
  <c r="AF21" i="32"/>
  <c r="Y23" i="32"/>
  <c r="AA23" i="32"/>
  <c r="AE23" i="32"/>
  <c r="AF23" i="32"/>
  <c r="Y24" i="32"/>
  <c r="AA24" i="32"/>
  <c r="AE24" i="32"/>
  <c r="AF24" i="32"/>
  <c r="Y12" i="32"/>
  <c r="AA12" i="32"/>
  <c r="AF12" i="32"/>
  <c r="AE12" i="32"/>
  <c r="W10" i="21"/>
  <c r="Y13" i="21"/>
  <c r="AA13" i="21"/>
  <c r="AE13" i="21"/>
  <c r="AF13" i="21"/>
  <c r="Y14" i="21"/>
  <c r="AA14" i="21"/>
  <c r="AE14" i="21"/>
  <c r="AF14" i="21"/>
  <c r="Y15" i="21"/>
  <c r="AA15" i="21"/>
  <c r="AE15" i="21"/>
  <c r="AF15" i="21"/>
  <c r="Y16" i="21"/>
  <c r="AA16" i="21"/>
  <c r="AE16" i="21"/>
  <c r="AF16" i="21"/>
  <c r="Y17" i="21"/>
  <c r="AA17" i="21"/>
  <c r="AE17" i="21"/>
  <c r="AF17" i="21"/>
  <c r="Y18" i="21"/>
  <c r="AA18" i="21"/>
  <c r="AE18" i="21"/>
  <c r="AF18" i="21"/>
  <c r="Y19" i="21"/>
  <c r="AA19" i="21"/>
  <c r="AE19" i="21"/>
  <c r="AF19" i="21"/>
  <c r="Y20" i="21"/>
  <c r="AA20" i="21"/>
  <c r="AE20" i="21"/>
  <c r="AF20" i="21"/>
  <c r="Y12" i="21"/>
  <c r="AA12" i="21"/>
  <c r="AF12" i="21"/>
  <c r="AE12" i="21"/>
  <c r="I6" i="22" a="1"/>
  <c r="I77" i="22"/>
  <c r="L77" i="22"/>
  <c r="F83" i="6"/>
  <c r="K6" i="22" a="1"/>
  <c r="K77" i="22"/>
  <c r="N77" i="22"/>
  <c r="H83" i="6"/>
  <c r="BC10" i="6"/>
  <c r="BD83" i="6"/>
  <c r="BE83" i="6"/>
  <c r="BF83" i="6"/>
  <c r="BC83" i="6"/>
  <c r="T83" i="6"/>
  <c r="S83" i="6"/>
  <c r="R83" i="6"/>
  <c r="I76" i="22"/>
  <c r="L76" i="22"/>
  <c r="F82" i="6"/>
  <c r="K76" i="22"/>
  <c r="N76" i="22"/>
  <c r="H82" i="6"/>
  <c r="BD82" i="6"/>
  <c r="BE82" i="6"/>
  <c r="BF82" i="6"/>
  <c r="BC82" i="6"/>
  <c r="T82" i="6"/>
  <c r="S82" i="6"/>
  <c r="R82" i="6"/>
  <c r="I75" i="22"/>
  <c r="L75" i="22"/>
  <c r="F81" i="6"/>
  <c r="K75" i="22"/>
  <c r="N75" i="22"/>
  <c r="H81" i="6"/>
  <c r="BD81" i="6"/>
  <c r="BE81" i="6"/>
  <c r="BF81" i="6"/>
  <c r="BC81" i="6"/>
  <c r="T81" i="6"/>
  <c r="S81" i="6"/>
  <c r="R81" i="6"/>
  <c r="I74" i="22"/>
  <c r="L74" i="22"/>
  <c r="F80" i="6"/>
  <c r="K74" i="22"/>
  <c r="N74" i="22"/>
  <c r="H80" i="6"/>
  <c r="BD80" i="6"/>
  <c r="BE80" i="6"/>
  <c r="BF80" i="6"/>
  <c r="BC80" i="6"/>
  <c r="T80" i="6"/>
  <c r="S80" i="6"/>
  <c r="R80" i="6"/>
  <c r="I73" i="22"/>
  <c r="L73" i="22"/>
  <c r="F79" i="6"/>
  <c r="K73" i="22"/>
  <c r="N73" i="22"/>
  <c r="H79" i="6"/>
  <c r="BD79" i="6"/>
  <c r="BE79" i="6"/>
  <c r="BF79" i="6"/>
  <c r="BC79" i="6"/>
  <c r="T79" i="6"/>
  <c r="S79" i="6"/>
  <c r="R79" i="6"/>
  <c r="I72" i="22"/>
  <c r="L72" i="22"/>
  <c r="F78" i="6"/>
  <c r="K72" i="22"/>
  <c r="N72" i="22"/>
  <c r="H78" i="6"/>
  <c r="BD78" i="6"/>
  <c r="BE78" i="6"/>
  <c r="BF78" i="6"/>
  <c r="BC78" i="6"/>
  <c r="T78" i="6"/>
  <c r="S78" i="6"/>
  <c r="R78" i="6"/>
  <c r="I71" i="22"/>
  <c r="L71" i="22"/>
  <c r="F77" i="6"/>
  <c r="K71" i="22"/>
  <c r="N71" i="22"/>
  <c r="H77" i="6"/>
  <c r="BD77" i="6"/>
  <c r="BE77" i="6"/>
  <c r="BF77" i="6"/>
  <c r="BC77" i="6"/>
  <c r="T77" i="6"/>
  <c r="S77" i="6"/>
  <c r="R77" i="6"/>
  <c r="I70" i="22"/>
  <c r="L70" i="22"/>
  <c r="F76" i="6"/>
  <c r="K70" i="22"/>
  <c r="N70" i="22"/>
  <c r="H76" i="6"/>
  <c r="BD76" i="6"/>
  <c r="BE76" i="6"/>
  <c r="BF76" i="6"/>
  <c r="BC76" i="6"/>
  <c r="T76" i="6"/>
  <c r="S76" i="6"/>
  <c r="R76" i="6"/>
  <c r="I69" i="22"/>
  <c r="L69" i="22"/>
  <c r="F75" i="6"/>
  <c r="K69" i="22"/>
  <c r="N69" i="22"/>
  <c r="H75" i="6"/>
  <c r="BD75" i="6"/>
  <c r="BE75" i="6"/>
  <c r="BF75" i="6"/>
  <c r="BC75" i="6"/>
  <c r="T75" i="6"/>
  <c r="S75" i="6"/>
  <c r="R75" i="6"/>
  <c r="I68" i="22"/>
  <c r="L68" i="22"/>
  <c r="F74" i="6"/>
  <c r="K68" i="22"/>
  <c r="N68" i="22"/>
  <c r="H74" i="6"/>
  <c r="BD74" i="6"/>
  <c r="BE74" i="6"/>
  <c r="BF74" i="6"/>
  <c r="BC74" i="6"/>
  <c r="T74" i="6"/>
  <c r="S74" i="6"/>
  <c r="R74" i="6"/>
  <c r="I67" i="22"/>
  <c r="L67" i="22"/>
  <c r="F73" i="6"/>
  <c r="K67" i="22"/>
  <c r="N67" i="22"/>
  <c r="H73" i="6"/>
  <c r="BD73" i="6"/>
  <c r="BE73" i="6"/>
  <c r="BF73" i="6"/>
  <c r="BC73" i="6"/>
  <c r="T73" i="6"/>
  <c r="S73" i="6"/>
  <c r="R73" i="6"/>
  <c r="I66" i="22"/>
  <c r="L66" i="22"/>
  <c r="F72" i="6"/>
  <c r="K66" i="22"/>
  <c r="N66" i="22"/>
  <c r="H72" i="6"/>
  <c r="BD72" i="6"/>
  <c r="BE72" i="6"/>
  <c r="BF72" i="6"/>
  <c r="BC72" i="6"/>
  <c r="T72" i="6"/>
  <c r="S72" i="6"/>
  <c r="R72" i="6"/>
  <c r="I65" i="22"/>
  <c r="L65" i="22"/>
  <c r="F71" i="6"/>
  <c r="K65" i="22"/>
  <c r="N65" i="22"/>
  <c r="H71" i="6"/>
  <c r="BD71" i="6"/>
  <c r="BE71" i="6"/>
  <c r="BF71" i="6"/>
  <c r="BC71" i="6"/>
  <c r="T71" i="6"/>
  <c r="S71" i="6"/>
  <c r="R71" i="6"/>
  <c r="I64" i="22"/>
  <c r="L64" i="22"/>
  <c r="F70" i="6"/>
  <c r="K64" i="22"/>
  <c r="N64" i="22"/>
  <c r="H70" i="6"/>
  <c r="BD70" i="6"/>
  <c r="BE70" i="6"/>
  <c r="BF70" i="6"/>
  <c r="BC70" i="6"/>
  <c r="T70" i="6"/>
  <c r="S70" i="6"/>
  <c r="R70" i="6"/>
  <c r="I63" i="22"/>
  <c r="L63" i="22"/>
  <c r="F69" i="6"/>
  <c r="K63" i="22"/>
  <c r="N63" i="22"/>
  <c r="H69" i="6"/>
  <c r="BD69" i="6"/>
  <c r="BE69" i="6"/>
  <c r="BF69" i="6"/>
  <c r="BC69" i="6"/>
  <c r="T69" i="6"/>
  <c r="S69" i="6"/>
  <c r="R69" i="6"/>
  <c r="I62" i="22"/>
  <c r="L62" i="22"/>
  <c r="F68" i="6"/>
  <c r="K62" i="22"/>
  <c r="N62" i="22"/>
  <c r="H68" i="6"/>
  <c r="BD68" i="6"/>
  <c r="BE68" i="6"/>
  <c r="BF68" i="6"/>
  <c r="BC68" i="6"/>
  <c r="T68" i="6"/>
  <c r="S68" i="6"/>
  <c r="R68" i="6"/>
  <c r="I61" i="22"/>
  <c r="L61" i="22"/>
  <c r="F67" i="6"/>
  <c r="K61" i="22"/>
  <c r="N61" i="22"/>
  <c r="H67" i="6"/>
  <c r="BD67" i="6"/>
  <c r="BE67" i="6"/>
  <c r="BF67" i="6"/>
  <c r="BC67" i="6"/>
  <c r="T67" i="6"/>
  <c r="S67" i="6"/>
  <c r="R67" i="6"/>
  <c r="I60" i="22"/>
  <c r="L60" i="22"/>
  <c r="F66" i="6"/>
  <c r="K60" i="22"/>
  <c r="N60" i="22"/>
  <c r="H66" i="6"/>
  <c r="BD66" i="6"/>
  <c r="BE66" i="6"/>
  <c r="BF66" i="6"/>
  <c r="BC66" i="6"/>
  <c r="T66" i="6"/>
  <c r="S66" i="6"/>
  <c r="R66" i="6"/>
  <c r="I59" i="22"/>
  <c r="L59" i="22"/>
  <c r="F65" i="6"/>
  <c r="K59" i="22"/>
  <c r="N59" i="22"/>
  <c r="H65" i="6"/>
  <c r="BD65" i="6"/>
  <c r="BE65" i="6"/>
  <c r="BF65" i="6"/>
  <c r="BC65" i="6"/>
  <c r="T65" i="6"/>
  <c r="S65" i="6"/>
  <c r="R65" i="6"/>
  <c r="I58" i="22"/>
  <c r="L58" i="22"/>
  <c r="F64" i="6"/>
  <c r="K58" i="22"/>
  <c r="N58" i="22"/>
  <c r="H64" i="6"/>
  <c r="BD64" i="6"/>
  <c r="BE64" i="6"/>
  <c r="BF64" i="6"/>
  <c r="BC64" i="6"/>
  <c r="T64" i="6"/>
  <c r="S64" i="6"/>
  <c r="R64" i="6"/>
  <c r="I57" i="22"/>
  <c r="L57" i="22"/>
  <c r="F63" i="6"/>
  <c r="K57" i="22"/>
  <c r="N57" i="22"/>
  <c r="H63" i="6"/>
  <c r="BD63" i="6"/>
  <c r="BE63" i="6"/>
  <c r="BF63" i="6"/>
  <c r="BC63" i="6"/>
  <c r="T63" i="6"/>
  <c r="S63" i="6"/>
  <c r="R63" i="6"/>
  <c r="I56" i="22"/>
  <c r="L56" i="22"/>
  <c r="F62" i="6"/>
  <c r="K56" i="22"/>
  <c r="N56" i="22"/>
  <c r="H62" i="6"/>
  <c r="BD62" i="6"/>
  <c r="BE62" i="6"/>
  <c r="BF62" i="6"/>
  <c r="BC62" i="6"/>
  <c r="T62" i="6"/>
  <c r="S62" i="6"/>
  <c r="R62" i="6"/>
  <c r="I55" i="22"/>
  <c r="L55" i="22"/>
  <c r="F61" i="6"/>
  <c r="K55" i="22"/>
  <c r="N55" i="22"/>
  <c r="H61" i="6"/>
  <c r="BD61" i="6"/>
  <c r="BE61" i="6"/>
  <c r="BF61" i="6"/>
  <c r="BC61" i="6"/>
  <c r="T61" i="6"/>
  <c r="S61" i="6"/>
  <c r="R61" i="6"/>
  <c r="I54" i="22"/>
  <c r="L54" i="22"/>
  <c r="F60" i="6"/>
  <c r="K54" i="22"/>
  <c r="N54" i="22"/>
  <c r="H60" i="6"/>
  <c r="BD60" i="6"/>
  <c r="BE60" i="6"/>
  <c r="BF60" i="6"/>
  <c r="BC60" i="6"/>
  <c r="T60" i="6"/>
  <c r="S60" i="6"/>
  <c r="R60" i="6"/>
  <c r="I53" i="22"/>
  <c r="L53" i="22"/>
  <c r="F59" i="6"/>
  <c r="K53" i="22"/>
  <c r="N53" i="22"/>
  <c r="H59" i="6"/>
  <c r="BD59" i="6"/>
  <c r="BE59" i="6"/>
  <c r="BF59" i="6"/>
  <c r="BC59" i="6"/>
  <c r="T59" i="6"/>
  <c r="S59" i="6"/>
  <c r="R59" i="6"/>
  <c r="I52" i="22"/>
  <c r="L52" i="22"/>
  <c r="F58" i="6"/>
  <c r="K52" i="22"/>
  <c r="N52" i="22"/>
  <c r="H58" i="6"/>
  <c r="BD58" i="6"/>
  <c r="BE58" i="6"/>
  <c r="BF58" i="6"/>
  <c r="BC58" i="6"/>
  <c r="T58" i="6"/>
  <c r="S58" i="6"/>
  <c r="R58" i="6"/>
  <c r="I51" i="22"/>
  <c r="L51" i="22"/>
  <c r="F57" i="6"/>
  <c r="K51" i="22"/>
  <c r="N51" i="22"/>
  <c r="H57" i="6"/>
  <c r="BD57" i="6"/>
  <c r="BE57" i="6"/>
  <c r="BF57" i="6"/>
  <c r="BC57" i="6"/>
  <c r="T57" i="6"/>
  <c r="S57" i="6"/>
  <c r="R57" i="6"/>
  <c r="I50" i="22"/>
  <c r="L50" i="22"/>
  <c r="F56" i="6"/>
  <c r="K50" i="22"/>
  <c r="N50" i="22"/>
  <c r="H56" i="6"/>
  <c r="BD56" i="6"/>
  <c r="BE56" i="6"/>
  <c r="BF56" i="6"/>
  <c r="BC56" i="6"/>
  <c r="T56" i="6"/>
  <c r="S56" i="6"/>
  <c r="R56" i="6"/>
  <c r="I49" i="22"/>
  <c r="L49" i="22"/>
  <c r="F55" i="6"/>
  <c r="K49" i="22"/>
  <c r="N49" i="22"/>
  <c r="H55" i="6"/>
  <c r="BD55" i="6"/>
  <c r="BE55" i="6"/>
  <c r="BF55" i="6"/>
  <c r="BC55" i="6"/>
  <c r="T55" i="6"/>
  <c r="S55" i="6"/>
  <c r="R55" i="6"/>
  <c r="I48" i="22"/>
  <c r="L48" i="22"/>
  <c r="F54" i="6"/>
  <c r="K48" i="22"/>
  <c r="N48" i="22"/>
  <c r="H54" i="6"/>
  <c r="BD54" i="6"/>
  <c r="BE54" i="6"/>
  <c r="BF54" i="6"/>
  <c r="BC54" i="6"/>
  <c r="T54" i="6"/>
  <c r="S54" i="6"/>
  <c r="R54" i="6"/>
  <c r="I47" i="22"/>
  <c r="L47" i="22"/>
  <c r="F53" i="6"/>
  <c r="K47" i="22"/>
  <c r="N47" i="22"/>
  <c r="H53" i="6"/>
  <c r="BD53" i="6"/>
  <c r="BE53" i="6"/>
  <c r="BF53" i="6"/>
  <c r="BC53" i="6"/>
  <c r="T53" i="6"/>
  <c r="S53" i="6"/>
  <c r="R53" i="6"/>
  <c r="I46" i="22"/>
  <c r="L46" i="22"/>
  <c r="F52" i="6"/>
  <c r="K46" i="22"/>
  <c r="N46" i="22"/>
  <c r="H52" i="6"/>
  <c r="BD52" i="6"/>
  <c r="BE52" i="6"/>
  <c r="BF52" i="6"/>
  <c r="BC52" i="6"/>
  <c r="T52" i="6"/>
  <c r="S52" i="6"/>
  <c r="R52" i="6"/>
  <c r="I45" i="22"/>
  <c r="L45" i="22"/>
  <c r="F51" i="6"/>
  <c r="K45" i="22"/>
  <c r="N45" i="22"/>
  <c r="H51" i="6"/>
  <c r="BD51" i="6"/>
  <c r="BE51" i="6"/>
  <c r="BF51" i="6"/>
  <c r="BC51" i="6"/>
  <c r="T51" i="6"/>
  <c r="S51" i="6"/>
  <c r="R51" i="6"/>
  <c r="I44" i="22"/>
  <c r="L44" i="22"/>
  <c r="F50" i="6"/>
  <c r="K44" i="22"/>
  <c r="N44" i="22"/>
  <c r="H50" i="6"/>
  <c r="BD50" i="6"/>
  <c r="BE50" i="6"/>
  <c r="BF50" i="6"/>
  <c r="BC50" i="6"/>
  <c r="T50" i="6"/>
  <c r="S50" i="6"/>
  <c r="R50" i="6"/>
  <c r="I43" i="22"/>
  <c r="L43" i="22"/>
  <c r="F49" i="6"/>
  <c r="K43" i="22"/>
  <c r="N43" i="22"/>
  <c r="H49" i="6"/>
  <c r="BD49" i="6"/>
  <c r="BE49" i="6"/>
  <c r="BF49" i="6"/>
  <c r="BC49" i="6"/>
  <c r="T49" i="6"/>
  <c r="S49" i="6"/>
  <c r="R49" i="6"/>
  <c r="I42" i="22"/>
  <c r="L42" i="22"/>
  <c r="F48" i="6"/>
  <c r="K42" i="22"/>
  <c r="N42" i="22"/>
  <c r="H48" i="6"/>
  <c r="BD48" i="6"/>
  <c r="BE48" i="6"/>
  <c r="BF48" i="6"/>
  <c r="BC48" i="6"/>
  <c r="T48" i="6"/>
  <c r="S48" i="6"/>
  <c r="R48" i="6"/>
  <c r="I41" i="22"/>
  <c r="L41" i="22"/>
  <c r="F47" i="6"/>
  <c r="K41" i="22"/>
  <c r="N41" i="22"/>
  <c r="H47" i="6"/>
  <c r="BD47" i="6"/>
  <c r="BE47" i="6"/>
  <c r="BF47" i="6"/>
  <c r="BC47" i="6"/>
  <c r="T47" i="6"/>
  <c r="S47" i="6"/>
  <c r="R47" i="6"/>
  <c r="I40" i="22"/>
  <c r="L40" i="22"/>
  <c r="F46" i="6"/>
  <c r="K40" i="22"/>
  <c r="N40" i="22"/>
  <c r="H46" i="6"/>
  <c r="BD46" i="6"/>
  <c r="BE46" i="6"/>
  <c r="BF46" i="6"/>
  <c r="BC46" i="6"/>
  <c r="T46" i="6"/>
  <c r="S46" i="6"/>
  <c r="R46" i="6"/>
  <c r="I39" i="22"/>
  <c r="L39" i="22"/>
  <c r="F45" i="6"/>
  <c r="K39" i="22"/>
  <c r="N39" i="22"/>
  <c r="H45" i="6"/>
  <c r="BD45" i="6"/>
  <c r="BE45" i="6"/>
  <c r="BF45" i="6"/>
  <c r="BC45" i="6"/>
  <c r="T45" i="6"/>
  <c r="S45" i="6"/>
  <c r="R45" i="6"/>
  <c r="I38" i="22"/>
  <c r="L38" i="22"/>
  <c r="F44" i="6"/>
  <c r="K38" i="22"/>
  <c r="N38" i="22"/>
  <c r="H44" i="6"/>
  <c r="BD44" i="6"/>
  <c r="BE44" i="6"/>
  <c r="BF44" i="6"/>
  <c r="BC44" i="6"/>
  <c r="T44" i="6"/>
  <c r="S44" i="6"/>
  <c r="R44" i="6"/>
  <c r="I37" i="22"/>
  <c r="L37" i="22"/>
  <c r="F43" i="6"/>
  <c r="K37" i="22"/>
  <c r="N37" i="22"/>
  <c r="H43" i="6"/>
  <c r="BD43" i="6"/>
  <c r="BE43" i="6"/>
  <c r="BF43" i="6"/>
  <c r="BC43" i="6"/>
  <c r="T43" i="6"/>
  <c r="S43" i="6"/>
  <c r="R43" i="6"/>
  <c r="I36" i="22"/>
  <c r="L36" i="22"/>
  <c r="F42" i="6"/>
  <c r="K36" i="22"/>
  <c r="N36" i="22"/>
  <c r="H42" i="6"/>
  <c r="BD42" i="6"/>
  <c r="BE42" i="6"/>
  <c r="BF42" i="6"/>
  <c r="BC42" i="6"/>
  <c r="T42" i="6"/>
  <c r="S42" i="6"/>
  <c r="R42" i="6"/>
  <c r="I35" i="22"/>
  <c r="L35" i="22"/>
  <c r="F41" i="6"/>
  <c r="K35" i="22"/>
  <c r="N35" i="22"/>
  <c r="H41" i="6"/>
  <c r="BD41" i="6"/>
  <c r="BE41" i="6"/>
  <c r="BF41" i="6"/>
  <c r="BC41" i="6"/>
  <c r="T41" i="6"/>
  <c r="S41" i="6"/>
  <c r="R41" i="6"/>
  <c r="I34" i="22"/>
  <c r="L34" i="22"/>
  <c r="F40" i="6"/>
  <c r="K34" i="22"/>
  <c r="N34" i="22"/>
  <c r="H40" i="6"/>
  <c r="BD40" i="6"/>
  <c r="BE40" i="6"/>
  <c r="BF40" i="6"/>
  <c r="BC40" i="6"/>
  <c r="T40" i="6"/>
  <c r="S40" i="6"/>
  <c r="R40" i="6"/>
  <c r="I33" i="22"/>
  <c r="L33" i="22"/>
  <c r="F39" i="6"/>
  <c r="K33" i="22"/>
  <c r="N33" i="22"/>
  <c r="H39" i="6"/>
  <c r="BD39" i="6"/>
  <c r="BE39" i="6"/>
  <c r="BF39" i="6"/>
  <c r="BC39" i="6"/>
  <c r="T39" i="6"/>
  <c r="S39" i="6"/>
  <c r="R39" i="6"/>
  <c r="I32" i="22"/>
  <c r="L32" i="22"/>
  <c r="F38" i="6"/>
  <c r="K32" i="22"/>
  <c r="N32" i="22"/>
  <c r="H38" i="6"/>
  <c r="BD38" i="6"/>
  <c r="BE38" i="6"/>
  <c r="BF38" i="6"/>
  <c r="BC38" i="6"/>
  <c r="T38" i="6"/>
  <c r="S38" i="6"/>
  <c r="R38" i="6"/>
  <c r="I31" i="22"/>
  <c r="L31" i="22"/>
  <c r="F37" i="6"/>
  <c r="K31" i="22"/>
  <c r="N31" i="22"/>
  <c r="H37" i="6"/>
  <c r="BD37" i="6"/>
  <c r="BE37" i="6"/>
  <c r="BF37" i="6"/>
  <c r="BC37" i="6"/>
  <c r="T37" i="6"/>
  <c r="S37" i="6"/>
  <c r="R37" i="6"/>
  <c r="I30" i="22"/>
  <c r="L30" i="22"/>
  <c r="F36" i="6"/>
  <c r="K30" i="22"/>
  <c r="N30" i="22"/>
  <c r="H36" i="6"/>
  <c r="BD36" i="6"/>
  <c r="BE36" i="6"/>
  <c r="BF36" i="6"/>
  <c r="BC36" i="6"/>
  <c r="T36" i="6"/>
  <c r="S36" i="6"/>
  <c r="R36" i="6"/>
  <c r="I29" i="22"/>
  <c r="L29" i="22"/>
  <c r="F35" i="6"/>
  <c r="K29" i="22"/>
  <c r="N29" i="22"/>
  <c r="H35" i="6"/>
  <c r="BD35" i="6"/>
  <c r="BE35" i="6"/>
  <c r="BF35" i="6"/>
  <c r="BC35" i="6"/>
  <c r="T35" i="6"/>
  <c r="S35" i="6"/>
  <c r="R35" i="6"/>
  <c r="I28" i="22"/>
  <c r="L28" i="22"/>
  <c r="F34" i="6"/>
  <c r="K28" i="22"/>
  <c r="N28" i="22"/>
  <c r="H34" i="6"/>
  <c r="BD34" i="6"/>
  <c r="BE34" i="6"/>
  <c r="BF34" i="6"/>
  <c r="BC34" i="6"/>
  <c r="T34" i="6"/>
  <c r="S34" i="6"/>
  <c r="R34" i="6"/>
  <c r="I27" i="22"/>
  <c r="L27" i="22"/>
  <c r="F33" i="6"/>
  <c r="K27" i="22"/>
  <c r="N27" i="22"/>
  <c r="H33" i="6"/>
  <c r="BD33" i="6"/>
  <c r="BE33" i="6"/>
  <c r="BF33" i="6"/>
  <c r="BC33" i="6"/>
  <c r="T33" i="6"/>
  <c r="S33" i="6"/>
  <c r="R33" i="6"/>
  <c r="I26" i="22"/>
  <c r="L26" i="22"/>
  <c r="F32" i="6"/>
  <c r="K26" i="22"/>
  <c r="N26" i="22"/>
  <c r="H32" i="6"/>
  <c r="BD32" i="6"/>
  <c r="BE32" i="6"/>
  <c r="BF32" i="6"/>
  <c r="BC32" i="6"/>
  <c r="T32" i="6"/>
  <c r="S32" i="6"/>
  <c r="R32" i="6"/>
  <c r="I25" i="22"/>
  <c r="L25" i="22"/>
  <c r="F31" i="6"/>
  <c r="K25" i="22"/>
  <c r="N25" i="22"/>
  <c r="H31" i="6"/>
  <c r="BD31" i="6"/>
  <c r="BE31" i="6"/>
  <c r="BF31" i="6"/>
  <c r="BC31" i="6"/>
  <c r="T31" i="6"/>
  <c r="S31" i="6"/>
  <c r="R31" i="6"/>
  <c r="I24" i="22"/>
  <c r="L24" i="22"/>
  <c r="F30" i="6"/>
  <c r="K24" i="22"/>
  <c r="N24" i="22"/>
  <c r="H30" i="6"/>
  <c r="BD30" i="6"/>
  <c r="BE30" i="6"/>
  <c r="BF30" i="6"/>
  <c r="BC30" i="6"/>
  <c r="T30" i="6"/>
  <c r="S30" i="6"/>
  <c r="R30" i="6"/>
  <c r="I23" i="22"/>
  <c r="L23" i="22"/>
  <c r="F29" i="6"/>
  <c r="K23" i="22"/>
  <c r="N23" i="22"/>
  <c r="H29" i="6"/>
  <c r="BD29" i="6"/>
  <c r="BE29" i="6"/>
  <c r="BF29" i="6"/>
  <c r="BC29" i="6"/>
  <c r="T29" i="6"/>
  <c r="S29" i="6"/>
  <c r="R29" i="6"/>
  <c r="I22" i="22"/>
  <c r="L22" i="22"/>
  <c r="F28" i="6"/>
  <c r="K22" i="22"/>
  <c r="N22" i="22"/>
  <c r="H28" i="6"/>
  <c r="BD28" i="6"/>
  <c r="BE28" i="6"/>
  <c r="BF28" i="6"/>
  <c r="BC28" i="6"/>
  <c r="T28" i="6"/>
  <c r="S28" i="6"/>
  <c r="R28" i="6"/>
  <c r="I21" i="22"/>
  <c r="L21" i="22"/>
  <c r="F27" i="6"/>
  <c r="K21" i="22"/>
  <c r="N21" i="22"/>
  <c r="H27" i="6"/>
  <c r="BD27" i="6"/>
  <c r="BE27" i="6"/>
  <c r="BF27" i="6"/>
  <c r="BC27" i="6"/>
  <c r="T27" i="6"/>
  <c r="S27" i="6"/>
  <c r="R27" i="6"/>
  <c r="I20" i="22"/>
  <c r="L20" i="22"/>
  <c r="F26" i="6"/>
  <c r="K20" i="22"/>
  <c r="N20" i="22"/>
  <c r="H26" i="6"/>
  <c r="BD26" i="6"/>
  <c r="BE26" i="6"/>
  <c r="BF26" i="6"/>
  <c r="BC26" i="6"/>
  <c r="T26" i="6"/>
  <c r="S26" i="6"/>
  <c r="R26" i="6"/>
  <c r="I19" i="22"/>
  <c r="L19" i="22"/>
  <c r="F25" i="6"/>
  <c r="K19" i="22"/>
  <c r="N19" i="22"/>
  <c r="H25" i="6"/>
  <c r="BD25" i="6"/>
  <c r="BE25" i="6"/>
  <c r="BF25" i="6"/>
  <c r="BC25" i="6"/>
  <c r="T25" i="6"/>
  <c r="S25" i="6"/>
  <c r="R25" i="6"/>
  <c r="I18" i="22"/>
  <c r="L18" i="22"/>
  <c r="F24" i="6"/>
  <c r="K18" i="22"/>
  <c r="N18" i="22"/>
  <c r="H24" i="6"/>
  <c r="BD24" i="6"/>
  <c r="BE24" i="6"/>
  <c r="BF24" i="6"/>
  <c r="BC24" i="6"/>
  <c r="T24" i="6"/>
  <c r="S24" i="6"/>
  <c r="R24" i="6"/>
  <c r="I17" i="22"/>
  <c r="L17" i="22"/>
  <c r="F23" i="6"/>
  <c r="K17" i="22"/>
  <c r="N17" i="22"/>
  <c r="H23" i="6"/>
  <c r="BD23" i="6"/>
  <c r="BE23" i="6"/>
  <c r="BF23" i="6"/>
  <c r="BC23" i="6"/>
  <c r="T23" i="6"/>
  <c r="S23" i="6"/>
  <c r="R23" i="6"/>
  <c r="I16" i="22"/>
  <c r="L16" i="22"/>
  <c r="F22" i="6"/>
  <c r="K16" i="22"/>
  <c r="N16" i="22"/>
  <c r="H22" i="6"/>
  <c r="BD22" i="6"/>
  <c r="BE22" i="6"/>
  <c r="BF22" i="6"/>
  <c r="BC22" i="6"/>
  <c r="T22" i="6"/>
  <c r="S22" i="6"/>
  <c r="R22" i="6"/>
  <c r="I15" i="22"/>
  <c r="L15" i="22"/>
  <c r="F21" i="6"/>
  <c r="K15" i="22"/>
  <c r="N15" i="22"/>
  <c r="H21" i="6"/>
  <c r="BD21" i="6"/>
  <c r="BE21" i="6"/>
  <c r="BF21" i="6"/>
  <c r="BC21" i="6"/>
  <c r="T21" i="6"/>
  <c r="S21" i="6"/>
  <c r="R21" i="6"/>
  <c r="I14" i="22"/>
  <c r="L14" i="22"/>
  <c r="F20" i="6"/>
  <c r="K14" i="22"/>
  <c r="N14" i="22"/>
  <c r="H20" i="6"/>
  <c r="BD20" i="6"/>
  <c r="BE20" i="6"/>
  <c r="BF20" i="6"/>
  <c r="BC20" i="6"/>
  <c r="T20" i="6"/>
  <c r="S20" i="6"/>
  <c r="R20" i="6"/>
  <c r="I13" i="22"/>
  <c r="L13" i="22"/>
  <c r="F19" i="6"/>
  <c r="K13" i="22"/>
  <c r="N13" i="22"/>
  <c r="H19" i="6"/>
  <c r="BD19" i="6"/>
  <c r="BE19" i="6"/>
  <c r="BF19" i="6"/>
  <c r="BC19" i="6"/>
  <c r="T19" i="6"/>
  <c r="S19" i="6"/>
  <c r="R19" i="6"/>
  <c r="I12" i="22"/>
  <c r="L12" i="22"/>
  <c r="F18" i="6"/>
  <c r="K12" i="22"/>
  <c r="N12" i="22"/>
  <c r="H18" i="6"/>
  <c r="BD18" i="6"/>
  <c r="BE18" i="6"/>
  <c r="BF18" i="6"/>
  <c r="BC18" i="6"/>
  <c r="T18" i="6"/>
  <c r="S18" i="6"/>
  <c r="R18" i="6"/>
  <c r="I11" i="22"/>
  <c r="L11" i="22"/>
  <c r="F17" i="6"/>
  <c r="K11" i="22"/>
  <c r="N11" i="22"/>
  <c r="H17" i="6"/>
  <c r="BD17" i="6"/>
  <c r="BE17" i="6"/>
  <c r="BF17" i="6"/>
  <c r="BC17" i="6"/>
  <c r="T17" i="6"/>
  <c r="S17" i="6"/>
  <c r="R17" i="6"/>
  <c r="I10" i="22"/>
  <c r="L10" i="22"/>
  <c r="F16" i="6"/>
  <c r="K10" i="22"/>
  <c r="N10" i="22"/>
  <c r="H16" i="6"/>
  <c r="BD16" i="6"/>
  <c r="BE16" i="6"/>
  <c r="BF16" i="6"/>
  <c r="BC16" i="6"/>
  <c r="T16" i="6"/>
  <c r="S16" i="6"/>
  <c r="R16" i="6"/>
  <c r="I9" i="22"/>
  <c r="L9" i="22"/>
  <c r="F15" i="6"/>
  <c r="K9" i="22"/>
  <c r="N9" i="22"/>
  <c r="H15" i="6"/>
  <c r="BD15" i="6"/>
  <c r="BE15" i="6"/>
  <c r="BF15" i="6"/>
  <c r="BC15" i="6"/>
  <c r="T15" i="6"/>
  <c r="S15" i="6"/>
  <c r="R15" i="6"/>
  <c r="I8" i="22"/>
  <c r="L8" i="22"/>
  <c r="F14" i="6"/>
  <c r="K8" i="22"/>
  <c r="N8" i="22"/>
  <c r="H14" i="6"/>
  <c r="BD14" i="6"/>
  <c r="BE14" i="6"/>
  <c r="BF14" i="6"/>
  <c r="BC14" i="6"/>
  <c r="T14" i="6"/>
  <c r="S14" i="6"/>
  <c r="R14" i="6"/>
  <c r="I7" i="22"/>
  <c r="L7" i="22"/>
  <c r="F13" i="6"/>
  <c r="K7" i="22"/>
  <c r="N7" i="22"/>
  <c r="H13" i="6"/>
  <c r="BD13" i="6"/>
  <c r="BE13" i="6"/>
  <c r="BF13" i="6"/>
  <c r="BC13" i="6"/>
  <c r="T13" i="6"/>
  <c r="S13" i="6"/>
  <c r="R13" i="6"/>
  <c r="I6" i="22"/>
  <c r="L6" i="22"/>
  <c r="F12" i="6"/>
  <c r="K6" i="22"/>
  <c r="N6" i="22"/>
  <c r="H12" i="6"/>
  <c r="BE12" i="6"/>
  <c r="BD12" i="6"/>
  <c r="BF12" i="6"/>
  <c r="BC12" i="6"/>
  <c r="T12" i="6"/>
  <c r="R12" i="6"/>
  <c r="B41" i="14"/>
  <c r="B42" i="14"/>
  <c r="B37" i="14"/>
  <c r="B36" i="14"/>
  <c r="E131" i="9"/>
  <c r="E132" i="9"/>
  <c r="E133" i="9"/>
  <c r="E134" i="9"/>
  <c r="E135" i="9"/>
  <c r="C3" i="9"/>
  <c r="C4" i="9"/>
  <c r="E85" i="9"/>
  <c r="E84" i="9"/>
  <c r="E33" i="9"/>
  <c r="AU10" i="27"/>
  <c r="AD20" i="34"/>
  <c r="AD19" i="34"/>
  <c r="Y19" i="34"/>
  <c r="Y20" i="34"/>
  <c r="E108" i="9"/>
  <c r="AL41" i="27"/>
  <c r="AH41" i="27"/>
  <c r="AL36" i="27"/>
  <c r="AH36" i="27"/>
  <c r="AL35" i="27"/>
  <c r="AH35" i="27"/>
  <c r="AL34" i="27"/>
  <c r="AH34" i="27"/>
  <c r="AL29" i="27"/>
  <c r="AH29" i="27"/>
  <c r="AL28" i="27"/>
  <c r="AH28" i="27"/>
  <c r="AL27" i="27"/>
  <c r="AH27" i="27"/>
  <c r="AL22" i="27"/>
  <c r="AH22" i="27"/>
  <c r="AL21" i="27"/>
  <c r="AH21" i="27"/>
  <c r="AL20" i="27"/>
  <c r="AH20" i="27"/>
  <c r="AL15" i="27"/>
  <c r="AL14" i="27"/>
  <c r="AL13" i="27"/>
  <c r="AH15" i="27"/>
  <c r="AH14" i="27"/>
  <c r="AH13" i="27"/>
  <c r="Q67" i="34"/>
  <c r="Q66" i="34"/>
  <c r="AC207" i="34"/>
  <c r="AB207" i="34"/>
  <c r="Z207" i="34"/>
  <c r="AC206" i="34"/>
  <c r="AB206" i="34"/>
  <c r="Z206" i="34"/>
  <c r="AC205" i="34"/>
  <c r="AB205" i="34"/>
  <c r="Z205" i="34"/>
  <c r="AC204" i="34"/>
  <c r="AB204" i="34"/>
  <c r="Z204" i="34"/>
  <c r="AC203" i="34"/>
  <c r="AB203" i="34"/>
  <c r="Z203" i="34"/>
  <c r="AC202" i="34"/>
  <c r="AB202" i="34"/>
  <c r="Z202" i="34"/>
  <c r="AC201" i="34"/>
  <c r="AB201" i="34"/>
  <c r="Z201" i="34"/>
  <c r="AC200" i="34"/>
  <c r="AB200" i="34"/>
  <c r="Z200" i="34"/>
  <c r="AC199" i="34"/>
  <c r="AB199" i="34"/>
  <c r="Z199" i="34"/>
  <c r="AC198" i="34"/>
  <c r="AB198" i="34"/>
  <c r="Z198" i="34"/>
  <c r="AC197" i="34"/>
  <c r="AB197" i="34"/>
  <c r="Z197" i="34"/>
  <c r="AC196" i="34"/>
  <c r="AB196" i="34"/>
  <c r="Z196" i="34"/>
  <c r="AC195" i="34"/>
  <c r="AB195" i="34"/>
  <c r="Z195" i="34"/>
  <c r="AC194" i="34"/>
  <c r="AB194" i="34"/>
  <c r="Z194" i="34"/>
  <c r="AC193" i="34"/>
  <c r="AB193" i="34"/>
  <c r="Z193" i="34"/>
  <c r="AC192" i="34"/>
  <c r="AB192" i="34"/>
  <c r="Z192" i="34"/>
  <c r="AC191" i="34"/>
  <c r="AB191" i="34"/>
  <c r="Z191" i="34"/>
  <c r="AC190" i="34"/>
  <c r="AB190" i="34"/>
  <c r="Z190" i="34"/>
  <c r="AC189" i="34"/>
  <c r="AB189" i="34"/>
  <c r="Z189" i="34"/>
  <c r="AC188" i="34"/>
  <c r="AB188" i="34"/>
  <c r="Z188" i="34"/>
  <c r="AC187" i="34"/>
  <c r="AB187" i="34"/>
  <c r="Z187" i="34"/>
  <c r="AC186" i="34"/>
  <c r="AB186" i="34"/>
  <c r="Z186" i="34"/>
  <c r="AC185" i="34"/>
  <c r="AB185" i="34"/>
  <c r="Z185" i="34"/>
  <c r="AC184" i="34"/>
  <c r="AB184" i="34"/>
  <c r="Z184" i="34"/>
  <c r="AC183" i="34"/>
  <c r="AB183" i="34"/>
  <c r="Z183" i="34"/>
  <c r="AC182" i="34"/>
  <c r="AB182" i="34"/>
  <c r="Z182" i="34"/>
  <c r="AC181" i="34"/>
  <c r="AB181" i="34"/>
  <c r="Z181" i="34"/>
  <c r="AC180" i="34"/>
  <c r="AB180" i="34"/>
  <c r="Z180" i="34"/>
  <c r="AC179" i="34"/>
  <c r="AB179" i="34"/>
  <c r="Z179" i="34"/>
  <c r="AC178" i="34"/>
  <c r="AB178" i="34"/>
  <c r="Z178" i="34"/>
  <c r="AC177" i="34"/>
  <c r="AB177" i="34"/>
  <c r="Z177" i="34"/>
  <c r="AC176" i="34"/>
  <c r="AB176" i="34"/>
  <c r="Z176" i="34"/>
  <c r="AC175" i="34"/>
  <c r="AB175" i="34"/>
  <c r="Z175" i="34"/>
  <c r="AC174" i="34"/>
  <c r="AB174" i="34"/>
  <c r="Z174" i="34"/>
  <c r="AC173" i="34"/>
  <c r="AB173" i="34"/>
  <c r="Z173" i="34"/>
  <c r="AC172" i="34"/>
  <c r="AB172" i="34"/>
  <c r="Z172" i="34"/>
  <c r="AC171" i="34"/>
  <c r="AB171" i="34"/>
  <c r="Z171" i="34"/>
  <c r="AC170" i="34"/>
  <c r="AB170" i="34"/>
  <c r="Z170" i="34"/>
  <c r="AC169" i="34"/>
  <c r="AB169" i="34"/>
  <c r="Z169" i="34"/>
  <c r="AC168" i="34"/>
  <c r="AB168" i="34"/>
  <c r="Z168" i="34"/>
  <c r="AC167" i="34"/>
  <c r="AB167" i="34"/>
  <c r="Z167" i="34"/>
  <c r="AC166" i="34"/>
  <c r="AB166" i="34"/>
  <c r="Z166" i="34"/>
  <c r="AC165" i="34"/>
  <c r="AB165" i="34"/>
  <c r="Z165" i="34"/>
  <c r="AC164" i="34"/>
  <c r="AB164" i="34"/>
  <c r="Z164" i="34"/>
  <c r="AC163" i="34"/>
  <c r="AB163" i="34"/>
  <c r="Z163" i="34"/>
  <c r="AC162" i="34"/>
  <c r="AB162" i="34"/>
  <c r="Z162" i="34"/>
  <c r="AC161" i="34"/>
  <c r="AB161" i="34"/>
  <c r="Z161" i="34"/>
  <c r="AM135" i="34"/>
  <c r="AL135" i="34"/>
  <c r="AI135" i="34"/>
  <c r="AH135" i="34"/>
  <c r="AG135" i="34"/>
  <c r="AF135" i="34"/>
  <c r="AE135" i="34"/>
  <c r="AD135" i="34"/>
  <c r="AB135" i="34"/>
  <c r="Z135" i="34"/>
  <c r="Y135" i="34"/>
  <c r="X135" i="34"/>
  <c r="W135" i="34"/>
  <c r="V135" i="34"/>
  <c r="AM134" i="34"/>
  <c r="AL134" i="34"/>
  <c r="AI134" i="34"/>
  <c r="AH134" i="34"/>
  <c r="AG134" i="34"/>
  <c r="AF134" i="34"/>
  <c r="AE134" i="34"/>
  <c r="AD134" i="34"/>
  <c r="AB134" i="34"/>
  <c r="Z134" i="34"/>
  <c r="Y134" i="34"/>
  <c r="X134" i="34"/>
  <c r="W134" i="34"/>
  <c r="V134" i="34"/>
  <c r="AM133" i="34"/>
  <c r="AL133" i="34"/>
  <c r="AI133" i="34"/>
  <c r="AH133" i="34"/>
  <c r="AG133" i="34"/>
  <c r="AF133" i="34"/>
  <c r="AE133" i="34"/>
  <c r="AD133" i="34"/>
  <c r="AB133" i="34"/>
  <c r="Z133" i="34"/>
  <c r="Y133" i="34"/>
  <c r="X133" i="34"/>
  <c r="W133" i="34"/>
  <c r="V133" i="34"/>
  <c r="AM132" i="34"/>
  <c r="AL132" i="34"/>
  <c r="AI132" i="34"/>
  <c r="AH132" i="34"/>
  <c r="AG132" i="34"/>
  <c r="AF132" i="34"/>
  <c r="AE132" i="34"/>
  <c r="AD132" i="34"/>
  <c r="AB132" i="34"/>
  <c r="Z132" i="34"/>
  <c r="Y132" i="34"/>
  <c r="X132" i="34"/>
  <c r="W132" i="34"/>
  <c r="V132" i="34"/>
  <c r="AM131" i="34"/>
  <c r="AL131" i="34"/>
  <c r="AI131" i="34"/>
  <c r="AH131" i="34"/>
  <c r="AG131" i="34"/>
  <c r="AF131" i="34"/>
  <c r="AE131" i="34"/>
  <c r="AD131" i="34"/>
  <c r="AB131" i="34"/>
  <c r="Z131" i="34"/>
  <c r="Y131" i="34"/>
  <c r="X131" i="34"/>
  <c r="W131" i="34"/>
  <c r="V131" i="34"/>
  <c r="AM130" i="34"/>
  <c r="AL130" i="34"/>
  <c r="AI130" i="34"/>
  <c r="AH130" i="34"/>
  <c r="AG130" i="34"/>
  <c r="AF130" i="34"/>
  <c r="AE130" i="34"/>
  <c r="AD130" i="34"/>
  <c r="AB130" i="34"/>
  <c r="Z130" i="34"/>
  <c r="Y130" i="34"/>
  <c r="X130" i="34"/>
  <c r="W130" i="34"/>
  <c r="V130" i="34"/>
  <c r="AM129" i="34"/>
  <c r="AL129" i="34"/>
  <c r="AI129" i="34"/>
  <c r="AH129" i="34"/>
  <c r="AG129" i="34"/>
  <c r="AF129" i="34"/>
  <c r="AE129" i="34"/>
  <c r="AD129" i="34"/>
  <c r="AB129" i="34"/>
  <c r="Z129" i="34"/>
  <c r="Y129" i="34"/>
  <c r="X129" i="34"/>
  <c r="W129" i="34"/>
  <c r="V129" i="34"/>
  <c r="AM128" i="34"/>
  <c r="AL128" i="34"/>
  <c r="AI128" i="34"/>
  <c r="AH128" i="34"/>
  <c r="AG128" i="34"/>
  <c r="AF128" i="34"/>
  <c r="AE128" i="34"/>
  <c r="AD128" i="34"/>
  <c r="AB128" i="34"/>
  <c r="Z128" i="34"/>
  <c r="Y128" i="34"/>
  <c r="X128" i="34"/>
  <c r="W128" i="34"/>
  <c r="V128" i="34"/>
  <c r="AM127" i="34"/>
  <c r="AL127" i="34"/>
  <c r="AI127" i="34"/>
  <c r="AH127" i="34"/>
  <c r="AG127" i="34"/>
  <c r="AF127" i="34"/>
  <c r="AE127" i="34"/>
  <c r="AD127" i="34"/>
  <c r="AB127" i="34"/>
  <c r="Z127" i="34"/>
  <c r="Y127" i="34"/>
  <c r="X127" i="34"/>
  <c r="W127" i="34"/>
  <c r="V127" i="34"/>
  <c r="AM126" i="34"/>
  <c r="AL126" i="34"/>
  <c r="AI126" i="34"/>
  <c r="AH126" i="34"/>
  <c r="AG126" i="34"/>
  <c r="AF126" i="34"/>
  <c r="AE126" i="34"/>
  <c r="AD126" i="34"/>
  <c r="AB126" i="34"/>
  <c r="Z126" i="34"/>
  <c r="Y126" i="34"/>
  <c r="X126" i="34"/>
  <c r="W126" i="34"/>
  <c r="V126" i="34"/>
  <c r="AM125" i="34"/>
  <c r="AL125" i="34"/>
  <c r="AI125" i="34"/>
  <c r="AH125" i="34"/>
  <c r="AG125" i="34"/>
  <c r="AF125" i="34"/>
  <c r="AE125" i="34"/>
  <c r="AD125" i="34"/>
  <c r="AB125" i="34"/>
  <c r="Z125" i="34"/>
  <c r="Y125" i="34"/>
  <c r="X125" i="34"/>
  <c r="W125" i="34"/>
  <c r="V125" i="34"/>
  <c r="AM124" i="34"/>
  <c r="AL124" i="34"/>
  <c r="AI124" i="34"/>
  <c r="AH124" i="34"/>
  <c r="AG124" i="34"/>
  <c r="AF124" i="34"/>
  <c r="AE124" i="34"/>
  <c r="AD124" i="34"/>
  <c r="AB124" i="34"/>
  <c r="Z124" i="34"/>
  <c r="Y124" i="34"/>
  <c r="X124" i="34"/>
  <c r="W124" i="34"/>
  <c r="V124" i="34"/>
  <c r="AM123" i="34"/>
  <c r="AL123" i="34"/>
  <c r="AI123" i="34"/>
  <c r="AH123" i="34"/>
  <c r="AG123" i="34"/>
  <c r="AF123" i="34"/>
  <c r="AE123" i="34"/>
  <c r="AD123" i="34"/>
  <c r="AB123" i="34"/>
  <c r="Z123" i="34"/>
  <c r="Y123" i="34"/>
  <c r="X123" i="34"/>
  <c r="W123" i="34"/>
  <c r="V123" i="34"/>
  <c r="AM122" i="34"/>
  <c r="AL122" i="34"/>
  <c r="AI122" i="34"/>
  <c r="AH122" i="34"/>
  <c r="AG122" i="34"/>
  <c r="AF122" i="34"/>
  <c r="AE122" i="34"/>
  <c r="AD122" i="34"/>
  <c r="AB122" i="34"/>
  <c r="Z122" i="34"/>
  <c r="Y122" i="34"/>
  <c r="X122" i="34"/>
  <c r="W122" i="34"/>
  <c r="V122" i="34"/>
  <c r="AM121" i="34"/>
  <c r="AL121" i="34"/>
  <c r="AI121" i="34"/>
  <c r="AH121" i="34"/>
  <c r="AG121" i="34"/>
  <c r="AF121" i="34"/>
  <c r="AE121" i="34"/>
  <c r="AD121" i="34"/>
  <c r="AB121" i="34"/>
  <c r="Z121" i="34"/>
  <c r="Y121" i="34"/>
  <c r="X121" i="34"/>
  <c r="W121" i="34"/>
  <c r="V121" i="34"/>
  <c r="AM120" i="34"/>
  <c r="AL120" i="34"/>
  <c r="AI120" i="34"/>
  <c r="AH120" i="34"/>
  <c r="AG120" i="34"/>
  <c r="AF120" i="34"/>
  <c r="AE120" i="34"/>
  <c r="AD120" i="34"/>
  <c r="AB120" i="34"/>
  <c r="Z120" i="34"/>
  <c r="Y120" i="34"/>
  <c r="X120" i="34"/>
  <c r="W120" i="34"/>
  <c r="V120" i="34"/>
  <c r="AM119" i="34"/>
  <c r="AL119" i="34"/>
  <c r="AI119" i="34"/>
  <c r="AH119" i="34"/>
  <c r="AG119" i="34"/>
  <c r="AF119" i="34"/>
  <c r="AE119" i="34"/>
  <c r="AD119" i="34"/>
  <c r="AB119" i="34"/>
  <c r="Z119" i="34"/>
  <c r="Y119" i="34"/>
  <c r="X119" i="34"/>
  <c r="W119" i="34"/>
  <c r="V119" i="34"/>
  <c r="AM118" i="34"/>
  <c r="AL118" i="34"/>
  <c r="AI118" i="34"/>
  <c r="AH118" i="34"/>
  <c r="AG118" i="34"/>
  <c r="AF118" i="34"/>
  <c r="AE118" i="34"/>
  <c r="AD118" i="34"/>
  <c r="AB118" i="34"/>
  <c r="Z118" i="34"/>
  <c r="Y118" i="34"/>
  <c r="X118" i="34"/>
  <c r="W118" i="34"/>
  <c r="V118" i="34"/>
  <c r="AM117" i="34"/>
  <c r="AL117" i="34"/>
  <c r="AI117" i="34"/>
  <c r="AH117" i="34"/>
  <c r="AG117" i="34"/>
  <c r="AF117" i="34"/>
  <c r="AE117" i="34"/>
  <c r="AD117" i="34"/>
  <c r="AB117" i="34"/>
  <c r="Z117" i="34"/>
  <c r="Y117" i="34"/>
  <c r="X117" i="34"/>
  <c r="W117" i="34"/>
  <c r="V117" i="34"/>
  <c r="AM116" i="34"/>
  <c r="AL116" i="34"/>
  <c r="AI116" i="34"/>
  <c r="AH116" i="34"/>
  <c r="AG116" i="34"/>
  <c r="AF116" i="34"/>
  <c r="AE116" i="34"/>
  <c r="AD116" i="34"/>
  <c r="AB116" i="34"/>
  <c r="Z116" i="34"/>
  <c r="Y116" i="34"/>
  <c r="X116" i="34"/>
  <c r="W116" i="34"/>
  <c r="V116" i="34"/>
  <c r="AM115" i="34"/>
  <c r="AL115" i="34"/>
  <c r="AI115" i="34"/>
  <c r="AH115" i="34"/>
  <c r="AG115" i="34"/>
  <c r="AF115" i="34"/>
  <c r="AE115" i="34"/>
  <c r="AD115" i="34"/>
  <c r="AB115" i="34"/>
  <c r="Z115" i="34"/>
  <c r="Y115" i="34"/>
  <c r="X115" i="34"/>
  <c r="W115" i="34"/>
  <c r="V115" i="34"/>
  <c r="AM114" i="34"/>
  <c r="AL114" i="34"/>
  <c r="AI114" i="34"/>
  <c r="AH114" i="34"/>
  <c r="AG114" i="34"/>
  <c r="AF114" i="34"/>
  <c r="AE114" i="34"/>
  <c r="AD114" i="34"/>
  <c r="AB114" i="34"/>
  <c r="Z114" i="34"/>
  <c r="Y114" i="34"/>
  <c r="X114" i="34"/>
  <c r="W114" i="34"/>
  <c r="V114" i="34"/>
  <c r="AM113" i="34"/>
  <c r="AL113" i="34"/>
  <c r="AI113" i="34"/>
  <c r="AH113" i="34"/>
  <c r="AG113" i="34"/>
  <c r="AF113" i="34"/>
  <c r="AE113" i="34"/>
  <c r="AD113" i="34"/>
  <c r="AB113" i="34"/>
  <c r="Z113" i="34"/>
  <c r="Y113" i="34"/>
  <c r="X113" i="34"/>
  <c r="W113" i="34"/>
  <c r="V113" i="34"/>
  <c r="AM112" i="34"/>
  <c r="AL112" i="34"/>
  <c r="AI112" i="34"/>
  <c r="AH112" i="34"/>
  <c r="AG112" i="34"/>
  <c r="AF112" i="34"/>
  <c r="AE112" i="34"/>
  <c r="AD112" i="34"/>
  <c r="AB112" i="34"/>
  <c r="Z112" i="34"/>
  <c r="Y112" i="34"/>
  <c r="X112" i="34"/>
  <c r="W112" i="34"/>
  <c r="V112" i="34"/>
  <c r="AM111" i="34"/>
  <c r="AL111" i="34"/>
  <c r="AI111" i="34"/>
  <c r="AH111" i="34"/>
  <c r="AG111" i="34"/>
  <c r="AF111" i="34"/>
  <c r="AE111" i="34"/>
  <c r="AD111" i="34"/>
  <c r="AB111" i="34"/>
  <c r="Z111" i="34"/>
  <c r="Y111" i="34"/>
  <c r="X111" i="34"/>
  <c r="W111" i="34"/>
  <c r="V111" i="34"/>
  <c r="AM110" i="34"/>
  <c r="AL110" i="34"/>
  <c r="AI110" i="34"/>
  <c r="AH110" i="34"/>
  <c r="AG110" i="34"/>
  <c r="AF110" i="34"/>
  <c r="AE110" i="34"/>
  <c r="AD110" i="34"/>
  <c r="AB110" i="34"/>
  <c r="Z110" i="34"/>
  <c r="Y110" i="34"/>
  <c r="X110" i="34"/>
  <c r="W110" i="34"/>
  <c r="V110" i="34"/>
  <c r="AM109" i="34"/>
  <c r="AL109" i="34"/>
  <c r="AI109" i="34"/>
  <c r="AH109" i="34"/>
  <c r="AG109" i="34"/>
  <c r="AF109" i="34"/>
  <c r="AE109" i="34"/>
  <c r="AD109" i="34"/>
  <c r="AB109" i="34"/>
  <c r="Z109" i="34"/>
  <c r="Y109" i="34"/>
  <c r="X109" i="34"/>
  <c r="W109" i="34"/>
  <c r="V109" i="34"/>
  <c r="AM108" i="34"/>
  <c r="AL108" i="34"/>
  <c r="AI108" i="34"/>
  <c r="AH108" i="34"/>
  <c r="AG108" i="34"/>
  <c r="AF108" i="34"/>
  <c r="AE108" i="34"/>
  <c r="AD108" i="34"/>
  <c r="AB108" i="34"/>
  <c r="Z108" i="34"/>
  <c r="Y108" i="34"/>
  <c r="X108" i="34"/>
  <c r="W108" i="34"/>
  <c r="V108" i="34"/>
  <c r="AM107" i="34"/>
  <c r="AL107" i="34"/>
  <c r="AI107" i="34"/>
  <c r="AH107" i="34"/>
  <c r="AG107" i="34"/>
  <c r="AF107" i="34"/>
  <c r="AE107" i="34"/>
  <c r="AD107" i="34"/>
  <c r="AB107" i="34"/>
  <c r="Z107" i="34"/>
  <c r="Y107" i="34"/>
  <c r="X107" i="34"/>
  <c r="W107" i="34"/>
  <c r="V107" i="34"/>
  <c r="AM106" i="34"/>
  <c r="AL106" i="34"/>
  <c r="AI106" i="34"/>
  <c r="AH106" i="34"/>
  <c r="AG106" i="34"/>
  <c r="AF106" i="34"/>
  <c r="AE106" i="34"/>
  <c r="AD106" i="34"/>
  <c r="AB106" i="34"/>
  <c r="Z106" i="34"/>
  <c r="Y106" i="34"/>
  <c r="X106" i="34"/>
  <c r="W106" i="34"/>
  <c r="V106" i="34"/>
  <c r="AM105" i="34"/>
  <c r="AL105" i="34"/>
  <c r="AI105" i="34"/>
  <c r="AH105" i="34"/>
  <c r="AG105" i="34"/>
  <c r="AF105" i="34"/>
  <c r="AE105" i="34"/>
  <c r="AD105" i="34"/>
  <c r="AB105" i="34"/>
  <c r="Z105" i="34"/>
  <c r="Y105" i="34"/>
  <c r="X105" i="34"/>
  <c r="W105" i="34"/>
  <c r="V105" i="34"/>
  <c r="AM104" i="34"/>
  <c r="AL104" i="34"/>
  <c r="AI104" i="34"/>
  <c r="AH104" i="34"/>
  <c r="AG104" i="34"/>
  <c r="AF104" i="34"/>
  <c r="AE104" i="34"/>
  <c r="AD104" i="34"/>
  <c r="AB104" i="34"/>
  <c r="Z104" i="34"/>
  <c r="Y104" i="34"/>
  <c r="X104" i="34"/>
  <c r="W104" i="34"/>
  <c r="V104" i="34"/>
  <c r="AM103" i="34"/>
  <c r="AL103" i="34"/>
  <c r="AI103" i="34"/>
  <c r="AH103" i="34"/>
  <c r="AG103" i="34"/>
  <c r="AF103" i="34"/>
  <c r="AE103" i="34"/>
  <c r="AD103" i="34"/>
  <c r="AB103" i="34"/>
  <c r="Z103" i="34"/>
  <c r="Y103" i="34"/>
  <c r="X103" i="34"/>
  <c r="W103" i="34"/>
  <c r="V103" i="34"/>
  <c r="AM102" i="34"/>
  <c r="AL102" i="34"/>
  <c r="AI102" i="34"/>
  <c r="AH102" i="34"/>
  <c r="AG102" i="34"/>
  <c r="AF102" i="34"/>
  <c r="AE102" i="34"/>
  <c r="AD102" i="34"/>
  <c r="AB102" i="34"/>
  <c r="Z102" i="34"/>
  <c r="Y102" i="34"/>
  <c r="X102" i="34"/>
  <c r="W102" i="34"/>
  <c r="V102" i="34"/>
  <c r="AM101" i="34"/>
  <c r="AL101" i="34"/>
  <c r="AI101" i="34"/>
  <c r="AH101" i="34"/>
  <c r="AG101" i="34"/>
  <c r="AF101" i="34"/>
  <c r="AE101" i="34"/>
  <c r="AD101" i="34"/>
  <c r="AB101" i="34"/>
  <c r="Z101" i="34"/>
  <c r="Y101" i="34"/>
  <c r="X101" i="34"/>
  <c r="W101" i="34"/>
  <c r="V101" i="34"/>
  <c r="AM100" i="34"/>
  <c r="AL100" i="34"/>
  <c r="AI100" i="34"/>
  <c r="AH100" i="34"/>
  <c r="AG100" i="34"/>
  <c r="AF100" i="34"/>
  <c r="AE100" i="34"/>
  <c r="AD100" i="34"/>
  <c r="AB100" i="34"/>
  <c r="Z100" i="34"/>
  <c r="Y100" i="34"/>
  <c r="X100" i="34"/>
  <c r="W100" i="34"/>
  <c r="V100" i="34"/>
  <c r="AM99" i="34"/>
  <c r="AL99" i="34"/>
  <c r="AI99" i="34"/>
  <c r="AH99" i="34"/>
  <c r="AG99" i="34"/>
  <c r="AF99" i="34"/>
  <c r="AE99" i="34"/>
  <c r="AD99" i="34"/>
  <c r="AB99" i="34"/>
  <c r="Z99" i="34"/>
  <c r="Y99" i="34"/>
  <c r="X99" i="34"/>
  <c r="W99" i="34"/>
  <c r="V99" i="34"/>
  <c r="AM98" i="34"/>
  <c r="AL98" i="34"/>
  <c r="AI98" i="34"/>
  <c r="AH98" i="34"/>
  <c r="AG98" i="34"/>
  <c r="AF98" i="34"/>
  <c r="AE98" i="34"/>
  <c r="AD98" i="34"/>
  <c r="AB98" i="34"/>
  <c r="Z98" i="34"/>
  <c r="Y98" i="34"/>
  <c r="X98" i="34"/>
  <c r="W98" i="34"/>
  <c r="V98" i="34"/>
  <c r="AM97" i="34"/>
  <c r="AL97" i="34"/>
  <c r="AI97" i="34"/>
  <c r="AH97" i="34"/>
  <c r="AG97" i="34"/>
  <c r="AF97" i="34"/>
  <c r="AE97" i="34"/>
  <c r="AD97" i="34"/>
  <c r="AB97" i="34"/>
  <c r="Z97" i="34"/>
  <c r="Y97" i="34"/>
  <c r="X97" i="34"/>
  <c r="W97" i="34"/>
  <c r="V97" i="34"/>
  <c r="AM96" i="34"/>
  <c r="AL96" i="34"/>
  <c r="AI96" i="34"/>
  <c r="AH96" i="34"/>
  <c r="AG96" i="34"/>
  <c r="AF96" i="34"/>
  <c r="AE96" i="34"/>
  <c r="AD96" i="34"/>
  <c r="AB96" i="34"/>
  <c r="Z96" i="34"/>
  <c r="Y96" i="34"/>
  <c r="X96" i="34"/>
  <c r="W96" i="34"/>
  <c r="V96" i="34"/>
  <c r="AM95" i="34"/>
  <c r="AL95" i="34"/>
  <c r="AI95" i="34"/>
  <c r="AH95" i="34"/>
  <c r="AG95" i="34"/>
  <c r="AF95" i="34"/>
  <c r="AE95" i="34"/>
  <c r="AD95" i="34"/>
  <c r="AB95" i="34"/>
  <c r="Z95" i="34"/>
  <c r="Y95" i="34"/>
  <c r="X95" i="34"/>
  <c r="W95" i="34"/>
  <c r="V95" i="34"/>
  <c r="AM94" i="34"/>
  <c r="AL94" i="34"/>
  <c r="AI94" i="34"/>
  <c r="AH94" i="34"/>
  <c r="AG94" i="34"/>
  <c r="AF94" i="34"/>
  <c r="AE94" i="34"/>
  <c r="AD94" i="34"/>
  <c r="AB94" i="34"/>
  <c r="Z94" i="34"/>
  <c r="Y94" i="34"/>
  <c r="X94" i="34"/>
  <c r="W94" i="34"/>
  <c r="V94" i="34"/>
  <c r="AM93" i="34"/>
  <c r="AL93" i="34"/>
  <c r="AI93" i="34"/>
  <c r="AH93" i="34"/>
  <c r="AG93" i="34"/>
  <c r="AF93" i="34"/>
  <c r="AE93" i="34"/>
  <c r="AD93" i="34"/>
  <c r="AB93" i="34"/>
  <c r="Z93" i="34"/>
  <c r="Y93" i="34"/>
  <c r="X93" i="34"/>
  <c r="W93" i="34"/>
  <c r="V93" i="34"/>
  <c r="AM92" i="34"/>
  <c r="AL92" i="34"/>
  <c r="AI92" i="34"/>
  <c r="AH92" i="34"/>
  <c r="AG92" i="34"/>
  <c r="AF92" i="34"/>
  <c r="AE92" i="34"/>
  <c r="AD92" i="34"/>
  <c r="AB92" i="34"/>
  <c r="Z92" i="34"/>
  <c r="Y92" i="34"/>
  <c r="X92" i="34"/>
  <c r="W92" i="34"/>
  <c r="V92" i="34"/>
  <c r="AM91" i="34"/>
  <c r="AL91" i="34"/>
  <c r="AI91" i="34"/>
  <c r="AH91" i="34"/>
  <c r="AG91" i="34"/>
  <c r="AF91" i="34"/>
  <c r="AE91" i="34"/>
  <c r="AD91" i="34"/>
  <c r="AB91" i="34"/>
  <c r="Z91" i="34"/>
  <c r="Y91" i="34"/>
  <c r="X91" i="34"/>
  <c r="W91" i="34"/>
  <c r="V91" i="34"/>
  <c r="AM90" i="34"/>
  <c r="AL90" i="34"/>
  <c r="AI90" i="34"/>
  <c r="AH90" i="34"/>
  <c r="AG90" i="34"/>
  <c r="AF90" i="34"/>
  <c r="AE90" i="34"/>
  <c r="AD90" i="34"/>
  <c r="AB90" i="34"/>
  <c r="Z90" i="34"/>
  <c r="Y90" i="34"/>
  <c r="X90" i="34"/>
  <c r="W90" i="34"/>
  <c r="V90" i="34"/>
  <c r="AM89" i="34"/>
  <c r="AL89" i="34"/>
  <c r="AI89" i="34"/>
  <c r="AH89" i="34"/>
  <c r="AG89" i="34"/>
  <c r="AF89" i="34"/>
  <c r="AE89" i="34"/>
  <c r="AD89" i="34"/>
  <c r="AB89" i="34"/>
  <c r="Z89" i="34"/>
  <c r="Y89" i="34"/>
  <c r="X89" i="34"/>
  <c r="W89" i="34"/>
  <c r="V89" i="34"/>
  <c r="Q72" i="34"/>
  <c r="Q71" i="34"/>
  <c r="Q70" i="34"/>
  <c r="Q69" i="34"/>
  <c r="Q68" i="34"/>
  <c r="F12" i="34"/>
  <c r="BR60" i="34"/>
  <c r="F11" i="34"/>
  <c r="BZ51" i="34"/>
  <c r="F10" i="34"/>
  <c r="BY51" i="34"/>
  <c r="F9" i="34"/>
  <c r="BX51" i="34"/>
  <c r="F8" i="34"/>
  <c r="BW51" i="34"/>
  <c r="BR59" i="34"/>
  <c r="CA51" i="34"/>
  <c r="BR58" i="34"/>
  <c r="BR57" i="34"/>
  <c r="BR56" i="34"/>
  <c r="BR37" i="34"/>
  <c r="CA29" i="34"/>
  <c r="BR36" i="34"/>
  <c r="BR35" i="34"/>
  <c r="BR34" i="34"/>
  <c r="BR49" i="34"/>
  <c r="BZ29" i="34"/>
  <c r="BR48" i="34"/>
  <c r="BY29" i="34"/>
  <c r="BR47" i="34"/>
  <c r="BX29" i="34"/>
  <c r="BR46" i="34"/>
  <c r="BR45" i="34"/>
  <c r="CA40" i="34"/>
  <c r="BZ40" i="34"/>
  <c r="BY40" i="34"/>
  <c r="BX40" i="34"/>
  <c r="BW40" i="34"/>
  <c r="BR38" i="34"/>
  <c r="BW29" i="34"/>
  <c r="C38" i="34"/>
  <c r="C37" i="34"/>
  <c r="C36" i="34"/>
  <c r="C35" i="34"/>
  <c r="C34" i="34"/>
  <c r="C25" i="34"/>
  <c r="C24" i="34"/>
  <c r="C23" i="34"/>
  <c r="C22" i="34"/>
  <c r="C21" i="34"/>
  <c r="AC207" i="33"/>
  <c r="AB207" i="33"/>
  <c r="Z207" i="33"/>
  <c r="AC206" i="33"/>
  <c r="AB206" i="33"/>
  <c r="Z206" i="33"/>
  <c r="AC205" i="33"/>
  <c r="AB205" i="33"/>
  <c r="Z205" i="33"/>
  <c r="AC204" i="33"/>
  <c r="AB204" i="33"/>
  <c r="Z204" i="33"/>
  <c r="AC203" i="33"/>
  <c r="AB203" i="33"/>
  <c r="Z203" i="33"/>
  <c r="AC202" i="33"/>
  <c r="AB202" i="33"/>
  <c r="Z202" i="33"/>
  <c r="AC201" i="33"/>
  <c r="AB201" i="33"/>
  <c r="Z201" i="33"/>
  <c r="AC200" i="33"/>
  <c r="AB200" i="33"/>
  <c r="Z200" i="33"/>
  <c r="AC199" i="33"/>
  <c r="AB199" i="33"/>
  <c r="Z199" i="33"/>
  <c r="AC198" i="33"/>
  <c r="AB198" i="33"/>
  <c r="Z198" i="33"/>
  <c r="AC197" i="33"/>
  <c r="AB197" i="33"/>
  <c r="Z197" i="33"/>
  <c r="AC196" i="33"/>
  <c r="AB196" i="33"/>
  <c r="Z196" i="33"/>
  <c r="AC195" i="33"/>
  <c r="AB195" i="33"/>
  <c r="Z195" i="33"/>
  <c r="AC194" i="33"/>
  <c r="AB194" i="33"/>
  <c r="Z194" i="33"/>
  <c r="AC193" i="33"/>
  <c r="AB193" i="33"/>
  <c r="Z193" i="33"/>
  <c r="AC192" i="33"/>
  <c r="AB192" i="33"/>
  <c r="Z192" i="33"/>
  <c r="AC191" i="33"/>
  <c r="AB191" i="33"/>
  <c r="Z191" i="33"/>
  <c r="AC190" i="33"/>
  <c r="AB190" i="33"/>
  <c r="Z190" i="33"/>
  <c r="AC189" i="33"/>
  <c r="AB189" i="33"/>
  <c r="Z189" i="33"/>
  <c r="AC188" i="33"/>
  <c r="AB188" i="33"/>
  <c r="Z188" i="33"/>
  <c r="AC187" i="33"/>
  <c r="AB187" i="33"/>
  <c r="Z187" i="33"/>
  <c r="AC186" i="33"/>
  <c r="AB186" i="33"/>
  <c r="Z186" i="33"/>
  <c r="AC185" i="33"/>
  <c r="AB185" i="33"/>
  <c r="Z185" i="33"/>
  <c r="AC184" i="33"/>
  <c r="AB184" i="33"/>
  <c r="Z184" i="33"/>
  <c r="AC183" i="33"/>
  <c r="AB183" i="33"/>
  <c r="Z183" i="33"/>
  <c r="AC182" i="33"/>
  <c r="AB182" i="33"/>
  <c r="Z182" i="33"/>
  <c r="AC181" i="33"/>
  <c r="AB181" i="33"/>
  <c r="Z181" i="33"/>
  <c r="AC180" i="33"/>
  <c r="AB180" i="33"/>
  <c r="Z180" i="33"/>
  <c r="AC179" i="33"/>
  <c r="AB179" i="33"/>
  <c r="Z179" i="33"/>
  <c r="AC178" i="33"/>
  <c r="AB178" i="33"/>
  <c r="Z178" i="33"/>
  <c r="AC177" i="33"/>
  <c r="AB177" i="33"/>
  <c r="Z177" i="33"/>
  <c r="AC176" i="33"/>
  <c r="AB176" i="33"/>
  <c r="Z176" i="33"/>
  <c r="AC175" i="33"/>
  <c r="AB175" i="33"/>
  <c r="Z175" i="33"/>
  <c r="AC174" i="33"/>
  <c r="AB174" i="33"/>
  <c r="Z174" i="33"/>
  <c r="AC173" i="33"/>
  <c r="AB173" i="33"/>
  <c r="Z173" i="33"/>
  <c r="AC172" i="33"/>
  <c r="AB172" i="33"/>
  <c r="Z172" i="33"/>
  <c r="AC171" i="33"/>
  <c r="AB171" i="33"/>
  <c r="Z171" i="33"/>
  <c r="AC170" i="33"/>
  <c r="AB170" i="33"/>
  <c r="Z170" i="33"/>
  <c r="AC169" i="33"/>
  <c r="AB169" i="33"/>
  <c r="Z169" i="33"/>
  <c r="AC168" i="33"/>
  <c r="AB168" i="33"/>
  <c r="Z168" i="33"/>
  <c r="AC167" i="33"/>
  <c r="AB167" i="33"/>
  <c r="Z167" i="33"/>
  <c r="AC166" i="33"/>
  <c r="AB166" i="33"/>
  <c r="Z166" i="33"/>
  <c r="AC165" i="33"/>
  <c r="AB165" i="33"/>
  <c r="Z165" i="33"/>
  <c r="AC164" i="33"/>
  <c r="AB164" i="33"/>
  <c r="Z164" i="33"/>
  <c r="AC163" i="33"/>
  <c r="AB163" i="33"/>
  <c r="Z163" i="33"/>
  <c r="AC162" i="33"/>
  <c r="AB162" i="33"/>
  <c r="Z162" i="33"/>
  <c r="AC161" i="33"/>
  <c r="AB161" i="33"/>
  <c r="Z161" i="33"/>
  <c r="AM135" i="33"/>
  <c r="AL135" i="33"/>
  <c r="AI135" i="33"/>
  <c r="AH135" i="33"/>
  <c r="AG135" i="33"/>
  <c r="AF135" i="33"/>
  <c r="AE135" i="33"/>
  <c r="AD135" i="33"/>
  <c r="AB135" i="33"/>
  <c r="Z135" i="33"/>
  <c r="Y135" i="33"/>
  <c r="X135" i="33"/>
  <c r="W135" i="33"/>
  <c r="V135" i="33"/>
  <c r="AM134" i="33"/>
  <c r="AL134" i="33"/>
  <c r="AI134" i="33"/>
  <c r="AH134" i="33"/>
  <c r="AG134" i="33"/>
  <c r="AF134" i="33"/>
  <c r="AE134" i="33"/>
  <c r="AD134" i="33"/>
  <c r="AB134" i="33"/>
  <c r="Z134" i="33"/>
  <c r="Y134" i="33"/>
  <c r="X134" i="33"/>
  <c r="W134" i="33"/>
  <c r="V134" i="33"/>
  <c r="AM133" i="33"/>
  <c r="AL133" i="33"/>
  <c r="AI133" i="33"/>
  <c r="AH133" i="33"/>
  <c r="AG133" i="33"/>
  <c r="AF133" i="33"/>
  <c r="AE133" i="33"/>
  <c r="AD133" i="33"/>
  <c r="AB133" i="33"/>
  <c r="Z133" i="33"/>
  <c r="Y133" i="33"/>
  <c r="X133" i="33"/>
  <c r="W133" i="33"/>
  <c r="V133" i="33"/>
  <c r="AM132" i="33"/>
  <c r="AL132" i="33"/>
  <c r="AI132" i="33"/>
  <c r="AH132" i="33"/>
  <c r="AG132" i="33"/>
  <c r="AF132" i="33"/>
  <c r="AE132" i="33"/>
  <c r="AD132" i="33"/>
  <c r="AB132" i="33"/>
  <c r="Z132" i="33"/>
  <c r="Y132" i="33"/>
  <c r="X132" i="33"/>
  <c r="W132" i="33"/>
  <c r="V132" i="33"/>
  <c r="AM131" i="33"/>
  <c r="AL131" i="33"/>
  <c r="AI131" i="33"/>
  <c r="AH131" i="33"/>
  <c r="AG131" i="33"/>
  <c r="AF131" i="33"/>
  <c r="AE131" i="33"/>
  <c r="AD131" i="33"/>
  <c r="AB131" i="33"/>
  <c r="Z131" i="33"/>
  <c r="Y131" i="33"/>
  <c r="X131" i="33"/>
  <c r="W131" i="33"/>
  <c r="V131" i="33"/>
  <c r="AM130" i="33"/>
  <c r="AL130" i="33"/>
  <c r="AI130" i="33"/>
  <c r="AH130" i="33"/>
  <c r="AG130" i="33"/>
  <c r="AF130" i="33"/>
  <c r="AE130" i="33"/>
  <c r="AD130" i="33"/>
  <c r="AB130" i="33"/>
  <c r="Z130" i="33"/>
  <c r="Y130" i="33"/>
  <c r="X130" i="33"/>
  <c r="W130" i="33"/>
  <c r="V130" i="33"/>
  <c r="AM129" i="33"/>
  <c r="AL129" i="33"/>
  <c r="AI129" i="33"/>
  <c r="AH129" i="33"/>
  <c r="AG129" i="33"/>
  <c r="AF129" i="33"/>
  <c r="AE129" i="33"/>
  <c r="AD129" i="33"/>
  <c r="AB129" i="33"/>
  <c r="Z129" i="33"/>
  <c r="Y129" i="33"/>
  <c r="X129" i="33"/>
  <c r="W129" i="33"/>
  <c r="V129" i="33"/>
  <c r="AM128" i="33"/>
  <c r="AL128" i="33"/>
  <c r="AI128" i="33"/>
  <c r="AH128" i="33"/>
  <c r="AG128" i="33"/>
  <c r="AF128" i="33"/>
  <c r="AE128" i="33"/>
  <c r="AD128" i="33"/>
  <c r="AB128" i="33"/>
  <c r="Z128" i="33"/>
  <c r="Y128" i="33"/>
  <c r="X128" i="33"/>
  <c r="W128" i="33"/>
  <c r="V128" i="33"/>
  <c r="AM127" i="33"/>
  <c r="AL127" i="33"/>
  <c r="AI127" i="33"/>
  <c r="AH127" i="33"/>
  <c r="AG127" i="33"/>
  <c r="AF127" i="33"/>
  <c r="AE127" i="33"/>
  <c r="AD127" i="33"/>
  <c r="AB127" i="33"/>
  <c r="Z127" i="33"/>
  <c r="Y127" i="33"/>
  <c r="X127" i="33"/>
  <c r="W127" i="33"/>
  <c r="V127" i="33"/>
  <c r="AM126" i="33"/>
  <c r="AL126" i="33"/>
  <c r="AI126" i="33"/>
  <c r="AH126" i="33"/>
  <c r="AG126" i="33"/>
  <c r="AF126" i="33"/>
  <c r="AE126" i="33"/>
  <c r="AD126" i="33"/>
  <c r="AB126" i="33"/>
  <c r="Z126" i="33"/>
  <c r="Y126" i="33"/>
  <c r="X126" i="33"/>
  <c r="W126" i="33"/>
  <c r="V126" i="33"/>
  <c r="AM125" i="33"/>
  <c r="AL125" i="33"/>
  <c r="AI125" i="33"/>
  <c r="AH125" i="33"/>
  <c r="AG125" i="33"/>
  <c r="AF125" i="33"/>
  <c r="AE125" i="33"/>
  <c r="AD125" i="33"/>
  <c r="AB125" i="33"/>
  <c r="Z125" i="33"/>
  <c r="Y125" i="33"/>
  <c r="X125" i="33"/>
  <c r="W125" i="33"/>
  <c r="V125" i="33"/>
  <c r="AM124" i="33"/>
  <c r="AL124" i="33"/>
  <c r="AI124" i="33"/>
  <c r="AH124" i="33"/>
  <c r="AG124" i="33"/>
  <c r="AF124" i="33"/>
  <c r="AE124" i="33"/>
  <c r="AD124" i="33"/>
  <c r="AB124" i="33"/>
  <c r="Z124" i="33"/>
  <c r="Y124" i="33"/>
  <c r="X124" i="33"/>
  <c r="W124" i="33"/>
  <c r="V124" i="33"/>
  <c r="AM123" i="33"/>
  <c r="AL123" i="33"/>
  <c r="AI123" i="33"/>
  <c r="AH123" i="33"/>
  <c r="AG123" i="33"/>
  <c r="AF123" i="33"/>
  <c r="AE123" i="33"/>
  <c r="AD123" i="33"/>
  <c r="AB123" i="33"/>
  <c r="Z123" i="33"/>
  <c r="Y123" i="33"/>
  <c r="X123" i="33"/>
  <c r="W123" i="33"/>
  <c r="V123" i="33"/>
  <c r="AM122" i="33"/>
  <c r="AL122" i="33"/>
  <c r="AI122" i="33"/>
  <c r="AH122" i="33"/>
  <c r="AG122" i="33"/>
  <c r="AF122" i="33"/>
  <c r="AE122" i="33"/>
  <c r="AD122" i="33"/>
  <c r="AB122" i="33"/>
  <c r="Z122" i="33"/>
  <c r="Y122" i="33"/>
  <c r="X122" i="33"/>
  <c r="W122" i="33"/>
  <c r="V122" i="33"/>
  <c r="AM121" i="33"/>
  <c r="AL121" i="33"/>
  <c r="AI121" i="33"/>
  <c r="AH121" i="33"/>
  <c r="AG121" i="33"/>
  <c r="AF121" i="33"/>
  <c r="AE121" i="33"/>
  <c r="AD121" i="33"/>
  <c r="AB121" i="33"/>
  <c r="Z121" i="33"/>
  <c r="Y121" i="33"/>
  <c r="X121" i="33"/>
  <c r="W121" i="33"/>
  <c r="V121" i="33"/>
  <c r="AM120" i="33"/>
  <c r="AL120" i="33"/>
  <c r="AI120" i="33"/>
  <c r="AH120" i="33"/>
  <c r="AG120" i="33"/>
  <c r="AF120" i="33"/>
  <c r="AE120" i="33"/>
  <c r="AD120" i="33"/>
  <c r="AB120" i="33"/>
  <c r="Z120" i="33"/>
  <c r="Y120" i="33"/>
  <c r="X120" i="33"/>
  <c r="W120" i="33"/>
  <c r="V120" i="33"/>
  <c r="AM119" i="33"/>
  <c r="AL119" i="33"/>
  <c r="AI119" i="33"/>
  <c r="AH119" i="33"/>
  <c r="AG119" i="33"/>
  <c r="AF119" i="33"/>
  <c r="AE119" i="33"/>
  <c r="AD119" i="33"/>
  <c r="AB119" i="33"/>
  <c r="Z119" i="33"/>
  <c r="Y119" i="33"/>
  <c r="X119" i="33"/>
  <c r="W119" i="33"/>
  <c r="V119" i="33"/>
  <c r="AM118" i="33"/>
  <c r="AL118" i="33"/>
  <c r="AI118" i="33"/>
  <c r="AH118" i="33"/>
  <c r="AG118" i="33"/>
  <c r="AF118" i="33"/>
  <c r="AE118" i="33"/>
  <c r="AD118" i="33"/>
  <c r="AB118" i="33"/>
  <c r="Z118" i="33"/>
  <c r="Y118" i="33"/>
  <c r="X118" i="33"/>
  <c r="W118" i="33"/>
  <c r="V118" i="33"/>
  <c r="AM117" i="33"/>
  <c r="AL117" i="33"/>
  <c r="AI117" i="33"/>
  <c r="AH117" i="33"/>
  <c r="AG117" i="33"/>
  <c r="AF117" i="33"/>
  <c r="AE117" i="33"/>
  <c r="AD117" i="33"/>
  <c r="AB117" i="33"/>
  <c r="Z117" i="33"/>
  <c r="Y117" i="33"/>
  <c r="X117" i="33"/>
  <c r="W117" i="33"/>
  <c r="V117" i="33"/>
  <c r="AM116" i="33"/>
  <c r="AL116" i="33"/>
  <c r="AI116" i="33"/>
  <c r="AH116" i="33"/>
  <c r="AG116" i="33"/>
  <c r="AF116" i="33"/>
  <c r="AE116" i="33"/>
  <c r="AD116" i="33"/>
  <c r="AB116" i="33"/>
  <c r="Z116" i="33"/>
  <c r="Y116" i="33"/>
  <c r="X116" i="33"/>
  <c r="W116" i="33"/>
  <c r="V116" i="33"/>
  <c r="AM115" i="33"/>
  <c r="AL115" i="33"/>
  <c r="AI115" i="33"/>
  <c r="AH115" i="33"/>
  <c r="AG115" i="33"/>
  <c r="AF115" i="33"/>
  <c r="AE115" i="33"/>
  <c r="AD115" i="33"/>
  <c r="AB115" i="33"/>
  <c r="Z115" i="33"/>
  <c r="Y115" i="33"/>
  <c r="X115" i="33"/>
  <c r="W115" i="33"/>
  <c r="V115" i="33"/>
  <c r="AM114" i="33"/>
  <c r="AL114" i="33"/>
  <c r="AI114" i="33"/>
  <c r="AH114" i="33"/>
  <c r="AG114" i="33"/>
  <c r="AF114" i="33"/>
  <c r="AE114" i="33"/>
  <c r="AD114" i="33"/>
  <c r="AB114" i="33"/>
  <c r="Z114" i="33"/>
  <c r="Y114" i="33"/>
  <c r="X114" i="33"/>
  <c r="W114" i="33"/>
  <c r="V114" i="33"/>
  <c r="AM113" i="33"/>
  <c r="AL113" i="33"/>
  <c r="AI113" i="33"/>
  <c r="AH113" i="33"/>
  <c r="AG113" i="33"/>
  <c r="AF113" i="33"/>
  <c r="AE113" i="33"/>
  <c r="AD113" i="33"/>
  <c r="AB113" i="33"/>
  <c r="Z113" i="33"/>
  <c r="Y113" i="33"/>
  <c r="X113" i="33"/>
  <c r="W113" i="33"/>
  <c r="V113" i="33"/>
  <c r="AM112" i="33"/>
  <c r="AL112" i="33"/>
  <c r="AI112" i="33"/>
  <c r="AH112" i="33"/>
  <c r="AG112" i="33"/>
  <c r="AF112" i="33"/>
  <c r="AE112" i="33"/>
  <c r="AD112" i="33"/>
  <c r="AB112" i="33"/>
  <c r="Z112" i="33"/>
  <c r="Y112" i="33"/>
  <c r="X112" i="33"/>
  <c r="W112" i="33"/>
  <c r="V112" i="33"/>
  <c r="AM111" i="33"/>
  <c r="AL111" i="33"/>
  <c r="AI111" i="33"/>
  <c r="AH111" i="33"/>
  <c r="AG111" i="33"/>
  <c r="AF111" i="33"/>
  <c r="AE111" i="33"/>
  <c r="AD111" i="33"/>
  <c r="AB111" i="33"/>
  <c r="Z111" i="33"/>
  <c r="Y111" i="33"/>
  <c r="X111" i="33"/>
  <c r="W111" i="33"/>
  <c r="V111" i="33"/>
  <c r="AM110" i="33"/>
  <c r="AL110" i="33"/>
  <c r="AI110" i="33"/>
  <c r="AH110" i="33"/>
  <c r="AG110" i="33"/>
  <c r="AF110" i="33"/>
  <c r="AE110" i="33"/>
  <c r="AD110" i="33"/>
  <c r="AB110" i="33"/>
  <c r="Z110" i="33"/>
  <c r="Y110" i="33"/>
  <c r="X110" i="33"/>
  <c r="W110" i="33"/>
  <c r="V110" i="33"/>
  <c r="AM109" i="33"/>
  <c r="AL109" i="33"/>
  <c r="AI109" i="33"/>
  <c r="AH109" i="33"/>
  <c r="AG109" i="33"/>
  <c r="AF109" i="33"/>
  <c r="AE109" i="33"/>
  <c r="AD109" i="33"/>
  <c r="AB109" i="33"/>
  <c r="Z109" i="33"/>
  <c r="Y109" i="33"/>
  <c r="X109" i="33"/>
  <c r="W109" i="33"/>
  <c r="V109" i="33"/>
  <c r="AM108" i="33"/>
  <c r="AL108" i="33"/>
  <c r="AI108" i="33"/>
  <c r="AH108" i="33"/>
  <c r="AG108" i="33"/>
  <c r="AF108" i="33"/>
  <c r="AE108" i="33"/>
  <c r="AD108" i="33"/>
  <c r="AB108" i="33"/>
  <c r="Z108" i="33"/>
  <c r="Y108" i="33"/>
  <c r="X108" i="33"/>
  <c r="W108" i="33"/>
  <c r="V108" i="33"/>
  <c r="AM107" i="33"/>
  <c r="AL107" i="33"/>
  <c r="AI107" i="33"/>
  <c r="AH107" i="33"/>
  <c r="AG107" i="33"/>
  <c r="AF107" i="33"/>
  <c r="AE107" i="33"/>
  <c r="AD107" i="33"/>
  <c r="AB107" i="33"/>
  <c r="Z107" i="33"/>
  <c r="Y107" i="33"/>
  <c r="X107" i="33"/>
  <c r="W107" i="33"/>
  <c r="V107" i="33"/>
  <c r="AM106" i="33"/>
  <c r="AL106" i="33"/>
  <c r="AI106" i="33"/>
  <c r="AH106" i="33"/>
  <c r="AG106" i="33"/>
  <c r="AF106" i="33"/>
  <c r="AE106" i="33"/>
  <c r="AD106" i="33"/>
  <c r="AB106" i="33"/>
  <c r="Z106" i="33"/>
  <c r="Y106" i="33"/>
  <c r="X106" i="33"/>
  <c r="W106" i="33"/>
  <c r="V106" i="33"/>
  <c r="AM105" i="33"/>
  <c r="AL105" i="33"/>
  <c r="AI105" i="33"/>
  <c r="AH105" i="33"/>
  <c r="AG105" i="33"/>
  <c r="AF105" i="33"/>
  <c r="AE105" i="33"/>
  <c r="AD105" i="33"/>
  <c r="AB105" i="33"/>
  <c r="Z105" i="33"/>
  <c r="Y105" i="33"/>
  <c r="X105" i="33"/>
  <c r="W105" i="33"/>
  <c r="V105" i="33"/>
  <c r="AM104" i="33"/>
  <c r="AL104" i="33"/>
  <c r="AI104" i="33"/>
  <c r="AH104" i="33"/>
  <c r="AG104" i="33"/>
  <c r="AF104" i="33"/>
  <c r="AE104" i="33"/>
  <c r="AD104" i="33"/>
  <c r="AB104" i="33"/>
  <c r="Z104" i="33"/>
  <c r="Y104" i="33"/>
  <c r="X104" i="33"/>
  <c r="W104" i="33"/>
  <c r="V104" i="33"/>
  <c r="AM103" i="33"/>
  <c r="AL103" i="33"/>
  <c r="AI103" i="33"/>
  <c r="AH103" i="33"/>
  <c r="AG103" i="33"/>
  <c r="AF103" i="33"/>
  <c r="AE103" i="33"/>
  <c r="AD103" i="33"/>
  <c r="AB103" i="33"/>
  <c r="Z103" i="33"/>
  <c r="Y103" i="33"/>
  <c r="X103" i="33"/>
  <c r="W103" i="33"/>
  <c r="V103" i="33"/>
  <c r="AM102" i="33"/>
  <c r="AL102" i="33"/>
  <c r="AI102" i="33"/>
  <c r="AH102" i="33"/>
  <c r="AG102" i="33"/>
  <c r="AF102" i="33"/>
  <c r="AE102" i="33"/>
  <c r="AD102" i="33"/>
  <c r="AB102" i="33"/>
  <c r="Z102" i="33"/>
  <c r="Y102" i="33"/>
  <c r="X102" i="33"/>
  <c r="W102" i="33"/>
  <c r="V102" i="33"/>
  <c r="AM101" i="33"/>
  <c r="AL101" i="33"/>
  <c r="AI101" i="33"/>
  <c r="AH101" i="33"/>
  <c r="AG101" i="33"/>
  <c r="AF101" i="33"/>
  <c r="AE101" i="33"/>
  <c r="AD101" i="33"/>
  <c r="AB101" i="33"/>
  <c r="Z101" i="33"/>
  <c r="Y101" i="33"/>
  <c r="X101" i="33"/>
  <c r="W101" i="33"/>
  <c r="V101" i="33"/>
  <c r="AM100" i="33"/>
  <c r="AL100" i="33"/>
  <c r="AI100" i="33"/>
  <c r="AH100" i="33"/>
  <c r="AG100" i="33"/>
  <c r="AF100" i="33"/>
  <c r="AE100" i="33"/>
  <c r="AD100" i="33"/>
  <c r="AB100" i="33"/>
  <c r="Z100" i="33"/>
  <c r="Y100" i="33"/>
  <c r="X100" i="33"/>
  <c r="W100" i="33"/>
  <c r="V100" i="33"/>
  <c r="AM99" i="33"/>
  <c r="AL99" i="33"/>
  <c r="AI99" i="33"/>
  <c r="AH99" i="33"/>
  <c r="AG99" i="33"/>
  <c r="AF99" i="33"/>
  <c r="AE99" i="33"/>
  <c r="AD99" i="33"/>
  <c r="AB99" i="33"/>
  <c r="Z99" i="33"/>
  <c r="Y99" i="33"/>
  <c r="X99" i="33"/>
  <c r="W99" i="33"/>
  <c r="V99" i="33"/>
  <c r="AM98" i="33"/>
  <c r="AL98" i="33"/>
  <c r="AI98" i="33"/>
  <c r="AH98" i="33"/>
  <c r="AG98" i="33"/>
  <c r="AF98" i="33"/>
  <c r="AE98" i="33"/>
  <c r="AD98" i="33"/>
  <c r="AB98" i="33"/>
  <c r="Z98" i="33"/>
  <c r="Y98" i="33"/>
  <c r="X98" i="33"/>
  <c r="W98" i="33"/>
  <c r="V98" i="33"/>
  <c r="AM97" i="33"/>
  <c r="AL97" i="33"/>
  <c r="AI97" i="33"/>
  <c r="AH97" i="33"/>
  <c r="AG97" i="33"/>
  <c r="AF97" i="33"/>
  <c r="AE97" i="33"/>
  <c r="AD97" i="33"/>
  <c r="AB97" i="33"/>
  <c r="Z97" i="33"/>
  <c r="Y97" i="33"/>
  <c r="X97" i="33"/>
  <c r="W97" i="33"/>
  <c r="V97" i="33"/>
  <c r="AM96" i="33"/>
  <c r="AL96" i="33"/>
  <c r="AI96" i="33"/>
  <c r="AH96" i="33"/>
  <c r="AG96" i="33"/>
  <c r="AF96" i="33"/>
  <c r="AE96" i="33"/>
  <c r="AD96" i="33"/>
  <c r="AB96" i="33"/>
  <c r="Z96" i="33"/>
  <c r="Y96" i="33"/>
  <c r="X96" i="33"/>
  <c r="W96" i="33"/>
  <c r="V96" i="33"/>
  <c r="AM95" i="33"/>
  <c r="AL95" i="33"/>
  <c r="AI95" i="33"/>
  <c r="AH95" i="33"/>
  <c r="AG95" i="33"/>
  <c r="AF95" i="33"/>
  <c r="AE95" i="33"/>
  <c r="AD95" i="33"/>
  <c r="AB95" i="33"/>
  <c r="Z95" i="33"/>
  <c r="Y95" i="33"/>
  <c r="X95" i="33"/>
  <c r="W95" i="33"/>
  <c r="V95" i="33"/>
  <c r="AM94" i="33"/>
  <c r="AL94" i="33"/>
  <c r="AI94" i="33"/>
  <c r="AH94" i="33"/>
  <c r="AG94" i="33"/>
  <c r="AF94" i="33"/>
  <c r="AE94" i="33"/>
  <c r="AD94" i="33"/>
  <c r="AB94" i="33"/>
  <c r="Z94" i="33"/>
  <c r="Y94" i="33"/>
  <c r="X94" i="33"/>
  <c r="W94" i="33"/>
  <c r="V94" i="33"/>
  <c r="AM93" i="33"/>
  <c r="AL93" i="33"/>
  <c r="AI93" i="33"/>
  <c r="AH93" i="33"/>
  <c r="AG93" i="33"/>
  <c r="AF93" i="33"/>
  <c r="AE93" i="33"/>
  <c r="AD93" i="33"/>
  <c r="AB93" i="33"/>
  <c r="Z93" i="33"/>
  <c r="Y93" i="33"/>
  <c r="X93" i="33"/>
  <c r="W93" i="33"/>
  <c r="V93" i="33"/>
  <c r="AM92" i="33"/>
  <c r="AL92" i="33"/>
  <c r="AI92" i="33"/>
  <c r="AH92" i="33"/>
  <c r="AG92" i="33"/>
  <c r="AF92" i="33"/>
  <c r="AE92" i="33"/>
  <c r="AD92" i="33"/>
  <c r="AB92" i="33"/>
  <c r="Z92" i="33"/>
  <c r="Y92" i="33"/>
  <c r="X92" i="33"/>
  <c r="W92" i="33"/>
  <c r="V92" i="33"/>
  <c r="AM91" i="33"/>
  <c r="AL91" i="33"/>
  <c r="AI91" i="33"/>
  <c r="AH91" i="33"/>
  <c r="AG91" i="33"/>
  <c r="AF91" i="33"/>
  <c r="AE91" i="33"/>
  <c r="AD91" i="33"/>
  <c r="AB91" i="33"/>
  <c r="Z91" i="33"/>
  <c r="Y91" i="33"/>
  <c r="X91" i="33"/>
  <c r="W91" i="33"/>
  <c r="V91" i="33"/>
  <c r="AM90" i="33"/>
  <c r="AL90" i="33"/>
  <c r="AI90" i="33"/>
  <c r="AH90" i="33"/>
  <c r="AG90" i="33"/>
  <c r="AF90" i="33"/>
  <c r="AE90" i="33"/>
  <c r="AD90" i="33"/>
  <c r="AB90" i="33"/>
  <c r="Z90" i="33"/>
  <c r="Y90" i="33"/>
  <c r="X90" i="33"/>
  <c r="W90" i="33"/>
  <c r="V90" i="33"/>
  <c r="AM89" i="33"/>
  <c r="AL89" i="33"/>
  <c r="AI89" i="33"/>
  <c r="AH89" i="33"/>
  <c r="AG89" i="33"/>
  <c r="AF89" i="33"/>
  <c r="AE89" i="33"/>
  <c r="AD89" i="33"/>
  <c r="AB89" i="33"/>
  <c r="Z89" i="33"/>
  <c r="Y89" i="33"/>
  <c r="X89" i="33"/>
  <c r="W89" i="33"/>
  <c r="V89" i="33"/>
  <c r="Q72" i="33"/>
  <c r="Q71" i="33"/>
  <c r="Q70" i="33"/>
  <c r="Q69" i="33"/>
  <c r="Q68" i="33"/>
  <c r="F12" i="33"/>
  <c r="BR60" i="33"/>
  <c r="F11" i="33"/>
  <c r="BZ51" i="33"/>
  <c r="F10" i="33"/>
  <c r="BY51" i="33"/>
  <c r="F9" i="33"/>
  <c r="BX51" i="33"/>
  <c r="F8" i="33"/>
  <c r="BW51" i="33"/>
  <c r="BR59" i="33"/>
  <c r="CA51" i="33"/>
  <c r="BR58" i="33"/>
  <c r="BR57" i="33"/>
  <c r="BR56" i="33"/>
  <c r="BR37" i="33"/>
  <c r="CA29" i="33"/>
  <c r="BR36" i="33"/>
  <c r="BR35" i="33"/>
  <c r="BR34" i="33"/>
  <c r="BR49" i="33"/>
  <c r="BZ29" i="33"/>
  <c r="BR48" i="33"/>
  <c r="BY29" i="33"/>
  <c r="BR47" i="33"/>
  <c r="BX29" i="33"/>
  <c r="BR46" i="33"/>
  <c r="BR45" i="33"/>
  <c r="CA40" i="33"/>
  <c r="BZ40" i="33"/>
  <c r="BY40" i="33"/>
  <c r="BX40" i="33"/>
  <c r="BW40" i="33"/>
  <c r="BR38" i="33"/>
  <c r="BW29" i="33"/>
  <c r="C38" i="33"/>
  <c r="C37" i="33"/>
  <c r="C36" i="33"/>
  <c r="C35" i="33"/>
  <c r="C34" i="33"/>
  <c r="C25" i="33"/>
  <c r="C24" i="33"/>
  <c r="C23" i="33"/>
  <c r="C22" i="33"/>
  <c r="C21" i="33"/>
  <c r="AC207" i="30"/>
  <c r="AB207" i="30"/>
  <c r="Z207" i="30"/>
  <c r="AC206" i="30"/>
  <c r="AB206" i="30"/>
  <c r="Z206" i="30"/>
  <c r="AC205" i="30"/>
  <c r="AB205" i="30"/>
  <c r="Z205" i="30"/>
  <c r="AC204" i="30"/>
  <c r="AB204" i="30"/>
  <c r="Z204" i="30"/>
  <c r="AC203" i="30"/>
  <c r="AB203" i="30"/>
  <c r="Z203" i="30"/>
  <c r="AC202" i="30"/>
  <c r="AB202" i="30"/>
  <c r="Z202" i="30"/>
  <c r="AC201" i="30"/>
  <c r="AB201" i="30"/>
  <c r="Z201" i="30"/>
  <c r="AC200" i="30"/>
  <c r="AB200" i="30"/>
  <c r="Z200" i="30"/>
  <c r="AC199" i="30"/>
  <c r="AB199" i="30"/>
  <c r="Z199" i="30"/>
  <c r="AC198" i="30"/>
  <c r="AB198" i="30"/>
  <c r="Z198" i="30"/>
  <c r="AC197" i="30"/>
  <c r="AB197" i="30"/>
  <c r="Z197" i="30"/>
  <c r="AC196" i="30"/>
  <c r="AB196" i="30"/>
  <c r="Z196" i="30"/>
  <c r="AC195" i="30"/>
  <c r="AB195" i="30"/>
  <c r="Z195" i="30"/>
  <c r="AC194" i="30"/>
  <c r="AB194" i="30"/>
  <c r="Z194" i="30"/>
  <c r="AC193" i="30"/>
  <c r="AB193" i="30"/>
  <c r="Z193" i="30"/>
  <c r="AC192" i="30"/>
  <c r="AB192" i="30"/>
  <c r="Z192" i="30"/>
  <c r="AC191" i="30"/>
  <c r="AB191" i="30"/>
  <c r="Z191" i="30"/>
  <c r="AC190" i="30"/>
  <c r="AB190" i="30"/>
  <c r="Z190" i="30"/>
  <c r="AC189" i="30"/>
  <c r="AB189" i="30"/>
  <c r="Z189" i="30"/>
  <c r="AC188" i="30"/>
  <c r="AB188" i="30"/>
  <c r="Z188" i="30"/>
  <c r="AC187" i="30"/>
  <c r="AB187" i="30"/>
  <c r="Z187" i="30"/>
  <c r="AC186" i="30"/>
  <c r="AB186" i="30"/>
  <c r="Z186" i="30"/>
  <c r="AC185" i="30"/>
  <c r="AB185" i="30"/>
  <c r="Z185" i="30"/>
  <c r="AC184" i="30"/>
  <c r="AB184" i="30"/>
  <c r="Z184" i="30"/>
  <c r="AC183" i="30"/>
  <c r="AB183" i="30"/>
  <c r="Z183" i="30"/>
  <c r="AC182" i="30"/>
  <c r="AB182" i="30"/>
  <c r="Z182" i="30"/>
  <c r="AC181" i="30"/>
  <c r="AB181" i="30"/>
  <c r="Z181" i="30"/>
  <c r="AC180" i="30"/>
  <c r="AB180" i="30"/>
  <c r="Z180" i="30"/>
  <c r="AC179" i="30"/>
  <c r="AB179" i="30"/>
  <c r="Z179" i="30"/>
  <c r="AC178" i="30"/>
  <c r="AB178" i="30"/>
  <c r="Z178" i="30"/>
  <c r="AC177" i="30"/>
  <c r="AB177" i="30"/>
  <c r="Z177" i="30"/>
  <c r="AC176" i="30"/>
  <c r="AB176" i="30"/>
  <c r="Z176" i="30"/>
  <c r="AC175" i="30"/>
  <c r="AB175" i="30"/>
  <c r="Z175" i="30"/>
  <c r="AC174" i="30"/>
  <c r="AB174" i="30"/>
  <c r="Z174" i="30"/>
  <c r="AC173" i="30"/>
  <c r="AB173" i="30"/>
  <c r="Z173" i="30"/>
  <c r="AC172" i="30"/>
  <c r="AB172" i="30"/>
  <c r="Z172" i="30"/>
  <c r="AC171" i="30"/>
  <c r="AB171" i="30"/>
  <c r="Z171" i="30"/>
  <c r="AC170" i="30"/>
  <c r="AB170" i="30"/>
  <c r="Z170" i="30"/>
  <c r="AC169" i="30"/>
  <c r="AB169" i="30"/>
  <c r="Z169" i="30"/>
  <c r="AC168" i="30"/>
  <c r="AB168" i="30"/>
  <c r="Z168" i="30"/>
  <c r="AC167" i="30"/>
  <c r="AB167" i="30"/>
  <c r="Z167" i="30"/>
  <c r="AC166" i="30"/>
  <c r="AB166" i="30"/>
  <c r="Z166" i="30"/>
  <c r="AC165" i="30"/>
  <c r="AB165" i="30"/>
  <c r="Z165" i="30"/>
  <c r="AC164" i="30"/>
  <c r="AB164" i="30"/>
  <c r="Z164" i="30"/>
  <c r="AC163" i="30"/>
  <c r="AB163" i="30"/>
  <c r="Z163" i="30"/>
  <c r="AC162" i="30"/>
  <c r="AB162" i="30"/>
  <c r="Z162" i="30"/>
  <c r="AC161" i="30"/>
  <c r="AB161" i="30"/>
  <c r="Z161" i="30"/>
  <c r="AM135" i="30"/>
  <c r="AL135" i="30"/>
  <c r="AI135" i="30"/>
  <c r="AH135" i="30"/>
  <c r="AG135" i="30"/>
  <c r="AF135" i="30"/>
  <c r="AE135" i="30"/>
  <c r="AD135" i="30"/>
  <c r="AB135" i="30"/>
  <c r="Z135" i="30"/>
  <c r="Y135" i="30"/>
  <c r="X135" i="30"/>
  <c r="W135" i="30"/>
  <c r="V135" i="30"/>
  <c r="AM134" i="30"/>
  <c r="AL134" i="30"/>
  <c r="AI134" i="30"/>
  <c r="AH134" i="30"/>
  <c r="AG134" i="30"/>
  <c r="AF134" i="30"/>
  <c r="AE134" i="30"/>
  <c r="AD134" i="30"/>
  <c r="AB134" i="30"/>
  <c r="Z134" i="30"/>
  <c r="Y134" i="30"/>
  <c r="X134" i="30"/>
  <c r="W134" i="30"/>
  <c r="V134" i="30"/>
  <c r="AM133" i="30"/>
  <c r="AL133" i="30"/>
  <c r="AI133" i="30"/>
  <c r="AH133" i="30"/>
  <c r="AG133" i="30"/>
  <c r="AF133" i="30"/>
  <c r="AE133" i="30"/>
  <c r="AD133" i="30"/>
  <c r="AB133" i="30"/>
  <c r="Z133" i="30"/>
  <c r="Y133" i="30"/>
  <c r="X133" i="30"/>
  <c r="W133" i="30"/>
  <c r="V133" i="30"/>
  <c r="AM132" i="30"/>
  <c r="AL132" i="30"/>
  <c r="AI132" i="30"/>
  <c r="AH132" i="30"/>
  <c r="AG132" i="30"/>
  <c r="AF132" i="30"/>
  <c r="AE132" i="30"/>
  <c r="AD132" i="30"/>
  <c r="AB132" i="30"/>
  <c r="Z132" i="30"/>
  <c r="Y132" i="30"/>
  <c r="X132" i="30"/>
  <c r="W132" i="30"/>
  <c r="V132" i="30"/>
  <c r="AM131" i="30"/>
  <c r="AL131" i="30"/>
  <c r="AI131" i="30"/>
  <c r="AH131" i="30"/>
  <c r="AG131" i="30"/>
  <c r="AF131" i="30"/>
  <c r="AE131" i="30"/>
  <c r="AD131" i="30"/>
  <c r="AB131" i="30"/>
  <c r="Z131" i="30"/>
  <c r="Y131" i="30"/>
  <c r="X131" i="30"/>
  <c r="W131" i="30"/>
  <c r="V131" i="30"/>
  <c r="AM130" i="30"/>
  <c r="AL130" i="30"/>
  <c r="AI130" i="30"/>
  <c r="AH130" i="30"/>
  <c r="AG130" i="30"/>
  <c r="AF130" i="30"/>
  <c r="AE130" i="30"/>
  <c r="AD130" i="30"/>
  <c r="AB130" i="30"/>
  <c r="Z130" i="30"/>
  <c r="Y130" i="30"/>
  <c r="X130" i="30"/>
  <c r="W130" i="30"/>
  <c r="V130" i="30"/>
  <c r="AM129" i="30"/>
  <c r="AL129" i="30"/>
  <c r="AI129" i="30"/>
  <c r="AH129" i="30"/>
  <c r="AG129" i="30"/>
  <c r="AF129" i="30"/>
  <c r="AE129" i="30"/>
  <c r="AD129" i="30"/>
  <c r="AB129" i="30"/>
  <c r="Z129" i="30"/>
  <c r="Y129" i="30"/>
  <c r="X129" i="30"/>
  <c r="W129" i="30"/>
  <c r="V129" i="30"/>
  <c r="AM128" i="30"/>
  <c r="AL128" i="30"/>
  <c r="AI128" i="30"/>
  <c r="AH128" i="30"/>
  <c r="AG128" i="30"/>
  <c r="AF128" i="30"/>
  <c r="AE128" i="30"/>
  <c r="AD128" i="30"/>
  <c r="AB128" i="30"/>
  <c r="Z128" i="30"/>
  <c r="Y128" i="30"/>
  <c r="X128" i="30"/>
  <c r="W128" i="30"/>
  <c r="V128" i="30"/>
  <c r="AM127" i="30"/>
  <c r="AL127" i="30"/>
  <c r="AI127" i="30"/>
  <c r="AH127" i="30"/>
  <c r="AG127" i="30"/>
  <c r="AF127" i="30"/>
  <c r="AE127" i="30"/>
  <c r="AD127" i="30"/>
  <c r="AB127" i="30"/>
  <c r="Z127" i="30"/>
  <c r="Y127" i="30"/>
  <c r="X127" i="30"/>
  <c r="W127" i="30"/>
  <c r="V127" i="30"/>
  <c r="AM126" i="30"/>
  <c r="AL126" i="30"/>
  <c r="AI126" i="30"/>
  <c r="AH126" i="30"/>
  <c r="AG126" i="30"/>
  <c r="AF126" i="30"/>
  <c r="AE126" i="30"/>
  <c r="AD126" i="30"/>
  <c r="AB126" i="30"/>
  <c r="Z126" i="30"/>
  <c r="Y126" i="30"/>
  <c r="X126" i="30"/>
  <c r="W126" i="30"/>
  <c r="V126" i="30"/>
  <c r="AM125" i="30"/>
  <c r="AL125" i="30"/>
  <c r="AI125" i="30"/>
  <c r="AH125" i="30"/>
  <c r="AG125" i="30"/>
  <c r="AF125" i="30"/>
  <c r="AE125" i="30"/>
  <c r="AD125" i="30"/>
  <c r="AB125" i="30"/>
  <c r="Z125" i="30"/>
  <c r="Y125" i="30"/>
  <c r="X125" i="30"/>
  <c r="W125" i="30"/>
  <c r="V125" i="30"/>
  <c r="AM124" i="30"/>
  <c r="AL124" i="30"/>
  <c r="AI124" i="30"/>
  <c r="AH124" i="30"/>
  <c r="AG124" i="30"/>
  <c r="AF124" i="30"/>
  <c r="AE124" i="30"/>
  <c r="AD124" i="30"/>
  <c r="AB124" i="30"/>
  <c r="Z124" i="30"/>
  <c r="Y124" i="30"/>
  <c r="X124" i="30"/>
  <c r="W124" i="30"/>
  <c r="V124" i="30"/>
  <c r="AM123" i="30"/>
  <c r="AL123" i="30"/>
  <c r="AI123" i="30"/>
  <c r="AH123" i="30"/>
  <c r="AG123" i="30"/>
  <c r="AF123" i="30"/>
  <c r="AE123" i="30"/>
  <c r="AD123" i="30"/>
  <c r="AB123" i="30"/>
  <c r="Z123" i="30"/>
  <c r="Y123" i="30"/>
  <c r="X123" i="30"/>
  <c r="W123" i="30"/>
  <c r="V123" i="30"/>
  <c r="AM122" i="30"/>
  <c r="AL122" i="30"/>
  <c r="AI122" i="30"/>
  <c r="AH122" i="30"/>
  <c r="AG122" i="30"/>
  <c r="AF122" i="30"/>
  <c r="AE122" i="30"/>
  <c r="AD122" i="30"/>
  <c r="AB122" i="30"/>
  <c r="Z122" i="30"/>
  <c r="Y122" i="30"/>
  <c r="X122" i="30"/>
  <c r="W122" i="30"/>
  <c r="V122" i="30"/>
  <c r="AM121" i="30"/>
  <c r="AL121" i="30"/>
  <c r="AI121" i="30"/>
  <c r="AH121" i="30"/>
  <c r="AG121" i="30"/>
  <c r="AF121" i="30"/>
  <c r="AE121" i="30"/>
  <c r="AD121" i="30"/>
  <c r="AB121" i="30"/>
  <c r="Z121" i="30"/>
  <c r="Y121" i="30"/>
  <c r="X121" i="30"/>
  <c r="W121" i="30"/>
  <c r="V121" i="30"/>
  <c r="AM120" i="30"/>
  <c r="AL120" i="30"/>
  <c r="AI120" i="30"/>
  <c r="AH120" i="30"/>
  <c r="AG120" i="30"/>
  <c r="AF120" i="30"/>
  <c r="AE120" i="30"/>
  <c r="AD120" i="30"/>
  <c r="AB120" i="30"/>
  <c r="Z120" i="30"/>
  <c r="Y120" i="30"/>
  <c r="X120" i="30"/>
  <c r="W120" i="30"/>
  <c r="V120" i="30"/>
  <c r="AM119" i="30"/>
  <c r="AL119" i="30"/>
  <c r="AI119" i="30"/>
  <c r="AH119" i="30"/>
  <c r="AG119" i="30"/>
  <c r="AF119" i="30"/>
  <c r="AE119" i="30"/>
  <c r="AD119" i="30"/>
  <c r="AB119" i="30"/>
  <c r="Z119" i="30"/>
  <c r="Y119" i="30"/>
  <c r="X119" i="30"/>
  <c r="W119" i="30"/>
  <c r="V119" i="30"/>
  <c r="AM118" i="30"/>
  <c r="AL118" i="30"/>
  <c r="AI118" i="30"/>
  <c r="AH118" i="30"/>
  <c r="AG118" i="30"/>
  <c r="AF118" i="30"/>
  <c r="AE118" i="30"/>
  <c r="AD118" i="30"/>
  <c r="AB118" i="30"/>
  <c r="Z118" i="30"/>
  <c r="Y118" i="30"/>
  <c r="X118" i="30"/>
  <c r="W118" i="30"/>
  <c r="V118" i="30"/>
  <c r="AM117" i="30"/>
  <c r="AL117" i="30"/>
  <c r="AI117" i="30"/>
  <c r="AH117" i="30"/>
  <c r="AG117" i="30"/>
  <c r="AF117" i="30"/>
  <c r="AE117" i="30"/>
  <c r="AD117" i="30"/>
  <c r="AB117" i="30"/>
  <c r="Z117" i="30"/>
  <c r="Y117" i="30"/>
  <c r="X117" i="30"/>
  <c r="W117" i="30"/>
  <c r="V117" i="30"/>
  <c r="AM116" i="30"/>
  <c r="AL116" i="30"/>
  <c r="AI116" i="30"/>
  <c r="AH116" i="30"/>
  <c r="AG116" i="30"/>
  <c r="AF116" i="30"/>
  <c r="AE116" i="30"/>
  <c r="AD116" i="30"/>
  <c r="AB116" i="30"/>
  <c r="Z116" i="30"/>
  <c r="Y116" i="30"/>
  <c r="X116" i="30"/>
  <c r="W116" i="30"/>
  <c r="V116" i="30"/>
  <c r="AM115" i="30"/>
  <c r="AL115" i="30"/>
  <c r="AI115" i="30"/>
  <c r="AH115" i="30"/>
  <c r="AG115" i="30"/>
  <c r="AF115" i="30"/>
  <c r="AE115" i="30"/>
  <c r="AD115" i="30"/>
  <c r="AB115" i="30"/>
  <c r="Z115" i="30"/>
  <c r="Y115" i="30"/>
  <c r="X115" i="30"/>
  <c r="W115" i="30"/>
  <c r="V115" i="30"/>
  <c r="AM114" i="30"/>
  <c r="AL114" i="30"/>
  <c r="AI114" i="30"/>
  <c r="AH114" i="30"/>
  <c r="AG114" i="30"/>
  <c r="AF114" i="30"/>
  <c r="AE114" i="30"/>
  <c r="AD114" i="30"/>
  <c r="AB114" i="30"/>
  <c r="Z114" i="30"/>
  <c r="Y114" i="30"/>
  <c r="X114" i="30"/>
  <c r="W114" i="30"/>
  <c r="V114" i="30"/>
  <c r="AM113" i="30"/>
  <c r="AL113" i="30"/>
  <c r="AI113" i="30"/>
  <c r="AH113" i="30"/>
  <c r="AG113" i="30"/>
  <c r="AF113" i="30"/>
  <c r="AE113" i="30"/>
  <c r="AD113" i="30"/>
  <c r="AB113" i="30"/>
  <c r="Z113" i="30"/>
  <c r="Y113" i="30"/>
  <c r="X113" i="30"/>
  <c r="W113" i="30"/>
  <c r="V113" i="30"/>
  <c r="AM112" i="30"/>
  <c r="AL112" i="30"/>
  <c r="AI112" i="30"/>
  <c r="AH112" i="30"/>
  <c r="AG112" i="30"/>
  <c r="AF112" i="30"/>
  <c r="AE112" i="30"/>
  <c r="AD112" i="30"/>
  <c r="AB112" i="30"/>
  <c r="Z112" i="30"/>
  <c r="Y112" i="30"/>
  <c r="X112" i="30"/>
  <c r="W112" i="30"/>
  <c r="V112" i="30"/>
  <c r="AM111" i="30"/>
  <c r="AL111" i="30"/>
  <c r="AI111" i="30"/>
  <c r="AH111" i="30"/>
  <c r="AG111" i="30"/>
  <c r="AF111" i="30"/>
  <c r="AE111" i="30"/>
  <c r="AD111" i="30"/>
  <c r="AB111" i="30"/>
  <c r="Z111" i="30"/>
  <c r="Y111" i="30"/>
  <c r="X111" i="30"/>
  <c r="W111" i="30"/>
  <c r="V111" i="30"/>
  <c r="AM110" i="30"/>
  <c r="AL110" i="30"/>
  <c r="AI110" i="30"/>
  <c r="AH110" i="30"/>
  <c r="AG110" i="30"/>
  <c r="AF110" i="30"/>
  <c r="AE110" i="30"/>
  <c r="AD110" i="30"/>
  <c r="AB110" i="30"/>
  <c r="Z110" i="30"/>
  <c r="Y110" i="30"/>
  <c r="X110" i="30"/>
  <c r="W110" i="30"/>
  <c r="V110" i="30"/>
  <c r="AM109" i="30"/>
  <c r="AL109" i="30"/>
  <c r="AI109" i="30"/>
  <c r="AH109" i="30"/>
  <c r="AG109" i="30"/>
  <c r="AF109" i="30"/>
  <c r="AE109" i="30"/>
  <c r="AD109" i="30"/>
  <c r="AB109" i="30"/>
  <c r="Z109" i="30"/>
  <c r="Y109" i="30"/>
  <c r="X109" i="30"/>
  <c r="W109" i="30"/>
  <c r="V109" i="30"/>
  <c r="AM108" i="30"/>
  <c r="AL108" i="30"/>
  <c r="AI108" i="30"/>
  <c r="AH108" i="30"/>
  <c r="AG108" i="30"/>
  <c r="AF108" i="30"/>
  <c r="AE108" i="30"/>
  <c r="AD108" i="30"/>
  <c r="AB108" i="30"/>
  <c r="Z108" i="30"/>
  <c r="Y108" i="30"/>
  <c r="X108" i="30"/>
  <c r="W108" i="30"/>
  <c r="V108" i="30"/>
  <c r="AM107" i="30"/>
  <c r="AL107" i="30"/>
  <c r="AI107" i="30"/>
  <c r="AH107" i="30"/>
  <c r="AG107" i="30"/>
  <c r="AF107" i="30"/>
  <c r="AE107" i="30"/>
  <c r="AD107" i="30"/>
  <c r="AB107" i="30"/>
  <c r="Z107" i="30"/>
  <c r="Y107" i="30"/>
  <c r="X107" i="30"/>
  <c r="W107" i="30"/>
  <c r="V107" i="30"/>
  <c r="AM106" i="30"/>
  <c r="AL106" i="30"/>
  <c r="AI106" i="30"/>
  <c r="AH106" i="30"/>
  <c r="AG106" i="30"/>
  <c r="AF106" i="30"/>
  <c r="AE106" i="30"/>
  <c r="AD106" i="30"/>
  <c r="AB106" i="30"/>
  <c r="Z106" i="30"/>
  <c r="Y106" i="30"/>
  <c r="X106" i="30"/>
  <c r="W106" i="30"/>
  <c r="V106" i="30"/>
  <c r="AM105" i="30"/>
  <c r="AL105" i="30"/>
  <c r="AI105" i="30"/>
  <c r="AH105" i="30"/>
  <c r="AG105" i="30"/>
  <c r="AF105" i="30"/>
  <c r="AE105" i="30"/>
  <c r="AD105" i="30"/>
  <c r="AB105" i="30"/>
  <c r="Z105" i="30"/>
  <c r="Y105" i="30"/>
  <c r="X105" i="30"/>
  <c r="W105" i="30"/>
  <c r="V105" i="30"/>
  <c r="AM104" i="30"/>
  <c r="AL104" i="30"/>
  <c r="AI104" i="30"/>
  <c r="AH104" i="30"/>
  <c r="AG104" i="30"/>
  <c r="AF104" i="30"/>
  <c r="AE104" i="30"/>
  <c r="AD104" i="30"/>
  <c r="AB104" i="30"/>
  <c r="Z104" i="30"/>
  <c r="Y104" i="30"/>
  <c r="X104" i="30"/>
  <c r="W104" i="30"/>
  <c r="V104" i="30"/>
  <c r="AM103" i="30"/>
  <c r="AL103" i="30"/>
  <c r="AI103" i="30"/>
  <c r="AH103" i="30"/>
  <c r="AG103" i="30"/>
  <c r="AF103" i="30"/>
  <c r="AE103" i="30"/>
  <c r="AD103" i="30"/>
  <c r="AB103" i="30"/>
  <c r="Z103" i="30"/>
  <c r="Y103" i="30"/>
  <c r="X103" i="30"/>
  <c r="W103" i="30"/>
  <c r="V103" i="30"/>
  <c r="AM102" i="30"/>
  <c r="AL102" i="30"/>
  <c r="AI102" i="30"/>
  <c r="AH102" i="30"/>
  <c r="AG102" i="30"/>
  <c r="AF102" i="30"/>
  <c r="AE102" i="30"/>
  <c r="AD102" i="30"/>
  <c r="AB102" i="30"/>
  <c r="Z102" i="30"/>
  <c r="Y102" i="30"/>
  <c r="X102" i="30"/>
  <c r="W102" i="30"/>
  <c r="V102" i="30"/>
  <c r="AM101" i="30"/>
  <c r="AL101" i="30"/>
  <c r="AI101" i="30"/>
  <c r="AH101" i="30"/>
  <c r="AG101" i="30"/>
  <c r="AF101" i="30"/>
  <c r="AE101" i="30"/>
  <c r="AD101" i="30"/>
  <c r="AB101" i="30"/>
  <c r="Z101" i="30"/>
  <c r="Y101" i="30"/>
  <c r="X101" i="30"/>
  <c r="W101" i="30"/>
  <c r="V101" i="30"/>
  <c r="AM100" i="30"/>
  <c r="AL100" i="30"/>
  <c r="AI100" i="30"/>
  <c r="AH100" i="30"/>
  <c r="AG100" i="30"/>
  <c r="AF100" i="30"/>
  <c r="AE100" i="30"/>
  <c r="AD100" i="30"/>
  <c r="AB100" i="30"/>
  <c r="Z100" i="30"/>
  <c r="Y100" i="30"/>
  <c r="X100" i="30"/>
  <c r="W100" i="30"/>
  <c r="V100" i="30"/>
  <c r="AM99" i="30"/>
  <c r="AL99" i="30"/>
  <c r="AI99" i="30"/>
  <c r="AH99" i="30"/>
  <c r="AG99" i="30"/>
  <c r="AF99" i="30"/>
  <c r="AE99" i="30"/>
  <c r="AD99" i="30"/>
  <c r="AB99" i="30"/>
  <c r="Z99" i="30"/>
  <c r="Y99" i="30"/>
  <c r="X99" i="30"/>
  <c r="W99" i="30"/>
  <c r="V99" i="30"/>
  <c r="AM98" i="30"/>
  <c r="AL98" i="30"/>
  <c r="AI98" i="30"/>
  <c r="AH98" i="30"/>
  <c r="AG98" i="30"/>
  <c r="AF98" i="30"/>
  <c r="AE98" i="30"/>
  <c r="AD98" i="30"/>
  <c r="AB98" i="30"/>
  <c r="Z98" i="30"/>
  <c r="Y98" i="30"/>
  <c r="X98" i="30"/>
  <c r="W98" i="30"/>
  <c r="V98" i="30"/>
  <c r="AM97" i="30"/>
  <c r="AL97" i="30"/>
  <c r="AI97" i="30"/>
  <c r="AH97" i="30"/>
  <c r="AG97" i="30"/>
  <c r="AF97" i="30"/>
  <c r="AE97" i="30"/>
  <c r="AD97" i="30"/>
  <c r="AB97" i="30"/>
  <c r="Z97" i="30"/>
  <c r="Y97" i="30"/>
  <c r="X97" i="30"/>
  <c r="W97" i="30"/>
  <c r="V97" i="30"/>
  <c r="AM96" i="30"/>
  <c r="AL96" i="30"/>
  <c r="AI96" i="30"/>
  <c r="AH96" i="30"/>
  <c r="AG96" i="30"/>
  <c r="AF96" i="30"/>
  <c r="AE96" i="30"/>
  <c r="AD96" i="30"/>
  <c r="AB96" i="30"/>
  <c r="Z96" i="30"/>
  <c r="Y96" i="30"/>
  <c r="X96" i="30"/>
  <c r="W96" i="30"/>
  <c r="V96" i="30"/>
  <c r="AM95" i="30"/>
  <c r="AL95" i="30"/>
  <c r="AI95" i="30"/>
  <c r="AH95" i="30"/>
  <c r="AG95" i="30"/>
  <c r="AF95" i="30"/>
  <c r="AE95" i="30"/>
  <c r="AD95" i="30"/>
  <c r="AB95" i="30"/>
  <c r="Z95" i="30"/>
  <c r="Y95" i="30"/>
  <c r="X95" i="30"/>
  <c r="W95" i="30"/>
  <c r="V95" i="30"/>
  <c r="AM94" i="30"/>
  <c r="AL94" i="30"/>
  <c r="AI94" i="30"/>
  <c r="AH94" i="30"/>
  <c r="AG94" i="30"/>
  <c r="AF94" i="30"/>
  <c r="AE94" i="30"/>
  <c r="AD94" i="30"/>
  <c r="AB94" i="30"/>
  <c r="Z94" i="30"/>
  <c r="Y94" i="30"/>
  <c r="X94" i="30"/>
  <c r="W94" i="30"/>
  <c r="V94" i="30"/>
  <c r="AM93" i="30"/>
  <c r="AL93" i="30"/>
  <c r="AI93" i="30"/>
  <c r="AH93" i="30"/>
  <c r="AG93" i="30"/>
  <c r="AF93" i="30"/>
  <c r="AE93" i="30"/>
  <c r="AD93" i="30"/>
  <c r="AB93" i="30"/>
  <c r="Z93" i="30"/>
  <c r="Y93" i="30"/>
  <c r="X93" i="30"/>
  <c r="W93" i="30"/>
  <c r="V93" i="30"/>
  <c r="AM92" i="30"/>
  <c r="AL92" i="30"/>
  <c r="AI92" i="30"/>
  <c r="AH92" i="30"/>
  <c r="AG92" i="30"/>
  <c r="AF92" i="30"/>
  <c r="AE92" i="30"/>
  <c r="AD92" i="30"/>
  <c r="AB92" i="30"/>
  <c r="Z92" i="30"/>
  <c r="Y92" i="30"/>
  <c r="X92" i="30"/>
  <c r="W92" i="30"/>
  <c r="V92" i="30"/>
  <c r="AM91" i="30"/>
  <c r="AL91" i="30"/>
  <c r="AI91" i="30"/>
  <c r="AH91" i="30"/>
  <c r="AG91" i="30"/>
  <c r="AF91" i="30"/>
  <c r="AE91" i="30"/>
  <c r="AD91" i="30"/>
  <c r="AB91" i="30"/>
  <c r="Z91" i="30"/>
  <c r="Y91" i="30"/>
  <c r="X91" i="30"/>
  <c r="W91" i="30"/>
  <c r="V91" i="30"/>
  <c r="AM90" i="30"/>
  <c r="AL90" i="30"/>
  <c r="AI90" i="30"/>
  <c r="AH90" i="30"/>
  <c r="AG90" i="30"/>
  <c r="AF90" i="30"/>
  <c r="AE90" i="30"/>
  <c r="AD90" i="30"/>
  <c r="AB90" i="30"/>
  <c r="Z90" i="30"/>
  <c r="Y90" i="30"/>
  <c r="X90" i="30"/>
  <c r="W90" i="30"/>
  <c r="V90" i="30"/>
  <c r="AM89" i="30"/>
  <c r="AL89" i="30"/>
  <c r="AI89" i="30"/>
  <c r="AH89" i="30"/>
  <c r="AG89" i="30"/>
  <c r="AF89" i="30"/>
  <c r="AE89" i="30"/>
  <c r="AD89" i="30"/>
  <c r="AB89" i="30"/>
  <c r="Z89" i="30"/>
  <c r="Y89" i="30"/>
  <c r="X89" i="30"/>
  <c r="W89" i="30"/>
  <c r="V89" i="30"/>
  <c r="Q72" i="30"/>
  <c r="Q71" i="30"/>
  <c r="Q70" i="30"/>
  <c r="Q69" i="30"/>
  <c r="Q68" i="30"/>
  <c r="F12" i="30"/>
  <c r="BR60" i="30"/>
  <c r="F11" i="30"/>
  <c r="BZ51" i="30"/>
  <c r="F10" i="30"/>
  <c r="BY51" i="30"/>
  <c r="F9" i="30"/>
  <c r="BX51" i="30"/>
  <c r="F8" i="30"/>
  <c r="BW51" i="30"/>
  <c r="BR59" i="30"/>
  <c r="CA51" i="30"/>
  <c r="BR58" i="30"/>
  <c r="BR57" i="30"/>
  <c r="BR56" i="30"/>
  <c r="BR37" i="30"/>
  <c r="CA29" i="30"/>
  <c r="BR36" i="30"/>
  <c r="BR35" i="30"/>
  <c r="BR34" i="30"/>
  <c r="BR49" i="30"/>
  <c r="BZ29" i="30"/>
  <c r="BR48" i="30"/>
  <c r="BY29" i="30"/>
  <c r="BR47" i="30"/>
  <c r="BX29" i="30"/>
  <c r="BR46" i="30"/>
  <c r="BR45" i="30"/>
  <c r="CA40" i="30"/>
  <c r="BZ40" i="30"/>
  <c r="BY40" i="30"/>
  <c r="BX40" i="30"/>
  <c r="BW40" i="30"/>
  <c r="BR38" i="30"/>
  <c r="BW29" i="30"/>
  <c r="C38" i="30"/>
  <c r="C37" i="30"/>
  <c r="C36" i="30"/>
  <c r="C35" i="30"/>
  <c r="C34" i="30"/>
  <c r="C25" i="30"/>
  <c r="C24" i="30"/>
  <c r="C23" i="30"/>
  <c r="C22" i="30"/>
  <c r="C21" i="30"/>
  <c r="AC207" i="29"/>
  <c r="AB207" i="29"/>
  <c r="Z207" i="29"/>
  <c r="AC206" i="29"/>
  <c r="AB206" i="29"/>
  <c r="Z206" i="29"/>
  <c r="AC205" i="29"/>
  <c r="AB205" i="29"/>
  <c r="Z205" i="29"/>
  <c r="AC204" i="29"/>
  <c r="AB204" i="29"/>
  <c r="Z204" i="29"/>
  <c r="AC203" i="29"/>
  <c r="AB203" i="29"/>
  <c r="Z203" i="29"/>
  <c r="AC202" i="29"/>
  <c r="AB202" i="29"/>
  <c r="Z202" i="29"/>
  <c r="AC201" i="29"/>
  <c r="AB201" i="29"/>
  <c r="Z201" i="29"/>
  <c r="AC200" i="29"/>
  <c r="AB200" i="29"/>
  <c r="Z200" i="29"/>
  <c r="AC199" i="29"/>
  <c r="AB199" i="29"/>
  <c r="Z199" i="29"/>
  <c r="AC198" i="29"/>
  <c r="AB198" i="29"/>
  <c r="Z198" i="29"/>
  <c r="AC197" i="29"/>
  <c r="AB197" i="29"/>
  <c r="Z197" i="29"/>
  <c r="AC196" i="29"/>
  <c r="AB196" i="29"/>
  <c r="Z196" i="29"/>
  <c r="AC195" i="29"/>
  <c r="AB195" i="29"/>
  <c r="Z195" i="29"/>
  <c r="AC194" i="29"/>
  <c r="AB194" i="29"/>
  <c r="Z194" i="29"/>
  <c r="AC193" i="29"/>
  <c r="AB193" i="29"/>
  <c r="Z193" i="29"/>
  <c r="AC192" i="29"/>
  <c r="AB192" i="29"/>
  <c r="Z192" i="29"/>
  <c r="AC191" i="29"/>
  <c r="AB191" i="29"/>
  <c r="Z191" i="29"/>
  <c r="AC190" i="29"/>
  <c r="AB190" i="29"/>
  <c r="Z190" i="29"/>
  <c r="AC189" i="29"/>
  <c r="AB189" i="29"/>
  <c r="Z189" i="29"/>
  <c r="AC188" i="29"/>
  <c r="AB188" i="29"/>
  <c r="Z188" i="29"/>
  <c r="AC187" i="29"/>
  <c r="AB187" i="29"/>
  <c r="Z187" i="29"/>
  <c r="AC186" i="29"/>
  <c r="AB186" i="29"/>
  <c r="Z186" i="29"/>
  <c r="AC185" i="29"/>
  <c r="AB185" i="29"/>
  <c r="Z185" i="29"/>
  <c r="AC184" i="29"/>
  <c r="AB184" i="29"/>
  <c r="Z184" i="29"/>
  <c r="AC183" i="29"/>
  <c r="AB183" i="29"/>
  <c r="Z183" i="29"/>
  <c r="AC182" i="29"/>
  <c r="AB182" i="29"/>
  <c r="Z182" i="29"/>
  <c r="AC181" i="29"/>
  <c r="AB181" i="29"/>
  <c r="Z181" i="29"/>
  <c r="AC180" i="29"/>
  <c r="AB180" i="29"/>
  <c r="Z180" i="29"/>
  <c r="AC179" i="29"/>
  <c r="AB179" i="29"/>
  <c r="Z179" i="29"/>
  <c r="AC178" i="29"/>
  <c r="AB178" i="29"/>
  <c r="Z178" i="29"/>
  <c r="AC177" i="29"/>
  <c r="AB177" i="29"/>
  <c r="Z177" i="29"/>
  <c r="AC176" i="29"/>
  <c r="AB176" i="29"/>
  <c r="Z176" i="29"/>
  <c r="AC175" i="29"/>
  <c r="AB175" i="29"/>
  <c r="Z175" i="29"/>
  <c r="AC174" i="29"/>
  <c r="AB174" i="29"/>
  <c r="Z174" i="29"/>
  <c r="AC173" i="29"/>
  <c r="AB173" i="29"/>
  <c r="Z173" i="29"/>
  <c r="AC172" i="29"/>
  <c r="AB172" i="29"/>
  <c r="Z172" i="29"/>
  <c r="AC171" i="29"/>
  <c r="AB171" i="29"/>
  <c r="Z171" i="29"/>
  <c r="AC170" i="29"/>
  <c r="AB170" i="29"/>
  <c r="Z170" i="29"/>
  <c r="AC169" i="29"/>
  <c r="AB169" i="29"/>
  <c r="Z169" i="29"/>
  <c r="AC168" i="29"/>
  <c r="AB168" i="29"/>
  <c r="Z168" i="29"/>
  <c r="AC167" i="29"/>
  <c r="AB167" i="29"/>
  <c r="Z167" i="29"/>
  <c r="AC166" i="29"/>
  <c r="AB166" i="29"/>
  <c r="Z166" i="29"/>
  <c r="AC165" i="29"/>
  <c r="AB165" i="29"/>
  <c r="Z165" i="29"/>
  <c r="AC164" i="29"/>
  <c r="AB164" i="29"/>
  <c r="Z164" i="29"/>
  <c r="AC163" i="29"/>
  <c r="AB163" i="29"/>
  <c r="Z163" i="29"/>
  <c r="AC162" i="29"/>
  <c r="AB162" i="29"/>
  <c r="Z162" i="29"/>
  <c r="AC161" i="29"/>
  <c r="AB161" i="29"/>
  <c r="Z161" i="29"/>
  <c r="AM135" i="29"/>
  <c r="AL135" i="29"/>
  <c r="AI135" i="29"/>
  <c r="AH135" i="29"/>
  <c r="AG135" i="29"/>
  <c r="AF135" i="29"/>
  <c r="AE135" i="29"/>
  <c r="AD135" i="29"/>
  <c r="AB135" i="29"/>
  <c r="Z135" i="29"/>
  <c r="Y135" i="29"/>
  <c r="X135" i="29"/>
  <c r="W135" i="29"/>
  <c r="V135" i="29"/>
  <c r="AM134" i="29"/>
  <c r="AL134" i="29"/>
  <c r="AI134" i="29"/>
  <c r="AH134" i="29"/>
  <c r="AG134" i="29"/>
  <c r="AF134" i="29"/>
  <c r="AE134" i="29"/>
  <c r="AD134" i="29"/>
  <c r="AB134" i="29"/>
  <c r="Z134" i="29"/>
  <c r="Y134" i="29"/>
  <c r="X134" i="29"/>
  <c r="W134" i="29"/>
  <c r="V134" i="29"/>
  <c r="AM133" i="29"/>
  <c r="AL133" i="29"/>
  <c r="AI133" i="29"/>
  <c r="AH133" i="29"/>
  <c r="AG133" i="29"/>
  <c r="AF133" i="29"/>
  <c r="AE133" i="29"/>
  <c r="AD133" i="29"/>
  <c r="AB133" i="29"/>
  <c r="Z133" i="29"/>
  <c r="Y133" i="29"/>
  <c r="X133" i="29"/>
  <c r="W133" i="29"/>
  <c r="V133" i="29"/>
  <c r="AM132" i="29"/>
  <c r="AL132" i="29"/>
  <c r="AI132" i="29"/>
  <c r="AH132" i="29"/>
  <c r="AG132" i="29"/>
  <c r="AF132" i="29"/>
  <c r="AE132" i="29"/>
  <c r="AD132" i="29"/>
  <c r="AB132" i="29"/>
  <c r="Z132" i="29"/>
  <c r="Y132" i="29"/>
  <c r="X132" i="29"/>
  <c r="W132" i="29"/>
  <c r="V132" i="29"/>
  <c r="AM131" i="29"/>
  <c r="AL131" i="29"/>
  <c r="AI131" i="29"/>
  <c r="AH131" i="29"/>
  <c r="AG131" i="29"/>
  <c r="AF131" i="29"/>
  <c r="AE131" i="29"/>
  <c r="AD131" i="29"/>
  <c r="AB131" i="29"/>
  <c r="Z131" i="29"/>
  <c r="Y131" i="29"/>
  <c r="X131" i="29"/>
  <c r="W131" i="29"/>
  <c r="V131" i="29"/>
  <c r="AM130" i="29"/>
  <c r="AL130" i="29"/>
  <c r="AI130" i="29"/>
  <c r="AH130" i="29"/>
  <c r="AG130" i="29"/>
  <c r="AF130" i="29"/>
  <c r="AE130" i="29"/>
  <c r="AD130" i="29"/>
  <c r="AB130" i="29"/>
  <c r="Z130" i="29"/>
  <c r="Y130" i="29"/>
  <c r="X130" i="29"/>
  <c r="W130" i="29"/>
  <c r="V130" i="29"/>
  <c r="AM129" i="29"/>
  <c r="AL129" i="29"/>
  <c r="AI129" i="29"/>
  <c r="AH129" i="29"/>
  <c r="AG129" i="29"/>
  <c r="AF129" i="29"/>
  <c r="AE129" i="29"/>
  <c r="AD129" i="29"/>
  <c r="AB129" i="29"/>
  <c r="Z129" i="29"/>
  <c r="Y129" i="29"/>
  <c r="X129" i="29"/>
  <c r="W129" i="29"/>
  <c r="V129" i="29"/>
  <c r="AM128" i="29"/>
  <c r="AL128" i="29"/>
  <c r="AI128" i="29"/>
  <c r="AH128" i="29"/>
  <c r="AG128" i="29"/>
  <c r="AF128" i="29"/>
  <c r="AE128" i="29"/>
  <c r="AD128" i="29"/>
  <c r="AB128" i="29"/>
  <c r="Z128" i="29"/>
  <c r="Y128" i="29"/>
  <c r="X128" i="29"/>
  <c r="W128" i="29"/>
  <c r="V128" i="29"/>
  <c r="AM127" i="29"/>
  <c r="AL127" i="29"/>
  <c r="AI127" i="29"/>
  <c r="AH127" i="29"/>
  <c r="AG127" i="29"/>
  <c r="AF127" i="29"/>
  <c r="AE127" i="29"/>
  <c r="AD127" i="29"/>
  <c r="AB127" i="29"/>
  <c r="Z127" i="29"/>
  <c r="Y127" i="29"/>
  <c r="X127" i="29"/>
  <c r="W127" i="29"/>
  <c r="V127" i="29"/>
  <c r="AM126" i="29"/>
  <c r="AL126" i="29"/>
  <c r="AI126" i="29"/>
  <c r="AH126" i="29"/>
  <c r="AG126" i="29"/>
  <c r="AF126" i="29"/>
  <c r="AE126" i="29"/>
  <c r="AD126" i="29"/>
  <c r="AB126" i="29"/>
  <c r="Z126" i="29"/>
  <c r="Y126" i="29"/>
  <c r="X126" i="29"/>
  <c r="W126" i="29"/>
  <c r="V126" i="29"/>
  <c r="AM125" i="29"/>
  <c r="AL125" i="29"/>
  <c r="AI125" i="29"/>
  <c r="AH125" i="29"/>
  <c r="AG125" i="29"/>
  <c r="AF125" i="29"/>
  <c r="AE125" i="29"/>
  <c r="AD125" i="29"/>
  <c r="AB125" i="29"/>
  <c r="Z125" i="29"/>
  <c r="Y125" i="29"/>
  <c r="X125" i="29"/>
  <c r="W125" i="29"/>
  <c r="V125" i="29"/>
  <c r="AM124" i="29"/>
  <c r="AL124" i="29"/>
  <c r="AI124" i="29"/>
  <c r="AH124" i="29"/>
  <c r="AG124" i="29"/>
  <c r="AF124" i="29"/>
  <c r="AE124" i="29"/>
  <c r="AD124" i="29"/>
  <c r="AB124" i="29"/>
  <c r="Z124" i="29"/>
  <c r="Y124" i="29"/>
  <c r="X124" i="29"/>
  <c r="W124" i="29"/>
  <c r="V124" i="29"/>
  <c r="AM123" i="29"/>
  <c r="AL123" i="29"/>
  <c r="AI123" i="29"/>
  <c r="AH123" i="29"/>
  <c r="AG123" i="29"/>
  <c r="AF123" i="29"/>
  <c r="AE123" i="29"/>
  <c r="AD123" i="29"/>
  <c r="AB123" i="29"/>
  <c r="Z123" i="29"/>
  <c r="Y123" i="29"/>
  <c r="X123" i="29"/>
  <c r="W123" i="29"/>
  <c r="V123" i="29"/>
  <c r="AM122" i="29"/>
  <c r="AL122" i="29"/>
  <c r="AI122" i="29"/>
  <c r="AH122" i="29"/>
  <c r="AG122" i="29"/>
  <c r="AF122" i="29"/>
  <c r="AE122" i="29"/>
  <c r="AD122" i="29"/>
  <c r="AB122" i="29"/>
  <c r="Z122" i="29"/>
  <c r="Y122" i="29"/>
  <c r="X122" i="29"/>
  <c r="W122" i="29"/>
  <c r="V122" i="29"/>
  <c r="AM121" i="29"/>
  <c r="AL121" i="29"/>
  <c r="AI121" i="29"/>
  <c r="AH121" i="29"/>
  <c r="AG121" i="29"/>
  <c r="AF121" i="29"/>
  <c r="AE121" i="29"/>
  <c r="AD121" i="29"/>
  <c r="AB121" i="29"/>
  <c r="Z121" i="29"/>
  <c r="Y121" i="29"/>
  <c r="X121" i="29"/>
  <c r="W121" i="29"/>
  <c r="V121" i="29"/>
  <c r="AM120" i="29"/>
  <c r="AL120" i="29"/>
  <c r="AI120" i="29"/>
  <c r="AH120" i="29"/>
  <c r="AG120" i="29"/>
  <c r="AF120" i="29"/>
  <c r="AE120" i="29"/>
  <c r="AD120" i="29"/>
  <c r="AB120" i="29"/>
  <c r="Z120" i="29"/>
  <c r="Y120" i="29"/>
  <c r="X120" i="29"/>
  <c r="W120" i="29"/>
  <c r="V120" i="29"/>
  <c r="AM119" i="29"/>
  <c r="AL119" i="29"/>
  <c r="AI119" i="29"/>
  <c r="AH119" i="29"/>
  <c r="AG119" i="29"/>
  <c r="AF119" i="29"/>
  <c r="AE119" i="29"/>
  <c r="AD119" i="29"/>
  <c r="AB119" i="29"/>
  <c r="Z119" i="29"/>
  <c r="Y119" i="29"/>
  <c r="X119" i="29"/>
  <c r="W119" i="29"/>
  <c r="V119" i="29"/>
  <c r="AM118" i="29"/>
  <c r="AL118" i="29"/>
  <c r="AI118" i="29"/>
  <c r="AH118" i="29"/>
  <c r="AG118" i="29"/>
  <c r="AF118" i="29"/>
  <c r="AE118" i="29"/>
  <c r="AD118" i="29"/>
  <c r="AB118" i="29"/>
  <c r="Z118" i="29"/>
  <c r="Y118" i="29"/>
  <c r="X118" i="29"/>
  <c r="W118" i="29"/>
  <c r="V118" i="29"/>
  <c r="AM117" i="29"/>
  <c r="AL117" i="29"/>
  <c r="AI117" i="29"/>
  <c r="AH117" i="29"/>
  <c r="AG117" i="29"/>
  <c r="AF117" i="29"/>
  <c r="AE117" i="29"/>
  <c r="AD117" i="29"/>
  <c r="AB117" i="29"/>
  <c r="Z117" i="29"/>
  <c r="Y117" i="29"/>
  <c r="X117" i="29"/>
  <c r="W117" i="29"/>
  <c r="V117" i="29"/>
  <c r="AM116" i="29"/>
  <c r="AL116" i="29"/>
  <c r="AI116" i="29"/>
  <c r="AH116" i="29"/>
  <c r="AG116" i="29"/>
  <c r="AF116" i="29"/>
  <c r="AE116" i="29"/>
  <c r="AD116" i="29"/>
  <c r="AB116" i="29"/>
  <c r="Z116" i="29"/>
  <c r="Y116" i="29"/>
  <c r="X116" i="29"/>
  <c r="W116" i="29"/>
  <c r="V116" i="29"/>
  <c r="AM115" i="29"/>
  <c r="AL115" i="29"/>
  <c r="AI115" i="29"/>
  <c r="AH115" i="29"/>
  <c r="AG115" i="29"/>
  <c r="AF115" i="29"/>
  <c r="AE115" i="29"/>
  <c r="AD115" i="29"/>
  <c r="AB115" i="29"/>
  <c r="Z115" i="29"/>
  <c r="Y115" i="29"/>
  <c r="X115" i="29"/>
  <c r="W115" i="29"/>
  <c r="V115" i="29"/>
  <c r="AM114" i="29"/>
  <c r="AL114" i="29"/>
  <c r="AI114" i="29"/>
  <c r="AH114" i="29"/>
  <c r="AG114" i="29"/>
  <c r="AF114" i="29"/>
  <c r="AE114" i="29"/>
  <c r="AD114" i="29"/>
  <c r="AB114" i="29"/>
  <c r="Z114" i="29"/>
  <c r="Y114" i="29"/>
  <c r="X114" i="29"/>
  <c r="W114" i="29"/>
  <c r="V114" i="29"/>
  <c r="AM113" i="29"/>
  <c r="AL113" i="29"/>
  <c r="AI113" i="29"/>
  <c r="AH113" i="29"/>
  <c r="AG113" i="29"/>
  <c r="AF113" i="29"/>
  <c r="AE113" i="29"/>
  <c r="AD113" i="29"/>
  <c r="AB113" i="29"/>
  <c r="Z113" i="29"/>
  <c r="Y113" i="29"/>
  <c r="X113" i="29"/>
  <c r="W113" i="29"/>
  <c r="V113" i="29"/>
  <c r="AM112" i="29"/>
  <c r="AL112" i="29"/>
  <c r="AI112" i="29"/>
  <c r="AH112" i="29"/>
  <c r="AG112" i="29"/>
  <c r="AF112" i="29"/>
  <c r="AE112" i="29"/>
  <c r="AD112" i="29"/>
  <c r="AB112" i="29"/>
  <c r="Z112" i="29"/>
  <c r="Y112" i="29"/>
  <c r="X112" i="29"/>
  <c r="W112" i="29"/>
  <c r="V112" i="29"/>
  <c r="AM111" i="29"/>
  <c r="AL111" i="29"/>
  <c r="AI111" i="29"/>
  <c r="AH111" i="29"/>
  <c r="AG111" i="29"/>
  <c r="AF111" i="29"/>
  <c r="AE111" i="29"/>
  <c r="AD111" i="29"/>
  <c r="AB111" i="29"/>
  <c r="Z111" i="29"/>
  <c r="Y111" i="29"/>
  <c r="X111" i="29"/>
  <c r="W111" i="29"/>
  <c r="V111" i="29"/>
  <c r="AM110" i="29"/>
  <c r="AL110" i="29"/>
  <c r="AI110" i="29"/>
  <c r="AH110" i="29"/>
  <c r="AG110" i="29"/>
  <c r="AF110" i="29"/>
  <c r="AE110" i="29"/>
  <c r="AD110" i="29"/>
  <c r="AB110" i="29"/>
  <c r="Z110" i="29"/>
  <c r="Y110" i="29"/>
  <c r="X110" i="29"/>
  <c r="W110" i="29"/>
  <c r="V110" i="29"/>
  <c r="AM109" i="29"/>
  <c r="AL109" i="29"/>
  <c r="AI109" i="29"/>
  <c r="AH109" i="29"/>
  <c r="AG109" i="29"/>
  <c r="AF109" i="29"/>
  <c r="AE109" i="29"/>
  <c r="AD109" i="29"/>
  <c r="AB109" i="29"/>
  <c r="Z109" i="29"/>
  <c r="Y109" i="29"/>
  <c r="X109" i="29"/>
  <c r="W109" i="29"/>
  <c r="V109" i="29"/>
  <c r="AM108" i="29"/>
  <c r="AL108" i="29"/>
  <c r="AI108" i="29"/>
  <c r="AH108" i="29"/>
  <c r="AG108" i="29"/>
  <c r="AF108" i="29"/>
  <c r="AE108" i="29"/>
  <c r="AD108" i="29"/>
  <c r="AB108" i="29"/>
  <c r="Z108" i="29"/>
  <c r="Y108" i="29"/>
  <c r="X108" i="29"/>
  <c r="W108" i="29"/>
  <c r="V108" i="29"/>
  <c r="AM107" i="29"/>
  <c r="AL107" i="29"/>
  <c r="AI107" i="29"/>
  <c r="AH107" i="29"/>
  <c r="AG107" i="29"/>
  <c r="AF107" i="29"/>
  <c r="AE107" i="29"/>
  <c r="AD107" i="29"/>
  <c r="AB107" i="29"/>
  <c r="Z107" i="29"/>
  <c r="Y107" i="29"/>
  <c r="X107" i="29"/>
  <c r="W107" i="29"/>
  <c r="V107" i="29"/>
  <c r="AM106" i="29"/>
  <c r="AL106" i="29"/>
  <c r="AI106" i="29"/>
  <c r="AH106" i="29"/>
  <c r="AG106" i="29"/>
  <c r="AF106" i="29"/>
  <c r="AE106" i="29"/>
  <c r="AD106" i="29"/>
  <c r="AB106" i="29"/>
  <c r="Z106" i="29"/>
  <c r="Y106" i="29"/>
  <c r="X106" i="29"/>
  <c r="W106" i="29"/>
  <c r="V106" i="29"/>
  <c r="AM105" i="29"/>
  <c r="AL105" i="29"/>
  <c r="AI105" i="29"/>
  <c r="AH105" i="29"/>
  <c r="AG105" i="29"/>
  <c r="AF105" i="29"/>
  <c r="AE105" i="29"/>
  <c r="AD105" i="29"/>
  <c r="AB105" i="29"/>
  <c r="Z105" i="29"/>
  <c r="Y105" i="29"/>
  <c r="X105" i="29"/>
  <c r="W105" i="29"/>
  <c r="V105" i="29"/>
  <c r="AM104" i="29"/>
  <c r="AL104" i="29"/>
  <c r="AI104" i="29"/>
  <c r="AH104" i="29"/>
  <c r="AG104" i="29"/>
  <c r="AF104" i="29"/>
  <c r="AE104" i="29"/>
  <c r="AD104" i="29"/>
  <c r="AB104" i="29"/>
  <c r="Z104" i="29"/>
  <c r="Y104" i="29"/>
  <c r="X104" i="29"/>
  <c r="W104" i="29"/>
  <c r="V104" i="29"/>
  <c r="AM103" i="29"/>
  <c r="AL103" i="29"/>
  <c r="AI103" i="29"/>
  <c r="AH103" i="29"/>
  <c r="AG103" i="29"/>
  <c r="AF103" i="29"/>
  <c r="AE103" i="29"/>
  <c r="AD103" i="29"/>
  <c r="AB103" i="29"/>
  <c r="Z103" i="29"/>
  <c r="Y103" i="29"/>
  <c r="X103" i="29"/>
  <c r="W103" i="29"/>
  <c r="V103" i="29"/>
  <c r="AM102" i="29"/>
  <c r="AL102" i="29"/>
  <c r="AI102" i="29"/>
  <c r="AH102" i="29"/>
  <c r="AG102" i="29"/>
  <c r="AF102" i="29"/>
  <c r="AE102" i="29"/>
  <c r="AD102" i="29"/>
  <c r="AB102" i="29"/>
  <c r="Z102" i="29"/>
  <c r="Y102" i="29"/>
  <c r="X102" i="29"/>
  <c r="W102" i="29"/>
  <c r="V102" i="29"/>
  <c r="AM101" i="29"/>
  <c r="AL101" i="29"/>
  <c r="AI101" i="29"/>
  <c r="AH101" i="29"/>
  <c r="AG101" i="29"/>
  <c r="AF101" i="29"/>
  <c r="AE101" i="29"/>
  <c r="AD101" i="29"/>
  <c r="AB101" i="29"/>
  <c r="Z101" i="29"/>
  <c r="Y101" i="29"/>
  <c r="X101" i="29"/>
  <c r="W101" i="29"/>
  <c r="V101" i="29"/>
  <c r="AM100" i="29"/>
  <c r="AL100" i="29"/>
  <c r="AI100" i="29"/>
  <c r="AH100" i="29"/>
  <c r="AG100" i="29"/>
  <c r="AF100" i="29"/>
  <c r="AE100" i="29"/>
  <c r="AD100" i="29"/>
  <c r="AB100" i="29"/>
  <c r="Z100" i="29"/>
  <c r="Y100" i="29"/>
  <c r="X100" i="29"/>
  <c r="W100" i="29"/>
  <c r="V100" i="29"/>
  <c r="AM99" i="29"/>
  <c r="AL99" i="29"/>
  <c r="AI99" i="29"/>
  <c r="AH99" i="29"/>
  <c r="AG99" i="29"/>
  <c r="AF99" i="29"/>
  <c r="AE99" i="29"/>
  <c r="AD99" i="29"/>
  <c r="AB99" i="29"/>
  <c r="Z99" i="29"/>
  <c r="Y99" i="29"/>
  <c r="X99" i="29"/>
  <c r="W99" i="29"/>
  <c r="V99" i="29"/>
  <c r="AM98" i="29"/>
  <c r="AL98" i="29"/>
  <c r="AI98" i="29"/>
  <c r="AH98" i="29"/>
  <c r="AG98" i="29"/>
  <c r="AF98" i="29"/>
  <c r="AE98" i="29"/>
  <c r="AD98" i="29"/>
  <c r="AB98" i="29"/>
  <c r="Z98" i="29"/>
  <c r="Y98" i="29"/>
  <c r="X98" i="29"/>
  <c r="W98" i="29"/>
  <c r="V98" i="29"/>
  <c r="AM97" i="29"/>
  <c r="AL97" i="29"/>
  <c r="AI97" i="29"/>
  <c r="AH97" i="29"/>
  <c r="AG97" i="29"/>
  <c r="AF97" i="29"/>
  <c r="AE97" i="29"/>
  <c r="AD97" i="29"/>
  <c r="AB97" i="29"/>
  <c r="Z97" i="29"/>
  <c r="Y97" i="29"/>
  <c r="X97" i="29"/>
  <c r="W97" i="29"/>
  <c r="V97" i="29"/>
  <c r="AM96" i="29"/>
  <c r="AL96" i="29"/>
  <c r="AI96" i="29"/>
  <c r="AH96" i="29"/>
  <c r="AG96" i="29"/>
  <c r="AF96" i="29"/>
  <c r="AE96" i="29"/>
  <c r="AD96" i="29"/>
  <c r="AB96" i="29"/>
  <c r="Z96" i="29"/>
  <c r="Y96" i="29"/>
  <c r="X96" i="29"/>
  <c r="W96" i="29"/>
  <c r="V96" i="29"/>
  <c r="AM95" i="29"/>
  <c r="AL95" i="29"/>
  <c r="AI95" i="29"/>
  <c r="AH95" i="29"/>
  <c r="AG95" i="29"/>
  <c r="AF95" i="29"/>
  <c r="AE95" i="29"/>
  <c r="AD95" i="29"/>
  <c r="AB95" i="29"/>
  <c r="Z95" i="29"/>
  <c r="Y95" i="29"/>
  <c r="X95" i="29"/>
  <c r="W95" i="29"/>
  <c r="V95" i="29"/>
  <c r="AM94" i="29"/>
  <c r="AL94" i="29"/>
  <c r="AI94" i="29"/>
  <c r="AH94" i="29"/>
  <c r="AG94" i="29"/>
  <c r="AF94" i="29"/>
  <c r="AE94" i="29"/>
  <c r="AD94" i="29"/>
  <c r="AB94" i="29"/>
  <c r="Z94" i="29"/>
  <c r="Y94" i="29"/>
  <c r="X94" i="29"/>
  <c r="W94" i="29"/>
  <c r="V94" i="29"/>
  <c r="AM93" i="29"/>
  <c r="AL93" i="29"/>
  <c r="AI93" i="29"/>
  <c r="AH93" i="29"/>
  <c r="AG93" i="29"/>
  <c r="AF93" i="29"/>
  <c r="AE93" i="29"/>
  <c r="AD93" i="29"/>
  <c r="AB93" i="29"/>
  <c r="Z93" i="29"/>
  <c r="Y93" i="29"/>
  <c r="X93" i="29"/>
  <c r="W93" i="29"/>
  <c r="V93" i="29"/>
  <c r="AM92" i="29"/>
  <c r="AL92" i="29"/>
  <c r="AI92" i="29"/>
  <c r="AH92" i="29"/>
  <c r="AG92" i="29"/>
  <c r="AF92" i="29"/>
  <c r="AE92" i="29"/>
  <c r="AD92" i="29"/>
  <c r="AB92" i="29"/>
  <c r="Z92" i="29"/>
  <c r="Y92" i="29"/>
  <c r="X92" i="29"/>
  <c r="W92" i="29"/>
  <c r="V92" i="29"/>
  <c r="AM91" i="29"/>
  <c r="AL91" i="29"/>
  <c r="AI91" i="29"/>
  <c r="AH91" i="29"/>
  <c r="AG91" i="29"/>
  <c r="AF91" i="29"/>
  <c r="AE91" i="29"/>
  <c r="AD91" i="29"/>
  <c r="AB91" i="29"/>
  <c r="Z91" i="29"/>
  <c r="Y91" i="29"/>
  <c r="X91" i="29"/>
  <c r="W91" i="29"/>
  <c r="V91" i="29"/>
  <c r="AM90" i="29"/>
  <c r="AL90" i="29"/>
  <c r="AI90" i="29"/>
  <c r="AH90" i="29"/>
  <c r="AG90" i="29"/>
  <c r="AF90" i="29"/>
  <c r="AE90" i="29"/>
  <c r="AD90" i="29"/>
  <c r="AB90" i="29"/>
  <c r="Z90" i="29"/>
  <c r="Y90" i="29"/>
  <c r="X90" i="29"/>
  <c r="W90" i="29"/>
  <c r="V90" i="29"/>
  <c r="AM89" i="29"/>
  <c r="AL89" i="29"/>
  <c r="AI89" i="29"/>
  <c r="AH89" i="29"/>
  <c r="AG89" i="29"/>
  <c r="AF89" i="29"/>
  <c r="AE89" i="29"/>
  <c r="AD89" i="29"/>
  <c r="AB89" i="29"/>
  <c r="Z89" i="29"/>
  <c r="Y89" i="29"/>
  <c r="X89" i="29"/>
  <c r="W89" i="29"/>
  <c r="V89" i="29"/>
  <c r="Q72" i="29"/>
  <c r="Q71" i="29"/>
  <c r="Q70" i="29"/>
  <c r="Q69" i="29"/>
  <c r="Q68" i="29"/>
  <c r="F12" i="29"/>
  <c r="BR60" i="29"/>
  <c r="F11" i="29"/>
  <c r="BZ51" i="29"/>
  <c r="F10" i="29"/>
  <c r="BY51" i="29"/>
  <c r="F9" i="29"/>
  <c r="BX51" i="29"/>
  <c r="F8" i="29"/>
  <c r="BW51" i="29"/>
  <c r="BR59" i="29"/>
  <c r="CA51" i="29"/>
  <c r="BR58" i="29"/>
  <c r="BR57" i="29"/>
  <c r="BR56" i="29"/>
  <c r="BR37" i="29"/>
  <c r="CA29" i="29"/>
  <c r="BR36" i="29"/>
  <c r="BR35" i="29"/>
  <c r="BR34" i="29"/>
  <c r="BR49" i="29"/>
  <c r="BZ29" i="29"/>
  <c r="BR48" i="29"/>
  <c r="BY29" i="29"/>
  <c r="BR47" i="29"/>
  <c r="BX29" i="29"/>
  <c r="BR46" i="29"/>
  <c r="BR45" i="29"/>
  <c r="CA40" i="29"/>
  <c r="BZ40" i="29"/>
  <c r="BY40" i="29"/>
  <c r="BX40" i="29"/>
  <c r="BW40" i="29"/>
  <c r="BR38" i="29"/>
  <c r="BW29" i="29"/>
  <c r="C38" i="29"/>
  <c r="C37" i="29"/>
  <c r="C36" i="29"/>
  <c r="C35" i="29"/>
  <c r="C34" i="29"/>
  <c r="C25" i="29"/>
  <c r="C24" i="29"/>
  <c r="C23" i="29"/>
  <c r="C22" i="29"/>
  <c r="C21" i="29"/>
  <c r="AC207" i="28"/>
  <c r="AB207" i="28"/>
  <c r="Z207" i="28"/>
  <c r="AC206" i="28"/>
  <c r="AB206" i="28"/>
  <c r="Z206" i="28"/>
  <c r="AC205" i="28"/>
  <c r="AB205" i="28"/>
  <c r="Z205" i="28"/>
  <c r="AC204" i="28"/>
  <c r="AB204" i="28"/>
  <c r="Z204" i="28"/>
  <c r="AC203" i="28"/>
  <c r="AB203" i="28"/>
  <c r="Z203" i="28"/>
  <c r="AC202" i="28"/>
  <c r="AB202" i="28"/>
  <c r="Z202" i="28"/>
  <c r="AC201" i="28"/>
  <c r="AB201" i="28"/>
  <c r="Z201" i="28"/>
  <c r="AC200" i="28"/>
  <c r="AB200" i="28"/>
  <c r="Z200" i="28"/>
  <c r="AC199" i="28"/>
  <c r="AB199" i="28"/>
  <c r="Z199" i="28"/>
  <c r="AC198" i="28"/>
  <c r="AB198" i="28"/>
  <c r="Z198" i="28"/>
  <c r="AC197" i="28"/>
  <c r="AB197" i="28"/>
  <c r="Z197" i="28"/>
  <c r="AC196" i="28"/>
  <c r="AB196" i="28"/>
  <c r="Z196" i="28"/>
  <c r="AC195" i="28"/>
  <c r="AB195" i="28"/>
  <c r="Z195" i="28"/>
  <c r="AC194" i="28"/>
  <c r="AB194" i="28"/>
  <c r="Z194" i="28"/>
  <c r="AC193" i="28"/>
  <c r="AB193" i="28"/>
  <c r="Z193" i="28"/>
  <c r="AC192" i="28"/>
  <c r="AB192" i="28"/>
  <c r="Z192" i="28"/>
  <c r="AC191" i="28"/>
  <c r="AB191" i="28"/>
  <c r="Z191" i="28"/>
  <c r="AC190" i="28"/>
  <c r="AB190" i="28"/>
  <c r="Z190" i="28"/>
  <c r="AC189" i="28"/>
  <c r="AB189" i="28"/>
  <c r="Z189" i="28"/>
  <c r="AC188" i="28"/>
  <c r="AB188" i="28"/>
  <c r="Z188" i="28"/>
  <c r="AC187" i="28"/>
  <c r="AB187" i="28"/>
  <c r="Z187" i="28"/>
  <c r="AC186" i="28"/>
  <c r="AB186" i="28"/>
  <c r="Z186" i="28"/>
  <c r="AC185" i="28"/>
  <c r="AB185" i="28"/>
  <c r="Z185" i="28"/>
  <c r="AC184" i="28"/>
  <c r="AB184" i="28"/>
  <c r="Z184" i="28"/>
  <c r="AC183" i="28"/>
  <c r="AB183" i="28"/>
  <c r="Z183" i="28"/>
  <c r="AC182" i="28"/>
  <c r="AB182" i="28"/>
  <c r="Z182" i="28"/>
  <c r="AC181" i="28"/>
  <c r="AB181" i="28"/>
  <c r="Z181" i="28"/>
  <c r="AC180" i="28"/>
  <c r="AB180" i="28"/>
  <c r="Z180" i="28"/>
  <c r="AC179" i="28"/>
  <c r="AB179" i="28"/>
  <c r="Z179" i="28"/>
  <c r="AC178" i="28"/>
  <c r="AB178" i="28"/>
  <c r="Z178" i="28"/>
  <c r="AC177" i="28"/>
  <c r="AB177" i="28"/>
  <c r="Z177" i="28"/>
  <c r="AC176" i="28"/>
  <c r="AB176" i="28"/>
  <c r="Z176" i="28"/>
  <c r="AC175" i="28"/>
  <c r="AB175" i="28"/>
  <c r="Z175" i="28"/>
  <c r="AC174" i="28"/>
  <c r="AB174" i="28"/>
  <c r="Z174" i="28"/>
  <c r="AC173" i="28"/>
  <c r="AB173" i="28"/>
  <c r="Z173" i="28"/>
  <c r="AC172" i="28"/>
  <c r="AB172" i="28"/>
  <c r="Z172" i="28"/>
  <c r="AC171" i="28"/>
  <c r="AB171" i="28"/>
  <c r="Z171" i="28"/>
  <c r="AC170" i="28"/>
  <c r="AB170" i="28"/>
  <c r="Z170" i="28"/>
  <c r="AC169" i="28"/>
  <c r="AB169" i="28"/>
  <c r="Z169" i="28"/>
  <c r="AC168" i="28"/>
  <c r="AB168" i="28"/>
  <c r="Z168" i="28"/>
  <c r="AC167" i="28"/>
  <c r="AB167" i="28"/>
  <c r="Z167" i="28"/>
  <c r="AC166" i="28"/>
  <c r="AB166" i="28"/>
  <c r="Z166" i="28"/>
  <c r="AC165" i="28"/>
  <c r="AB165" i="28"/>
  <c r="Z165" i="28"/>
  <c r="AC164" i="28"/>
  <c r="AB164" i="28"/>
  <c r="Z164" i="28"/>
  <c r="AC163" i="28"/>
  <c r="AB163" i="28"/>
  <c r="Z163" i="28"/>
  <c r="AC162" i="28"/>
  <c r="AB162" i="28"/>
  <c r="Z162" i="28"/>
  <c r="AC161" i="28"/>
  <c r="AB161" i="28"/>
  <c r="Z161" i="28"/>
  <c r="AM135" i="28"/>
  <c r="AL135" i="28"/>
  <c r="AI135" i="28"/>
  <c r="AH135" i="28"/>
  <c r="AG135" i="28"/>
  <c r="AF135" i="28"/>
  <c r="AE135" i="28"/>
  <c r="AD135" i="28"/>
  <c r="AB135" i="28"/>
  <c r="Z135" i="28"/>
  <c r="Y135" i="28"/>
  <c r="X135" i="28"/>
  <c r="W135" i="28"/>
  <c r="V135" i="28"/>
  <c r="AM134" i="28"/>
  <c r="AL134" i="28"/>
  <c r="AI134" i="28"/>
  <c r="AH134" i="28"/>
  <c r="AG134" i="28"/>
  <c r="AF134" i="28"/>
  <c r="AE134" i="28"/>
  <c r="AD134" i="28"/>
  <c r="AB134" i="28"/>
  <c r="Z134" i="28"/>
  <c r="Y134" i="28"/>
  <c r="X134" i="28"/>
  <c r="W134" i="28"/>
  <c r="V134" i="28"/>
  <c r="AM133" i="28"/>
  <c r="AL133" i="28"/>
  <c r="AI133" i="28"/>
  <c r="AH133" i="28"/>
  <c r="AG133" i="28"/>
  <c r="AF133" i="28"/>
  <c r="AE133" i="28"/>
  <c r="AD133" i="28"/>
  <c r="AB133" i="28"/>
  <c r="Z133" i="28"/>
  <c r="Y133" i="28"/>
  <c r="X133" i="28"/>
  <c r="W133" i="28"/>
  <c r="V133" i="28"/>
  <c r="AM132" i="28"/>
  <c r="AL132" i="28"/>
  <c r="AI132" i="28"/>
  <c r="AH132" i="28"/>
  <c r="AG132" i="28"/>
  <c r="AF132" i="28"/>
  <c r="AE132" i="28"/>
  <c r="AD132" i="28"/>
  <c r="AB132" i="28"/>
  <c r="Z132" i="28"/>
  <c r="Y132" i="28"/>
  <c r="X132" i="28"/>
  <c r="W132" i="28"/>
  <c r="V132" i="28"/>
  <c r="AM131" i="28"/>
  <c r="AL131" i="28"/>
  <c r="AI131" i="28"/>
  <c r="AH131" i="28"/>
  <c r="AG131" i="28"/>
  <c r="AF131" i="28"/>
  <c r="AE131" i="28"/>
  <c r="AD131" i="28"/>
  <c r="AB131" i="28"/>
  <c r="Z131" i="28"/>
  <c r="Y131" i="28"/>
  <c r="X131" i="28"/>
  <c r="W131" i="28"/>
  <c r="V131" i="28"/>
  <c r="AM130" i="28"/>
  <c r="AL130" i="28"/>
  <c r="AI130" i="28"/>
  <c r="AH130" i="28"/>
  <c r="AG130" i="28"/>
  <c r="AF130" i="28"/>
  <c r="AE130" i="28"/>
  <c r="AD130" i="28"/>
  <c r="AB130" i="28"/>
  <c r="Z130" i="28"/>
  <c r="Y130" i="28"/>
  <c r="X130" i="28"/>
  <c r="W130" i="28"/>
  <c r="V130" i="28"/>
  <c r="AM129" i="28"/>
  <c r="AL129" i="28"/>
  <c r="AI129" i="28"/>
  <c r="AH129" i="28"/>
  <c r="AG129" i="28"/>
  <c r="AF129" i="28"/>
  <c r="AE129" i="28"/>
  <c r="AD129" i="28"/>
  <c r="AB129" i="28"/>
  <c r="Z129" i="28"/>
  <c r="Y129" i="28"/>
  <c r="X129" i="28"/>
  <c r="W129" i="28"/>
  <c r="V129" i="28"/>
  <c r="AM128" i="28"/>
  <c r="AL128" i="28"/>
  <c r="AI128" i="28"/>
  <c r="AH128" i="28"/>
  <c r="AG128" i="28"/>
  <c r="AF128" i="28"/>
  <c r="AE128" i="28"/>
  <c r="AD128" i="28"/>
  <c r="AB128" i="28"/>
  <c r="Z128" i="28"/>
  <c r="Y128" i="28"/>
  <c r="X128" i="28"/>
  <c r="W128" i="28"/>
  <c r="V128" i="28"/>
  <c r="AM127" i="28"/>
  <c r="AL127" i="28"/>
  <c r="AI127" i="28"/>
  <c r="AH127" i="28"/>
  <c r="AG127" i="28"/>
  <c r="AF127" i="28"/>
  <c r="AE127" i="28"/>
  <c r="AD127" i="28"/>
  <c r="AB127" i="28"/>
  <c r="Z127" i="28"/>
  <c r="Y127" i="28"/>
  <c r="X127" i="28"/>
  <c r="W127" i="28"/>
  <c r="V127" i="28"/>
  <c r="AM126" i="28"/>
  <c r="AL126" i="28"/>
  <c r="AI126" i="28"/>
  <c r="AH126" i="28"/>
  <c r="AG126" i="28"/>
  <c r="AF126" i="28"/>
  <c r="AE126" i="28"/>
  <c r="AD126" i="28"/>
  <c r="AB126" i="28"/>
  <c r="Z126" i="28"/>
  <c r="Y126" i="28"/>
  <c r="X126" i="28"/>
  <c r="W126" i="28"/>
  <c r="V126" i="28"/>
  <c r="AM125" i="28"/>
  <c r="AL125" i="28"/>
  <c r="AI125" i="28"/>
  <c r="AH125" i="28"/>
  <c r="AG125" i="28"/>
  <c r="AF125" i="28"/>
  <c r="AE125" i="28"/>
  <c r="AD125" i="28"/>
  <c r="AB125" i="28"/>
  <c r="Z125" i="28"/>
  <c r="Y125" i="28"/>
  <c r="X125" i="28"/>
  <c r="W125" i="28"/>
  <c r="V125" i="28"/>
  <c r="AM124" i="28"/>
  <c r="AL124" i="28"/>
  <c r="AI124" i="28"/>
  <c r="AH124" i="28"/>
  <c r="AG124" i="28"/>
  <c r="AF124" i="28"/>
  <c r="AE124" i="28"/>
  <c r="AD124" i="28"/>
  <c r="AB124" i="28"/>
  <c r="Z124" i="28"/>
  <c r="Y124" i="28"/>
  <c r="X124" i="28"/>
  <c r="W124" i="28"/>
  <c r="V124" i="28"/>
  <c r="AM123" i="28"/>
  <c r="AL123" i="28"/>
  <c r="AI123" i="28"/>
  <c r="AH123" i="28"/>
  <c r="AG123" i="28"/>
  <c r="AF123" i="28"/>
  <c r="AE123" i="28"/>
  <c r="AD123" i="28"/>
  <c r="AB123" i="28"/>
  <c r="Z123" i="28"/>
  <c r="Y123" i="28"/>
  <c r="X123" i="28"/>
  <c r="W123" i="28"/>
  <c r="V123" i="28"/>
  <c r="AM122" i="28"/>
  <c r="AL122" i="28"/>
  <c r="AI122" i="28"/>
  <c r="AH122" i="28"/>
  <c r="AG122" i="28"/>
  <c r="AF122" i="28"/>
  <c r="AE122" i="28"/>
  <c r="AD122" i="28"/>
  <c r="AB122" i="28"/>
  <c r="Z122" i="28"/>
  <c r="Y122" i="28"/>
  <c r="X122" i="28"/>
  <c r="W122" i="28"/>
  <c r="V122" i="28"/>
  <c r="AM121" i="28"/>
  <c r="AL121" i="28"/>
  <c r="AI121" i="28"/>
  <c r="AH121" i="28"/>
  <c r="AG121" i="28"/>
  <c r="AF121" i="28"/>
  <c r="AE121" i="28"/>
  <c r="AD121" i="28"/>
  <c r="AB121" i="28"/>
  <c r="Z121" i="28"/>
  <c r="Y121" i="28"/>
  <c r="X121" i="28"/>
  <c r="W121" i="28"/>
  <c r="V121" i="28"/>
  <c r="AM120" i="28"/>
  <c r="AL120" i="28"/>
  <c r="AI120" i="28"/>
  <c r="AH120" i="28"/>
  <c r="AG120" i="28"/>
  <c r="AF120" i="28"/>
  <c r="AE120" i="28"/>
  <c r="AD120" i="28"/>
  <c r="AB120" i="28"/>
  <c r="Z120" i="28"/>
  <c r="Y120" i="28"/>
  <c r="X120" i="28"/>
  <c r="W120" i="28"/>
  <c r="V120" i="28"/>
  <c r="AM119" i="28"/>
  <c r="AL119" i="28"/>
  <c r="AI119" i="28"/>
  <c r="AH119" i="28"/>
  <c r="AG119" i="28"/>
  <c r="AF119" i="28"/>
  <c r="AE119" i="28"/>
  <c r="AD119" i="28"/>
  <c r="AB119" i="28"/>
  <c r="Z119" i="28"/>
  <c r="Y119" i="28"/>
  <c r="X119" i="28"/>
  <c r="W119" i="28"/>
  <c r="V119" i="28"/>
  <c r="AM118" i="28"/>
  <c r="AL118" i="28"/>
  <c r="AI118" i="28"/>
  <c r="AH118" i="28"/>
  <c r="AG118" i="28"/>
  <c r="AF118" i="28"/>
  <c r="AE118" i="28"/>
  <c r="AD118" i="28"/>
  <c r="AB118" i="28"/>
  <c r="Z118" i="28"/>
  <c r="Y118" i="28"/>
  <c r="X118" i="28"/>
  <c r="W118" i="28"/>
  <c r="V118" i="28"/>
  <c r="AM117" i="28"/>
  <c r="AL117" i="28"/>
  <c r="AI117" i="28"/>
  <c r="AH117" i="28"/>
  <c r="AG117" i="28"/>
  <c r="AF117" i="28"/>
  <c r="AE117" i="28"/>
  <c r="AD117" i="28"/>
  <c r="AB117" i="28"/>
  <c r="Z117" i="28"/>
  <c r="Y117" i="28"/>
  <c r="X117" i="28"/>
  <c r="W117" i="28"/>
  <c r="V117" i="28"/>
  <c r="AM116" i="28"/>
  <c r="AL116" i="28"/>
  <c r="AI116" i="28"/>
  <c r="AH116" i="28"/>
  <c r="AG116" i="28"/>
  <c r="AF116" i="28"/>
  <c r="AE116" i="28"/>
  <c r="AD116" i="28"/>
  <c r="AB116" i="28"/>
  <c r="Z116" i="28"/>
  <c r="Y116" i="28"/>
  <c r="X116" i="28"/>
  <c r="W116" i="28"/>
  <c r="V116" i="28"/>
  <c r="AM115" i="28"/>
  <c r="AL115" i="28"/>
  <c r="AI115" i="28"/>
  <c r="AH115" i="28"/>
  <c r="AG115" i="28"/>
  <c r="AF115" i="28"/>
  <c r="AE115" i="28"/>
  <c r="AD115" i="28"/>
  <c r="AB115" i="28"/>
  <c r="Z115" i="28"/>
  <c r="Y115" i="28"/>
  <c r="X115" i="28"/>
  <c r="W115" i="28"/>
  <c r="V115" i="28"/>
  <c r="AM114" i="28"/>
  <c r="AL114" i="28"/>
  <c r="AI114" i="28"/>
  <c r="AH114" i="28"/>
  <c r="AG114" i="28"/>
  <c r="AF114" i="28"/>
  <c r="AE114" i="28"/>
  <c r="AD114" i="28"/>
  <c r="AB114" i="28"/>
  <c r="Z114" i="28"/>
  <c r="Y114" i="28"/>
  <c r="X114" i="28"/>
  <c r="W114" i="28"/>
  <c r="V114" i="28"/>
  <c r="AM113" i="28"/>
  <c r="AL113" i="28"/>
  <c r="AI113" i="28"/>
  <c r="AH113" i="28"/>
  <c r="AG113" i="28"/>
  <c r="AF113" i="28"/>
  <c r="AE113" i="28"/>
  <c r="AD113" i="28"/>
  <c r="AB113" i="28"/>
  <c r="Z113" i="28"/>
  <c r="Y113" i="28"/>
  <c r="X113" i="28"/>
  <c r="W113" i="28"/>
  <c r="V113" i="28"/>
  <c r="AM112" i="28"/>
  <c r="AL112" i="28"/>
  <c r="AI112" i="28"/>
  <c r="AH112" i="28"/>
  <c r="AG112" i="28"/>
  <c r="AF112" i="28"/>
  <c r="AE112" i="28"/>
  <c r="AD112" i="28"/>
  <c r="AB112" i="28"/>
  <c r="Z112" i="28"/>
  <c r="Y112" i="28"/>
  <c r="X112" i="28"/>
  <c r="W112" i="28"/>
  <c r="V112" i="28"/>
  <c r="AM111" i="28"/>
  <c r="AL111" i="28"/>
  <c r="AI111" i="28"/>
  <c r="AH111" i="28"/>
  <c r="AG111" i="28"/>
  <c r="AF111" i="28"/>
  <c r="AE111" i="28"/>
  <c r="AD111" i="28"/>
  <c r="AB111" i="28"/>
  <c r="Z111" i="28"/>
  <c r="Y111" i="28"/>
  <c r="X111" i="28"/>
  <c r="W111" i="28"/>
  <c r="V111" i="28"/>
  <c r="AM110" i="28"/>
  <c r="AL110" i="28"/>
  <c r="AI110" i="28"/>
  <c r="AH110" i="28"/>
  <c r="AG110" i="28"/>
  <c r="AF110" i="28"/>
  <c r="AE110" i="28"/>
  <c r="AD110" i="28"/>
  <c r="AB110" i="28"/>
  <c r="Z110" i="28"/>
  <c r="Y110" i="28"/>
  <c r="X110" i="28"/>
  <c r="W110" i="28"/>
  <c r="V110" i="28"/>
  <c r="AM109" i="28"/>
  <c r="AL109" i="28"/>
  <c r="AI109" i="28"/>
  <c r="AH109" i="28"/>
  <c r="AG109" i="28"/>
  <c r="AF109" i="28"/>
  <c r="AE109" i="28"/>
  <c r="AD109" i="28"/>
  <c r="AB109" i="28"/>
  <c r="Z109" i="28"/>
  <c r="Y109" i="28"/>
  <c r="X109" i="28"/>
  <c r="W109" i="28"/>
  <c r="V109" i="28"/>
  <c r="AM108" i="28"/>
  <c r="AL108" i="28"/>
  <c r="AI108" i="28"/>
  <c r="AH108" i="28"/>
  <c r="AG108" i="28"/>
  <c r="AF108" i="28"/>
  <c r="AE108" i="28"/>
  <c r="AD108" i="28"/>
  <c r="AB108" i="28"/>
  <c r="Z108" i="28"/>
  <c r="Y108" i="28"/>
  <c r="X108" i="28"/>
  <c r="W108" i="28"/>
  <c r="V108" i="28"/>
  <c r="AM107" i="28"/>
  <c r="AL107" i="28"/>
  <c r="AI107" i="28"/>
  <c r="AH107" i="28"/>
  <c r="AG107" i="28"/>
  <c r="AF107" i="28"/>
  <c r="AE107" i="28"/>
  <c r="AD107" i="28"/>
  <c r="AB107" i="28"/>
  <c r="Z107" i="28"/>
  <c r="Y107" i="28"/>
  <c r="X107" i="28"/>
  <c r="W107" i="28"/>
  <c r="V107" i="28"/>
  <c r="AM106" i="28"/>
  <c r="AL106" i="28"/>
  <c r="AI106" i="28"/>
  <c r="AH106" i="28"/>
  <c r="AG106" i="28"/>
  <c r="AF106" i="28"/>
  <c r="AE106" i="28"/>
  <c r="AD106" i="28"/>
  <c r="AB106" i="28"/>
  <c r="Z106" i="28"/>
  <c r="Y106" i="28"/>
  <c r="X106" i="28"/>
  <c r="W106" i="28"/>
  <c r="V106" i="28"/>
  <c r="AM105" i="28"/>
  <c r="AL105" i="28"/>
  <c r="AI105" i="28"/>
  <c r="AH105" i="28"/>
  <c r="AG105" i="28"/>
  <c r="AF105" i="28"/>
  <c r="AE105" i="28"/>
  <c r="AD105" i="28"/>
  <c r="AB105" i="28"/>
  <c r="Z105" i="28"/>
  <c r="Y105" i="28"/>
  <c r="X105" i="28"/>
  <c r="W105" i="28"/>
  <c r="V105" i="28"/>
  <c r="AM104" i="28"/>
  <c r="AL104" i="28"/>
  <c r="AI104" i="28"/>
  <c r="AH104" i="28"/>
  <c r="AG104" i="28"/>
  <c r="AF104" i="28"/>
  <c r="AE104" i="28"/>
  <c r="AD104" i="28"/>
  <c r="AB104" i="28"/>
  <c r="Z104" i="28"/>
  <c r="Y104" i="28"/>
  <c r="X104" i="28"/>
  <c r="W104" i="28"/>
  <c r="V104" i="28"/>
  <c r="AM103" i="28"/>
  <c r="AL103" i="28"/>
  <c r="AI103" i="28"/>
  <c r="AH103" i="28"/>
  <c r="AG103" i="28"/>
  <c r="AF103" i="28"/>
  <c r="AE103" i="28"/>
  <c r="AD103" i="28"/>
  <c r="AB103" i="28"/>
  <c r="Z103" i="28"/>
  <c r="Y103" i="28"/>
  <c r="X103" i="28"/>
  <c r="W103" i="28"/>
  <c r="V103" i="28"/>
  <c r="AM102" i="28"/>
  <c r="AL102" i="28"/>
  <c r="AI102" i="28"/>
  <c r="AH102" i="28"/>
  <c r="AG102" i="28"/>
  <c r="AF102" i="28"/>
  <c r="AE102" i="28"/>
  <c r="AD102" i="28"/>
  <c r="AB102" i="28"/>
  <c r="Z102" i="28"/>
  <c r="Y102" i="28"/>
  <c r="X102" i="28"/>
  <c r="W102" i="28"/>
  <c r="V102" i="28"/>
  <c r="AM101" i="28"/>
  <c r="AL101" i="28"/>
  <c r="AI101" i="28"/>
  <c r="AH101" i="28"/>
  <c r="AG101" i="28"/>
  <c r="AF101" i="28"/>
  <c r="AE101" i="28"/>
  <c r="AD101" i="28"/>
  <c r="AB101" i="28"/>
  <c r="Z101" i="28"/>
  <c r="Y101" i="28"/>
  <c r="X101" i="28"/>
  <c r="W101" i="28"/>
  <c r="V101" i="28"/>
  <c r="AM100" i="28"/>
  <c r="AL100" i="28"/>
  <c r="AI100" i="28"/>
  <c r="AH100" i="28"/>
  <c r="AG100" i="28"/>
  <c r="AF100" i="28"/>
  <c r="AE100" i="28"/>
  <c r="AD100" i="28"/>
  <c r="AB100" i="28"/>
  <c r="Z100" i="28"/>
  <c r="Y100" i="28"/>
  <c r="X100" i="28"/>
  <c r="W100" i="28"/>
  <c r="V100" i="28"/>
  <c r="AM99" i="28"/>
  <c r="AL99" i="28"/>
  <c r="AI99" i="28"/>
  <c r="AH99" i="28"/>
  <c r="AG99" i="28"/>
  <c r="AF99" i="28"/>
  <c r="AE99" i="28"/>
  <c r="AD99" i="28"/>
  <c r="AB99" i="28"/>
  <c r="Z99" i="28"/>
  <c r="Y99" i="28"/>
  <c r="X99" i="28"/>
  <c r="W99" i="28"/>
  <c r="V99" i="28"/>
  <c r="AM98" i="28"/>
  <c r="AL98" i="28"/>
  <c r="AI98" i="28"/>
  <c r="AH98" i="28"/>
  <c r="AG98" i="28"/>
  <c r="AF98" i="28"/>
  <c r="AE98" i="28"/>
  <c r="AD98" i="28"/>
  <c r="AB98" i="28"/>
  <c r="Z98" i="28"/>
  <c r="Y98" i="28"/>
  <c r="X98" i="28"/>
  <c r="W98" i="28"/>
  <c r="V98" i="28"/>
  <c r="AM97" i="28"/>
  <c r="AL97" i="28"/>
  <c r="AI97" i="28"/>
  <c r="AH97" i="28"/>
  <c r="AG97" i="28"/>
  <c r="AF97" i="28"/>
  <c r="AE97" i="28"/>
  <c r="AD97" i="28"/>
  <c r="AB97" i="28"/>
  <c r="Z97" i="28"/>
  <c r="Y97" i="28"/>
  <c r="X97" i="28"/>
  <c r="W97" i="28"/>
  <c r="V97" i="28"/>
  <c r="AM96" i="28"/>
  <c r="AL96" i="28"/>
  <c r="AI96" i="28"/>
  <c r="AH96" i="28"/>
  <c r="AG96" i="28"/>
  <c r="AF96" i="28"/>
  <c r="AE96" i="28"/>
  <c r="AD96" i="28"/>
  <c r="AB96" i="28"/>
  <c r="Z96" i="28"/>
  <c r="Y96" i="28"/>
  <c r="X96" i="28"/>
  <c r="W96" i="28"/>
  <c r="V96" i="28"/>
  <c r="AM95" i="28"/>
  <c r="AL95" i="28"/>
  <c r="AI95" i="28"/>
  <c r="AH95" i="28"/>
  <c r="AG95" i="28"/>
  <c r="AF95" i="28"/>
  <c r="AE95" i="28"/>
  <c r="AD95" i="28"/>
  <c r="AB95" i="28"/>
  <c r="Z95" i="28"/>
  <c r="Y95" i="28"/>
  <c r="X95" i="28"/>
  <c r="W95" i="28"/>
  <c r="V95" i="28"/>
  <c r="AM94" i="28"/>
  <c r="AL94" i="28"/>
  <c r="AI94" i="28"/>
  <c r="AH94" i="28"/>
  <c r="AG94" i="28"/>
  <c r="AF94" i="28"/>
  <c r="AE94" i="28"/>
  <c r="AD94" i="28"/>
  <c r="AB94" i="28"/>
  <c r="Z94" i="28"/>
  <c r="Y94" i="28"/>
  <c r="X94" i="28"/>
  <c r="W94" i="28"/>
  <c r="V94" i="28"/>
  <c r="AM93" i="28"/>
  <c r="AL93" i="28"/>
  <c r="AI93" i="28"/>
  <c r="AH93" i="28"/>
  <c r="AG93" i="28"/>
  <c r="AF93" i="28"/>
  <c r="AE93" i="28"/>
  <c r="AD93" i="28"/>
  <c r="AB93" i="28"/>
  <c r="Z93" i="28"/>
  <c r="Y93" i="28"/>
  <c r="X93" i="28"/>
  <c r="W93" i="28"/>
  <c r="V93" i="28"/>
  <c r="AM92" i="28"/>
  <c r="AL92" i="28"/>
  <c r="AI92" i="28"/>
  <c r="AH92" i="28"/>
  <c r="AG92" i="28"/>
  <c r="AF92" i="28"/>
  <c r="AE92" i="28"/>
  <c r="AD92" i="28"/>
  <c r="AB92" i="28"/>
  <c r="Z92" i="28"/>
  <c r="Y92" i="28"/>
  <c r="X92" i="28"/>
  <c r="W92" i="28"/>
  <c r="V92" i="28"/>
  <c r="AM91" i="28"/>
  <c r="AL91" i="28"/>
  <c r="AI91" i="28"/>
  <c r="AH91" i="28"/>
  <c r="AG91" i="28"/>
  <c r="AF91" i="28"/>
  <c r="AE91" i="28"/>
  <c r="AD91" i="28"/>
  <c r="AB91" i="28"/>
  <c r="Z91" i="28"/>
  <c r="Y91" i="28"/>
  <c r="X91" i="28"/>
  <c r="W91" i="28"/>
  <c r="V91" i="28"/>
  <c r="AM90" i="28"/>
  <c r="AL90" i="28"/>
  <c r="AI90" i="28"/>
  <c r="AH90" i="28"/>
  <c r="AG90" i="28"/>
  <c r="AF90" i="28"/>
  <c r="AE90" i="28"/>
  <c r="AD90" i="28"/>
  <c r="AB90" i="28"/>
  <c r="Z90" i="28"/>
  <c r="Y90" i="28"/>
  <c r="X90" i="28"/>
  <c r="W90" i="28"/>
  <c r="V90" i="28"/>
  <c r="AM89" i="28"/>
  <c r="AL89" i="28"/>
  <c r="AI89" i="28"/>
  <c r="AH89" i="28"/>
  <c r="AG89" i="28"/>
  <c r="AF89" i="28"/>
  <c r="AE89" i="28"/>
  <c r="AD89" i="28"/>
  <c r="AB89" i="28"/>
  <c r="Z89" i="28"/>
  <c r="Y89" i="28"/>
  <c r="X89" i="28"/>
  <c r="W89" i="28"/>
  <c r="V89" i="28"/>
  <c r="Q72" i="28"/>
  <c r="Q71" i="28"/>
  <c r="Q70" i="28"/>
  <c r="Q69" i="28"/>
  <c r="Q68" i="28"/>
  <c r="F12" i="28"/>
  <c r="BR60" i="28"/>
  <c r="F11" i="28"/>
  <c r="BZ51" i="28"/>
  <c r="F10" i="28"/>
  <c r="BY51" i="28"/>
  <c r="F9" i="28"/>
  <c r="BX51" i="28"/>
  <c r="F8" i="28"/>
  <c r="BW51" i="28"/>
  <c r="C25" i="28"/>
  <c r="BR59" i="28"/>
  <c r="CA51" i="28"/>
  <c r="C24" i="28"/>
  <c r="BR58" i="28"/>
  <c r="C23" i="28"/>
  <c r="BR57" i="28"/>
  <c r="C22" i="28"/>
  <c r="BR56" i="28"/>
  <c r="C21" i="28"/>
  <c r="BR37" i="28"/>
  <c r="CA29" i="28"/>
  <c r="BR38" i="28"/>
  <c r="BZ29" i="28"/>
  <c r="BR36" i="28"/>
  <c r="BY29" i="28"/>
  <c r="BR35" i="28"/>
  <c r="BX29" i="28"/>
  <c r="BR34" i="28"/>
  <c r="BW29" i="28"/>
  <c r="BR49" i="28"/>
  <c r="BR48" i="28"/>
  <c r="BR47" i="28"/>
  <c r="BR46" i="28"/>
  <c r="BR45" i="28"/>
  <c r="CA40" i="28"/>
  <c r="BZ40" i="28"/>
  <c r="BY40" i="28"/>
  <c r="BX40" i="28"/>
  <c r="BW40" i="28"/>
  <c r="C38" i="28"/>
  <c r="C37" i="28"/>
  <c r="C36" i="28"/>
  <c r="C35" i="28"/>
  <c r="C34" i="28"/>
  <c r="BA13" i="27"/>
  <c r="BB13" i="27"/>
  <c r="BC13" i="27"/>
  <c r="BA14" i="27"/>
  <c r="BB14" i="27"/>
  <c r="BC14" i="27"/>
  <c r="BA15" i="27"/>
  <c r="BB15" i="27"/>
  <c r="BC15" i="27"/>
  <c r="BA16" i="27"/>
  <c r="BB16" i="27"/>
  <c r="BC16" i="27"/>
  <c r="BA17" i="27"/>
  <c r="BB17" i="27"/>
  <c r="BC17" i="27"/>
  <c r="BA18" i="27"/>
  <c r="BB18" i="27"/>
  <c r="BC18" i="27"/>
  <c r="BA19" i="27"/>
  <c r="BB19" i="27"/>
  <c r="BC19" i="27"/>
  <c r="BA20" i="27"/>
  <c r="BB20" i="27"/>
  <c r="BC20" i="27"/>
  <c r="BA21" i="27"/>
  <c r="BB21" i="27"/>
  <c r="BC21" i="27"/>
  <c r="BA22" i="27"/>
  <c r="BB22" i="27"/>
  <c r="BC22" i="27"/>
  <c r="BA23" i="27"/>
  <c r="BB23" i="27"/>
  <c r="BC23" i="27"/>
  <c r="BA24" i="27"/>
  <c r="BB24" i="27"/>
  <c r="BC24" i="27"/>
  <c r="BA25" i="27"/>
  <c r="BB25" i="27"/>
  <c r="BC25" i="27"/>
  <c r="BA26" i="27"/>
  <c r="BB26" i="27"/>
  <c r="BC26" i="27"/>
  <c r="BA27" i="27"/>
  <c r="BB27" i="27"/>
  <c r="BC27" i="27"/>
  <c r="BA28" i="27"/>
  <c r="BB28" i="27"/>
  <c r="BC28" i="27"/>
  <c r="BA29" i="27"/>
  <c r="BB29" i="27"/>
  <c r="BC29" i="27"/>
  <c r="BA30" i="27"/>
  <c r="BB30" i="27"/>
  <c r="BC30" i="27"/>
  <c r="BA31" i="27"/>
  <c r="BB31" i="27"/>
  <c r="BC31" i="27"/>
  <c r="BA32" i="27"/>
  <c r="BB32" i="27"/>
  <c r="BC32" i="27"/>
  <c r="BA33" i="27"/>
  <c r="BB33" i="27"/>
  <c r="BC33" i="27"/>
  <c r="BA34" i="27"/>
  <c r="BB34" i="27"/>
  <c r="BC34" i="27"/>
  <c r="BA35" i="27"/>
  <c r="BB35" i="27"/>
  <c r="BC35" i="27"/>
  <c r="E82" i="9"/>
  <c r="G9" i="14"/>
  <c r="E27" i="9"/>
  <c r="AO39" i="27"/>
  <c r="E73" i="9"/>
  <c r="G24" i="14"/>
  <c r="E26" i="9"/>
  <c r="AN39" i="27"/>
  <c r="E90" i="9"/>
  <c r="AK39" i="27"/>
  <c r="AJ39" i="27"/>
  <c r="E89" i="9"/>
  <c r="AG39" i="27"/>
  <c r="AO32" i="27"/>
  <c r="AN32" i="27"/>
  <c r="AK32" i="27"/>
  <c r="AJ32" i="27"/>
  <c r="AG32" i="27"/>
  <c r="AO25" i="27"/>
  <c r="AN25" i="27"/>
  <c r="AK25" i="27"/>
  <c r="AJ25" i="27"/>
  <c r="AG25" i="27"/>
  <c r="AO18" i="27"/>
  <c r="AN18" i="27"/>
  <c r="AK18" i="27"/>
  <c r="AJ18" i="27"/>
  <c r="AG18" i="27"/>
  <c r="AO11" i="27"/>
  <c r="AN11" i="27"/>
  <c r="AK11" i="27"/>
  <c r="AJ11" i="27"/>
  <c r="AG11" i="27"/>
  <c r="AH40" i="27"/>
  <c r="AH33" i="27"/>
  <c r="AH26" i="27"/>
  <c r="AH19" i="27"/>
  <c r="AH12" i="27"/>
  <c r="E59" i="9"/>
  <c r="X11" i="27"/>
  <c r="U11" i="27"/>
  <c r="E93" i="9"/>
  <c r="R11" i="27"/>
  <c r="E92" i="9"/>
  <c r="O11" i="27"/>
  <c r="E91" i="9"/>
  <c r="L11" i="27"/>
  <c r="S36" i="27"/>
  <c r="S35" i="27"/>
  <c r="S34" i="27"/>
  <c r="S33" i="27"/>
  <c r="S32" i="27"/>
  <c r="S31" i="27"/>
  <c r="S30" i="27"/>
  <c r="S29" i="27"/>
  <c r="S28" i="27"/>
  <c r="S27" i="27"/>
  <c r="S26" i="27"/>
  <c r="S25" i="27"/>
  <c r="S24" i="27"/>
  <c r="S23" i="27"/>
  <c r="S22" i="27"/>
  <c r="S21" i="27"/>
  <c r="S20" i="27"/>
  <c r="S19" i="27"/>
  <c r="S18" i="27"/>
  <c r="S17" i="27"/>
  <c r="S16" i="27"/>
  <c r="S15" i="27"/>
  <c r="S14" i="27"/>
  <c r="S13" i="27"/>
  <c r="S12" i="27"/>
  <c r="P36" i="27"/>
  <c r="P35" i="27"/>
  <c r="P34" i="27"/>
  <c r="P33" i="27"/>
  <c r="P32" i="27"/>
  <c r="P31" i="27"/>
  <c r="P30" i="27"/>
  <c r="P29" i="27"/>
  <c r="P28" i="27"/>
  <c r="P27" i="27"/>
  <c r="P26" i="27"/>
  <c r="P25" i="27"/>
  <c r="P24" i="27"/>
  <c r="P23" i="27"/>
  <c r="P22" i="27"/>
  <c r="P21" i="27"/>
  <c r="P20" i="27"/>
  <c r="P19" i="27"/>
  <c r="P18" i="27"/>
  <c r="P17" i="27"/>
  <c r="P16" i="27"/>
  <c r="P15" i="27"/>
  <c r="P14" i="27"/>
  <c r="P13" i="27"/>
  <c r="P12" i="27"/>
  <c r="M36" i="27"/>
  <c r="M35" i="27"/>
  <c r="M34" i="27"/>
  <c r="M33" i="27"/>
  <c r="M32" i="27"/>
  <c r="M31" i="27"/>
  <c r="M30" i="27"/>
  <c r="M29" i="27"/>
  <c r="M28" i="27"/>
  <c r="M27" i="27"/>
  <c r="M26" i="27"/>
  <c r="M25" i="27"/>
  <c r="M24" i="27"/>
  <c r="M23" i="27"/>
  <c r="M22" i="27"/>
  <c r="M21" i="27"/>
  <c r="M20" i="27"/>
  <c r="M19" i="27"/>
  <c r="M18" i="27"/>
  <c r="M17" i="27"/>
  <c r="M16" i="27"/>
  <c r="M15" i="27"/>
  <c r="M14" i="27"/>
  <c r="M13" i="27"/>
  <c r="M12" i="27"/>
  <c r="S11" i="26"/>
  <c r="P11" i="26"/>
  <c r="M11" i="26"/>
  <c r="J11" i="26"/>
  <c r="N16" i="26"/>
  <c r="N15" i="26"/>
  <c r="N13" i="26"/>
  <c r="N12" i="26"/>
  <c r="S11" i="36"/>
  <c r="P11" i="36"/>
  <c r="M11" i="36"/>
  <c r="J11" i="36"/>
  <c r="N28" i="36"/>
  <c r="N27" i="36"/>
  <c r="N25" i="36"/>
  <c r="N24" i="36"/>
  <c r="N22" i="36"/>
  <c r="N21" i="36"/>
  <c r="N19" i="36"/>
  <c r="N18" i="36"/>
  <c r="N16" i="36"/>
  <c r="N15" i="36"/>
  <c r="N14" i="36"/>
  <c r="N13" i="36"/>
  <c r="N12" i="36"/>
  <c r="S11" i="32"/>
  <c r="P11" i="32"/>
  <c r="M11" i="32"/>
  <c r="J11" i="32"/>
  <c r="N24" i="32"/>
  <c r="N23" i="32"/>
  <c r="N21" i="32"/>
  <c r="N20" i="32"/>
  <c r="N18" i="32"/>
  <c r="N17" i="32"/>
  <c r="N16" i="32"/>
  <c r="N15" i="32"/>
  <c r="N14" i="32"/>
  <c r="N13" i="32"/>
  <c r="N12" i="32"/>
  <c r="P11" i="21"/>
  <c r="M11" i="21"/>
  <c r="J11" i="21"/>
  <c r="S11" i="21"/>
  <c r="N20" i="21"/>
  <c r="N19" i="21"/>
  <c r="N18" i="21"/>
  <c r="N17" i="21"/>
  <c r="N16" i="21"/>
  <c r="N15" i="21"/>
  <c r="N14" i="21"/>
  <c r="N13" i="21"/>
  <c r="N12" i="21"/>
  <c r="E49" i="9"/>
  <c r="G43" i="31"/>
  <c r="F43" i="31"/>
  <c r="E43" i="31"/>
  <c r="E80" i="9"/>
  <c r="D43" i="31"/>
  <c r="G31" i="31"/>
  <c r="F31" i="31"/>
  <c r="E31" i="31"/>
  <c r="D31" i="31"/>
  <c r="G19" i="31"/>
  <c r="F19" i="31"/>
  <c r="E19" i="31"/>
  <c r="D19" i="31"/>
  <c r="G7" i="31"/>
  <c r="F7" i="31"/>
  <c r="E7" i="31"/>
  <c r="D7" i="31"/>
  <c r="G43" i="10"/>
  <c r="F43" i="10"/>
  <c r="E43" i="10"/>
  <c r="D43" i="10"/>
  <c r="G31" i="10"/>
  <c r="F31" i="10"/>
  <c r="E31" i="10"/>
  <c r="D31" i="10"/>
  <c r="G19" i="10"/>
  <c r="F19" i="10"/>
  <c r="E19" i="10"/>
  <c r="D19" i="10"/>
  <c r="F7" i="10"/>
  <c r="E7" i="10"/>
  <c r="D7" i="10"/>
  <c r="U83" i="6"/>
  <c r="U82" i="6"/>
  <c r="U81" i="6"/>
  <c r="U80" i="6"/>
  <c r="U79" i="6"/>
  <c r="U78" i="6"/>
  <c r="U77" i="6"/>
  <c r="U76" i="6"/>
  <c r="U75" i="6"/>
  <c r="U74" i="6"/>
  <c r="U73" i="6"/>
  <c r="U72" i="6"/>
  <c r="U71" i="6"/>
  <c r="U70" i="6"/>
  <c r="U69" i="6"/>
  <c r="U68" i="6"/>
  <c r="U67" i="6"/>
  <c r="U66" i="6"/>
  <c r="U65" i="6"/>
  <c r="U64" i="6"/>
  <c r="U63" i="6"/>
  <c r="U62" i="6"/>
  <c r="U61" i="6"/>
  <c r="U60" i="6"/>
  <c r="U59" i="6"/>
  <c r="U58" i="6"/>
  <c r="U57" i="6"/>
  <c r="U56" i="6"/>
  <c r="U55" i="6"/>
  <c r="U54" i="6"/>
  <c r="U53" i="6"/>
  <c r="U52" i="6"/>
  <c r="U51" i="6"/>
  <c r="U50" i="6"/>
  <c r="U49" i="6"/>
  <c r="U48" i="6"/>
  <c r="U47" i="6"/>
  <c r="U46" i="6"/>
  <c r="U45" i="6"/>
  <c r="U44" i="6"/>
  <c r="U43" i="6"/>
  <c r="U42" i="6"/>
  <c r="U41" i="6"/>
  <c r="U40" i="6"/>
  <c r="U39" i="6"/>
  <c r="U38" i="6"/>
  <c r="U37" i="6"/>
  <c r="U36" i="6"/>
  <c r="U35" i="6"/>
  <c r="U34" i="6"/>
  <c r="U33" i="6"/>
  <c r="U32" i="6"/>
  <c r="U31" i="6"/>
  <c r="U30" i="6"/>
  <c r="U29" i="6"/>
  <c r="U28" i="6"/>
  <c r="U27" i="6"/>
  <c r="U26" i="6"/>
  <c r="U25" i="6"/>
  <c r="U24" i="6"/>
  <c r="U23" i="6"/>
  <c r="U22" i="6"/>
  <c r="U21" i="6"/>
  <c r="U20" i="6"/>
  <c r="U19" i="6"/>
  <c r="U18" i="6"/>
  <c r="U17" i="6"/>
  <c r="U16" i="6"/>
  <c r="U15" i="6"/>
  <c r="U14" i="6"/>
  <c r="U13" i="6"/>
  <c r="U12" i="6"/>
  <c r="AG24" i="6"/>
  <c r="AF24" i="6"/>
  <c r="AC24" i="6"/>
  <c r="AH33" i="6"/>
  <c r="AD33" i="6"/>
  <c r="AH32" i="6"/>
  <c r="AD32" i="6"/>
  <c r="AH31" i="6"/>
  <c r="AD31" i="6"/>
  <c r="AH30" i="6"/>
  <c r="AD30" i="6"/>
  <c r="AH29" i="6"/>
  <c r="AD29" i="6"/>
  <c r="AH28" i="6"/>
  <c r="AD28" i="6"/>
  <c r="AH27" i="6"/>
  <c r="AD27" i="6"/>
  <c r="AH26" i="6"/>
  <c r="AD26" i="6"/>
  <c r="AD25" i="6"/>
  <c r="AH25" i="6"/>
  <c r="AH20" i="6"/>
  <c r="AD20" i="6"/>
  <c r="AH19" i="6"/>
  <c r="AD19" i="6"/>
  <c r="AH18" i="6"/>
  <c r="AD18" i="6"/>
  <c r="AH17" i="6"/>
  <c r="AD17" i="6"/>
  <c r="AH16" i="6"/>
  <c r="AD16" i="6"/>
  <c r="AH15" i="6"/>
  <c r="AD15" i="6"/>
  <c r="AH14" i="6"/>
  <c r="AD14" i="6"/>
  <c r="AH13" i="6"/>
  <c r="AD13" i="6"/>
  <c r="AK24" i="6"/>
  <c r="AK11" i="6"/>
  <c r="AJ11" i="6"/>
  <c r="AJ24" i="6"/>
  <c r="I12" i="37"/>
  <c r="K12" i="37"/>
  <c r="AC12" i="37"/>
  <c r="AD12" i="37"/>
  <c r="U12" i="37"/>
  <c r="I13" i="37"/>
  <c r="K13" i="37"/>
  <c r="AC13" i="37"/>
  <c r="AD13" i="37"/>
  <c r="U13" i="37"/>
  <c r="I14" i="37"/>
  <c r="K14" i="37"/>
  <c r="AC14" i="37"/>
  <c r="AD14" i="37"/>
  <c r="U14" i="37"/>
  <c r="I15" i="37"/>
  <c r="K15" i="37"/>
  <c r="AC15" i="37"/>
  <c r="AD15" i="37"/>
  <c r="U15" i="37"/>
  <c r="I16" i="37"/>
  <c r="K16" i="37"/>
  <c r="AC16" i="37"/>
  <c r="AD16" i="37"/>
  <c r="U16" i="37"/>
  <c r="I17" i="37"/>
  <c r="K17" i="37"/>
  <c r="AC17" i="37"/>
  <c r="AD17" i="37"/>
  <c r="U17" i="37"/>
  <c r="AD18" i="17"/>
  <c r="Y18" i="17"/>
  <c r="AD19" i="17"/>
  <c r="Y19" i="17"/>
  <c r="AD20" i="17"/>
  <c r="Y20" i="17"/>
  <c r="AD21" i="17"/>
  <c r="Y21" i="17"/>
  <c r="Q69" i="17"/>
  <c r="C22" i="17"/>
  <c r="AD22" i="17"/>
  <c r="Y22" i="17"/>
  <c r="Q70" i="17"/>
  <c r="C23" i="17"/>
  <c r="AD23" i="17"/>
  <c r="Y23" i="17"/>
  <c r="Q71" i="17"/>
  <c r="C24" i="17"/>
  <c r="AD24" i="17"/>
  <c r="Y24" i="17"/>
  <c r="AD25" i="17"/>
  <c r="Y25" i="17"/>
  <c r="AD17" i="17"/>
  <c r="Y17" i="17"/>
  <c r="Q72" i="17"/>
  <c r="Q68" i="17"/>
  <c r="Q67" i="17"/>
  <c r="Q66" i="17"/>
  <c r="Q65" i="17"/>
  <c r="Q64" i="17"/>
  <c r="F4" i="17"/>
  <c r="F5" i="17"/>
  <c r="F6" i="17"/>
  <c r="F7" i="17"/>
  <c r="F8" i="17"/>
  <c r="F9" i="17"/>
  <c r="F10" i="17"/>
  <c r="F11" i="17"/>
  <c r="F12" i="17"/>
  <c r="F13" i="17"/>
  <c r="Q69" i="3"/>
  <c r="F9" i="3"/>
  <c r="Q70" i="3"/>
  <c r="F10" i="3"/>
  <c r="Q71" i="3"/>
  <c r="F11" i="3"/>
  <c r="F13" i="3"/>
  <c r="F14" i="3"/>
  <c r="V135" i="17"/>
  <c r="W135" i="17"/>
  <c r="AA135" i="17"/>
  <c r="AC207" i="17"/>
  <c r="AB207" i="17"/>
  <c r="AA207" i="17"/>
  <c r="Z207" i="17"/>
  <c r="V134" i="17"/>
  <c r="W134" i="17"/>
  <c r="AA134" i="17"/>
  <c r="AC206" i="17"/>
  <c r="AB206" i="17"/>
  <c r="AA206" i="17"/>
  <c r="Z206" i="17"/>
  <c r="V133" i="17"/>
  <c r="W133" i="17"/>
  <c r="AA133" i="17"/>
  <c r="AC205" i="17"/>
  <c r="AB205" i="17"/>
  <c r="AA205" i="17"/>
  <c r="Z205" i="17"/>
  <c r="V132" i="17"/>
  <c r="W132" i="17"/>
  <c r="AA132" i="17"/>
  <c r="AC204" i="17"/>
  <c r="AB204" i="17"/>
  <c r="AA204" i="17"/>
  <c r="Z204" i="17"/>
  <c r="V131" i="17"/>
  <c r="W131" i="17"/>
  <c r="AA131" i="17"/>
  <c r="AC203" i="17"/>
  <c r="AB203" i="17"/>
  <c r="AA203" i="17"/>
  <c r="Z203" i="17"/>
  <c r="V130" i="17"/>
  <c r="W130" i="17"/>
  <c r="AA130" i="17"/>
  <c r="AC202" i="17"/>
  <c r="AB202" i="17"/>
  <c r="AA202" i="17"/>
  <c r="Z202" i="17"/>
  <c r="V129" i="17"/>
  <c r="W129" i="17"/>
  <c r="AA129" i="17"/>
  <c r="AC201" i="17"/>
  <c r="AB201" i="17"/>
  <c r="AA201" i="17"/>
  <c r="Z201" i="17"/>
  <c r="V128" i="17"/>
  <c r="W128" i="17"/>
  <c r="AA128" i="17"/>
  <c r="AC200" i="17"/>
  <c r="AB200" i="17"/>
  <c r="AA200" i="17"/>
  <c r="Z200" i="17"/>
  <c r="V127" i="17"/>
  <c r="W127" i="17"/>
  <c r="AA127" i="17"/>
  <c r="AC199" i="17"/>
  <c r="AB199" i="17"/>
  <c r="AA199" i="17"/>
  <c r="Z199" i="17"/>
  <c r="V126" i="17"/>
  <c r="W126" i="17"/>
  <c r="AA126" i="17"/>
  <c r="AC198" i="17"/>
  <c r="AB198" i="17"/>
  <c r="AA198" i="17"/>
  <c r="Z198" i="17"/>
  <c r="V125" i="17"/>
  <c r="W125" i="17"/>
  <c r="AA125" i="17"/>
  <c r="AC197" i="17"/>
  <c r="AB197" i="17"/>
  <c r="AA197" i="17"/>
  <c r="Z197" i="17"/>
  <c r="V124" i="17"/>
  <c r="W124" i="17"/>
  <c r="AA124" i="17"/>
  <c r="AC196" i="17"/>
  <c r="AB196" i="17"/>
  <c r="AA196" i="17"/>
  <c r="Z196" i="17"/>
  <c r="V123" i="17"/>
  <c r="W123" i="17"/>
  <c r="AA123" i="17"/>
  <c r="AC195" i="17"/>
  <c r="AB195" i="17"/>
  <c r="AA195" i="17"/>
  <c r="Z195" i="17"/>
  <c r="V122" i="17"/>
  <c r="W122" i="17"/>
  <c r="AA122" i="17"/>
  <c r="AC194" i="17"/>
  <c r="AB194" i="17"/>
  <c r="AA194" i="17"/>
  <c r="Z194" i="17"/>
  <c r="V121" i="17"/>
  <c r="W121" i="17"/>
  <c r="AA121" i="17"/>
  <c r="AC193" i="17"/>
  <c r="AB193" i="17"/>
  <c r="AA193" i="17"/>
  <c r="Z193" i="17"/>
  <c r="V120" i="17"/>
  <c r="W120" i="17"/>
  <c r="AA120" i="17"/>
  <c r="AC192" i="17"/>
  <c r="AB192" i="17"/>
  <c r="AA192" i="17"/>
  <c r="Z192" i="17"/>
  <c r="V119" i="17"/>
  <c r="W119" i="17"/>
  <c r="AA119" i="17"/>
  <c r="AC191" i="17"/>
  <c r="AB191" i="17"/>
  <c r="AA191" i="17"/>
  <c r="Z191" i="17"/>
  <c r="V118" i="17"/>
  <c r="W118" i="17"/>
  <c r="AA118" i="17"/>
  <c r="AC190" i="17"/>
  <c r="AB190" i="17"/>
  <c r="AA190" i="17"/>
  <c r="Z190" i="17"/>
  <c r="V117" i="17"/>
  <c r="W117" i="17"/>
  <c r="AA117" i="17"/>
  <c r="AC189" i="17"/>
  <c r="AB189" i="17"/>
  <c r="AA189" i="17"/>
  <c r="Z189" i="17"/>
  <c r="V116" i="17"/>
  <c r="W116" i="17"/>
  <c r="AA116" i="17"/>
  <c r="AC188" i="17"/>
  <c r="AB188" i="17"/>
  <c r="AA188" i="17"/>
  <c r="Z188" i="17"/>
  <c r="V115" i="17"/>
  <c r="W115" i="17"/>
  <c r="AA115" i="17"/>
  <c r="AC187" i="17"/>
  <c r="AB187" i="17"/>
  <c r="AA187" i="17"/>
  <c r="Z187" i="17"/>
  <c r="V114" i="17"/>
  <c r="W114" i="17"/>
  <c r="AA114" i="17"/>
  <c r="AC186" i="17"/>
  <c r="AB186" i="17"/>
  <c r="AA186" i="17"/>
  <c r="Z186" i="17"/>
  <c r="V113" i="17"/>
  <c r="W113" i="17"/>
  <c r="AA113" i="17"/>
  <c r="AC185" i="17"/>
  <c r="AB185" i="17"/>
  <c r="AA185" i="17"/>
  <c r="Z185" i="17"/>
  <c r="V112" i="17"/>
  <c r="W112" i="17"/>
  <c r="AA112" i="17"/>
  <c r="AC184" i="17"/>
  <c r="AB184" i="17"/>
  <c r="AA184" i="17"/>
  <c r="Z184" i="17"/>
  <c r="V111" i="17"/>
  <c r="W111" i="17"/>
  <c r="AA111" i="17"/>
  <c r="AC183" i="17"/>
  <c r="AB183" i="17"/>
  <c r="AA183" i="17"/>
  <c r="Z183" i="17"/>
  <c r="V110" i="17"/>
  <c r="W110" i="17"/>
  <c r="AA110" i="17"/>
  <c r="AC182" i="17"/>
  <c r="AB182" i="17"/>
  <c r="AA182" i="17"/>
  <c r="Z182" i="17"/>
  <c r="V109" i="17"/>
  <c r="W109" i="17"/>
  <c r="AA109" i="17"/>
  <c r="AC181" i="17"/>
  <c r="AB181" i="17"/>
  <c r="AA181" i="17"/>
  <c r="Z181" i="17"/>
  <c r="V108" i="17"/>
  <c r="W108" i="17"/>
  <c r="AA108" i="17"/>
  <c r="AC180" i="17"/>
  <c r="AB180" i="17"/>
  <c r="AA180" i="17"/>
  <c r="Z180" i="17"/>
  <c r="V107" i="17"/>
  <c r="W107" i="17"/>
  <c r="AA107" i="17"/>
  <c r="AC179" i="17"/>
  <c r="AB179" i="17"/>
  <c r="AA179" i="17"/>
  <c r="Z179" i="17"/>
  <c r="V106" i="17"/>
  <c r="W106" i="17"/>
  <c r="AA106" i="17"/>
  <c r="AC178" i="17"/>
  <c r="AB178" i="17"/>
  <c r="AA178" i="17"/>
  <c r="Z178" i="17"/>
  <c r="V105" i="17"/>
  <c r="W105" i="17"/>
  <c r="AA105" i="17"/>
  <c r="AC177" i="17"/>
  <c r="AB177" i="17"/>
  <c r="AA177" i="17"/>
  <c r="Z177" i="17"/>
  <c r="V104" i="17"/>
  <c r="W104" i="17"/>
  <c r="AA104" i="17"/>
  <c r="AC176" i="17"/>
  <c r="AB176" i="17"/>
  <c r="AA176" i="17"/>
  <c r="Z176" i="17"/>
  <c r="V103" i="17"/>
  <c r="W103" i="17"/>
  <c r="AA103" i="17"/>
  <c r="AC175" i="17"/>
  <c r="AB175" i="17"/>
  <c r="AA175" i="17"/>
  <c r="Z175" i="17"/>
  <c r="V102" i="17"/>
  <c r="W102" i="17"/>
  <c r="AA102" i="17"/>
  <c r="AC174" i="17"/>
  <c r="AB174" i="17"/>
  <c r="AA174" i="17"/>
  <c r="Z174" i="17"/>
  <c r="V101" i="17"/>
  <c r="W101" i="17"/>
  <c r="AA101" i="17"/>
  <c r="AC173" i="17"/>
  <c r="AB173" i="17"/>
  <c r="AA173" i="17"/>
  <c r="Z173" i="17"/>
  <c r="V100" i="17"/>
  <c r="W100" i="17"/>
  <c r="AA100" i="17"/>
  <c r="AC172" i="17"/>
  <c r="AB172" i="17"/>
  <c r="AA172" i="17"/>
  <c r="Z172" i="17"/>
  <c r="V99" i="17"/>
  <c r="W99" i="17"/>
  <c r="AA99" i="17"/>
  <c r="AC171" i="17"/>
  <c r="AB171" i="17"/>
  <c r="AA171" i="17"/>
  <c r="Z171" i="17"/>
  <c r="V98" i="17"/>
  <c r="W98" i="17"/>
  <c r="AA98" i="17"/>
  <c r="AC170" i="17"/>
  <c r="AB170" i="17"/>
  <c r="AA170" i="17"/>
  <c r="Z170" i="17"/>
  <c r="V97" i="17"/>
  <c r="W97" i="17"/>
  <c r="AA97" i="17"/>
  <c r="AC169" i="17"/>
  <c r="AB169" i="17"/>
  <c r="AA169" i="17"/>
  <c r="Z169" i="17"/>
  <c r="V96" i="17"/>
  <c r="W96" i="17"/>
  <c r="AA96" i="17"/>
  <c r="AC168" i="17"/>
  <c r="AB168" i="17"/>
  <c r="AA168" i="17"/>
  <c r="Z168" i="17"/>
  <c r="V95" i="17"/>
  <c r="W95" i="17"/>
  <c r="AA95" i="17"/>
  <c r="AC167" i="17"/>
  <c r="AB167" i="17"/>
  <c r="AA167" i="17"/>
  <c r="Z167" i="17"/>
  <c r="V94" i="17"/>
  <c r="W94" i="17"/>
  <c r="AA94" i="17"/>
  <c r="AC166" i="17"/>
  <c r="AB166" i="17"/>
  <c r="AA166" i="17"/>
  <c r="Z166" i="17"/>
  <c r="V93" i="17"/>
  <c r="W93" i="17"/>
  <c r="AA93" i="17"/>
  <c r="AC165" i="17"/>
  <c r="AB165" i="17"/>
  <c r="AA165" i="17"/>
  <c r="Z165" i="17"/>
  <c r="V92" i="17"/>
  <c r="W92" i="17"/>
  <c r="AA92" i="17"/>
  <c r="AC164" i="17"/>
  <c r="AB164" i="17"/>
  <c r="AA164" i="17"/>
  <c r="Z164" i="17"/>
  <c r="V91" i="17"/>
  <c r="W91" i="17"/>
  <c r="AA91" i="17"/>
  <c r="AC163" i="17"/>
  <c r="AB163" i="17"/>
  <c r="AA163" i="17"/>
  <c r="Z163" i="17"/>
  <c r="V90" i="17"/>
  <c r="W90" i="17"/>
  <c r="AA90" i="17"/>
  <c r="AC162" i="17"/>
  <c r="AB162" i="17"/>
  <c r="AA162" i="17"/>
  <c r="Z162" i="17"/>
  <c r="V89" i="17"/>
  <c r="W89" i="17"/>
  <c r="AA89" i="17"/>
  <c r="AC161" i="17"/>
  <c r="AB161" i="17"/>
  <c r="AA161" i="17"/>
  <c r="Z161" i="17"/>
  <c r="V88" i="17"/>
  <c r="W88" i="17"/>
  <c r="AA88" i="17"/>
  <c r="AC160" i="17"/>
  <c r="AB160" i="17"/>
  <c r="AA160" i="17"/>
  <c r="Z160" i="17"/>
  <c r="V87" i="17"/>
  <c r="W87" i="17"/>
  <c r="AA87" i="17"/>
  <c r="AC159" i="17"/>
  <c r="AB159" i="17"/>
  <c r="AA159" i="17"/>
  <c r="Z159" i="17"/>
  <c r="V86" i="17"/>
  <c r="W86" i="17"/>
  <c r="AA86" i="17"/>
  <c r="AC158" i="17"/>
  <c r="AB158" i="17"/>
  <c r="AA158" i="17"/>
  <c r="Z158" i="17"/>
  <c r="V85" i="17"/>
  <c r="W85" i="17"/>
  <c r="AA85" i="17"/>
  <c r="AK85" i="17"/>
  <c r="AJ85" i="17"/>
  <c r="AC157" i="17"/>
  <c r="Y85" i="17"/>
  <c r="AE85" i="17"/>
  <c r="AG85" i="17"/>
  <c r="AI85" i="17"/>
  <c r="X85" i="17"/>
  <c r="AD85" i="17"/>
  <c r="AF85" i="17"/>
  <c r="AH85" i="17"/>
  <c r="AB157" i="17"/>
  <c r="AA157" i="17"/>
  <c r="Z157" i="17"/>
  <c r="V84" i="17"/>
  <c r="W84" i="17"/>
  <c r="AA84" i="17"/>
  <c r="AC156" i="17"/>
  <c r="AB156" i="17"/>
  <c r="AA156" i="17"/>
  <c r="Z156" i="17"/>
  <c r="V83" i="17"/>
  <c r="W83" i="17"/>
  <c r="AA83" i="17"/>
  <c r="AK83" i="17"/>
  <c r="AJ83" i="17"/>
  <c r="AC155" i="17"/>
  <c r="Y83" i="17"/>
  <c r="AE83" i="17"/>
  <c r="AG83" i="17"/>
  <c r="AI83" i="17"/>
  <c r="X83" i="17"/>
  <c r="AD83" i="17"/>
  <c r="AF83" i="17"/>
  <c r="AH83" i="17"/>
  <c r="AB155" i="17"/>
  <c r="AA155" i="17"/>
  <c r="Z155" i="17"/>
  <c r="V82" i="17"/>
  <c r="W82" i="17"/>
  <c r="AA82" i="17"/>
  <c r="AK82" i="17"/>
  <c r="AJ82" i="17"/>
  <c r="AC154" i="17"/>
  <c r="Y82" i="17"/>
  <c r="AE82" i="17"/>
  <c r="AG82" i="17"/>
  <c r="AI82" i="17"/>
  <c r="X82" i="17"/>
  <c r="AD82" i="17"/>
  <c r="AF82" i="17"/>
  <c r="AH82" i="17"/>
  <c r="AB154" i="17"/>
  <c r="AA154" i="17"/>
  <c r="Z154" i="17"/>
  <c r="V81" i="17"/>
  <c r="W81" i="17"/>
  <c r="AA81" i="17"/>
  <c r="AK81" i="17"/>
  <c r="AJ81" i="17"/>
  <c r="AC153" i="17"/>
  <c r="Y81" i="17"/>
  <c r="AE81" i="17"/>
  <c r="AG81" i="17"/>
  <c r="AI81" i="17"/>
  <c r="X81" i="17"/>
  <c r="AD81" i="17"/>
  <c r="AF81" i="17"/>
  <c r="AH81" i="17"/>
  <c r="AB153" i="17"/>
  <c r="AA153" i="17"/>
  <c r="Z153" i="17"/>
  <c r="V80" i="17"/>
  <c r="W80" i="17"/>
  <c r="AA80" i="17"/>
  <c r="AK80" i="17"/>
  <c r="AJ80" i="17"/>
  <c r="AC152" i="17"/>
  <c r="Y80" i="17"/>
  <c r="AE80" i="17"/>
  <c r="AG80" i="17"/>
  <c r="AI80" i="17"/>
  <c r="X80" i="17"/>
  <c r="AD80" i="17"/>
  <c r="AF80" i="17"/>
  <c r="AH80" i="17"/>
  <c r="AB152" i="17"/>
  <c r="AA152" i="17"/>
  <c r="Z152" i="17"/>
  <c r="V79" i="17"/>
  <c r="W79" i="17"/>
  <c r="AA79" i="17"/>
  <c r="AK79" i="17"/>
  <c r="AJ79" i="17"/>
  <c r="AC151" i="17"/>
  <c r="Y79" i="17"/>
  <c r="AE79" i="17"/>
  <c r="AG79" i="17"/>
  <c r="AI79" i="17"/>
  <c r="X79" i="17"/>
  <c r="AD79" i="17"/>
  <c r="AF79" i="17"/>
  <c r="AH79" i="17"/>
  <c r="AB151" i="17"/>
  <c r="AA151" i="17"/>
  <c r="Z151" i="17"/>
  <c r="V78" i="17"/>
  <c r="W78" i="17"/>
  <c r="AA78" i="17"/>
  <c r="AK78" i="17"/>
  <c r="AJ78" i="17"/>
  <c r="AC150" i="17"/>
  <c r="Y78" i="17"/>
  <c r="AE78" i="17"/>
  <c r="AG78" i="17"/>
  <c r="AI78" i="17"/>
  <c r="X78" i="17"/>
  <c r="AD78" i="17"/>
  <c r="AF78" i="17"/>
  <c r="AH78" i="17"/>
  <c r="AB150" i="17"/>
  <c r="AA150" i="17"/>
  <c r="Z150" i="17"/>
  <c r="V77" i="17"/>
  <c r="W77" i="17"/>
  <c r="AA77" i="17"/>
  <c r="AK77" i="17"/>
  <c r="AJ77" i="17"/>
  <c r="AC149" i="17"/>
  <c r="Y77" i="17"/>
  <c r="AE77" i="17"/>
  <c r="AG77" i="17"/>
  <c r="AI77" i="17"/>
  <c r="X77" i="17"/>
  <c r="AD77" i="17"/>
  <c r="AF77" i="17"/>
  <c r="AH77" i="17"/>
  <c r="AB149" i="17"/>
  <c r="AA149" i="17"/>
  <c r="Z149" i="17"/>
  <c r="V76" i="17"/>
  <c r="W76" i="17"/>
  <c r="AA76" i="17"/>
  <c r="AK76" i="17"/>
  <c r="AJ76" i="17"/>
  <c r="AC148" i="17"/>
  <c r="Y76" i="17"/>
  <c r="AE76" i="17"/>
  <c r="AG76" i="17"/>
  <c r="AI76" i="17"/>
  <c r="X76" i="17"/>
  <c r="AD76" i="17"/>
  <c r="AF76" i="17"/>
  <c r="AH76" i="17"/>
  <c r="AB148" i="17"/>
  <c r="AA148" i="17"/>
  <c r="Z148" i="17"/>
  <c r="V75" i="17"/>
  <c r="W75" i="17"/>
  <c r="AA75" i="17"/>
  <c r="AK75" i="17"/>
  <c r="AJ75" i="17"/>
  <c r="AC147" i="17"/>
  <c r="Y75" i="17"/>
  <c r="AE75" i="17"/>
  <c r="AG75" i="17"/>
  <c r="AI75" i="17"/>
  <c r="X75" i="17"/>
  <c r="AD75" i="17"/>
  <c r="AF75" i="17"/>
  <c r="AH75" i="17"/>
  <c r="AB147" i="17"/>
  <c r="AA147" i="17"/>
  <c r="Z147" i="17"/>
  <c r="V74" i="17"/>
  <c r="W74" i="17"/>
  <c r="AA74" i="17"/>
  <c r="AK74" i="17"/>
  <c r="AJ74" i="17"/>
  <c r="AC146" i="17"/>
  <c r="Y74" i="17"/>
  <c r="AE74" i="17"/>
  <c r="AG74" i="17"/>
  <c r="AI74" i="17"/>
  <c r="X74" i="17"/>
  <c r="AD74" i="17"/>
  <c r="AF74" i="17"/>
  <c r="AH74" i="17"/>
  <c r="AB146" i="17"/>
  <c r="AA146" i="17"/>
  <c r="Z146" i="17"/>
  <c r="V73" i="17"/>
  <c r="W73" i="17"/>
  <c r="AA73" i="17"/>
  <c r="AK73" i="17"/>
  <c r="AJ73" i="17"/>
  <c r="AC145" i="17"/>
  <c r="Y73" i="17"/>
  <c r="AE73" i="17"/>
  <c r="AG73" i="17"/>
  <c r="AI73" i="17"/>
  <c r="X73" i="17"/>
  <c r="AD73" i="17"/>
  <c r="AF73" i="17"/>
  <c r="AH73" i="17"/>
  <c r="AB145" i="17"/>
  <c r="AA145" i="17"/>
  <c r="Z145" i="17"/>
  <c r="V72" i="17"/>
  <c r="W72" i="17"/>
  <c r="AA72" i="17"/>
  <c r="AK72" i="17"/>
  <c r="AJ72" i="17"/>
  <c r="AC144" i="17"/>
  <c r="Y72" i="17"/>
  <c r="AE72" i="17"/>
  <c r="AG72" i="17"/>
  <c r="AI72" i="17"/>
  <c r="X72" i="17"/>
  <c r="AD72" i="17"/>
  <c r="AF72" i="17"/>
  <c r="AH72" i="17"/>
  <c r="AB144" i="17"/>
  <c r="AA144" i="17"/>
  <c r="Z144" i="17"/>
  <c r="V71" i="17"/>
  <c r="W71" i="17"/>
  <c r="AA71" i="17"/>
  <c r="AK71" i="17"/>
  <c r="AJ71" i="17"/>
  <c r="AC143" i="17"/>
  <c r="Y71" i="17"/>
  <c r="AE71" i="17"/>
  <c r="AG71" i="17"/>
  <c r="AI71" i="17"/>
  <c r="X71" i="17"/>
  <c r="AD71" i="17"/>
  <c r="AF71" i="17"/>
  <c r="AH71" i="17"/>
  <c r="AB143" i="17"/>
  <c r="AA143" i="17"/>
  <c r="Z143" i="17"/>
  <c r="V70" i="17"/>
  <c r="W70" i="17"/>
  <c r="AA70" i="17"/>
  <c r="AK70" i="17"/>
  <c r="AJ70" i="17"/>
  <c r="AC142" i="17"/>
  <c r="Y70" i="17"/>
  <c r="AE70" i="17"/>
  <c r="AG70" i="17"/>
  <c r="AI70" i="17"/>
  <c r="X70" i="17"/>
  <c r="AD70" i="17"/>
  <c r="AF70" i="17"/>
  <c r="AH70" i="17"/>
  <c r="AB142" i="17"/>
  <c r="AA142" i="17"/>
  <c r="Z142" i="17"/>
  <c r="V69" i="17"/>
  <c r="W69" i="17"/>
  <c r="AA69" i="17"/>
  <c r="AK69" i="17"/>
  <c r="AJ69" i="17"/>
  <c r="AC141" i="17"/>
  <c r="Y69" i="17"/>
  <c r="AE69" i="17"/>
  <c r="AG69" i="17"/>
  <c r="AI69" i="17"/>
  <c r="X69" i="17"/>
  <c r="AD69" i="17"/>
  <c r="AF69" i="17"/>
  <c r="AH69" i="17"/>
  <c r="AB141" i="17"/>
  <c r="AA141" i="17"/>
  <c r="Z141" i="17"/>
  <c r="V68" i="17"/>
  <c r="W68" i="17"/>
  <c r="AA68" i="17"/>
  <c r="AK68" i="17"/>
  <c r="AJ68" i="17"/>
  <c r="AC140" i="17"/>
  <c r="Y68" i="17"/>
  <c r="AE68" i="17"/>
  <c r="AG68" i="17"/>
  <c r="AI68" i="17"/>
  <c r="X68" i="17"/>
  <c r="AD68" i="17"/>
  <c r="AF68" i="17"/>
  <c r="AH68" i="17"/>
  <c r="AB140" i="17"/>
  <c r="AA140" i="17"/>
  <c r="Z140" i="17"/>
  <c r="V67" i="17"/>
  <c r="W67" i="17"/>
  <c r="AA67" i="17"/>
  <c r="AK67" i="17"/>
  <c r="AJ67" i="17"/>
  <c r="AC139" i="17"/>
  <c r="Y67" i="17"/>
  <c r="AE67" i="17"/>
  <c r="AG67" i="17"/>
  <c r="AI67" i="17"/>
  <c r="X67" i="17"/>
  <c r="AD67" i="17"/>
  <c r="AF67" i="17"/>
  <c r="AH67" i="17"/>
  <c r="AB139" i="17"/>
  <c r="AA139" i="17"/>
  <c r="Z139" i="17"/>
  <c r="V66" i="17"/>
  <c r="W66" i="17"/>
  <c r="AA66" i="17"/>
  <c r="AK66" i="17"/>
  <c r="AJ66" i="17"/>
  <c r="AC138" i="17"/>
  <c r="Y66" i="17"/>
  <c r="AE66" i="17"/>
  <c r="AG66" i="17"/>
  <c r="AI66" i="17"/>
  <c r="X66" i="17"/>
  <c r="AD66" i="17"/>
  <c r="AF66" i="17"/>
  <c r="AH66" i="17"/>
  <c r="AB138" i="17"/>
  <c r="AA138" i="17"/>
  <c r="Z138" i="17"/>
  <c r="V65" i="17"/>
  <c r="W65" i="17"/>
  <c r="AA65" i="17"/>
  <c r="AK65" i="17"/>
  <c r="AJ65" i="17"/>
  <c r="AC137" i="17"/>
  <c r="Y65" i="17"/>
  <c r="AE65" i="17"/>
  <c r="AG65" i="17"/>
  <c r="AI65" i="17"/>
  <c r="X65" i="17"/>
  <c r="AD65" i="17"/>
  <c r="AF65" i="17"/>
  <c r="AH65" i="17"/>
  <c r="AB137" i="17"/>
  <c r="AA137" i="17"/>
  <c r="Z137" i="17"/>
  <c r="V64" i="17"/>
  <c r="W64" i="17"/>
  <c r="AA64" i="17"/>
  <c r="AK64" i="17"/>
  <c r="AJ64" i="17"/>
  <c r="AC136" i="17"/>
  <c r="Y64" i="17"/>
  <c r="AE64" i="17"/>
  <c r="AG64" i="17"/>
  <c r="AI64" i="17"/>
  <c r="X64" i="17"/>
  <c r="AD64" i="17"/>
  <c r="AF64" i="17"/>
  <c r="AH64" i="17"/>
  <c r="AB136" i="17"/>
  <c r="AA136" i="17"/>
  <c r="Z136" i="17"/>
  <c r="AM135" i="17"/>
  <c r="AL135" i="17"/>
  <c r="AK135" i="17"/>
  <c r="AJ135" i="17"/>
  <c r="AI135" i="17"/>
  <c r="AH135" i="17"/>
  <c r="AG135" i="17"/>
  <c r="AF135" i="17"/>
  <c r="AE135" i="17"/>
  <c r="AD135" i="17"/>
  <c r="AC135" i="17"/>
  <c r="AB135" i="17"/>
  <c r="Z135" i="17"/>
  <c r="Y135" i="17"/>
  <c r="X135" i="17"/>
  <c r="AM134" i="17"/>
  <c r="AL134" i="17"/>
  <c r="AK134" i="17"/>
  <c r="AJ134" i="17"/>
  <c r="AI134" i="17"/>
  <c r="AH134" i="17"/>
  <c r="AG134" i="17"/>
  <c r="AF134" i="17"/>
  <c r="AE134" i="17"/>
  <c r="AD134" i="17"/>
  <c r="AC134" i="17"/>
  <c r="AB134" i="17"/>
  <c r="Z134" i="17"/>
  <c r="Y134" i="17"/>
  <c r="X134" i="17"/>
  <c r="AM133" i="17"/>
  <c r="AL133" i="17"/>
  <c r="AK133" i="17"/>
  <c r="AJ133" i="17"/>
  <c r="AI133" i="17"/>
  <c r="AH133" i="17"/>
  <c r="AG133" i="17"/>
  <c r="AF133" i="17"/>
  <c r="AE133" i="17"/>
  <c r="AD133" i="17"/>
  <c r="AC133" i="17"/>
  <c r="AB133" i="17"/>
  <c r="Z133" i="17"/>
  <c r="Y133" i="17"/>
  <c r="X133" i="17"/>
  <c r="AM132" i="17"/>
  <c r="AL132" i="17"/>
  <c r="AK132" i="17"/>
  <c r="AJ132" i="17"/>
  <c r="AI132" i="17"/>
  <c r="AH132" i="17"/>
  <c r="AG132" i="17"/>
  <c r="AF132" i="17"/>
  <c r="AE132" i="17"/>
  <c r="AD132" i="17"/>
  <c r="AC132" i="17"/>
  <c r="AB132" i="17"/>
  <c r="Z132" i="17"/>
  <c r="Y132" i="17"/>
  <c r="X132" i="17"/>
  <c r="AM131" i="17"/>
  <c r="AL131" i="17"/>
  <c r="AK131" i="17"/>
  <c r="AJ131" i="17"/>
  <c r="AI131" i="17"/>
  <c r="AH131" i="17"/>
  <c r="AG131" i="17"/>
  <c r="AF131" i="17"/>
  <c r="AE131" i="17"/>
  <c r="AD131" i="17"/>
  <c r="AC131" i="17"/>
  <c r="AB131" i="17"/>
  <c r="Z131" i="17"/>
  <c r="Y131" i="17"/>
  <c r="X131" i="17"/>
  <c r="AM130" i="17"/>
  <c r="AL130" i="17"/>
  <c r="AK130" i="17"/>
  <c r="AJ130" i="17"/>
  <c r="AI130" i="17"/>
  <c r="AH130" i="17"/>
  <c r="AG130" i="17"/>
  <c r="AF130" i="17"/>
  <c r="AE130" i="17"/>
  <c r="AD130" i="17"/>
  <c r="AC130" i="17"/>
  <c r="AB130" i="17"/>
  <c r="Z130" i="17"/>
  <c r="Y130" i="17"/>
  <c r="X130" i="17"/>
  <c r="AM129" i="17"/>
  <c r="AL129" i="17"/>
  <c r="AK129" i="17"/>
  <c r="AJ129" i="17"/>
  <c r="AI129" i="17"/>
  <c r="AH129" i="17"/>
  <c r="AG129" i="17"/>
  <c r="AF129" i="17"/>
  <c r="AE129" i="17"/>
  <c r="AD129" i="17"/>
  <c r="AC129" i="17"/>
  <c r="AB129" i="17"/>
  <c r="Z129" i="17"/>
  <c r="Y129" i="17"/>
  <c r="X129" i="17"/>
  <c r="AM128" i="17"/>
  <c r="AL128" i="17"/>
  <c r="AK128" i="17"/>
  <c r="AJ128" i="17"/>
  <c r="AI128" i="17"/>
  <c r="AH128" i="17"/>
  <c r="AG128" i="17"/>
  <c r="AF128" i="17"/>
  <c r="AE128" i="17"/>
  <c r="AD128" i="17"/>
  <c r="AC128" i="17"/>
  <c r="AB128" i="17"/>
  <c r="Z128" i="17"/>
  <c r="Y128" i="17"/>
  <c r="X128" i="17"/>
  <c r="AM127" i="17"/>
  <c r="AL127" i="17"/>
  <c r="AK127" i="17"/>
  <c r="AJ127" i="17"/>
  <c r="AI127" i="17"/>
  <c r="AH127" i="17"/>
  <c r="AG127" i="17"/>
  <c r="AF127" i="17"/>
  <c r="AE127" i="17"/>
  <c r="AD127" i="17"/>
  <c r="AC127" i="17"/>
  <c r="AB127" i="17"/>
  <c r="Z127" i="17"/>
  <c r="Y127" i="17"/>
  <c r="X127" i="17"/>
  <c r="AM126" i="17"/>
  <c r="AL126" i="17"/>
  <c r="AK126" i="17"/>
  <c r="AJ126" i="17"/>
  <c r="AI126" i="17"/>
  <c r="AH126" i="17"/>
  <c r="AG126" i="17"/>
  <c r="AF126" i="17"/>
  <c r="AE126" i="17"/>
  <c r="AD126" i="17"/>
  <c r="AC126" i="17"/>
  <c r="AB126" i="17"/>
  <c r="Z126" i="17"/>
  <c r="Y126" i="17"/>
  <c r="X126" i="17"/>
  <c r="AM125" i="17"/>
  <c r="AL125" i="17"/>
  <c r="AK125" i="17"/>
  <c r="AJ125" i="17"/>
  <c r="AI125" i="17"/>
  <c r="AH125" i="17"/>
  <c r="AG125" i="17"/>
  <c r="AF125" i="17"/>
  <c r="AE125" i="17"/>
  <c r="AD125" i="17"/>
  <c r="AC125" i="17"/>
  <c r="AB125" i="17"/>
  <c r="Z125" i="17"/>
  <c r="Y125" i="17"/>
  <c r="X125" i="17"/>
  <c r="AM124" i="17"/>
  <c r="AL124" i="17"/>
  <c r="AK124" i="17"/>
  <c r="AJ124" i="17"/>
  <c r="AI124" i="17"/>
  <c r="AH124" i="17"/>
  <c r="AG124" i="17"/>
  <c r="AF124" i="17"/>
  <c r="AE124" i="17"/>
  <c r="AD124" i="17"/>
  <c r="AC124" i="17"/>
  <c r="AB124" i="17"/>
  <c r="Z124" i="17"/>
  <c r="Y124" i="17"/>
  <c r="X124" i="17"/>
  <c r="AM123" i="17"/>
  <c r="AL123" i="17"/>
  <c r="AK123" i="17"/>
  <c r="AJ123" i="17"/>
  <c r="AI123" i="17"/>
  <c r="AH123" i="17"/>
  <c r="AG123" i="17"/>
  <c r="AF123" i="17"/>
  <c r="AE123" i="17"/>
  <c r="AD123" i="17"/>
  <c r="AC123" i="17"/>
  <c r="AB123" i="17"/>
  <c r="Z123" i="17"/>
  <c r="Y123" i="17"/>
  <c r="X123" i="17"/>
  <c r="AM122" i="17"/>
  <c r="AL122" i="17"/>
  <c r="AK122" i="17"/>
  <c r="AJ122" i="17"/>
  <c r="AI122" i="17"/>
  <c r="AH122" i="17"/>
  <c r="AG122" i="17"/>
  <c r="AF122" i="17"/>
  <c r="AE122" i="17"/>
  <c r="AD122" i="17"/>
  <c r="AC122" i="17"/>
  <c r="AB122" i="17"/>
  <c r="Z122" i="17"/>
  <c r="Y122" i="17"/>
  <c r="X122" i="17"/>
  <c r="AM121" i="17"/>
  <c r="AL121" i="17"/>
  <c r="AK121" i="17"/>
  <c r="AJ121" i="17"/>
  <c r="AI121" i="17"/>
  <c r="AH121" i="17"/>
  <c r="AG121" i="17"/>
  <c r="AF121" i="17"/>
  <c r="AE121" i="17"/>
  <c r="AD121" i="17"/>
  <c r="AC121" i="17"/>
  <c r="AB121" i="17"/>
  <c r="Z121" i="17"/>
  <c r="Y121" i="17"/>
  <c r="X121" i="17"/>
  <c r="AM120" i="17"/>
  <c r="AL120" i="17"/>
  <c r="AK120" i="17"/>
  <c r="AJ120" i="17"/>
  <c r="AI120" i="17"/>
  <c r="AH120" i="17"/>
  <c r="AG120" i="17"/>
  <c r="AF120" i="17"/>
  <c r="AE120" i="17"/>
  <c r="AD120" i="17"/>
  <c r="AC120" i="17"/>
  <c r="AB120" i="17"/>
  <c r="Z120" i="17"/>
  <c r="Y120" i="17"/>
  <c r="X120" i="17"/>
  <c r="AM119" i="17"/>
  <c r="AL119" i="17"/>
  <c r="AK119" i="17"/>
  <c r="AJ119" i="17"/>
  <c r="AI119" i="17"/>
  <c r="AH119" i="17"/>
  <c r="AG119" i="17"/>
  <c r="AF119" i="17"/>
  <c r="AE119" i="17"/>
  <c r="AD119" i="17"/>
  <c r="AC119" i="17"/>
  <c r="AB119" i="17"/>
  <c r="Z119" i="17"/>
  <c r="Y119" i="17"/>
  <c r="X119" i="17"/>
  <c r="AM118" i="17"/>
  <c r="AL118" i="17"/>
  <c r="AK118" i="17"/>
  <c r="AJ118" i="17"/>
  <c r="AI118" i="17"/>
  <c r="AH118" i="17"/>
  <c r="AG118" i="17"/>
  <c r="AF118" i="17"/>
  <c r="AE118" i="17"/>
  <c r="AD118" i="17"/>
  <c r="AC118" i="17"/>
  <c r="AB118" i="17"/>
  <c r="Z118" i="17"/>
  <c r="Y118" i="17"/>
  <c r="X118" i="17"/>
  <c r="AM117" i="17"/>
  <c r="AL117" i="17"/>
  <c r="AK117" i="17"/>
  <c r="AJ117" i="17"/>
  <c r="AI117" i="17"/>
  <c r="AH117" i="17"/>
  <c r="AG117" i="17"/>
  <c r="AF117" i="17"/>
  <c r="AE117" i="17"/>
  <c r="AD117" i="17"/>
  <c r="AC117" i="17"/>
  <c r="AB117" i="17"/>
  <c r="Z117" i="17"/>
  <c r="Y117" i="17"/>
  <c r="X117" i="17"/>
  <c r="AM116" i="17"/>
  <c r="AL116" i="17"/>
  <c r="AK116" i="17"/>
  <c r="AJ116" i="17"/>
  <c r="AI116" i="17"/>
  <c r="AH116" i="17"/>
  <c r="AG116" i="17"/>
  <c r="AF116" i="17"/>
  <c r="AE116" i="17"/>
  <c r="AD116" i="17"/>
  <c r="AC116" i="17"/>
  <c r="AB116" i="17"/>
  <c r="Z116" i="17"/>
  <c r="Y116" i="17"/>
  <c r="X116" i="17"/>
  <c r="AM115" i="17"/>
  <c r="AL115" i="17"/>
  <c r="AK115" i="17"/>
  <c r="AJ115" i="17"/>
  <c r="AI115" i="17"/>
  <c r="AH115" i="17"/>
  <c r="AG115" i="17"/>
  <c r="AF115" i="17"/>
  <c r="AE115" i="17"/>
  <c r="AD115" i="17"/>
  <c r="AC115" i="17"/>
  <c r="AB115" i="17"/>
  <c r="Z115" i="17"/>
  <c r="Y115" i="17"/>
  <c r="X115" i="17"/>
  <c r="AM114" i="17"/>
  <c r="AL114" i="17"/>
  <c r="AK114" i="17"/>
  <c r="AJ114" i="17"/>
  <c r="AI114" i="17"/>
  <c r="AH114" i="17"/>
  <c r="AG114" i="17"/>
  <c r="AF114" i="17"/>
  <c r="AE114" i="17"/>
  <c r="AD114" i="17"/>
  <c r="AC114" i="17"/>
  <c r="AB114" i="17"/>
  <c r="Z114" i="17"/>
  <c r="Y114" i="17"/>
  <c r="X114" i="17"/>
  <c r="AM113" i="17"/>
  <c r="AL113" i="17"/>
  <c r="AK113" i="17"/>
  <c r="AJ113" i="17"/>
  <c r="AI113" i="17"/>
  <c r="AH113" i="17"/>
  <c r="AG113" i="17"/>
  <c r="AF113" i="17"/>
  <c r="AE113" i="17"/>
  <c r="AD113" i="17"/>
  <c r="AC113" i="17"/>
  <c r="AB113" i="17"/>
  <c r="Z113" i="17"/>
  <c r="Y113" i="17"/>
  <c r="X113" i="17"/>
  <c r="AM112" i="17"/>
  <c r="AL112" i="17"/>
  <c r="AK112" i="17"/>
  <c r="AJ112" i="17"/>
  <c r="AI112" i="17"/>
  <c r="AH112" i="17"/>
  <c r="AG112" i="17"/>
  <c r="AF112" i="17"/>
  <c r="AE112" i="17"/>
  <c r="AD112" i="17"/>
  <c r="AC112" i="17"/>
  <c r="AB112" i="17"/>
  <c r="Z112" i="17"/>
  <c r="Y112" i="17"/>
  <c r="X112" i="17"/>
  <c r="AM111" i="17"/>
  <c r="AL111" i="17"/>
  <c r="AK111" i="17"/>
  <c r="AJ111" i="17"/>
  <c r="AI111" i="17"/>
  <c r="AH111" i="17"/>
  <c r="AG111" i="17"/>
  <c r="AF111" i="17"/>
  <c r="AE111" i="17"/>
  <c r="AD111" i="17"/>
  <c r="AC111" i="17"/>
  <c r="AB111" i="17"/>
  <c r="Z111" i="17"/>
  <c r="Y111" i="17"/>
  <c r="X111" i="17"/>
  <c r="AM110" i="17"/>
  <c r="AL110" i="17"/>
  <c r="AK110" i="17"/>
  <c r="AJ110" i="17"/>
  <c r="AI110" i="17"/>
  <c r="AH110" i="17"/>
  <c r="AG110" i="17"/>
  <c r="AF110" i="17"/>
  <c r="AE110" i="17"/>
  <c r="AD110" i="17"/>
  <c r="AC110" i="17"/>
  <c r="AB110" i="17"/>
  <c r="Z110" i="17"/>
  <c r="Y110" i="17"/>
  <c r="X110" i="17"/>
  <c r="AM109" i="17"/>
  <c r="AL109" i="17"/>
  <c r="AK109" i="17"/>
  <c r="AJ109" i="17"/>
  <c r="AI109" i="17"/>
  <c r="AH109" i="17"/>
  <c r="AG109" i="17"/>
  <c r="AF109" i="17"/>
  <c r="AE109" i="17"/>
  <c r="AD109" i="17"/>
  <c r="AC109" i="17"/>
  <c r="AB109" i="17"/>
  <c r="Z109" i="17"/>
  <c r="Y109" i="17"/>
  <c r="X109" i="17"/>
  <c r="AM108" i="17"/>
  <c r="AL108" i="17"/>
  <c r="AK108" i="17"/>
  <c r="AJ108" i="17"/>
  <c r="AI108" i="17"/>
  <c r="AH108" i="17"/>
  <c r="AG108" i="17"/>
  <c r="AF108" i="17"/>
  <c r="AE108" i="17"/>
  <c r="AD108" i="17"/>
  <c r="AC108" i="17"/>
  <c r="AB108" i="17"/>
  <c r="Z108" i="17"/>
  <c r="Y108" i="17"/>
  <c r="X108" i="17"/>
  <c r="AM107" i="17"/>
  <c r="AL107" i="17"/>
  <c r="AK107" i="17"/>
  <c r="AJ107" i="17"/>
  <c r="AI107" i="17"/>
  <c r="AH107" i="17"/>
  <c r="AG107" i="17"/>
  <c r="AF107" i="17"/>
  <c r="AE107" i="17"/>
  <c r="AD107" i="17"/>
  <c r="AC107" i="17"/>
  <c r="AB107" i="17"/>
  <c r="Z107" i="17"/>
  <c r="Y107" i="17"/>
  <c r="X107" i="17"/>
  <c r="AM106" i="17"/>
  <c r="AL106" i="17"/>
  <c r="AK106" i="17"/>
  <c r="AJ106" i="17"/>
  <c r="AI106" i="17"/>
  <c r="AH106" i="17"/>
  <c r="AG106" i="17"/>
  <c r="AF106" i="17"/>
  <c r="AE106" i="17"/>
  <c r="AD106" i="17"/>
  <c r="AC106" i="17"/>
  <c r="AB106" i="17"/>
  <c r="Z106" i="17"/>
  <c r="Y106" i="17"/>
  <c r="X106" i="17"/>
  <c r="AM105" i="17"/>
  <c r="AL105" i="17"/>
  <c r="AK105" i="17"/>
  <c r="AJ105" i="17"/>
  <c r="AI105" i="17"/>
  <c r="AH105" i="17"/>
  <c r="AG105" i="17"/>
  <c r="AF105" i="17"/>
  <c r="AE105" i="17"/>
  <c r="AD105" i="17"/>
  <c r="AC105" i="17"/>
  <c r="AB105" i="17"/>
  <c r="Z105" i="17"/>
  <c r="Y105" i="17"/>
  <c r="X105" i="17"/>
  <c r="AM104" i="17"/>
  <c r="AL104" i="17"/>
  <c r="AK104" i="17"/>
  <c r="AJ104" i="17"/>
  <c r="AI104" i="17"/>
  <c r="AH104" i="17"/>
  <c r="AG104" i="17"/>
  <c r="AF104" i="17"/>
  <c r="AE104" i="17"/>
  <c r="AD104" i="17"/>
  <c r="AC104" i="17"/>
  <c r="AB104" i="17"/>
  <c r="Z104" i="17"/>
  <c r="Y104" i="17"/>
  <c r="X104" i="17"/>
  <c r="AM103" i="17"/>
  <c r="AL103" i="17"/>
  <c r="AK103" i="17"/>
  <c r="AJ103" i="17"/>
  <c r="AI103" i="17"/>
  <c r="AH103" i="17"/>
  <c r="AG103" i="17"/>
  <c r="AF103" i="17"/>
  <c r="AE103" i="17"/>
  <c r="AD103" i="17"/>
  <c r="AC103" i="17"/>
  <c r="AB103" i="17"/>
  <c r="Z103" i="17"/>
  <c r="Y103" i="17"/>
  <c r="X103" i="17"/>
  <c r="AM102" i="17"/>
  <c r="AL102" i="17"/>
  <c r="AK102" i="17"/>
  <c r="AJ102" i="17"/>
  <c r="AI102" i="17"/>
  <c r="AH102" i="17"/>
  <c r="AG102" i="17"/>
  <c r="AF102" i="17"/>
  <c r="AE102" i="17"/>
  <c r="AD102" i="17"/>
  <c r="AC102" i="17"/>
  <c r="AB102" i="17"/>
  <c r="Z102" i="17"/>
  <c r="Y102" i="17"/>
  <c r="X102" i="17"/>
  <c r="AM101" i="17"/>
  <c r="AL101" i="17"/>
  <c r="AK101" i="17"/>
  <c r="AJ101" i="17"/>
  <c r="AI101" i="17"/>
  <c r="AH101" i="17"/>
  <c r="AG101" i="17"/>
  <c r="AF101" i="17"/>
  <c r="AE101" i="17"/>
  <c r="AD101" i="17"/>
  <c r="AC101" i="17"/>
  <c r="AB101" i="17"/>
  <c r="Z101" i="17"/>
  <c r="Y101" i="17"/>
  <c r="X101" i="17"/>
  <c r="AM100" i="17"/>
  <c r="AL100" i="17"/>
  <c r="AK100" i="17"/>
  <c r="AJ100" i="17"/>
  <c r="AI100" i="17"/>
  <c r="AH100" i="17"/>
  <c r="AG100" i="17"/>
  <c r="AF100" i="17"/>
  <c r="AE100" i="17"/>
  <c r="AD100" i="17"/>
  <c r="AC100" i="17"/>
  <c r="AB100" i="17"/>
  <c r="Z100" i="17"/>
  <c r="Y100" i="17"/>
  <c r="X100" i="17"/>
  <c r="AM99" i="17"/>
  <c r="AL99" i="17"/>
  <c r="AK99" i="17"/>
  <c r="AJ99" i="17"/>
  <c r="AI99" i="17"/>
  <c r="AH99" i="17"/>
  <c r="AG99" i="17"/>
  <c r="AF99" i="17"/>
  <c r="AE99" i="17"/>
  <c r="AD99" i="17"/>
  <c r="AC99" i="17"/>
  <c r="AB99" i="17"/>
  <c r="Z99" i="17"/>
  <c r="Y99" i="17"/>
  <c r="X99" i="17"/>
  <c r="AM98" i="17"/>
  <c r="AL98" i="17"/>
  <c r="AK98" i="17"/>
  <c r="AJ98" i="17"/>
  <c r="AI98" i="17"/>
  <c r="AH98" i="17"/>
  <c r="AG98" i="17"/>
  <c r="AF98" i="17"/>
  <c r="AE98" i="17"/>
  <c r="AD98" i="17"/>
  <c r="AC98" i="17"/>
  <c r="AB98" i="17"/>
  <c r="Z98" i="17"/>
  <c r="Y98" i="17"/>
  <c r="X98" i="17"/>
  <c r="AM97" i="17"/>
  <c r="AL97" i="17"/>
  <c r="AK97" i="17"/>
  <c r="AJ97" i="17"/>
  <c r="AI97" i="17"/>
  <c r="AH97" i="17"/>
  <c r="AG97" i="17"/>
  <c r="AF97" i="17"/>
  <c r="AE97" i="17"/>
  <c r="AD97" i="17"/>
  <c r="AC97" i="17"/>
  <c r="AB97" i="17"/>
  <c r="Z97" i="17"/>
  <c r="Y97" i="17"/>
  <c r="X97" i="17"/>
  <c r="AM96" i="17"/>
  <c r="AL96" i="17"/>
  <c r="AK96" i="17"/>
  <c r="AJ96" i="17"/>
  <c r="AI96" i="17"/>
  <c r="AH96" i="17"/>
  <c r="AG96" i="17"/>
  <c r="AF96" i="17"/>
  <c r="AE96" i="17"/>
  <c r="AD96" i="17"/>
  <c r="AC96" i="17"/>
  <c r="AB96" i="17"/>
  <c r="Z96" i="17"/>
  <c r="Y96" i="17"/>
  <c r="X96" i="17"/>
  <c r="AM95" i="17"/>
  <c r="AL95" i="17"/>
  <c r="AK95" i="17"/>
  <c r="AJ95" i="17"/>
  <c r="AI95" i="17"/>
  <c r="AH95" i="17"/>
  <c r="AG95" i="17"/>
  <c r="AF95" i="17"/>
  <c r="AE95" i="17"/>
  <c r="AD95" i="17"/>
  <c r="AC95" i="17"/>
  <c r="AB95" i="17"/>
  <c r="Z95" i="17"/>
  <c r="Y95" i="17"/>
  <c r="X95" i="17"/>
  <c r="AM94" i="17"/>
  <c r="AL94" i="17"/>
  <c r="AK94" i="17"/>
  <c r="AJ94" i="17"/>
  <c r="AI94" i="17"/>
  <c r="AH94" i="17"/>
  <c r="AG94" i="17"/>
  <c r="AF94" i="17"/>
  <c r="AE94" i="17"/>
  <c r="AD94" i="17"/>
  <c r="AC94" i="17"/>
  <c r="AB94" i="17"/>
  <c r="Z94" i="17"/>
  <c r="Y94" i="17"/>
  <c r="X94" i="17"/>
  <c r="AM93" i="17"/>
  <c r="AL93" i="17"/>
  <c r="AK93" i="17"/>
  <c r="AJ93" i="17"/>
  <c r="AI93" i="17"/>
  <c r="AH93" i="17"/>
  <c r="AG93" i="17"/>
  <c r="AF93" i="17"/>
  <c r="AE93" i="17"/>
  <c r="AD93" i="17"/>
  <c r="AC93" i="17"/>
  <c r="AB93" i="17"/>
  <c r="Z93" i="17"/>
  <c r="Y93" i="17"/>
  <c r="X93" i="17"/>
  <c r="AM92" i="17"/>
  <c r="AL92" i="17"/>
  <c r="AK92" i="17"/>
  <c r="AJ92" i="17"/>
  <c r="AI92" i="17"/>
  <c r="AH92" i="17"/>
  <c r="AG92" i="17"/>
  <c r="AF92" i="17"/>
  <c r="AE92" i="17"/>
  <c r="AD92" i="17"/>
  <c r="AC92" i="17"/>
  <c r="AB92" i="17"/>
  <c r="Z92" i="17"/>
  <c r="Y92" i="17"/>
  <c r="X92" i="17"/>
  <c r="AM91" i="17"/>
  <c r="AL91" i="17"/>
  <c r="AK91" i="17"/>
  <c r="AJ91" i="17"/>
  <c r="AI91" i="17"/>
  <c r="AH91" i="17"/>
  <c r="AG91" i="17"/>
  <c r="AF91" i="17"/>
  <c r="AE91" i="17"/>
  <c r="AD91" i="17"/>
  <c r="AC91" i="17"/>
  <c r="AB91" i="17"/>
  <c r="Z91" i="17"/>
  <c r="Y91" i="17"/>
  <c r="X91" i="17"/>
  <c r="AM90" i="17"/>
  <c r="AL90" i="17"/>
  <c r="AK90" i="17"/>
  <c r="AJ90" i="17"/>
  <c r="AI90" i="17"/>
  <c r="AH90" i="17"/>
  <c r="AG90" i="17"/>
  <c r="AF90" i="17"/>
  <c r="AE90" i="17"/>
  <c r="AD90" i="17"/>
  <c r="AC90" i="17"/>
  <c r="AB90" i="17"/>
  <c r="Z90" i="17"/>
  <c r="Y90" i="17"/>
  <c r="X90" i="17"/>
  <c r="AM89" i="17"/>
  <c r="AL89" i="17"/>
  <c r="AK89" i="17"/>
  <c r="AJ89" i="17"/>
  <c r="AI89" i="17"/>
  <c r="AH89" i="17"/>
  <c r="AG89" i="17"/>
  <c r="AF89" i="17"/>
  <c r="AE89" i="17"/>
  <c r="AD89" i="17"/>
  <c r="AC89" i="17"/>
  <c r="AB89" i="17"/>
  <c r="Z89" i="17"/>
  <c r="Y89" i="17"/>
  <c r="X89" i="17"/>
  <c r="AM88" i="17"/>
  <c r="AL88" i="17"/>
  <c r="AK88" i="17"/>
  <c r="AJ88" i="17"/>
  <c r="AI88" i="17"/>
  <c r="AH88" i="17"/>
  <c r="AG88" i="17"/>
  <c r="AF88" i="17"/>
  <c r="AE88" i="17"/>
  <c r="AD88" i="17"/>
  <c r="AC88" i="17"/>
  <c r="AB88" i="17"/>
  <c r="Z88" i="17"/>
  <c r="Y88" i="17"/>
  <c r="X88" i="17"/>
  <c r="AM87" i="17"/>
  <c r="AL87" i="17"/>
  <c r="AK87" i="17"/>
  <c r="AJ87" i="17"/>
  <c r="AI87" i="17"/>
  <c r="AH87" i="17"/>
  <c r="AG87" i="17"/>
  <c r="AF87" i="17"/>
  <c r="AE87" i="17"/>
  <c r="AD87" i="17"/>
  <c r="AC87" i="17"/>
  <c r="AB87" i="17"/>
  <c r="Z87" i="17"/>
  <c r="Y87" i="17"/>
  <c r="X87" i="17"/>
  <c r="AM86" i="17"/>
  <c r="AL86" i="17"/>
  <c r="AK86" i="17"/>
  <c r="AJ86" i="17"/>
  <c r="AI86" i="17"/>
  <c r="AH86" i="17"/>
  <c r="AG86" i="17"/>
  <c r="AF86" i="17"/>
  <c r="AE86" i="17"/>
  <c r="AD86" i="17"/>
  <c r="AC86" i="17"/>
  <c r="AB86" i="17"/>
  <c r="Z86" i="17"/>
  <c r="Y86" i="17"/>
  <c r="X86" i="17"/>
  <c r="AM85" i="17"/>
  <c r="AL85" i="17"/>
  <c r="AC85" i="17"/>
  <c r="AB85" i="17"/>
  <c r="Z85" i="17"/>
  <c r="AM84" i="17"/>
  <c r="AL84" i="17"/>
  <c r="AK84" i="17"/>
  <c r="AJ84" i="17"/>
  <c r="AI84" i="17"/>
  <c r="AH84" i="17"/>
  <c r="AG84" i="17"/>
  <c r="AF84" i="17"/>
  <c r="AE84" i="17"/>
  <c r="AD84" i="17"/>
  <c r="AC84" i="17"/>
  <c r="AB84" i="17"/>
  <c r="Z84" i="17"/>
  <c r="Y84" i="17"/>
  <c r="X84" i="17"/>
  <c r="AM83" i="17"/>
  <c r="AL83" i="17"/>
  <c r="AC83" i="17"/>
  <c r="AB83" i="17"/>
  <c r="Z83" i="17"/>
  <c r="AM82" i="17"/>
  <c r="AL82" i="17"/>
  <c r="AC82" i="17"/>
  <c r="AB82" i="17"/>
  <c r="Z82" i="17"/>
  <c r="AM81" i="17"/>
  <c r="AL81" i="17"/>
  <c r="AC81" i="17"/>
  <c r="AB81" i="17"/>
  <c r="Z81" i="17"/>
  <c r="AM80" i="17"/>
  <c r="AL80" i="17"/>
  <c r="AC80" i="17"/>
  <c r="AB80" i="17"/>
  <c r="Z80" i="17"/>
  <c r="AM79" i="17"/>
  <c r="AL79" i="17"/>
  <c r="AC79" i="17"/>
  <c r="AB79" i="17"/>
  <c r="Z79" i="17"/>
  <c r="AM78" i="17"/>
  <c r="AL78" i="17"/>
  <c r="AC78" i="17"/>
  <c r="AB78" i="17"/>
  <c r="Z78" i="17"/>
  <c r="AM77" i="17"/>
  <c r="AL77" i="17"/>
  <c r="AC77" i="17"/>
  <c r="AB77" i="17"/>
  <c r="Z77" i="17"/>
  <c r="AM76" i="17"/>
  <c r="AL76" i="17"/>
  <c r="AC76" i="17"/>
  <c r="AB76" i="17"/>
  <c r="Z76" i="17"/>
  <c r="AM75" i="17"/>
  <c r="AL75" i="17"/>
  <c r="AC75" i="17"/>
  <c r="AB75" i="17"/>
  <c r="Z75" i="17"/>
  <c r="AM74" i="17"/>
  <c r="AL74" i="17"/>
  <c r="AC74" i="17"/>
  <c r="AB74" i="17"/>
  <c r="Z74" i="17"/>
  <c r="AM73" i="17"/>
  <c r="AL73" i="17"/>
  <c r="AC73" i="17"/>
  <c r="AB73" i="17"/>
  <c r="Z73" i="17"/>
  <c r="AM72" i="17"/>
  <c r="AL72" i="17"/>
  <c r="AC72" i="17"/>
  <c r="AB72" i="17"/>
  <c r="Z72" i="17"/>
  <c r="AM71" i="17"/>
  <c r="AL71" i="17"/>
  <c r="AC71" i="17"/>
  <c r="AB71" i="17"/>
  <c r="Z71" i="17"/>
  <c r="AM70" i="17"/>
  <c r="AL70" i="17"/>
  <c r="AC70" i="17"/>
  <c r="AB70" i="17"/>
  <c r="Z70" i="17"/>
  <c r="AM69" i="17"/>
  <c r="AL69" i="17"/>
  <c r="AC69" i="17"/>
  <c r="AB69" i="17"/>
  <c r="Z69" i="17"/>
  <c r="AM68" i="17"/>
  <c r="AL68" i="17"/>
  <c r="AC68" i="17"/>
  <c r="AB68" i="17"/>
  <c r="Z68" i="17"/>
  <c r="AM67" i="17"/>
  <c r="AL67" i="17"/>
  <c r="AC67" i="17"/>
  <c r="AB67" i="17"/>
  <c r="Z67" i="17"/>
  <c r="AM66" i="17"/>
  <c r="AL66" i="17"/>
  <c r="AC66" i="17"/>
  <c r="AB66" i="17"/>
  <c r="Z66" i="17"/>
  <c r="AM65" i="17"/>
  <c r="AL65" i="17"/>
  <c r="AC65" i="17"/>
  <c r="AB65" i="17"/>
  <c r="Z65" i="17"/>
  <c r="AM64" i="17"/>
  <c r="AL64" i="17"/>
  <c r="AC64" i="17"/>
  <c r="AB64" i="17"/>
  <c r="Z64" i="17"/>
  <c r="BR60" i="17"/>
  <c r="BZ51" i="17"/>
  <c r="BZ60" i="17"/>
  <c r="BY51" i="17"/>
  <c r="BY60" i="17"/>
  <c r="BX51" i="17"/>
  <c r="BX60" i="17"/>
  <c r="BW51" i="17"/>
  <c r="BW60" i="17"/>
  <c r="BV51" i="17"/>
  <c r="BV60" i="17"/>
  <c r="BU51" i="17"/>
  <c r="BU60" i="17"/>
  <c r="BT51" i="17"/>
  <c r="BT60" i="17"/>
  <c r="BS51" i="17"/>
  <c r="BS60" i="17"/>
  <c r="L12" i="17"/>
  <c r="M12" i="17"/>
  <c r="J12" i="17"/>
  <c r="AS12" i="17"/>
  <c r="G12" i="17"/>
  <c r="H12" i="17"/>
  <c r="I12" i="17"/>
  <c r="AW12" i="17"/>
  <c r="G4" i="17"/>
  <c r="H4" i="17"/>
  <c r="I4" i="17"/>
  <c r="AW4" i="17"/>
  <c r="G5" i="17"/>
  <c r="H5" i="17"/>
  <c r="I5" i="17"/>
  <c r="AW5" i="17"/>
  <c r="G6" i="17"/>
  <c r="H6" i="17"/>
  <c r="I6" i="17"/>
  <c r="AW6" i="17"/>
  <c r="G7" i="17"/>
  <c r="H7" i="17"/>
  <c r="I7" i="17"/>
  <c r="AW7" i="17"/>
  <c r="G8" i="17"/>
  <c r="H8" i="17"/>
  <c r="I8" i="17"/>
  <c r="AW8" i="17"/>
  <c r="G9" i="17"/>
  <c r="H9" i="17"/>
  <c r="I9" i="17"/>
  <c r="AW9" i="17"/>
  <c r="G10" i="17"/>
  <c r="H10" i="17"/>
  <c r="I10" i="17"/>
  <c r="AW10" i="17"/>
  <c r="G11" i="17"/>
  <c r="H11" i="17"/>
  <c r="I11" i="17"/>
  <c r="AW11" i="17"/>
  <c r="AX12" i="17"/>
  <c r="L4" i="17"/>
  <c r="M4" i="17"/>
  <c r="J4" i="17"/>
  <c r="AS4" i="17"/>
  <c r="AX4" i="17"/>
  <c r="L5" i="17"/>
  <c r="M5" i="17"/>
  <c r="J5" i="17"/>
  <c r="AS5" i="17"/>
  <c r="AX5" i="17"/>
  <c r="L6" i="17"/>
  <c r="M6" i="17"/>
  <c r="J6" i="17"/>
  <c r="AS6" i="17"/>
  <c r="AX6" i="17"/>
  <c r="L7" i="17"/>
  <c r="M7" i="17"/>
  <c r="J7" i="17"/>
  <c r="AS7" i="17"/>
  <c r="AX7" i="17"/>
  <c r="L8" i="17"/>
  <c r="M8" i="17"/>
  <c r="J8" i="17"/>
  <c r="AS8" i="17"/>
  <c r="AX8" i="17"/>
  <c r="L9" i="17"/>
  <c r="M9" i="17"/>
  <c r="J9" i="17"/>
  <c r="AS9" i="17"/>
  <c r="AX9" i="17"/>
  <c r="L10" i="17"/>
  <c r="M10" i="17"/>
  <c r="J10" i="17"/>
  <c r="AS10" i="17"/>
  <c r="AX10" i="17"/>
  <c r="L11" i="17"/>
  <c r="M11" i="17"/>
  <c r="J11" i="17"/>
  <c r="AS11" i="17"/>
  <c r="AX11" i="17"/>
  <c r="C25" i="17"/>
  <c r="BR59" i="17"/>
  <c r="CA51" i="17"/>
  <c r="CA59" i="17"/>
  <c r="BY59" i="17"/>
  <c r="BX59" i="17"/>
  <c r="BW59" i="17"/>
  <c r="BV59" i="17"/>
  <c r="BU59" i="17"/>
  <c r="BT59" i="17"/>
  <c r="BS59" i="17"/>
  <c r="BT30" i="17"/>
  <c r="BU30" i="17"/>
  <c r="BV30" i="17"/>
  <c r="BW30" i="17"/>
  <c r="BX29" i="17"/>
  <c r="BX30" i="17"/>
  <c r="BY29" i="17"/>
  <c r="BY30" i="17"/>
  <c r="BZ29" i="17"/>
  <c r="BZ30" i="17"/>
  <c r="CA30" i="17"/>
  <c r="BS31" i="17"/>
  <c r="BU31" i="17"/>
  <c r="BV31" i="17"/>
  <c r="BW31" i="17"/>
  <c r="BX31" i="17"/>
  <c r="BY31" i="17"/>
  <c r="BZ31" i="17"/>
  <c r="CA31" i="17"/>
  <c r="BS32" i="17"/>
  <c r="BT32" i="17"/>
  <c r="BV32" i="17"/>
  <c r="BW32" i="17"/>
  <c r="BX32" i="17"/>
  <c r="BY32" i="17"/>
  <c r="BZ32" i="17"/>
  <c r="CA32" i="17"/>
  <c r="BS33" i="17"/>
  <c r="BT33" i="17"/>
  <c r="BU33" i="17"/>
  <c r="BW33" i="17"/>
  <c r="BX33" i="17"/>
  <c r="BY33" i="17"/>
  <c r="BZ33" i="17"/>
  <c r="CA33" i="17"/>
  <c r="BS34" i="17"/>
  <c r="BT34" i="17"/>
  <c r="BU34" i="17"/>
  <c r="BV34" i="17"/>
  <c r="BX34" i="17"/>
  <c r="BY34" i="17"/>
  <c r="BZ34" i="17"/>
  <c r="CA34" i="17"/>
  <c r="BR35" i="17"/>
  <c r="BS35" i="17"/>
  <c r="BT35" i="17"/>
  <c r="BU35" i="17"/>
  <c r="BV35" i="17"/>
  <c r="BW35" i="17"/>
  <c r="BY35" i="17"/>
  <c r="BZ35" i="17"/>
  <c r="CA35" i="17"/>
  <c r="BR36" i="17"/>
  <c r="BS36" i="17"/>
  <c r="BT36" i="17"/>
  <c r="BU36" i="17"/>
  <c r="BV36" i="17"/>
  <c r="BW36" i="17"/>
  <c r="BX36" i="17"/>
  <c r="BZ36" i="17"/>
  <c r="CA36" i="17"/>
  <c r="BR37" i="17"/>
  <c r="BS37" i="17"/>
  <c r="BT37" i="17"/>
  <c r="BU37" i="17"/>
  <c r="BV37" i="17"/>
  <c r="BW37" i="17"/>
  <c r="BX37" i="17"/>
  <c r="BY37" i="17"/>
  <c r="CA37" i="17"/>
  <c r="BS38" i="17"/>
  <c r="BT38" i="17"/>
  <c r="BU38" i="17"/>
  <c r="BV38" i="17"/>
  <c r="BW38" i="17"/>
  <c r="BX38" i="17"/>
  <c r="BY38" i="17"/>
  <c r="BZ38" i="17"/>
  <c r="BR58" i="17"/>
  <c r="CA58" i="17"/>
  <c r="BZ58" i="17"/>
  <c r="BX58" i="17"/>
  <c r="BW58" i="17"/>
  <c r="BV58" i="17"/>
  <c r="BU58" i="17"/>
  <c r="BT58" i="17"/>
  <c r="BS58" i="17"/>
  <c r="BR57" i="17"/>
  <c r="CA57" i="17"/>
  <c r="BZ57" i="17"/>
  <c r="BY57" i="17"/>
  <c r="BW57" i="17"/>
  <c r="BV57" i="17"/>
  <c r="BU57" i="17"/>
  <c r="BT57" i="17"/>
  <c r="BS57" i="17"/>
  <c r="BR56" i="17"/>
  <c r="CA56" i="17"/>
  <c r="BZ56" i="17"/>
  <c r="BY56" i="17"/>
  <c r="BX56" i="17"/>
  <c r="BV56" i="17"/>
  <c r="BU56" i="17"/>
  <c r="BT56" i="17"/>
  <c r="BS56" i="17"/>
  <c r="C21" i="17"/>
  <c r="BR55" i="17"/>
  <c r="CA55" i="17"/>
  <c r="BZ55" i="17"/>
  <c r="BY55" i="17"/>
  <c r="BX55" i="17"/>
  <c r="BW55" i="17"/>
  <c r="BU55" i="17"/>
  <c r="BT55" i="17"/>
  <c r="BS55" i="17"/>
  <c r="C20" i="17"/>
  <c r="BR54" i="17"/>
  <c r="CA54" i="17"/>
  <c r="BZ54" i="17"/>
  <c r="BY54" i="17"/>
  <c r="BX54" i="17"/>
  <c r="BW54" i="17"/>
  <c r="BV54" i="17"/>
  <c r="BT54" i="17"/>
  <c r="BS54" i="17"/>
  <c r="C19" i="17"/>
  <c r="BR53" i="17"/>
  <c r="CA53" i="17"/>
  <c r="BZ53" i="17"/>
  <c r="BY53" i="17"/>
  <c r="BX53" i="17"/>
  <c r="BW53" i="17"/>
  <c r="BV53" i="17"/>
  <c r="BU53" i="17"/>
  <c r="BS53" i="17"/>
  <c r="C18" i="17"/>
  <c r="BR52" i="17"/>
  <c r="CA52" i="17"/>
  <c r="BZ52" i="17"/>
  <c r="BY52" i="17"/>
  <c r="BX52" i="17"/>
  <c r="BW52" i="17"/>
  <c r="BV52" i="17"/>
  <c r="BU52" i="17"/>
  <c r="BT52" i="17"/>
  <c r="C17" i="17"/>
  <c r="CA29" i="17"/>
  <c r="BR38" i="17"/>
  <c r="CA48" i="17"/>
  <c r="BZ49" i="17"/>
  <c r="CA47" i="17"/>
  <c r="BY49" i="17"/>
  <c r="CA46" i="17"/>
  <c r="BX49" i="17"/>
  <c r="BR34" i="17"/>
  <c r="BW29" i="17"/>
  <c r="CA45" i="17"/>
  <c r="BW49" i="17"/>
  <c r="BR33" i="17"/>
  <c r="BV29" i="17"/>
  <c r="CA44" i="17"/>
  <c r="BV49" i="17"/>
  <c r="BR32" i="17"/>
  <c r="BU29" i="17"/>
  <c r="CA43" i="17"/>
  <c r="BU49" i="17"/>
  <c r="BR31" i="17"/>
  <c r="BT29" i="17"/>
  <c r="CA42" i="17"/>
  <c r="BT49" i="17"/>
  <c r="BR30" i="17"/>
  <c r="BS29" i="17"/>
  <c r="CA41" i="17"/>
  <c r="BS49" i="17"/>
  <c r="BR49" i="17"/>
  <c r="BZ47" i="17"/>
  <c r="BY48" i="17"/>
  <c r="BZ46" i="17"/>
  <c r="BX48" i="17"/>
  <c r="BZ45" i="17"/>
  <c r="BW48" i="17"/>
  <c r="BZ44" i="17"/>
  <c r="BV48" i="17"/>
  <c r="BZ43" i="17"/>
  <c r="BU48" i="17"/>
  <c r="BZ42" i="17"/>
  <c r="BT48" i="17"/>
  <c r="BZ41" i="17"/>
  <c r="BS48" i="17"/>
  <c r="BR48" i="17"/>
  <c r="BT41" i="17"/>
  <c r="BU41" i="17"/>
  <c r="BV41" i="17"/>
  <c r="BW41" i="17"/>
  <c r="BX40" i="17"/>
  <c r="BX41" i="17"/>
  <c r="BY40" i="17"/>
  <c r="BY41" i="17"/>
  <c r="BZ40" i="17"/>
  <c r="BS42" i="17"/>
  <c r="BU42" i="17"/>
  <c r="BV42" i="17"/>
  <c r="BW42" i="17"/>
  <c r="BX42" i="17"/>
  <c r="BY42" i="17"/>
  <c r="BS43" i="17"/>
  <c r="BT43" i="17"/>
  <c r="BV43" i="17"/>
  <c r="BW43" i="17"/>
  <c r="BX43" i="17"/>
  <c r="BY43" i="17"/>
  <c r="BS44" i="17"/>
  <c r="BT44" i="17"/>
  <c r="BU44" i="17"/>
  <c r="BW44" i="17"/>
  <c r="BX44" i="17"/>
  <c r="BY44" i="17"/>
  <c r="BS45" i="17"/>
  <c r="BT45" i="17"/>
  <c r="BU45" i="17"/>
  <c r="BV45" i="17"/>
  <c r="BX45" i="17"/>
  <c r="BY45" i="17"/>
  <c r="BR46" i="17"/>
  <c r="BS46" i="17"/>
  <c r="BT46" i="17"/>
  <c r="BU46" i="17"/>
  <c r="BV46" i="17"/>
  <c r="BW46" i="17"/>
  <c r="BY46" i="17"/>
  <c r="BR47" i="17"/>
  <c r="BS47" i="17"/>
  <c r="BT47" i="17"/>
  <c r="BU47" i="17"/>
  <c r="BV47" i="17"/>
  <c r="BW47" i="17"/>
  <c r="BX47" i="17"/>
  <c r="BR45" i="17"/>
  <c r="BR44" i="17"/>
  <c r="BR43" i="17"/>
  <c r="BR42" i="17"/>
  <c r="BR41" i="17"/>
  <c r="CA40" i="17"/>
  <c r="BW40" i="17"/>
  <c r="BV40" i="17"/>
  <c r="BU40" i="17"/>
  <c r="BT40" i="17"/>
  <c r="BS40" i="17"/>
  <c r="C38" i="17"/>
  <c r="C37" i="17"/>
  <c r="C36" i="17"/>
  <c r="C35" i="17"/>
  <c r="C34" i="17"/>
  <c r="C33" i="17"/>
  <c r="C32" i="17"/>
  <c r="C31" i="17"/>
  <c r="C30" i="17"/>
  <c r="J25" i="17"/>
  <c r="I25" i="17"/>
  <c r="H25" i="17"/>
  <c r="K12" i="17"/>
  <c r="N12" i="17"/>
  <c r="G25" i="17"/>
  <c r="F25" i="17"/>
  <c r="E25" i="17"/>
  <c r="D25" i="17"/>
  <c r="J24" i="17"/>
  <c r="I24" i="17"/>
  <c r="H24" i="17"/>
  <c r="K11" i="17"/>
  <c r="N11" i="17"/>
  <c r="G24" i="17"/>
  <c r="F24" i="17"/>
  <c r="E24" i="17"/>
  <c r="D24" i="17"/>
  <c r="J23" i="17"/>
  <c r="I23" i="17"/>
  <c r="H23" i="17"/>
  <c r="K10" i="17"/>
  <c r="N10" i="17"/>
  <c r="G23" i="17"/>
  <c r="F23" i="17"/>
  <c r="E23" i="17"/>
  <c r="D23" i="17"/>
  <c r="J22" i="17"/>
  <c r="I22" i="17"/>
  <c r="H22" i="17"/>
  <c r="K9" i="17"/>
  <c r="N9" i="17"/>
  <c r="G22" i="17"/>
  <c r="F22" i="17"/>
  <c r="E22" i="17"/>
  <c r="D22" i="17"/>
  <c r="J21" i="17"/>
  <c r="I21" i="17"/>
  <c r="H21" i="17"/>
  <c r="K8" i="17"/>
  <c r="N8" i="17"/>
  <c r="G21" i="17"/>
  <c r="F21" i="17"/>
  <c r="E21" i="17"/>
  <c r="D21" i="17"/>
  <c r="J20" i="17"/>
  <c r="I20" i="17"/>
  <c r="H20" i="17"/>
  <c r="K7" i="17"/>
  <c r="N7" i="17"/>
  <c r="G20" i="17"/>
  <c r="F20" i="17"/>
  <c r="E20" i="17"/>
  <c r="D20" i="17"/>
  <c r="J19" i="17"/>
  <c r="I19" i="17"/>
  <c r="H19" i="17"/>
  <c r="K6" i="17"/>
  <c r="N6" i="17"/>
  <c r="G19" i="17"/>
  <c r="F19" i="17"/>
  <c r="E19" i="17"/>
  <c r="D19" i="17"/>
  <c r="J18" i="17"/>
  <c r="I18" i="17"/>
  <c r="H18" i="17"/>
  <c r="K5" i="17"/>
  <c r="N5" i="17"/>
  <c r="G18" i="17"/>
  <c r="F18" i="17"/>
  <c r="E18" i="17"/>
  <c r="D18" i="17"/>
  <c r="J17" i="17"/>
  <c r="I17" i="17"/>
  <c r="H17" i="17"/>
  <c r="F17" i="17"/>
  <c r="E17" i="17"/>
  <c r="F14" i="17"/>
  <c r="B13" i="17"/>
  <c r="B14" i="17"/>
  <c r="AV12" i="17"/>
  <c r="AV11" i="17"/>
  <c r="AV10" i="17"/>
  <c r="AV9" i="17"/>
  <c r="AV8" i="17"/>
  <c r="AV7" i="17"/>
  <c r="AV6" i="17"/>
  <c r="AV5" i="17"/>
  <c r="AV4" i="17"/>
  <c r="V64" i="3"/>
  <c r="V65" i="3"/>
  <c r="V66" i="3"/>
  <c r="V67" i="3"/>
  <c r="AJ64" i="3"/>
  <c r="AJ65" i="3"/>
  <c r="AJ66" i="3"/>
  <c r="AJ67" i="3"/>
  <c r="AJ68" i="3"/>
  <c r="AJ69" i="3"/>
  <c r="AJ70" i="3"/>
  <c r="AJ71" i="3"/>
  <c r="AJ72" i="3"/>
  <c r="AJ73" i="3"/>
  <c r="AJ74" i="3"/>
  <c r="AJ75" i="3"/>
  <c r="AJ76" i="3"/>
  <c r="AJ77" i="3"/>
  <c r="AJ78" i="3"/>
  <c r="AJ79" i="3"/>
  <c r="AJ80" i="3"/>
  <c r="AJ81" i="3"/>
  <c r="AJ82" i="3"/>
  <c r="AJ83" i="3"/>
  <c r="AJ84" i="3"/>
  <c r="AJ85" i="3"/>
  <c r="AJ86" i="3"/>
  <c r="AJ87" i="3"/>
  <c r="AJ88" i="3"/>
  <c r="AJ89" i="3"/>
  <c r="AJ90" i="3"/>
  <c r="AJ91" i="3"/>
  <c r="AJ92" i="3"/>
  <c r="AJ93" i="3"/>
  <c r="AJ94" i="3"/>
  <c r="AJ95" i="3"/>
  <c r="AJ96" i="3"/>
  <c r="AJ97" i="3"/>
  <c r="AJ98" i="3"/>
  <c r="AJ99" i="3"/>
  <c r="AJ100" i="3"/>
  <c r="AJ101" i="3"/>
  <c r="AJ102" i="3"/>
  <c r="AJ103" i="3"/>
  <c r="AJ104" i="3"/>
  <c r="AJ105" i="3"/>
  <c r="AJ106" i="3"/>
  <c r="AJ107" i="3"/>
  <c r="AJ108" i="3"/>
  <c r="AJ109" i="3"/>
  <c r="AJ110" i="3"/>
  <c r="AJ111" i="3"/>
  <c r="AJ112" i="3"/>
  <c r="AJ113" i="3"/>
  <c r="AJ114" i="3"/>
  <c r="AJ115" i="3"/>
  <c r="AJ116" i="3"/>
  <c r="AJ117" i="3"/>
  <c r="AJ118" i="3"/>
  <c r="AJ119" i="3"/>
  <c r="AJ120" i="3"/>
  <c r="AJ121" i="3"/>
  <c r="AJ122" i="3"/>
  <c r="AJ123" i="3"/>
  <c r="AJ124" i="3"/>
  <c r="AJ125" i="3"/>
  <c r="AJ126" i="3"/>
  <c r="AJ127" i="3"/>
  <c r="AJ128" i="3"/>
  <c r="AJ129" i="3"/>
  <c r="AJ130" i="3"/>
  <c r="AJ131" i="3"/>
  <c r="AJ132" i="3"/>
  <c r="AJ133" i="3"/>
  <c r="AJ134" i="3"/>
  <c r="AJ135" i="3"/>
  <c r="V68" i="3"/>
  <c r="V69" i="3"/>
  <c r="V70" i="3"/>
  <c r="V71" i="3"/>
  <c r="V72" i="3"/>
  <c r="V73" i="3"/>
  <c r="V74" i="3"/>
  <c r="V75" i="3"/>
  <c r="V76" i="3"/>
  <c r="V77" i="3"/>
  <c r="V78" i="3"/>
  <c r="V79" i="3"/>
  <c r="V80" i="3"/>
  <c r="V81" i="3"/>
  <c r="V82" i="3"/>
  <c r="V83" i="3"/>
  <c r="V84" i="3"/>
  <c r="V85" i="3"/>
  <c r="V86" i="3"/>
  <c r="V87" i="3"/>
  <c r="V88" i="3"/>
  <c r="V89" i="3"/>
  <c r="V90" i="3"/>
  <c r="V91" i="3"/>
  <c r="V92" i="3"/>
  <c r="V93" i="3"/>
  <c r="V94" i="3"/>
  <c r="V95" i="3"/>
  <c r="V96" i="3"/>
  <c r="V97" i="3"/>
  <c r="V98" i="3"/>
  <c r="V99" i="3"/>
  <c r="V100" i="3"/>
  <c r="V101" i="3"/>
  <c r="V102" i="3"/>
  <c r="V103" i="3"/>
  <c r="V104" i="3"/>
  <c r="V105" i="3"/>
  <c r="V106" i="3"/>
  <c r="V107" i="3"/>
  <c r="V108" i="3"/>
  <c r="V109" i="3"/>
  <c r="V110" i="3"/>
  <c r="V111" i="3"/>
  <c r="V112" i="3"/>
  <c r="V113" i="3"/>
  <c r="V114" i="3"/>
  <c r="V115" i="3"/>
  <c r="V116" i="3"/>
  <c r="V117" i="3"/>
  <c r="V118" i="3"/>
  <c r="V119" i="3"/>
  <c r="V120" i="3"/>
  <c r="V121" i="3"/>
  <c r="V122" i="3"/>
  <c r="V123" i="3"/>
  <c r="V124" i="3"/>
  <c r="V125" i="3"/>
  <c r="V126" i="3"/>
  <c r="V127" i="3"/>
  <c r="V128" i="3"/>
  <c r="V129" i="3"/>
  <c r="V130" i="3"/>
  <c r="V131" i="3"/>
  <c r="V132" i="3"/>
  <c r="V133" i="3"/>
  <c r="V134" i="3"/>
  <c r="V135" i="3"/>
  <c r="W64" i="3"/>
  <c r="W65" i="3"/>
  <c r="W66" i="3"/>
  <c r="W67" i="3"/>
  <c r="W68" i="3"/>
  <c r="W69" i="3"/>
  <c r="W70" i="3"/>
  <c r="W71" i="3"/>
  <c r="W72" i="3"/>
  <c r="W73" i="3"/>
  <c r="W74" i="3"/>
  <c r="W75" i="3"/>
  <c r="W76" i="3"/>
  <c r="W77" i="3"/>
  <c r="W78" i="3"/>
  <c r="W79" i="3"/>
  <c r="W80" i="3"/>
  <c r="W81" i="3"/>
  <c r="W82" i="3"/>
  <c r="W83" i="3"/>
  <c r="W84" i="3"/>
  <c r="W85" i="3"/>
  <c r="W86" i="3"/>
  <c r="W87" i="3"/>
  <c r="W88" i="3"/>
  <c r="W89" i="3"/>
  <c r="W90" i="3"/>
  <c r="W91" i="3"/>
  <c r="W92" i="3"/>
  <c r="W93" i="3"/>
  <c r="W94" i="3"/>
  <c r="W95" i="3"/>
  <c r="W96" i="3"/>
  <c r="W97" i="3"/>
  <c r="W98" i="3"/>
  <c r="W99" i="3"/>
  <c r="W100" i="3"/>
  <c r="W101" i="3"/>
  <c r="W102" i="3"/>
  <c r="W103" i="3"/>
  <c r="W104" i="3"/>
  <c r="W105" i="3"/>
  <c r="W106" i="3"/>
  <c r="W107" i="3"/>
  <c r="W108" i="3"/>
  <c r="W109" i="3"/>
  <c r="W110" i="3"/>
  <c r="W111" i="3"/>
  <c r="W112" i="3"/>
  <c r="W113" i="3"/>
  <c r="W114" i="3"/>
  <c r="W115" i="3"/>
  <c r="W116" i="3"/>
  <c r="W117" i="3"/>
  <c r="W118" i="3"/>
  <c r="W119" i="3"/>
  <c r="W120" i="3"/>
  <c r="W121" i="3"/>
  <c r="W122" i="3"/>
  <c r="W123" i="3"/>
  <c r="W124" i="3"/>
  <c r="W125" i="3"/>
  <c r="W126" i="3"/>
  <c r="W127" i="3"/>
  <c r="W128" i="3"/>
  <c r="W129" i="3"/>
  <c r="W130" i="3"/>
  <c r="W131" i="3"/>
  <c r="W132" i="3"/>
  <c r="W133" i="3"/>
  <c r="W134" i="3"/>
  <c r="W135" i="3"/>
  <c r="BZ51" i="3"/>
  <c r="AK74" i="3"/>
  <c r="AK102" i="3"/>
  <c r="AK110" i="3"/>
  <c r="AK64" i="3"/>
  <c r="AK65" i="3"/>
  <c r="AK66" i="3"/>
  <c r="AK67" i="3"/>
  <c r="AK68" i="3"/>
  <c r="AK69" i="3"/>
  <c r="AK70" i="3"/>
  <c r="AK71" i="3"/>
  <c r="AK72" i="3"/>
  <c r="AK73" i="3"/>
  <c r="AK75" i="3"/>
  <c r="AK76" i="3"/>
  <c r="AK77" i="3"/>
  <c r="AK78" i="3"/>
  <c r="AK79" i="3"/>
  <c r="AK80" i="3"/>
  <c r="AK81" i="3"/>
  <c r="AK82" i="3"/>
  <c r="AK83" i="3"/>
  <c r="AK84" i="3"/>
  <c r="AK85" i="3"/>
  <c r="AK86" i="3"/>
  <c r="AK87" i="3"/>
  <c r="AK88" i="3"/>
  <c r="AK89" i="3"/>
  <c r="AK90" i="3"/>
  <c r="AK91" i="3"/>
  <c r="AK92" i="3"/>
  <c r="AK93" i="3"/>
  <c r="AK94" i="3"/>
  <c r="AK95" i="3"/>
  <c r="AK96" i="3"/>
  <c r="AK97" i="3"/>
  <c r="AK98" i="3"/>
  <c r="AK99" i="3"/>
  <c r="AK100" i="3"/>
  <c r="AK101" i="3"/>
  <c r="AK103" i="3"/>
  <c r="AK104" i="3"/>
  <c r="AK105" i="3"/>
  <c r="AK106" i="3"/>
  <c r="AK107" i="3"/>
  <c r="AK108" i="3"/>
  <c r="AK109" i="3"/>
  <c r="AK111" i="3"/>
  <c r="AK112" i="3"/>
  <c r="AK113" i="3"/>
  <c r="AK114" i="3"/>
  <c r="AK115" i="3"/>
  <c r="AK116" i="3"/>
  <c r="AK117" i="3"/>
  <c r="AK118" i="3"/>
  <c r="AK119" i="3"/>
  <c r="AK120" i="3"/>
  <c r="AK121" i="3"/>
  <c r="AK122" i="3"/>
  <c r="AK123" i="3"/>
  <c r="AK124" i="3"/>
  <c r="AK125" i="3"/>
  <c r="AK126" i="3"/>
  <c r="AK127" i="3"/>
  <c r="AK128" i="3"/>
  <c r="AK129" i="3"/>
  <c r="AK130" i="3"/>
  <c r="AK131" i="3"/>
  <c r="AK132" i="3"/>
  <c r="AK133" i="3"/>
  <c r="AK134" i="3"/>
  <c r="AK135" i="3"/>
  <c r="BZ60" i="3"/>
  <c r="BY51" i="3"/>
  <c r="BY60" i="3"/>
  <c r="BX51" i="3"/>
  <c r="BX60" i="3"/>
  <c r="BW60" i="3"/>
  <c r="BV60" i="3"/>
  <c r="BU60" i="3"/>
  <c r="BT60" i="3"/>
  <c r="BS60" i="3"/>
  <c r="BR59" i="3"/>
  <c r="CA59" i="3"/>
  <c r="BY59" i="3"/>
  <c r="BX59" i="3"/>
  <c r="BW59" i="3"/>
  <c r="BV59" i="3"/>
  <c r="BU59" i="3"/>
  <c r="BT59" i="3"/>
  <c r="BS59" i="3"/>
  <c r="BR58" i="3"/>
  <c r="CA58" i="3"/>
  <c r="BZ58" i="3"/>
  <c r="BX58" i="3"/>
  <c r="BW58" i="3"/>
  <c r="BV58" i="3"/>
  <c r="BU58" i="3"/>
  <c r="BT58" i="3"/>
  <c r="BS58" i="3"/>
  <c r="BR57" i="3"/>
  <c r="CA57" i="3"/>
  <c r="BZ57" i="3"/>
  <c r="BY57" i="3"/>
  <c r="BW57" i="3"/>
  <c r="BV57" i="3"/>
  <c r="BU57" i="3"/>
  <c r="BT57" i="3"/>
  <c r="BS57" i="3"/>
  <c r="CA56" i="3"/>
  <c r="BZ56" i="3"/>
  <c r="BY56" i="3"/>
  <c r="BX56" i="3"/>
  <c r="BV56" i="3"/>
  <c r="BU56" i="3"/>
  <c r="BT56" i="3"/>
  <c r="BS56" i="3"/>
  <c r="CA55" i="3"/>
  <c r="BZ55" i="3"/>
  <c r="BY55" i="3"/>
  <c r="BX55" i="3"/>
  <c r="BW55" i="3"/>
  <c r="BU55" i="3"/>
  <c r="BT55" i="3"/>
  <c r="BS55" i="3"/>
  <c r="CA54" i="3"/>
  <c r="BZ54" i="3"/>
  <c r="BY54" i="3"/>
  <c r="BX54" i="3"/>
  <c r="BW54" i="3"/>
  <c r="BV54" i="3"/>
  <c r="BT54" i="3"/>
  <c r="BS54" i="3"/>
  <c r="CA53" i="3"/>
  <c r="BZ53" i="3"/>
  <c r="BY53" i="3"/>
  <c r="BX53" i="3"/>
  <c r="BW53" i="3"/>
  <c r="BV53" i="3"/>
  <c r="BU53" i="3"/>
  <c r="BS53" i="3"/>
  <c r="CA52" i="3"/>
  <c r="BZ52" i="3"/>
  <c r="BY52" i="3"/>
  <c r="BX52" i="3"/>
  <c r="BW52" i="3"/>
  <c r="BV52" i="3"/>
  <c r="BU52" i="3"/>
  <c r="BT52" i="3"/>
  <c r="AA64" i="3"/>
  <c r="X64" i="3"/>
  <c r="AD64" i="3"/>
  <c r="AF64" i="3"/>
  <c r="AH64" i="3"/>
  <c r="AA65" i="3"/>
  <c r="X65" i="3"/>
  <c r="AD65" i="3"/>
  <c r="AF65" i="3"/>
  <c r="AH65" i="3"/>
  <c r="AA66" i="3"/>
  <c r="X66" i="3"/>
  <c r="AD66" i="3"/>
  <c r="AF66" i="3"/>
  <c r="AH66" i="3"/>
  <c r="AA67" i="3"/>
  <c r="X67" i="3"/>
  <c r="AD67" i="3"/>
  <c r="AF67" i="3"/>
  <c r="AH67" i="3"/>
  <c r="AA68" i="3"/>
  <c r="X68" i="3"/>
  <c r="AD68" i="3"/>
  <c r="AF68" i="3"/>
  <c r="AH68" i="3"/>
  <c r="AA69" i="3"/>
  <c r="X69" i="3"/>
  <c r="AD69" i="3"/>
  <c r="AF69" i="3"/>
  <c r="AH69" i="3"/>
  <c r="AA70" i="3"/>
  <c r="X70" i="3"/>
  <c r="AD70" i="3"/>
  <c r="AF70" i="3"/>
  <c r="AH70" i="3"/>
  <c r="AA71" i="3"/>
  <c r="X71" i="3"/>
  <c r="AD71" i="3"/>
  <c r="AF71" i="3"/>
  <c r="AH71" i="3"/>
  <c r="AA72" i="3"/>
  <c r="X72" i="3"/>
  <c r="AD72" i="3"/>
  <c r="AF72" i="3"/>
  <c r="AH72" i="3"/>
  <c r="AA73" i="3"/>
  <c r="X73" i="3"/>
  <c r="AD73" i="3"/>
  <c r="AF73" i="3"/>
  <c r="AH73" i="3"/>
  <c r="AA74" i="3"/>
  <c r="X74" i="3"/>
  <c r="AD74" i="3"/>
  <c r="AF74" i="3"/>
  <c r="AH74" i="3"/>
  <c r="AA75" i="3"/>
  <c r="X75" i="3"/>
  <c r="AD75" i="3"/>
  <c r="AF75" i="3"/>
  <c r="AH75" i="3"/>
  <c r="AA76" i="3"/>
  <c r="X76" i="3"/>
  <c r="AD76" i="3"/>
  <c r="AF76" i="3"/>
  <c r="AH76" i="3"/>
  <c r="AA77" i="3"/>
  <c r="X77" i="3"/>
  <c r="AD77" i="3"/>
  <c r="AF77" i="3"/>
  <c r="AH77" i="3"/>
  <c r="AA78" i="3"/>
  <c r="X78" i="3"/>
  <c r="AD78" i="3"/>
  <c r="AF78" i="3"/>
  <c r="AH78" i="3"/>
  <c r="AA79" i="3"/>
  <c r="X79" i="3"/>
  <c r="AD79" i="3"/>
  <c r="AF79" i="3"/>
  <c r="AH79" i="3"/>
  <c r="AA80" i="3"/>
  <c r="X80" i="3"/>
  <c r="AD80" i="3"/>
  <c r="AF80" i="3"/>
  <c r="AH80" i="3"/>
  <c r="AA81" i="3"/>
  <c r="X81" i="3"/>
  <c r="AD81" i="3"/>
  <c r="AF81" i="3"/>
  <c r="AH81" i="3"/>
  <c r="AA82" i="3"/>
  <c r="X82" i="3"/>
  <c r="AD82" i="3"/>
  <c r="AF82" i="3"/>
  <c r="AH82" i="3"/>
  <c r="AA83" i="3"/>
  <c r="X83" i="3"/>
  <c r="AD83" i="3"/>
  <c r="AF83" i="3"/>
  <c r="AH83" i="3"/>
  <c r="AA84" i="3"/>
  <c r="AH84" i="3"/>
  <c r="AA85" i="3"/>
  <c r="X85" i="3"/>
  <c r="AD85" i="3"/>
  <c r="AF85" i="3"/>
  <c r="AH85" i="3"/>
  <c r="AA86" i="3"/>
  <c r="AH86" i="3"/>
  <c r="AA87" i="3"/>
  <c r="AH87" i="3"/>
  <c r="AA88" i="3"/>
  <c r="AH88" i="3"/>
  <c r="AA89" i="3"/>
  <c r="AH89" i="3"/>
  <c r="AA90" i="3"/>
  <c r="AH90" i="3"/>
  <c r="AA91" i="3"/>
  <c r="AH91" i="3"/>
  <c r="AA92" i="3"/>
  <c r="AH92" i="3"/>
  <c r="AA93" i="3"/>
  <c r="AH93" i="3"/>
  <c r="AA94" i="3"/>
  <c r="AH94" i="3"/>
  <c r="AA95" i="3"/>
  <c r="AH95" i="3"/>
  <c r="AA96" i="3"/>
  <c r="AH96" i="3"/>
  <c r="AA97" i="3"/>
  <c r="AH97" i="3"/>
  <c r="AA98" i="3"/>
  <c r="AH98" i="3"/>
  <c r="AA99" i="3"/>
  <c r="AH99" i="3"/>
  <c r="AA100" i="3"/>
  <c r="AH100" i="3"/>
  <c r="AA101" i="3"/>
  <c r="AH101" i="3"/>
  <c r="AA102" i="3"/>
  <c r="AH102" i="3"/>
  <c r="AA103" i="3"/>
  <c r="AH103" i="3"/>
  <c r="AA104" i="3"/>
  <c r="AH104" i="3"/>
  <c r="AA105" i="3"/>
  <c r="AH105" i="3"/>
  <c r="AA106" i="3"/>
  <c r="AH106" i="3"/>
  <c r="AA107" i="3"/>
  <c r="AH107" i="3"/>
  <c r="AA108" i="3"/>
  <c r="AH108" i="3"/>
  <c r="AA109" i="3"/>
  <c r="AH109" i="3"/>
  <c r="AA110" i="3"/>
  <c r="AH110" i="3"/>
  <c r="AA111" i="3"/>
  <c r="AH111" i="3"/>
  <c r="AA112" i="3"/>
  <c r="AH112" i="3"/>
  <c r="AA113" i="3"/>
  <c r="AH113" i="3"/>
  <c r="AA114" i="3"/>
  <c r="AH114" i="3"/>
  <c r="AA115" i="3"/>
  <c r="AH115" i="3"/>
  <c r="AA116" i="3"/>
  <c r="AH116" i="3"/>
  <c r="AA117" i="3"/>
  <c r="AH117" i="3"/>
  <c r="AA118" i="3"/>
  <c r="AH118" i="3"/>
  <c r="AA119" i="3"/>
  <c r="AH119" i="3"/>
  <c r="AA120" i="3"/>
  <c r="AH120" i="3"/>
  <c r="AA121" i="3"/>
  <c r="AH121" i="3"/>
  <c r="AA122" i="3"/>
  <c r="AH122" i="3"/>
  <c r="AA123" i="3"/>
  <c r="AH123" i="3"/>
  <c r="AA124" i="3"/>
  <c r="AH124" i="3"/>
  <c r="AA125" i="3"/>
  <c r="AH125" i="3"/>
  <c r="AA126" i="3"/>
  <c r="AH126" i="3"/>
  <c r="AA127" i="3"/>
  <c r="AH127" i="3"/>
  <c r="AA128" i="3"/>
  <c r="AH128" i="3"/>
  <c r="AA129" i="3"/>
  <c r="AH129" i="3"/>
  <c r="AA130" i="3"/>
  <c r="AH130" i="3"/>
  <c r="AA131" i="3"/>
  <c r="AH131" i="3"/>
  <c r="AA132" i="3"/>
  <c r="AH132" i="3"/>
  <c r="AA133" i="3"/>
  <c r="AH133" i="3"/>
  <c r="AA134" i="3"/>
  <c r="AH134" i="3"/>
  <c r="AA135" i="3"/>
  <c r="AH135" i="3"/>
  <c r="BZ29" i="3"/>
  <c r="Y74" i="3"/>
  <c r="AE74" i="3"/>
  <c r="AG74" i="3"/>
  <c r="AI74" i="3"/>
  <c r="AI102" i="3"/>
  <c r="AI110" i="3"/>
  <c r="Y64" i="3"/>
  <c r="AE64" i="3"/>
  <c r="AG64" i="3"/>
  <c r="AI64" i="3"/>
  <c r="Y65" i="3"/>
  <c r="AE65" i="3"/>
  <c r="AG65" i="3"/>
  <c r="AI65" i="3"/>
  <c r="Y66" i="3"/>
  <c r="AE66" i="3"/>
  <c r="AG66" i="3"/>
  <c r="AI66" i="3"/>
  <c r="Y67" i="3"/>
  <c r="AE67" i="3"/>
  <c r="AG67" i="3"/>
  <c r="AI67" i="3"/>
  <c r="Y68" i="3"/>
  <c r="AE68" i="3"/>
  <c r="AG68" i="3"/>
  <c r="AI68" i="3"/>
  <c r="Y69" i="3"/>
  <c r="AE69" i="3"/>
  <c r="AG69" i="3"/>
  <c r="AI69" i="3"/>
  <c r="Y70" i="3"/>
  <c r="AE70" i="3"/>
  <c r="AG70" i="3"/>
  <c r="AI70" i="3"/>
  <c r="Y71" i="3"/>
  <c r="AE71" i="3"/>
  <c r="AG71" i="3"/>
  <c r="AI71" i="3"/>
  <c r="Y72" i="3"/>
  <c r="AE72" i="3"/>
  <c r="AG72" i="3"/>
  <c r="AI72" i="3"/>
  <c r="Y73" i="3"/>
  <c r="AE73" i="3"/>
  <c r="AG73" i="3"/>
  <c r="AI73" i="3"/>
  <c r="Y75" i="3"/>
  <c r="AE75" i="3"/>
  <c r="AG75" i="3"/>
  <c r="AI75" i="3"/>
  <c r="Y76" i="3"/>
  <c r="AE76" i="3"/>
  <c r="AG76" i="3"/>
  <c r="AI76" i="3"/>
  <c r="Y77" i="3"/>
  <c r="AE77" i="3"/>
  <c r="AG77" i="3"/>
  <c r="AI77" i="3"/>
  <c r="Y78" i="3"/>
  <c r="AE78" i="3"/>
  <c r="AG78" i="3"/>
  <c r="AI78" i="3"/>
  <c r="Y79" i="3"/>
  <c r="AE79" i="3"/>
  <c r="AG79" i="3"/>
  <c r="AI79" i="3"/>
  <c r="Y80" i="3"/>
  <c r="AE80" i="3"/>
  <c r="AG80" i="3"/>
  <c r="AI80" i="3"/>
  <c r="Y81" i="3"/>
  <c r="AE81" i="3"/>
  <c r="AG81" i="3"/>
  <c r="AI81" i="3"/>
  <c r="Y82" i="3"/>
  <c r="AE82" i="3"/>
  <c r="AG82" i="3"/>
  <c r="AI82" i="3"/>
  <c r="Y83" i="3"/>
  <c r="AE83" i="3"/>
  <c r="AG83" i="3"/>
  <c r="AI83" i="3"/>
  <c r="AI84" i="3"/>
  <c r="Y85" i="3"/>
  <c r="AE85" i="3"/>
  <c r="AG85" i="3"/>
  <c r="AI85" i="3"/>
  <c r="AI86" i="3"/>
  <c r="AI87" i="3"/>
  <c r="AI88" i="3"/>
  <c r="AI89" i="3"/>
  <c r="AI90" i="3"/>
  <c r="AI91" i="3"/>
  <c r="AI92" i="3"/>
  <c r="AI93" i="3"/>
  <c r="AI94" i="3"/>
  <c r="AI95" i="3"/>
  <c r="AI96" i="3"/>
  <c r="AI97" i="3"/>
  <c r="AI98" i="3"/>
  <c r="AI99" i="3"/>
  <c r="AI100" i="3"/>
  <c r="AI101" i="3"/>
  <c r="AI103" i="3"/>
  <c r="AI104" i="3"/>
  <c r="AI105" i="3"/>
  <c r="AI106" i="3"/>
  <c r="AI107" i="3"/>
  <c r="AI108" i="3"/>
  <c r="AI109" i="3"/>
  <c r="AI111" i="3"/>
  <c r="AI112" i="3"/>
  <c r="AI113" i="3"/>
  <c r="AI114" i="3"/>
  <c r="AI115" i="3"/>
  <c r="AI116" i="3"/>
  <c r="AI117" i="3"/>
  <c r="AI118" i="3"/>
  <c r="AI119" i="3"/>
  <c r="AI120" i="3"/>
  <c r="AI121" i="3"/>
  <c r="AI122" i="3"/>
  <c r="AI123" i="3"/>
  <c r="AI124" i="3"/>
  <c r="AI125" i="3"/>
  <c r="AI126" i="3"/>
  <c r="AI127" i="3"/>
  <c r="AI128" i="3"/>
  <c r="AI129" i="3"/>
  <c r="AI130" i="3"/>
  <c r="AI131" i="3"/>
  <c r="AI132" i="3"/>
  <c r="AI133" i="3"/>
  <c r="AI134" i="3"/>
  <c r="AI135" i="3"/>
  <c r="BZ38" i="3"/>
  <c r="BY29" i="3"/>
  <c r="BY38" i="3"/>
  <c r="BX29" i="3"/>
  <c r="BX38" i="3"/>
  <c r="BW38" i="3"/>
  <c r="BV38" i="3"/>
  <c r="BU38" i="3"/>
  <c r="BT38" i="3"/>
  <c r="BS38" i="3"/>
  <c r="BR37" i="3"/>
  <c r="CA37" i="3"/>
  <c r="BY37" i="3"/>
  <c r="BX37" i="3"/>
  <c r="BW37" i="3"/>
  <c r="BV37" i="3"/>
  <c r="BU37" i="3"/>
  <c r="BT37" i="3"/>
  <c r="BS37" i="3"/>
  <c r="BR36" i="3"/>
  <c r="CA36" i="3"/>
  <c r="BZ36" i="3"/>
  <c r="BX36" i="3"/>
  <c r="BW36" i="3"/>
  <c r="BV36" i="3"/>
  <c r="BU36" i="3"/>
  <c r="BT36" i="3"/>
  <c r="BS36" i="3"/>
  <c r="BR35" i="3"/>
  <c r="CA35" i="3"/>
  <c r="BZ35" i="3"/>
  <c r="BY35" i="3"/>
  <c r="BW35" i="3"/>
  <c r="BV35" i="3"/>
  <c r="BU35" i="3"/>
  <c r="BT35" i="3"/>
  <c r="BS35" i="3"/>
  <c r="CA34" i="3"/>
  <c r="BZ34" i="3"/>
  <c r="BY34" i="3"/>
  <c r="BX34" i="3"/>
  <c r="BV34" i="3"/>
  <c r="BU34" i="3"/>
  <c r="BT34" i="3"/>
  <c r="BS34" i="3"/>
  <c r="CA33" i="3"/>
  <c r="BZ33" i="3"/>
  <c r="BY33" i="3"/>
  <c r="BX33" i="3"/>
  <c r="BW33" i="3"/>
  <c r="BU33" i="3"/>
  <c r="BT33" i="3"/>
  <c r="BS33" i="3"/>
  <c r="CA32" i="3"/>
  <c r="BZ32" i="3"/>
  <c r="BY32" i="3"/>
  <c r="BX32" i="3"/>
  <c r="BW32" i="3"/>
  <c r="BV32" i="3"/>
  <c r="BT32" i="3"/>
  <c r="BS32" i="3"/>
  <c r="CA31" i="3"/>
  <c r="BZ31" i="3"/>
  <c r="BY31" i="3"/>
  <c r="BX31" i="3"/>
  <c r="BW31" i="3"/>
  <c r="BV31" i="3"/>
  <c r="BU31" i="3"/>
  <c r="BS31" i="3"/>
  <c r="CA30" i="3"/>
  <c r="BZ30" i="3"/>
  <c r="BY30" i="3"/>
  <c r="BX30" i="3"/>
  <c r="BW30" i="3"/>
  <c r="BV30" i="3"/>
  <c r="BU30" i="3"/>
  <c r="BT30" i="3"/>
  <c r="X84" i="3"/>
  <c r="X86" i="3"/>
  <c r="X87" i="3"/>
  <c r="X88" i="3"/>
  <c r="X89" i="3"/>
  <c r="X90" i="3"/>
  <c r="X91" i="3"/>
  <c r="X92" i="3"/>
  <c r="X93" i="3"/>
  <c r="X94" i="3"/>
  <c r="X95" i="3"/>
  <c r="X96" i="3"/>
  <c r="X97" i="3"/>
  <c r="X98" i="3"/>
  <c r="X99" i="3"/>
  <c r="X100" i="3"/>
  <c r="X101" i="3"/>
  <c r="X102" i="3"/>
  <c r="X103" i="3"/>
  <c r="X104" i="3"/>
  <c r="X105" i="3"/>
  <c r="X106" i="3"/>
  <c r="X107" i="3"/>
  <c r="X108" i="3"/>
  <c r="X109" i="3"/>
  <c r="X110" i="3"/>
  <c r="X111" i="3"/>
  <c r="X112" i="3"/>
  <c r="X113" i="3"/>
  <c r="X114" i="3"/>
  <c r="X115" i="3"/>
  <c r="X116" i="3"/>
  <c r="X117" i="3"/>
  <c r="X118" i="3"/>
  <c r="X119" i="3"/>
  <c r="X120" i="3"/>
  <c r="X121" i="3"/>
  <c r="X122" i="3"/>
  <c r="X123" i="3"/>
  <c r="X124" i="3"/>
  <c r="X125" i="3"/>
  <c r="X126" i="3"/>
  <c r="X127" i="3"/>
  <c r="X128" i="3"/>
  <c r="X129" i="3"/>
  <c r="X130" i="3"/>
  <c r="X131" i="3"/>
  <c r="X132" i="3"/>
  <c r="X133" i="3"/>
  <c r="X134" i="3"/>
  <c r="X135" i="3"/>
  <c r="Y104" i="3"/>
  <c r="Y88" i="3"/>
  <c r="Y112" i="3"/>
  <c r="Y86" i="3"/>
  <c r="Y100" i="3"/>
  <c r="Y92" i="3"/>
  <c r="Y114" i="3"/>
  <c r="Y96" i="3"/>
  <c r="Y106" i="3"/>
  <c r="Y84" i="3"/>
  <c r="Y98" i="3"/>
  <c r="Y118" i="3"/>
  <c r="Y90" i="3"/>
  <c r="Y110" i="3"/>
  <c r="Y116" i="3"/>
  <c r="Y102" i="3"/>
  <c r="Y94" i="3"/>
  <c r="Y108" i="3"/>
  <c r="AD18" i="3"/>
  <c r="AD19" i="3"/>
  <c r="AD20" i="3"/>
  <c r="AD21" i="3"/>
  <c r="C22" i="3"/>
  <c r="AD22" i="3"/>
  <c r="C23" i="3"/>
  <c r="AD23" i="3"/>
  <c r="C24" i="3"/>
  <c r="AD24" i="3"/>
  <c r="AD25" i="3"/>
  <c r="AD17" i="3"/>
  <c r="W24" i="37"/>
  <c r="W11" i="37"/>
  <c r="E71" i="9"/>
  <c r="H20" i="37"/>
  <c r="E95" i="9"/>
  <c r="F24" i="37"/>
  <c r="E96" i="9"/>
  <c r="F23" i="37"/>
  <c r="E87" i="9"/>
  <c r="U24" i="37"/>
  <c r="R24" i="37"/>
  <c r="O24" i="37"/>
  <c r="L24" i="37"/>
  <c r="S30" i="37"/>
  <c r="S29" i="37"/>
  <c r="S28" i="37"/>
  <c r="S27" i="37"/>
  <c r="S26" i="37"/>
  <c r="S25" i="37"/>
  <c r="S17" i="37"/>
  <c r="S16" i="37"/>
  <c r="S15" i="37"/>
  <c r="S14" i="37"/>
  <c r="S13" i="37"/>
  <c r="S12" i="37"/>
  <c r="P30" i="37"/>
  <c r="P29" i="37"/>
  <c r="P28" i="37"/>
  <c r="P27" i="37"/>
  <c r="P26" i="37"/>
  <c r="P25" i="37"/>
  <c r="M30" i="37"/>
  <c r="M29" i="37"/>
  <c r="M28" i="37"/>
  <c r="M27" i="37"/>
  <c r="M26" i="37"/>
  <c r="M25" i="37"/>
  <c r="P17" i="37"/>
  <c r="P16" i="37"/>
  <c r="P15" i="37"/>
  <c r="P14" i="37"/>
  <c r="P13" i="37"/>
  <c r="P12" i="37"/>
  <c r="M17" i="37"/>
  <c r="M16" i="37"/>
  <c r="M15" i="37"/>
  <c r="M14" i="37"/>
  <c r="M13" i="37"/>
  <c r="M12" i="37"/>
  <c r="R11" i="37"/>
  <c r="O11" i="37"/>
  <c r="L11" i="37"/>
  <c r="U11" i="37"/>
  <c r="F10" i="37"/>
  <c r="F11" i="37"/>
  <c r="K30" i="37"/>
  <c r="I30" i="37"/>
  <c r="K29" i="37"/>
  <c r="I29" i="37"/>
  <c r="K28" i="37"/>
  <c r="I28" i="37"/>
  <c r="K27" i="37"/>
  <c r="I27" i="37"/>
  <c r="K26" i="37"/>
  <c r="I26" i="37"/>
  <c r="K25" i="37"/>
  <c r="I25" i="37"/>
  <c r="E14" i="9"/>
  <c r="I24" i="37"/>
  <c r="E48" i="9"/>
  <c r="E24" i="37"/>
  <c r="E39" i="9"/>
  <c r="D24" i="37"/>
  <c r="C24" i="37"/>
  <c r="I11" i="37"/>
  <c r="E11" i="37"/>
  <c r="D11" i="37"/>
  <c r="C11" i="37"/>
  <c r="E6" i="9"/>
  <c r="H7" i="37"/>
  <c r="F5" i="37"/>
  <c r="F4" i="37"/>
  <c r="F3" i="37"/>
  <c r="F2" i="37"/>
  <c r="AE30" i="37"/>
  <c r="AC30" i="37"/>
  <c r="AD30" i="37"/>
  <c r="X30" i="37"/>
  <c r="Y30" i="37"/>
  <c r="AA30" i="37"/>
  <c r="Z30" i="37"/>
  <c r="W30" i="37"/>
  <c r="U30" i="37"/>
  <c r="AE29" i="37"/>
  <c r="AC29" i="37"/>
  <c r="AD29" i="37"/>
  <c r="X29" i="37"/>
  <c r="Y29" i="37"/>
  <c r="AA29" i="37"/>
  <c r="Z29" i="37"/>
  <c r="W29" i="37"/>
  <c r="U29" i="37"/>
  <c r="AE28" i="37"/>
  <c r="AC28" i="37"/>
  <c r="AD28" i="37"/>
  <c r="X28" i="37"/>
  <c r="Y28" i="37"/>
  <c r="AA28" i="37"/>
  <c r="Z28" i="37"/>
  <c r="W28" i="37"/>
  <c r="U28" i="37"/>
  <c r="AE27" i="37"/>
  <c r="AC27" i="37"/>
  <c r="AD27" i="37"/>
  <c r="X27" i="37"/>
  <c r="Y27" i="37"/>
  <c r="AA27" i="37"/>
  <c r="Z27" i="37"/>
  <c r="W27" i="37"/>
  <c r="U27" i="37"/>
  <c r="AE26" i="37"/>
  <c r="AC26" i="37"/>
  <c r="AD26" i="37"/>
  <c r="X26" i="37"/>
  <c r="Y26" i="37"/>
  <c r="AA26" i="37"/>
  <c r="Z26" i="37"/>
  <c r="W26" i="37"/>
  <c r="U26" i="37"/>
  <c r="AE25" i="37"/>
  <c r="AC25" i="37"/>
  <c r="AD25" i="37"/>
  <c r="X25" i="37"/>
  <c r="Y25" i="37"/>
  <c r="AA25" i="37"/>
  <c r="Z25" i="37"/>
  <c r="W25" i="37"/>
  <c r="U25" i="37"/>
  <c r="AE17" i="37"/>
  <c r="X17" i="37"/>
  <c r="Y17" i="37"/>
  <c r="AA17" i="37"/>
  <c r="Z17" i="37"/>
  <c r="W17" i="37"/>
  <c r="AE16" i="37"/>
  <c r="X16" i="37"/>
  <c r="Y16" i="37"/>
  <c r="AA16" i="37"/>
  <c r="Z16" i="37"/>
  <c r="W16" i="37"/>
  <c r="AE15" i="37"/>
  <c r="X15" i="37"/>
  <c r="Y15" i="37"/>
  <c r="AA15" i="37"/>
  <c r="Z15" i="37"/>
  <c r="W15" i="37"/>
  <c r="AE14" i="37"/>
  <c r="X14" i="37"/>
  <c r="Y14" i="37"/>
  <c r="AA14" i="37"/>
  <c r="Z14" i="37"/>
  <c r="W14" i="37"/>
  <c r="AE13" i="37"/>
  <c r="X13" i="37"/>
  <c r="Y13" i="37"/>
  <c r="AA13" i="37"/>
  <c r="Z13" i="37"/>
  <c r="W13" i="37"/>
  <c r="AE12" i="37"/>
  <c r="X12" i="37"/>
  <c r="Y12" i="37"/>
  <c r="AA12" i="37"/>
  <c r="Z12" i="37"/>
  <c r="W12" i="37"/>
  <c r="E94" i="9"/>
  <c r="D33" i="14"/>
  <c r="E114" i="9"/>
  <c r="B33" i="14"/>
  <c r="E75" i="9"/>
  <c r="G29" i="14"/>
  <c r="E88" i="9"/>
  <c r="B27" i="14"/>
  <c r="E72" i="9"/>
  <c r="B22" i="14"/>
  <c r="E78" i="9"/>
  <c r="G19" i="14"/>
  <c r="B18" i="14"/>
  <c r="B17" i="14"/>
  <c r="G14" i="14"/>
  <c r="E77" i="9"/>
  <c r="B12" i="14"/>
  <c r="E81" i="9"/>
  <c r="B7" i="14"/>
  <c r="H9" i="14"/>
  <c r="E74" i="9"/>
  <c r="E76" i="9"/>
  <c r="E79" i="9"/>
  <c r="E83" i="9"/>
  <c r="E86" i="9"/>
  <c r="H5" i="3"/>
  <c r="G5" i="3"/>
  <c r="I5" i="3"/>
  <c r="AV5" i="3"/>
  <c r="AW5" i="3"/>
  <c r="H4" i="3"/>
  <c r="G4" i="3"/>
  <c r="I4" i="3"/>
  <c r="AW4" i="3"/>
  <c r="H6" i="3"/>
  <c r="G6" i="3"/>
  <c r="I6" i="3"/>
  <c r="AW6" i="3"/>
  <c r="H7" i="3"/>
  <c r="G7" i="3"/>
  <c r="I7" i="3"/>
  <c r="AW7" i="3"/>
  <c r="H8" i="3"/>
  <c r="G8" i="3"/>
  <c r="I8" i="3"/>
  <c r="AW8" i="3"/>
  <c r="H9" i="3"/>
  <c r="G9" i="3"/>
  <c r="I9" i="3"/>
  <c r="AW9" i="3"/>
  <c r="H10" i="3"/>
  <c r="G10" i="3"/>
  <c r="I10" i="3"/>
  <c r="AW10" i="3"/>
  <c r="H11" i="3"/>
  <c r="G11" i="3"/>
  <c r="I11" i="3"/>
  <c r="AW11" i="3"/>
  <c r="H12" i="3"/>
  <c r="G12" i="3"/>
  <c r="I12" i="3"/>
  <c r="AW12" i="3"/>
  <c r="AX5" i="3"/>
  <c r="AV6" i="3"/>
  <c r="AX6" i="3"/>
  <c r="AV7" i="3"/>
  <c r="AX7" i="3"/>
  <c r="AV8" i="3"/>
  <c r="AX8" i="3"/>
  <c r="AV9" i="3"/>
  <c r="AX9" i="3"/>
  <c r="AV10" i="3"/>
  <c r="AX10" i="3"/>
  <c r="AV11" i="3"/>
  <c r="AX11" i="3"/>
  <c r="AV12" i="3"/>
  <c r="AX12" i="3"/>
  <c r="AX4" i="3"/>
  <c r="AV4" i="3"/>
  <c r="Y87" i="3"/>
  <c r="Y89" i="3"/>
  <c r="Y91" i="3"/>
  <c r="Y93" i="3"/>
  <c r="Y95" i="3"/>
  <c r="Y97" i="3"/>
  <c r="Y99" i="3"/>
  <c r="Y101" i="3"/>
  <c r="Y103" i="3"/>
  <c r="Y105" i="3"/>
  <c r="Y107" i="3"/>
  <c r="Y109" i="3"/>
  <c r="Y111" i="3"/>
  <c r="Y113" i="3"/>
  <c r="Y115" i="3"/>
  <c r="Y117" i="3"/>
  <c r="Y119" i="3"/>
  <c r="Y120" i="3"/>
  <c r="Y121" i="3"/>
  <c r="Y122" i="3"/>
  <c r="Y123" i="3"/>
  <c r="Y124" i="3"/>
  <c r="Y125" i="3"/>
  <c r="Y126" i="3"/>
  <c r="Y127" i="3"/>
  <c r="Y128" i="3"/>
  <c r="Y129" i="3"/>
  <c r="Y130" i="3"/>
  <c r="Y131" i="3"/>
  <c r="Y132" i="3"/>
  <c r="Y133" i="3"/>
  <c r="Y134" i="3"/>
  <c r="Y135" i="3"/>
  <c r="AE94" i="3"/>
  <c r="AE106" i="3"/>
  <c r="AF84" i="3"/>
  <c r="AF86" i="3"/>
  <c r="AF87" i="3"/>
  <c r="AF88" i="3"/>
  <c r="AF89" i="3"/>
  <c r="AF90" i="3"/>
  <c r="AF91" i="3"/>
  <c r="AF92" i="3"/>
  <c r="AF93" i="3"/>
  <c r="AF94" i="3"/>
  <c r="AF95" i="3"/>
  <c r="AF96" i="3"/>
  <c r="AF97" i="3"/>
  <c r="AF98" i="3"/>
  <c r="AF99" i="3"/>
  <c r="AF100" i="3"/>
  <c r="AF101" i="3"/>
  <c r="AF102" i="3"/>
  <c r="AF103" i="3"/>
  <c r="AF104" i="3"/>
  <c r="AF105" i="3"/>
  <c r="AF106" i="3"/>
  <c r="AF107" i="3"/>
  <c r="AF108" i="3"/>
  <c r="AF109" i="3"/>
  <c r="AF110" i="3"/>
  <c r="AF111" i="3"/>
  <c r="AF112" i="3"/>
  <c r="AF113" i="3"/>
  <c r="AF114" i="3"/>
  <c r="AF115" i="3"/>
  <c r="AF116" i="3"/>
  <c r="AF117" i="3"/>
  <c r="AF118" i="3"/>
  <c r="AF119" i="3"/>
  <c r="AF120" i="3"/>
  <c r="AF121" i="3"/>
  <c r="AF122" i="3"/>
  <c r="AF123" i="3"/>
  <c r="AF124" i="3"/>
  <c r="AF125" i="3"/>
  <c r="AF126" i="3"/>
  <c r="AF127" i="3"/>
  <c r="AF128" i="3"/>
  <c r="AF129" i="3"/>
  <c r="AF130" i="3"/>
  <c r="AF131" i="3"/>
  <c r="AF132" i="3"/>
  <c r="AF133" i="3"/>
  <c r="AF134" i="3"/>
  <c r="AF135" i="3"/>
  <c r="AE86" i="3"/>
  <c r="AE98" i="3"/>
  <c r="AE104" i="3"/>
  <c r="AE90" i="3"/>
  <c r="AE116" i="3"/>
  <c r="AE88" i="3"/>
  <c r="AE108" i="3"/>
  <c r="AE100" i="3"/>
  <c r="AE118" i="3"/>
  <c r="AE92" i="3"/>
  <c r="AE110" i="3"/>
  <c r="AE84" i="3"/>
  <c r="AE102" i="3"/>
  <c r="AE114" i="3"/>
  <c r="AE120" i="3"/>
  <c r="AE121" i="3"/>
  <c r="AE122" i="3"/>
  <c r="AE123" i="3"/>
  <c r="AE87" i="3"/>
  <c r="AE89" i="3"/>
  <c r="AE91" i="3"/>
  <c r="AE93" i="3"/>
  <c r="AE95" i="3"/>
  <c r="AE96" i="3"/>
  <c r="AE97" i="3"/>
  <c r="AE99" i="3"/>
  <c r="AE101" i="3"/>
  <c r="AE103" i="3"/>
  <c r="AE105" i="3"/>
  <c r="AE107" i="3"/>
  <c r="AE109" i="3"/>
  <c r="AE111" i="3"/>
  <c r="AE112" i="3"/>
  <c r="AE113" i="3"/>
  <c r="AE115" i="3"/>
  <c r="AE117" i="3"/>
  <c r="AE119" i="3"/>
  <c r="AE124" i="3"/>
  <c r="AE125" i="3"/>
  <c r="AE126" i="3"/>
  <c r="AE127" i="3"/>
  <c r="AE128" i="3"/>
  <c r="AE129" i="3"/>
  <c r="AE130" i="3"/>
  <c r="AE131" i="3"/>
  <c r="AE132" i="3"/>
  <c r="AE133" i="3"/>
  <c r="AE134" i="3"/>
  <c r="AE135" i="3"/>
  <c r="AC207" i="3"/>
  <c r="AB207" i="3"/>
  <c r="AC206" i="3"/>
  <c r="AB206" i="3"/>
  <c r="AC205" i="3"/>
  <c r="AB205" i="3"/>
  <c r="AC204" i="3"/>
  <c r="AB204" i="3"/>
  <c r="AC203" i="3"/>
  <c r="AB203" i="3"/>
  <c r="AC202" i="3"/>
  <c r="AB202" i="3"/>
  <c r="AC201" i="3"/>
  <c r="AB201" i="3"/>
  <c r="AC200" i="3"/>
  <c r="AB200" i="3"/>
  <c r="AC199" i="3"/>
  <c r="AB199" i="3"/>
  <c r="AC198" i="3"/>
  <c r="AB198" i="3"/>
  <c r="AC197" i="3"/>
  <c r="AB197" i="3"/>
  <c r="AC196" i="3"/>
  <c r="AB196" i="3"/>
  <c r="AC195" i="3"/>
  <c r="AB195" i="3"/>
  <c r="AC194" i="3"/>
  <c r="AB194" i="3"/>
  <c r="AC193" i="3"/>
  <c r="AB193" i="3"/>
  <c r="AC192" i="3"/>
  <c r="AB192" i="3"/>
  <c r="AC191" i="3"/>
  <c r="AB191" i="3"/>
  <c r="AC190" i="3"/>
  <c r="AB190" i="3"/>
  <c r="AC189" i="3"/>
  <c r="AB189" i="3"/>
  <c r="AC188" i="3"/>
  <c r="AB188" i="3"/>
  <c r="AC187" i="3"/>
  <c r="AB187" i="3"/>
  <c r="AC186" i="3"/>
  <c r="AB186" i="3"/>
  <c r="AC185" i="3"/>
  <c r="AB185" i="3"/>
  <c r="AC184" i="3"/>
  <c r="AB184" i="3"/>
  <c r="AC183" i="3"/>
  <c r="AB183" i="3"/>
  <c r="AC182" i="3"/>
  <c r="AB182" i="3"/>
  <c r="AC181" i="3"/>
  <c r="AB181" i="3"/>
  <c r="AC180" i="3"/>
  <c r="AB180" i="3"/>
  <c r="AC179" i="3"/>
  <c r="AB179" i="3"/>
  <c r="AC178" i="3"/>
  <c r="AB178" i="3"/>
  <c r="AC177" i="3"/>
  <c r="AB177" i="3"/>
  <c r="AC176" i="3"/>
  <c r="AB176" i="3"/>
  <c r="AC175" i="3"/>
  <c r="AB175" i="3"/>
  <c r="AC174" i="3"/>
  <c r="AB174" i="3"/>
  <c r="AC173" i="3"/>
  <c r="AB173" i="3"/>
  <c r="AC172" i="3"/>
  <c r="AB172" i="3"/>
  <c r="AC171" i="3"/>
  <c r="AB171" i="3"/>
  <c r="AC170" i="3"/>
  <c r="AB170" i="3"/>
  <c r="AC169" i="3"/>
  <c r="AB169" i="3"/>
  <c r="AC168" i="3"/>
  <c r="AB168" i="3"/>
  <c r="AC167" i="3"/>
  <c r="AB167" i="3"/>
  <c r="AC166" i="3"/>
  <c r="AB166" i="3"/>
  <c r="AC165" i="3"/>
  <c r="AB165" i="3"/>
  <c r="AC164" i="3"/>
  <c r="AB164" i="3"/>
  <c r="AC163" i="3"/>
  <c r="AB163" i="3"/>
  <c r="AC162" i="3"/>
  <c r="AB162" i="3"/>
  <c r="AC161" i="3"/>
  <c r="AB161" i="3"/>
  <c r="AC160" i="3"/>
  <c r="AB160" i="3"/>
  <c r="AC159" i="3"/>
  <c r="AB159" i="3"/>
  <c r="AC158" i="3"/>
  <c r="AB158" i="3"/>
  <c r="AC157" i="3"/>
  <c r="AB157" i="3"/>
  <c r="AC156" i="3"/>
  <c r="AB156" i="3"/>
  <c r="AC155" i="3"/>
  <c r="AB155" i="3"/>
  <c r="AC154" i="3"/>
  <c r="AB154" i="3"/>
  <c r="AC153" i="3"/>
  <c r="AB153" i="3"/>
  <c r="AC152" i="3"/>
  <c r="AB152" i="3"/>
  <c r="AC151" i="3"/>
  <c r="AB151" i="3"/>
  <c r="AC150" i="3"/>
  <c r="AB150" i="3"/>
  <c r="AC149" i="3"/>
  <c r="AB149" i="3"/>
  <c r="AC148" i="3"/>
  <c r="AB148" i="3"/>
  <c r="AC147" i="3"/>
  <c r="AB147" i="3"/>
  <c r="AC146" i="3"/>
  <c r="AB146" i="3"/>
  <c r="AC145" i="3"/>
  <c r="AB145" i="3"/>
  <c r="AC144" i="3"/>
  <c r="AB144" i="3"/>
  <c r="AC143" i="3"/>
  <c r="AB143" i="3"/>
  <c r="AC142" i="3"/>
  <c r="AB142" i="3"/>
  <c r="AC141" i="3"/>
  <c r="AB141" i="3"/>
  <c r="AC140" i="3"/>
  <c r="AB140" i="3"/>
  <c r="AC139" i="3"/>
  <c r="AB139" i="3"/>
  <c r="AC138" i="3"/>
  <c r="AB138" i="3"/>
  <c r="AC137" i="3"/>
  <c r="AB137" i="3"/>
  <c r="AA137" i="3"/>
  <c r="AA138" i="3"/>
  <c r="AA139" i="3"/>
  <c r="AA140" i="3"/>
  <c r="AA141" i="3"/>
  <c r="AA142" i="3"/>
  <c r="AA143" i="3"/>
  <c r="AA144" i="3"/>
  <c r="AA145" i="3"/>
  <c r="AA146" i="3"/>
  <c r="AA147" i="3"/>
  <c r="AA148" i="3"/>
  <c r="AA149" i="3"/>
  <c r="AA150" i="3"/>
  <c r="AA151" i="3"/>
  <c r="AA152" i="3"/>
  <c r="AA153" i="3"/>
  <c r="AA154" i="3"/>
  <c r="AA155" i="3"/>
  <c r="AA156" i="3"/>
  <c r="AA157" i="3"/>
  <c r="AA158" i="3"/>
  <c r="AA159" i="3"/>
  <c r="AA160" i="3"/>
  <c r="AA161" i="3"/>
  <c r="AA162" i="3"/>
  <c r="AA163" i="3"/>
  <c r="AA164" i="3"/>
  <c r="AA165" i="3"/>
  <c r="AA166" i="3"/>
  <c r="AA167" i="3"/>
  <c r="AA168" i="3"/>
  <c r="AA169" i="3"/>
  <c r="AA170" i="3"/>
  <c r="AA171" i="3"/>
  <c r="AA172" i="3"/>
  <c r="AA173" i="3"/>
  <c r="AA174" i="3"/>
  <c r="AA175" i="3"/>
  <c r="AA176" i="3"/>
  <c r="AA177" i="3"/>
  <c r="AA178" i="3"/>
  <c r="AA179" i="3"/>
  <c r="AA180" i="3"/>
  <c r="AA181" i="3"/>
  <c r="AA182" i="3"/>
  <c r="AA183" i="3"/>
  <c r="AA184" i="3"/>
  <c r="AA185" i="3"/>
  <c r="AA186" i="3"/>
  <c r="AA187" i="3"/>
  <c r="AA188" i="3"/>
  <c r="AA189" i="3"/>
  <c r="AA190" i="3"/>
  <c r="AA191" i="3"/>
  <c r="AA192" i="3"/>
  <c r="AA193" i="3"/>
  <c r="AA194" i="3"/>
  <c r="AA195" i="3"/>
  <c r="AA196" i="3"/>
  <c r="AA197" i="3"/>
  <c r="AA198" i="3"/>
  <c r="AA199" i="3"/>
  <c r="AA200" i="3"/>
  <c r="AA201" i="3"/>
  <c r="AA202" i="3"/>
  <c r="AA203" i="3"/>
  <c r="AA204" i="3"/>
  <c r="AA205" i="3"/>
  <c r="AA206" i="3"/>
  <c r="AA207" i="3"/>
  <c r="AC136" i="3"/>
  <c r="AB136" i="3"/>
  <c r="AM135" i="3"/>
  <c r="AL135" i="3"/>
  <c r="AG135" i="3"/>
  <c r="AD135" i="3"/>
  <c r="AC135" i="3"/>
  <c r="AB135" i="3"/>
  <c r="Z135" i="3"/>
  <c r="AM134" i="3"/>
  <c r="AL134" i="3"/>
  <c r="AG134" i="3"/>
  <c r="AD134" i="3"/>
  <c r="AC134" i="3"/>
  <c r="AB134" i="3"/>
  <c r="Z134" i="3"/>
  <c r="AM133" i="3"/>
  <c r="AL133" i="3"/>
  <c r="AG133" i="3"/>
  <c r="AD133" i="3"/>
  <c r="AC133" i="3"/>
  <c r="AB133" i="3"/>
  <c r="Z133" i="3"/>
  <c r="AM132" i="3"/>
  <c r="AL132" i="3"/>
  <c r="AG132" i="3"/>
  <c r="AD132" i="3"/>
  <c r="AC132" i="3"/>
  <c r="AB132" i="3"/>
  <c r="Z132" i="3"/>
  <c r="AM131" i="3"/>
  <c r="AL131" i="3"/>
  <c r="AG131" i="3"/>
  <c r="AD131" i="3"/>
  <c r="AC131" i="3"/>
  <c r="AB131" i="3"/>
  <c r="Z131" i="3"/>
  <c r="AM130" i="3"/>
  <c r="AL130" i="3"/>
  <c r="AG130" i="3"/>
  <c r="AD130" i="3"/>
  <c r="AC130" i="3"/>
  <c r="AB130" i="3"/>
  <c r="Z130" i="3"/>
  <c r="AM129" i="3"/>
  <c r="AL129" i="3"/>
  <c r="AG129" i="3"/>
  <c r="AD129" i="3"/>
  <c r="AC129" i="3"/>
  <c r="AB129" i="3"/>
  <c r="Z129" i="3"/>
  <c r="AM128" i="3"/>
  <c r="AL128" i="3"/>
  <c r="AG128" i="3"/>
  <c r="AD128" i="3"/>
  <c r="AC128" i="3"/>
  <c r="AB128" i="3"/>
  <c r="Z128" i="3"/>
  <c r="AM127" i="3"/>
  <c r="AL127" i="3"/>
  <c r="AG127" i="3"/>
  <c r="AD127" i="3"/>
  <c r="AC127" i="3"/>
  <c r="AB127" i="3"/>
  <c r="Z127" i="3"/>
  <c r="AM126" i="3"/>
  <c r="AL126" i="3"/>
  <c r="AG126" i="3"/>
  <c r="AD126" i="3"/>
  <c r="AC126" i="3"/>
  <c r="AB126" i="3"/>
  <c r="Z126" i="3"/>
  <c r="AM125" i="3"/>
  <c r="AL125" i="3"/>
  <c r="AG125" i="3"/>
  <c r="AD125" i="3"/>
  <c r="AC125" i="3"/>
  <c r="AB125" i="3"/>
  <c r="Z125" i="3"/>
  <c r="AM124" i="3"/>
  <c r="AL124" i="3"/>
  <c r="AG124" i="3"/>
  <c r="AD124" i="3"/>
  <c r="AC124" i="3"/>
  <c r="AB124" i="3"/>
  <c r="Z124" i="3"/>
  <c r="AM123" i="3"/>
  <c r="AL123" i="3"/>
  <c r="AG123" i="3"/>
  <c r="AD123" i="3"/>
  <c r="AC123" i="3"/>
  <c r="AB123" i="3"/>
  <c r="Z123" i="3"/>
  <c r="AM122" i="3"/>
  <c r="AL122" i="3"/>
  <c r="AG122" i="3"/>
  <c r="AD122" i="3"/>
  <c r="AC122" i="3"/>
  <c r="AB122" i="3"/>
  <c r="Z122" i="3"/>
  <c r="AM121" i="3"/>
  <c r="AL121" i="3"/>
  <c r="AG121" i="3"/>
  <c r="AD121" i="3"/>
  <c r="AC121" i="3"/>
  <c r="AB121" i="3"/>
  <c r="Z121" i="3"/>
  <c r="AM120" i="3"/>
  <c r="AL120" i="3"/>
  <c r="AG120" i="3"/>
  <c r="AD120" i="3"/>
  <c r="AC120" i="3"/>
  <c r="AB120" i="3"/>
  <c r="Z120" i="3"/>
  <c r="AM119" i="3"/>
  <c r="AL119" i="3"/>
  <c r="AG119" i="3"/>
  <c r="AD119" i="3"/>
  <c r="AC119" i="3"/>
  <c r="AB119" i="3"/>
  <c r="Z119" i="3"/>
  <c r="AM118" i="3"/>
  <c r="AL118" i="3"/>
  <c r="AG118" i="3"/>
  <c r="AD118" i="3"/>
  <c r="AC118" i="3"/>
  <c r="AB118" i="3"/>
  <c r="Z118" i="3"/>
  <c r="AM117" i="3"/>
  <c r="AL117" i="3"/>
  <c r="AG117" i="3"/>
  <c r="AD117" i="3"/>
  <c r="AC117" i="3"/>
  <c r="AB117" i="3"/>
  <c r="Z117" i="3"/>
  <c r="AM116" i="3"/>
  <c r="AL116" i="3"/>
  <c r="AG116" i="3"/>
  <c r="AD116" i="3"/>
  <c r="AC116" i="3"/>
  <c r="AB116" i="3"/>
  <c r="Z116" i="3"/>
  <c r="AM115" i="3"/>
  <c r="AL115" i="3"/>
  <c r="AG115" i="3"/>
  <c r="AD115" i="3"/>
  <c r="AC115" i="3"/>
  <c r="AB115" i="3"/>
  <c r="Z115" i="3"/>
  <c r="AM114" i="3"/>
  <c r="AL114" i="3"/>
  <c r="AG114" i="3"/>
  <c r="AD114" i="3"/>
  <c r="AC114" i="3"/>
  <c r="AB114" i="3"/>
  <c r="Z114" i="3"/>
  <c r="AM113" i="3"/>
  <c r="AL113" i="3"/>
  <c r="AG113" i="3"/>
  <c r="AD113" i="3"/>
  <c r="AC113" i="3"/>
  <c r="AB113" i="3"/>
  <c r="Z113" i="3"/>
  <c r="AM112" i="3"/>
  <c r="AL112" i="3"/>
  <c r="AG112" i="3"/>
  <c r="AD112" i="3"/>
  <c r="AC112" i="3"/>
  <c r="AB112" i="3"/>
  <c r="Z112" i="3"/>
  <c r="AM111" i="3"/>
  <c r="AL111" i="3"/>
  <c r="AG111" i="3"/>
  <c r="AD111" i="3"/>
  <c r="AC111" i="3"/>
  <c r="AB111" i="3"/>
  <c r="Z111" i="3"/>
  <c r="AM110" i="3"/>
  <c r="AL110" i="3"/>
  <c r="AG110" i="3"/>
  <c r="AD110" i="3"/>
  <c r="AC110" i="3"/>
  <c r="AB110" i="3"/>
  <c r="Z110" i="3"/>
  <c r="AM109" i="3"/>
  <c r="AL109" i="3"/>
  <c r="AG109" i="3"/>
  <c r="AD109" i="3"/>
  <c r="AC109" i="3"/>
  <c r="AB109" i="3"/>
  <c r="Z109" i="3"/>
  <c r="AM108" i="3"/>
  <c r="AL108" i="3"/>
  <c r="AG108" i="3"/>
  <c r="AD108" i="3"/>
  <c r="AC108" i="3"/>
  <c r="AB108" i="3"/>
  <c r="Z108" i="3"/>
  <c r="AM107" i="3"/>
  <c r="AL107" i="3"/>
  <c r="AG107" i="3"/>
  <c r="AD107" i="3"/>
  <c r="AC107" i="3"/>
  <c r="AB107" i="3"/>
  <c r="Z107" i="3"/>
  <c r="AM106" i="3"/>
  <c r="AL106" i="3"/>
  <c r="AG106" i="3"/>
  <c r="AD106" i="3"/>
  <c r="AC106" i="3"/>
  <c r="AB106" i="3"/>
  <c r="Z106" i="3"/>
  <c r="AM105" i="3"/>
  <c r="AL105" i="3"/>
  <c r="AG105" i="3"/>
  <c r="AD105" i="3"/>
  <c r="AC105" i="3"/>
  <c r="AB105" i="3"/>
  <c r="Z105" i="3"/>
  <c r="AM104" i="3"/>
  <c r="AL104" i="3"/>
  <c r="AG104" i="3"/>
  <c r="AD104" i="3"/>
  <c r="AC104" i="3"/>
  <c r="AB104" i="3"/>
  <c r="Z104" i="3"/>
  <c r="AM103" i="3"/>
  <c r="AL103" i="3"/>
  <c r="AG103" i="3"/>
  <c r="AD103" i="3"/>
  <c r="AC103" i="3"/>
  <c r="AB103" i="3"/>
  <c r="Z103" i="3"/>
  <c r="AM102" i="3"/>
  <c r="AL102" i="3"/>
  <c r="AG102" i="3"/>
  <c r="AD102" i="3"/>
  <c r="AC102" i="3"/>
  <c r="AB102" i="3"/>
  <c r="Z102" i="3"/>
  <c r="AM101" i="3"/>
  <c r="AL101" i="3"/>
  <c r="AG101" i="3"/>
  <c r="AD101" i="3"/>
  <c r="AC101" i="3"/>
  <c r="AB101" i="3"/>
  <c r="Z101" i="3"/>
  <c r="AM100" i="3"/>
  <c r="AL100" i="3"/>
  <c r="AG100" i="3"/>
  <c r="AD100" i="3"/>
  <c r="AC100" i="3"/>
  <c r="AB100" i="3"/>
  <c r="Z100" i="3"/>
  <c r="AM99" i="3"/>
  <c r="AL99" i="3"/>
  <c r="AG99" i="3"/>
  <c r="AD99" i="3"/>
  <c r="AC99" i="3"/>
  <c r="AB99" i="3"/>
  <c r="Z99" i="3"/>
  <c r="AM98" i="3"/>
  <c r="AL98" i="3"/>
  <c r="AG98" i="3"/>
  <c r="AD98" i="3"/>
  <c r="AC98" i="3"/>
  <c r="AB98" i="3"/>
  <c r="Z98" i="3"/>
  <c r="AM97" i="3"/>
  <c r="AL97" i="3"/>
  <c r="AG97" i="3"/>
  <c r="AD97" i="3"/>
  <c r="AC97" i="3"/>
  <c r="AB97" i="3"/>
  <c r="Z97" i="3"/>
  <c r="AM96" i="3"/>
  <c r="AL96" i="3"/>
  <c r="AG96" i="3"/>
  <c r="AD96" i="3"/>
  <c r="AC96" i="3"/>
  <c r="AB96" i="3"/>
  <c r="Z96" i="3"/>
  <c r="AM95" i="3"/>
  <c r="AL95" i="3"/>
  <c r="AG95" i="3"/>
  <c r="AD95" i="3"/>
  <c r="AC95" i="3"/>
  <c r="AB95" i="3"/>
  <c r="Z95" i="3"/>
  <c r="AM94" i="3"/>
  <c r="AL94" i="3"/>
  <c r="AG94" i="3"/>
  <c r="AD94" i="3"/>
  <c r="AC94" i="3"/>
  <c r="AB94" i="3"/>
  <c r="Z94" i="3"/>
  <c r="AM93" i="3"/>
  <c r="AL93" i="3"/>
  <c r="AG93" i="3"/>
  <c r="AD93" i="3"/>
  <c r="AC93" i="3"/>
  <c r="AB93" i="3"/>
  <c r="Z93" i="3"/>
  <c r="AM92" i="3"/>
  <c r="AL92" i="3"/>
  <c r="AG92" i="3"/>
  <c r="AD92" i="3"/>
  <c r="AC92" i="3"/>
  <c r="AB92" i="3"/>
  <c r="Z92" i="3"/>
  <c r="AM91" i="3"/>
  <c r="AL91" i="3"/>
  <c r="AG91" i="3"/>
  <c r="AD91" i="3"/>
  <c r="AC91" i="3"/>
  <c r="AB91" i="3"/>
  <c r="Z91" i="3"/>
  <c r="AM90" i="3"/>
  <c r="AL90" i="3"/>
  <c r="AG90" i="3"/>
  <c r="AD90" i="3"/>
  <c r="AC90" i="3"/>
  <c r="AB90" i="3"/>
  <c r="Z90" i="3"/>
  <c r="AM89" i="3"/>
  <c r="AL89" i="3"/>
  <c r="AG89" i="3"/>
  <c r="AD89" i="3"/>
  <c r="AC89" i="3"/>
  <c r="AB89" i="3"/>
  <c r="Z89" i="3"/>
  <c r="AM88" i="3"/>
  <c r="AL88" i="3"/>
  <c r="AG88" i="3"/>
  <c r="AD88" i="3"/>
  <c r="AC88" i="3"/>
  <c r="AB88" i="3"/>
  <c r="Z88" i="3"/>
  <c r="AM87" i="3"/>
  <c r="AL87" i="3"/>
  <c r="AG87" i="3"/>
  <c r="AD87" i="3"/>
  <c r="AC87" i="3"/>
  <c r="AB87" i="3"/>
  <c r="Z87" i="3"/>
  <c r="AM86" i="3"/>
  <c r="AL86" i="3"/>
  <c r="AG86" i="3"/>
  <c r="AD86" i="3"/>
  <c r="AC86" i="3"/>
  <c r="AB86" i="3"/>
  <c r="Z86" i="3"/>
  <c r="AM85" i="3"/>
  <c r="AL85" i="3"/>
  <c r="AC85" i="3"/>
  <c r="AB85" i="3"/>
  <c r="Z85" i="3"/>
  <c r="AM84" i="3"/>
  <c r="AL84" i="3"/>
  <c r="AG84" i="3"/>
  <c r="AD84" i="3"/>
  <c r="AC84" i="3"/>
  <c r="AB84" i="3"/>
  <c r="Z84" i="3"/>
  <c r="AM83" i="3"/>
  <c r="AL83" i="3"/>
  <c r="AC83" i="3"/>
  <c r="AB83" i="3"/>
  <c r="Z83" i="3"/>
  <c r="AM82" i="3"/>
  <c r="AL82" i="3"/>
  <c r="AC82" i="3"/>
  <c r="AB82" i="3"/>
  <c r="Z82" i="3"/>
  <c r="AM81" i="3"/>
  <c r="AL81" i="3"/>
  <c r="AC81" i="3"/>
  <c r="AB81" i="3"/>
  <c r="Z81" i="3"/>
  <c r="AM80" i="3"/>
  <c r="AL80" i="3"/>
  <c r="AC80" i="3"/>
  <c r="AB80" i="3"/>
  <c r="Z80" i="3"/>
  <c r="AM79" i="3"/>
  <c r="AL79" i="3"/>
  <c r="AC79" i="3"/>
  <c r="AB79" i="3"/>
  <c r="Z79" i="3"/>
  <c r="AM78" i="3"/>
  <c r="AL78" i="3"/>
  <c r="AC78" i="3"/>
  <c r="AB78" i="3"/>
  <c r="Z78" i="3"/>
  <c r="AM77" i="3"/>
  <c r="AL77" i="3"/>
  <c r="AC77" i="3"/>
  <c r="AB77" i="3"/>
  <c r="Z77" i="3"/>
  <c r="AM76" i="3"/>
  <c r="AL76" i="3"/>
  <c r="AC76" i="3"/>
  <c r="AB76" i="3"/>
  <c r="Z76" i="3"/>
  <c r="AM75" i="3"/>
  <c r="AL75" i="3"/>
  <c r="AC75" i="3"/>
  <c r="AB75" i="3"/>
  <c r="Z75" i="3"/>
  <c r="AM74" i="3"/>
  <c r="AL74" i="3"/>
  <c r="AC74" i="3"/>
  <c r="AB74" i="3"/>
  <c r="Z74" i="3"/>
  <c r="AM73" i="3"/>
  <c r="AL73" i="3"/>
  <c r="AC73" i="3"/>
  <c r="AB73" i="3"/>
  <c r="Z73" i="3"/>
  <c r="AM72" i="3"/>
  <c r="AL72" i="3"/>
  <c r="AC72" i="3"/>
  <c r="AB72" i="3"/>
  <c r="Z72" i="3"/>
  <c r="AM71" i="3"/>
  <c r="AL71" i="3"/>
  <c r="AC71" i="3"/>
  <c r="AB71" i="3"/>
  <c r="Z71" i="3"/>
  <c r="AM70" i="3"/>
  <c r="AL70" i="3"/>
  <c r="AC70" i="3"/>
  <c r="AB70" i="3"/>
  <c r="Z70" i="3"/>
  <c r="AM69" i="3"/>
  <c r="AL69" i="3"/>
  <c r="AC69" i="3"/>
  <c r="AB69" i="3"/>
  <c r="Z69" i="3"/>
  <c r="AM68" i="3"/>
  <c r="AL68" i="3"/>
  <c r="AC68" i="3"/>
  <c r="AB68" i="3"/>
  <c r="Z68" i="3"/>
  <c r="AM67" i="3"/>
  <c r="AL67" i="3"/>
  <c r="AC67" i="3"/>
  <c r="AB67" i="3"/>
  <c r="Z67" i="3"/>
  <c r="AM66" i="3"/>
  <c r="AL66" i="3"/>
  <c r="AC66" i="3"/>
  <c r="AB66" i="3"/>
  <c r="Z66" i="3"/>
  <c r="AM65" i="3"/>
  <c r="AL65" i="3"/>
  <c r="AC65" i="3"/>
  <c r="AB65" i="3"/>
  <c r="Z65" i="3"/>
  <c r="AM64" i="3"/>
  <c r="AL64" i="3"/>
  <c r="AC64" i="3"/>
  <c r="AB64" i="3"/>
  <c r="BG13" i="6"/>
  <c r="BH13" i="6"/>
  <c r="BI13" i="6"/>
  <c r="BG14" i="6"/>
  <c r="BH14" i="6"/>
  <c r="BI14" i="6"/>
  <c r="BG15" i="6"/>
  <c r="BH15" i="6"/>
  <c r="BI15" i="6"/>
  <c r="BG16" i="6"/>
  <c r="BH16" i="6"/>
  <c r="BI16" i="6"/>
  <c r="BG17" i="6"/>
  <c r="BH17" i="6"/>
  <c r="BI17" i="6"/>
  <c r="BG18" i="6"/>
  <c r="BH18" i="6"/>
  <c r="BI18" i="6"/>
  <c r="BG19" i="6"/>
  <c r="BH19" i="6"/>
  <c r="BI19" i="6"/>
  <c r="BG20" i="6"/>
  <c r="BH20" i="6"/>
  <c r="BI20" i="6"/>
  <c r="BG21" i="6"/>
  <c r="BH21" i="6"/>
  <c r="BI21" i="6"/>
  <c r="BG22" i="6"/>
  <c r="BH22" i="6"/>
  <c r="BI22" i="6"/>
  <c r="BG23" i="6"/>
  <c r="BH23" i="6"/>
  <c r="BI23" i="6"/>
  <c r="BG24" i="6"/>
  <c r="BH24" i="6"/>
  <c r="BI24" i="6"/>
  <c r="BG25" i="6"/>
  <c r="BH25" i="6"/>
  <c r="BI25" i="6"/>
  <c r="BG26" i="6"/>
  <c r="BH26" i="6"/>
  <c r="BI26" i="6"/>
  <c r="BG27" i="6"/>
  <c r="BH27" i="6"/>
  <c r="BI27" i="6"/>
  <c r="BG28" i="6"/>
  <c r="BH28" i="6"/>
  <c r="BI28" i="6"/>
  <c r="BG29" i="6"/>
  <c r="BH29" i="6"/>
  <c r="BI29" i="6"/>
  <c r="BG30" i="6"/>
  <c r="BH30" i="6"/>
  <c r="BI30" i="6"/>
  <c r="BG31" i="6"/>
  <c r="BH31" i="6"/>
  <c r="BI31" i="6"/>
  <c r="BG32" i="6"/>
  <c r="BH32" i="6"/>
  <c r="BI32" i="6"/>
  <c r="BG33" i="6"/>
  <c r="BH33" i="6"/>
  <c r="BI33" i="6"/>
  <c r="BG34" i="6"/>
  <c r="BH34" i="6"/>
  <c r="BI34" i="6"/>
  <c r="BG35" i="6"/>
  <c r="BH35" i="6"/>
  <c r="BI35" i="6"/>
  <c r="BG36" i="6"/>
  <c r="BH36" i="6"/>
  <c r="BI36" i="6"/>
  <c r="BG37" i="6"/>
  <c r="BH37" i="6"/>
  <c r="BI37" i="6"/>
  <c r="BG38" i="6"/>
  <c r="BH38" i="6"/>
  <c r="BI38" i="6"/>
  <c r="BG39" i="6"/>
  <c r="BH39" i="6"/>
  <c r="BI39" i="6"/>
  <c r="BG40" i="6"/>
  <c r="BH40" i="6"/>
  <c r="BI40" i="6"/>
  <c r="BG41" i="6"/>
  <c r="BH41" i="6"/>
  <c r="BI41" i="6"/>
  <c r="BG42" i="6"/>
  <c r="BH42" i="6"/>
  <c r="BI42" i="6"/>
  <c r="BG43" i="6"/>
  <c r="BH43" i="6"/>
  <c r="BI43" i="6"/>
  <c r="BG44" i="6"/>
  <c r="BH44" i="6"/>
  <c r="BI44" i="6"/>
  <c r="BG45" i="6"/>
  <c r="BH45" i="6"/>
  <c r="BI45" i="6"/>
  <c r="BG46" i="6"/>
  <c r="BH46" i="6"/>
  <c r="BI46" i="6"/>
  <c r="BG47" i="6"/>
  <c r="BH47" i="6"/>
  <c r="BI47" i="6"/>
  <c r="BG48" i="6"/>
  <c r="BH48" i="6"/>
  <c r="BI48" i="6"/>
  <c r="BG49" i="6"/>
  <c r="BH49" i="6"/>
  <c r="BI49" i="6"/>
  <c r="BG50" i="6"/>
  <c r="BH50" i="6"/>
  <c r="BI50" i="6"/>
  <c r="BG51" i="6"/>
  <c r="BH51" i="6"/>
  <c r="BI51" i="6"/>
  <c r="BG52" i="6"/>
  <c r="BH52" i="6"/>
  <c r="BI52" i="6"/>
  <c r="BG53" i="6"/>
  <c r="BH53" i="6"/>
  <c r="BI53" i="6"/>
  <c r="BG54" i="6"/>
  <c r="BH54" i="6"/>
  <c r="BI54" i="6"/>
  <c r="BG55" i="6"/>
  <c r="BH55" i="6"/>
  <c r="BI55" i="6"/>
  <c r="BG56" i="6"/>
  <c r="BH56" i="6"/>
  <c r="BI56" i="6"/>
  <c r="BG57" i="6"/>
  <c r="BH57" i="6"/>
  <c r="BI57" i="6"/>
  <c r="BG58" i="6"/>
  <c r="BH58" i="6"/>
  <c r="BI58" i="6"/>
  <c r="BG59" i="6"/>
  <c r="BH59" i="6"/>
  <c r="BI59" i="6"/>
  <c r="BG60" i="6"/>
  <c r="BH60" i="6"/>
  <c r="BI60" i="6"/>
  <c r="BG61" i="6"/>
  <c r="BH61" i="6"/>
  <c r="BI61" i="6"/>
  <c r="BG62" i="6"/>
  <c r="BH62" i="6"/>
  <c r="BI62" i="6"/>
  <c r="BG63" i="6"/>
  <c r="BH63" i="6"/>
  <c r="BI63" i="6"/>
  <c r="BG64" i="6"/>
  <c r="BH64" i="6"/>
  <c r="BI64" i="6"/>
  <c r="BG65" i="6"/>
  <c r="BH65" i="6"/>
  <c r="BI65" i="6"/>
  <c r="BG66" i="6"/>
  <c r="BH66" i="6"/>
  <c r="BI66" i="6"/>
  <c r="BG67" i="6"/>
  <c r="BH67" i="6"/>
  <c r="BI67" i="6"/>
  <c r="BG68" i="6"/>
  <c r="BH68" i="6"/>
  <c r="BI68" i="6"/>
  <c r="BG69" i="6"/>
  <c r="BH69" i="6"/>
  <c r="BI69" i="6"/>
  <c r="BG70" i="6"/>
  <c r="BH70" i="6"/>
  <c r="BI70" i="6"/>
  <c r="BG71" i="6"/>
  <c r="BH71" i="6"/>
  <c r="BI71" i="6"/>
  <c r="BG72" i="6"/>
  <c r="BH72" i="6"/>
  <c r="BI72" i="6"/>
  <c r="BG73" i="6"/>
  <c r="BH73" i="6"/>
  <c r="BI73" i="6"/>
  <c r="BG74" i="6"/>
  <c r="BH74" i="6"/>
  <c r="BI74" i="6"/>
  <c r="BG75" i="6"/>
  <c r="BH75" i="6"/>
  <c r="BI75" i="6"/>
  <c r="BG76" i="6"/>
  <c r="BH76" i="6"/>
  <c r="BI76" i="6"/>
  <c r="BG77" i="6"/>
  <c r="BH77" i="6"/>
  <c r="BI77" i="6"/>
  <c r="BG78" i="6"/>
  <c r="BH78" i="6"/>
  <c r="BI78" i="6"/>
  <c r="BG79" i="6"/>
  <c r="BH79" i="6"/>
  <c r="BI79" i="6"/>
  <c r="BG80" i="6"/>
  <c r="BH80" i="6"/>
  <c r="BI80" i="6"/>
  <c r="BG81" i="6"/>
  <c r="BH81" i="6"/>
  <c r="BI81" i="6"/>
  <c r="BG82" i="6"/>
  <c r="BH82" i="6"/>
  <c r="BI82" i="6"/>
  <c r="BG83" i="6"/>
  <c r="BH83" i="6"/>
  <c r="BI83" i="6"/>
  <c r="BI12" i="6"/>
  <c r="BH12" i="6"/>
  <c r="BG12" i="6"/>
  <c r="AF11" i="6"/>
  <c r="AG11" i="6"/>
  <c r="AC11" i="6"/>
  <c r="AD12" i="6"/>
  <c r="R11" i="6"/>
  <c r="O11" i="6"/>
  <c r="L11" i="6"/>
  <c r="I11" i="6"/>
  <c r="E97" i="9"/>
  <c r="E98" i="9"/>
  <c r="S12" i="6"/>
  <c r="P83" i="6"/>
  <c r="P82" i="6"/>
  <c r="P81" i="6"/>
  <c r="P80" i="6"/>
  <c r="P79" i="6"/>
  <c r="P78" i="6"/>
  <c r="P77" i="6"/>
  <c r="P76" i="6"/>
  <c r="P75" i="6"/>
  <c r="P74" i="6"/>
  <c r="P73" i="6"/>
  <c r="P72" i="6"/>
  <c r="P71" i="6"/>
  <c r="P70" i="6"/>
  <c r="P69" i="6"/>
  <c r="P68" i="6"/>
  <c r="P67" i="6"/>
  <c r="P66" i="6"/>
  <c r="P65" i="6"/>
  <c r="P64" i="6"/>
  <c r="P63" i="6"/>
  <c r="P62" i="6"/>
  <c r="P61" i="6"/>
  <c r="P60" i="6"/>
  <c r="P59" i="6"/>
  <c r="P58" i="6"/>
  <c r="P57" i="6"/>
  <c r="P56" i="6"/>
  <c r="P55" i="6"/>
  <c r="P54" i="6"/>
  <c r="P53" i="6"/>
  <c r="P52" i="6"/>
  <c r="P51" i="6"/>
  <c r="P50" i="6"/>
  <c r="P49" i="6"/>
  <c r="P48" i="6"/>
  <c r="P47" i="6"/>
  <c r="P46" i="6"/>
  <c r="P45" i="6"/>
  <c r="P44" i="6"/>
  <c r="P43" i="6"/>
  <c r="P42" i="6"/>
  <c r="P41" i="6"/>
  <c r="P40" i="6"/>
  <c r="P39" i="6"/>
  <c r="P38" i="6"/>
  <c r="P37" i="6"/>
  <c r="P36" i="6"/>
  <c r="P35" i="6"/>
  <c r="P34" i="6"/>
  <c r="P33" i="6"/>
  <c r="P32" i="6"/>
  <c r="P31" i="6"/>
  <c r="P30" i="6"/>
  <c r="P29" i="6"/>
  <c r="P28" i="6"/>
  <c r="P27" i="6"/>
  <c r="P26" i="6"/>
  <c r="P25" i="6"/>
  <c r="P24" i="6"/>
  <c r="P23" i="6"/>
  <c r="P22" i="6"/>
  <c r="P21" i="6"/>
  <c r="P20" i="6"/>
  <c r="P19" i="6"/>
  <c r="P18" i="6"/>
  <c r="P17" i="6"/>
  <c r="P16" i="6"/>
  <c r="P15" i="6"/>
  <c r="P14" i="6"/>
  <c r="P13" i="6"/>
  <c r="P12" i="6"/>
  <c r="M83" i="6"/>
  <c r="M82" i="6"/>
  <c r="M81" i="6"/>
  <c r="M80" i="6"/>
  <c r="M79" i="6"/>
  <c r="M78" i="6"/>
  <c r="M77" i="6"/>
  <c r="M76" i="6"/>
  <c r="M75" i="6"/>
  <c r="M74" i="6"/>
  <c r="M73" i="6"/>
  <c r="M72" i="6"/>
  <c r="M71" i="6"/>
  <c r="M70" i="6"/>
  <c r="M69" i="6"/>
  <c r="M68" i="6"/>
  <c r="M67" i="6"/>
  <c r="M66" i="6"/>
  <c r="M65" i="6"/>
  <c r="M64" i="6"/>
  <c r="M63" i="6"/>
  <c r="M62" i="6"/>
  <c r="M61" i="6"/>
  <c r="M60" i="6"/>
  <c r="M59" i="6"/>
  <c r="M58" i="6"/>
  <c r="M57" i="6"/>
  <c r="M56" i="6"/>
  <c r="M55" i="6"/>
  <c r="M54" i="6"/>
  <c r="M53" i="6"/>
  <c r="M52" i="6"/>
  <c r="M51" i="6"/>
  <c r="M50" i="6"/>
  <c r="M49" i="6"/>
  <c r="M48" i="6"/>
  <c r="M47" i="6"/>
  <c r="M46" i="6"/>
  <c r="M45" i="6"/>
  <c r="M44" i="6"/>
  <c r="M43" i="6"/>
  <c r="M42" i="6"/>
  <c r="M41" i="6"/>
  <c r="M40" i="6"/>
  <c r="M39" i="6"/>
  <c r="M38" i="6"/>
  <c r="M37" i="6"/>
  <c r="M36" i="6"/>
  <c r="M35" i="6"/>
  <c r="M34" i="6"/>
  <c r="M33" i="6"/>
  <c r="M32" i="6"/>
  <c r="M31" i="6"/>
  <c r="M30" i="6"/>
  <c r="M29" i="6"/>
  <c r="M28" i="6"/>
  <c r="M27" i="6"/>
  <c r="M26" i="6"/>
  <c r="M25" i="6"/>
  <c r="M24" i="6"/>
  <c r="M23" i="6"/>
  <c r="M22" i="6"/>
  <c r="M21" i="6"/>
  <c r="M20" i="6"/>
  <c r="M19" i="6"/>
  <c r="M18" i="6"/>
  <c r="M17" i="6"/>
  <c r="M16" i="6"/>
  <c r="M15" i="6"/>
  <c r="M14" i="6"/>
  <c r="M13" i="6"/>
  <c r="M12" i="6"/>
  <c r="J83" i="6"/>
  <c r="J82" i="6"/>
  <c r="J81" i="6"/>
  <c r="J80" i="6"/>
  <c r="J79" i="6"/>
  <c r="J78" i="6"/>
  <c r="J77" i="6"/>
  <c r="J76" i="6"/>
  <c r="J75" i="6"/>
  <c r="J74" i="6"/>
  <c r="J73" i="6"/>
  <c r="J72" i="6"/>
  <c r="J71" i="6"/>
  <c r="J70" i="6"/>
  <c r="J69" i="6"/>
  <c r="J68" i="6"/>
  <c r="J67" i="6"/>
  <c r="J66" i="6"/>
  <c r="J65" i="6"/>
  <c r="J64" i="6"/>
  <c r="J63" i="6"/>
  <c r="J62" i="6"/>
  <c r="J61" i="6"/>
  <c r="J60" i="6"/>
  <c r="J59" i="6"/>
  <c r="J58" i="6"/>
  <c r="J57" i="6"/>
  <c r="J56" i="6"/>
  <c r="J55" i="6"/>
  <c r="J54" i="6"/>
  <c r="J53" i="6"/>
  <c r="J52" i="6"/>
  <c r="J51" i="6"/>
  <c r="J50" i="6"/>
  <c r="J49" i="6"/>
  <c r="J48" i="6"/>
  <c r="J47" i="6"/>
  <c r="J46" i="6"/>
  <c r="J45" i="6"/>
  <c r="J44" i="6"/>
  <c r="J43" i="6"/>
  <c r="J42" i="6"/>
  <c r="J41" i="6"/>
  <c r="J40" i="6"/>
  <c r="J39" i="6"/>
  <c r="J38" i="6"/>
  <c r="J37" i="6"/>
  <c r="J36" i="6"/>
  <c r="J35" i="6"/>
  <c r="J34" i="6"/>
  <c r="J33" i="6"/>
  <c r="J32" i="6"/>
  <c r="J31" i="6"/>
  <c r="J30" i="6"/>
  <c r="J29" i="6"/>
  <c r="J28" i="6"/>
  <c r="J27" i="6"/>
  <c r="J26" i="6"/>
  <c r="J25" i="6"/>
  <c r="J24" i="6"/>
  <c r="J23" i="6"/>
  <c r="J22" i="6"/>
  <c r="J21" i="6"/>
  <c r="J20" i="6"/>
  <c r="J19" i="6"/>
  <c r="J18" i="6"/>
  <c r="J17" i="6"/>
  <c r="J16" i="6"/>
  <c r="J15" i="6"/>
  <c r="J14" i="6"/>
  <c r="J13" i="6"/>
  <c r="J12" i="6"/>
  <c r="U11" i="6"/>
  <c r="O5" i="22"/>
  <c r="E58" i="9"/>
  <c r="F24" i="36"/>
  <c r="E57" i="9"/>
  <c r="F25" i="36"/>
  <c r="E125" i="9"/>
  <c r="R17" i="22"/>
  <c r="E123" i="9"/>
  <c r="R18" i="22"/>
  <c r="E124" i="9"/>
  <c r="R19" i="22"/>
  <c r="Q72" i="3"/>
  <c r="F12" i="3"/>
  <c r="Q64" i="3"/>
  <c r="F4" i="3"/>
  <c r="Q65" i="3"/>
  <c r="F5" i="3"/>
  <c r="Q66" i="3"/>
  <c r="F6" i="3"/>
  <c r="Q67" i="3"/>
  <c r="F7" i="3"/>
  <c r="Q68" i="3"/>
  <c r="F8" i="3"/>
  <c r="V16" i="22"/>
  <c r="V18" i="22"/>
  <c r="E27" i="36"/>
  <c r="E25" i="36"/>
  <c r="E24" i="36"/>
  <c r="E55" i="9"/>
  <c r="C26" i="36"/>
  <c r="E56" i="9"/>
  <c r="C23" i="36"/>
  <c r="E53" i="9"/>
  <c r="C20" i="36"/>
  <c r="E54" i="9"/>
  <c r="C17" i="36"/>
  <c r="E62" i="9"/>
  <c r="C10" i="36"/>
  <c r="Q22" i="36"/>
  <c r="Q21" i="36"/>
  <c r="K21" i="36"/>
  <c r="K19" i="36"/>
  <c r="K18" i="36"/>
  <c r="E10" i="9"/>
  <c r="G33" i="36"/>
  <c r="E116" i="9"/>
  <c r="F33" i="36"/>
  <c r="E29" i="9"/>
  <c r="G30" i="36"/>
  <c r="Q28" i="36"/>
  <c r="E118" i="9"/>
  <c r="F28" i="36"/>
  <c r="E28" i="36"/>
  <c r="Q27" i="36"/>
  <c r="K27" i="36"/>
  <c r="E117" i="9"/>
  <c r="F27" i="36"/>
  <c r="K25" i="36"/>
  <c r="K24" i="36"/>
  <c r="Q16" i="36"/>
  <c r="K16" i="36"/>
  <c r="Q15" i="36"/>
  <c r="K15" i="36"/>
  <c r="Q14" i="36"/>
  <c r="K14" i="36"/>
  <c r="Q13" i="36"/>
  <c r="K13" i="36"/>
  <c r="Q12" i="36"/>
  <c r="K12" i="36"/>
  <c r="E12" i="36"/>
  <c r="E70" i="9"/>
  <c r="E15" i="9"/>
  <c r="G11" i="36"/>
  <c r="E11" i="36"/>
  <c r="D11" i="36"/>
  <c r="E9" i="9"/>
  <c r="C11" i="36"/>
  <c r="E20" i="9"/>
  <c r="T9" i="36"/>
  <c r="E19" i="9"/>
  <c r="G7" i="36"/>
  <c r="E5" i="36"/>
  <c r="E4" i="36"/>
  <c r="E3" i="36"/>
  <c r="E2" i="36"/>
  <c r="C89" i="35"/>
  <c r="E46" i="9"/>
  <c r="H89" i="35"/>
  <c r="G89" i="35"/>
  <c r="F89" i="35"/>
  <c r="E69" i="9"/>
  <c r="E89" i="35"/>
  <c r="H84" i="35"/>
  <c r="G84" i="35"/>
  <c r="F84" i="35"/>
  <c r="E84" i="35"/>
  <c r="H79" i="35"/>
  <c r="G79" i="35"/>
  <c r="F79" i="35"/>
  <c r="E79" i="35"/>
  <c r="H74" i="35"/>
  <c r="G74" i="35"/>
  <c r="F74" i="35"/>
  <c r="E74" i="35"/>
  <c r="H69" i="35"/>
  <c r="G69" i="35"/>
  <c r="F69" i="35"/>
  <c r="E69" i="35"/>
  <c r="H64" i="35"/>
  <c r="G64" i="35"/>
  <c r="F64" i="35"/>
  <c r="E64" i="35"/>
  <c r="CW11" i="35"/>
  <c r="C84" i="35"/>
  <c r="CR11" i="35"/>
  <c r="C79" i="35"/>
  <c r="CM11" i="35"/>
  <c r="C74" i="35"/>
  <c r="CH11" i="35"/>
  <c r="C69" i="35"/>
  <c r="CC11" i="35"/>
  <c r="C64" i="35"/>
  <c r="BX11" i="35"/>
  <c r="C44" i="35"/>
  <c r="C59" i="35"/>
  <c r="C54" i="35"/>
  <c r="C49" i="35"/>
  <c r="C39" i="35"/>
  <c r="C34" i="35"/>
  <c r="E130" i="9"/>
  <c r="B1" i="35"/>
  <c r="E59" i="35"/>
  <c r="E54" i="35"/>
  <c r="E49" i="35"/>
  <c r="E44" i="35"/>
  <c r="E39" i="35"/>
  <c r="E34" i="35"/>
  <c r="E29" i="35"/>
  <c r="E24" i="35"/>
  <c r="E19" i="35"/>
  <c r="E14" i="35"/>
  <c r="E9" i="35"/>
  <c r="E4" i="35"/>
  <c r="H59" i="35"/>
  <c r="G59" i="35"/>
  <c r="F59" i="35"/>
  <c r="H54" i="35"/>
  <c r="G54" i="35"/>
  <c r="F54" i="35"/>
  <c r="H49" i="35"/>
  <c r="G49" i="35"/>
  <c r="F49" i="35"/>
  <c r="H44" i="35"/>
  <c r="G44" i="35"/>
  <c r="F44" i="35"/>
  <c r="H39" i="35"/>
  <c r="G39" i="35"/>
  <c r="F39" i="35"/>
  <c r="H34" i="35"/>
  <c r="G34" i="35"/>
  <c r="F34" i="35"/>
  <c r="C29" i="35"/>
  <c r="C24" i="35"/>
  <c r="C19" i="35"/>
  <c r="C14" i="35"/>
  <c r="C9" i="35"/>
  <c r="C4" i="35"/>
  <c r="H29" i="35"/>
  <c r="G29" i="35"/>
  <c r="F29" i="35"/>
  <c r="H24" i="35"/>
  <c r="G24" i="35"/>
  <c r="F24" i="35"/>
  <c r="H19" i="35"/>
  <c r="G19" i="35"/>
  <c r="F19" i="35"/>
  <c r="H14" i="35"/>
  <c r="G14" i="35"/>
  <c r="F14" i="35"/>
  <c r="L11" i="35"/>
  <c r="H9" i="35"/>
  <c r="G9" i="35"/>
  <c r="F9" i="35"/>
  <c r="H4" i="35"/>
  <c r="G4" i="35"/>
  <c r="F4" i="35"/>
  <c r="BS11" i="35"/>
  <c r="BN11" i="35"/>
  <c r="BI11" i="35"/>
  <c r="BD11" i="35"/>
  <c r="AY11" i="35"/>
  <c r="AT11" i="35"/>
  <c r="AO11" i="35"/>
  <c r="AJ11" i="35"/>
  <c r="AE11" i="35"/>
  <c r="Z11" i="35"/>
  <c r="U11" i="35"/>
  <c r="P11" i="35"/>
  <c r="E113" i="9"/>
  <c r="E68" i="9"/>
  <c r="AA38" i="27"/>
  <c r="E67" i="9"/>
  <c r="AA31" i="27"/>
  <c r="AL40" i="27"/>
  <c r="AS39" i="27"/>
  <c r="E25" i="9"/>
  <c r="E24" i="9"/>
  <c r="AF39" i="27"/>
  <c r="E23" i="9"/>
  <c r="AE39" i="27"/>
  <c r="E22" i="9"/>
  <c r="AD39" i="27"/>
  <c r="E21" i="9"/>
  <c r="AC39" i="27"/>
  <c r="E66" i="9"/>
  <c r="AR38" i="27"/>
  <c r="AL33" i="27"/>
  <c r="AS32" i="27"/>
  <c r="AF32" i="27"/>
  <c r="AE32" i="27"/>
  <c r="AD32" i="27"/>
  <c r="AC32" i="27"/>
  <c r="AR31" i="27"/>
  <c r="B13" i="3"/>
  <c r="B14" i="3"/>
  <c r="Q77" i="22"/>
  <c r="C10" i="32"/>
  <c r="E61" i="9"/>
  <c r="C22" i="32"/>
  <c r="E60" i="9"/>
  <c r="C19" i="32"/>
  <c r="K20" i="32"/>
  <c r="K21" i="32"/>
  <c r="F24" i="32"/>
  <c r="F23" i="32"/>
  <c r="E24" i="32"/>
  <c r="E23" i="32"/>
  <c r="G29" i="32"/>
  <c r="F29" i="32"/>
  <c r="G26" i="32"/>
  <c r="Q24" i="32"/>
  <c r="Q23" i="32"/>
  <c r="K23" i="32"/>
  <c r="Q18" i="32"/>
  <c r="K18" i="32"/>
  <c r="Q17" i="32"/>
  <c r="K17" i="32"/>
  <c r="Q16" i="32"/>
  <c r="K16" i="32"/>
  <c r="Q15" i="32"/>
  <c r="K15" i="32"/>
  <c r="Q14" i="32"/>
  <c r="K14" i="32"/>
  <c r="Q13" i="32"/>
  <c r="K13" i="32"/>
  <c r="Q12" i="32"/>
  <c r="K12" i="32"/>
  <c r="E12" i="32"/>
  <c r="G11" i="32"/>
  <c r="E11" i="32"/>
  <c r="D11" i="32"/>
  <c r="C11" i="32"/>
  <c r="T9" i="32"/>
  <c r="G7" i="32"/>
  <c r="E5" i="32"/>
  <c r="E4" i="32"/>
  <c r="E3" i="32"/>
  <c r="E2" i="32"/>
  <c r="Q20" i="21"/>
  <c r="K17" i="21"/>
  <c r="Q17" i="21"/>
  <c r="K18" i="21"/>
  <c r="Q18" i="21"/>
  <c r="K19" i="21"/>
  <c r="Q19" i="21"/>
  <c r="F6" i="22"/>
  <c r="C3" i="25"/>
  <c r="E7" i="22" a="1"/>
  <c r="E7" i="22"/>
  <c r="F7" i="22"/>
  <c r="C4" i="25"/>
  <c r="E8" i="22" a="1"/>
  <c r="E8" i="22"/>
  <c r="F8" i="22"/>
  <c r="C5" i="25"/>
  <c r="E9" i="22" a="1"/>
  <c r="E9" i="22"/>
  <c r="F9" i="22"/>
  <c r="C6" i="25"/>
  <c r="E10" i="22" a="1"/>
  <c r="E10" i="22"/>
  <c r="F10" i="22"/>
  <c r="C7" i="25"/>
  <c r="E11" i="22" a="1"/>
  <c r="E11" i="22"/>
  <c r="F11" i="22"/>
  <c r="C8" i="25"/>
  <c r="E12" i="22" a="1"/>
  <c r="E12" i="22"/>
  <c r="F12" i="22"/>
  <c r="C9" i="25"/>
  <c r="E13" i="22" a="1"/>
  <c r="E13" i="22"/>
  <c r="F13" i="22"/>
  <c r="C10" i="25"/>
  <c r="E14" i="22" a="1"/>
  <c r="E14" i="22"/>
  <c r="F14" i="22"/>
  <c r="C11" i="25"/>
  <c r="E15" i="22" a="1"/>
  <c r="E15" i="22"/>
  <c r="F15" i="22"/>
  <c r="C12" i="25"/>
  <c r="E16" i="22" a="1"/>
  <c r="E16" i="22"/>
  <c r="F16" i="22"/>
  <c r="C13" i="25"/>
  <c r="E17" i="22" a="1"/>
  <c r="E17" i="22"/>
  <c r="F17" i="22"/>
  <c r="C14" i="25"/>
  <c r="E18" i="22" a="1"/>
  <c r="E18" i="22"/>
  <c r="F18" i="22"/>
  <c r="C15" i="25"/>
  <c r="E19" i="22" a="1"/>
  <c r="E19" i="22"/>
  <c r="F19" i="22"/>
  <c r="C16" i="25"/>
  <c r="E20" i="22" a="1"/>
  <c r="E20" i="22"/>
  <c r="F20" i="22"/>
  <c r="C17" i="25"/>
  <c r="E21" i="22" a="1"/>
  <c r="E21" i="22"/>
  <c r="F21" i="22"/>
  <c r="C18" i="25"/>
  <c r="E22" i="22" a="1"/>
  <c r="E22" i="22"/>
  <c r="F22" i="22"/>
  <c r="C19" i="25"/>
  <c r="E23" i="22" a="1"/>
  <c r="E23" i="22"/>
  <c r="F23" i="22"/>
  <c r="C20" i="25"/>
  <c r="E24" i="22" a="1"/>
  <c r="E24" i="22"/>
  <c r="F24" i="22"/>
  <c r="C21" i="25"/>
  <c r="E25" i="22" a="1"/>
  <c r="E25" i="22"/>
  <c r="F25" i="22"/>
  <c r="C22" i="25"/>
  <c r="E26" i="22" a="1"/>
  <c r="E26" i="22"/>
  <c r="F26" i="22"/>
  <c r="C23" i="25"/>
  <c r="E27" i="22" a="1"/>
  <c r="E27" i="22"/>
  <c r="F27" i="22"/>
  <c r="C24" i="25"/>
  <c r="E28" i="22" a="1"/>
  <c r="E28" i="22"/>
  <c r="F28" i="22"/>
  <c r="C25" i="25"/>
  <c r="E29" i="22" a="1"/>
  <c r="E29" i="22"/>
  <c r="F29" i="22"/>
  <c r="C26" i="25"/>
  <c r="E30" i="22" a="1"/>
  <c r="E30" i="22"/>
  <c r="F30" i="22"/>
  <c r="C27" i="25"/>
  <c r="E31" i="22" a="1"/>
  <c r="E31" i="22"/>
  <c r="F31" i="22"/>
  <c r="C28" i="25"/>
  <c r="E32" i="22" a="1"/>
  <c r="E32" i="22"/>
  <c r="F32" i="22"/>
  <c r="C29" i="25"/>
  <c r="E33" i="22" a="1"/>
  <c r="E33" i="22"/>
  <c r="F33" i="22"/>
  <c r="C30" i="25"/>
  <c r="E34" i="22" a="1"/>
  <c r="E34" i="22"/>
  <c r="F34" i="22"/>
  <c r="C31" i="25"/>
  <c r="E35" i="22" a="1"/>
  <c r="E35" i="22"/>
  <c r="F35" i="22"/>
  <c r="C32" i="25"/>
  <c r="E36" i="22" a="1"/>
  <c r="E36" i="22"/>
  <c r="F36" i="22"/>
  <c r="C33" i="25"/>
  <c r="E37" i="22" a="1"/>
  <c r="E37" i="22"/>
  <c r="F37" i="22"/>
  <c r="C34" i="25"/>
  <c r="E38" i="22" a="1"/>
  <c r="E38" i="22"/>
  <c r="F38" i="22"/>
  <c r="C35" i="25"/>
  <c r="E39" i="22" a="1"/>
  <c r="E39" i="22"/>
  <c r="F39" i="22"/>
  <c r="C36" i="25"/>
  <c r="E40" i="22" a="1"/>
  <c r="E40" i="22"/>
  <c r="F40" i="22"/>
  <c r="C37" i="25"/>
  <c r="E41" i="22" a="1"/>
  <c r="E41" i="22"/>
  <c r="F41" i="22"/>
  <c r="C38" i="25"/>
  <c r="E42" i="22" a="1"/>
  <c r="E42" i="22"/>
  <c r="F42" i="22"/>
  <c r="C39" i="25"/>
  <c r="E43" i="22" a="1"/>
  <c r="E43" i="22"/>
  <c r="F43" i="22"/>
  <c r="C40" i="25"/>
  <c r="E44" i="22" a="1"/>
  <c r="E44" i="22"/>
  <c r="F44" i="22"/>
  <c r="C41" i="25"/>
  <c r="E45" i="22" a="1"/>
  <c r="E45" i="22"/>
  <c r="F45" i="22"/>
  <c r="C42" i="25"/>
  <c r="E46" i="22" a="1"/>
  <c r="E46" i="22"/>
  <c r="F46" i="22"/>
  <c r="C43" i="25"/>
  <c r="E47" i="22" a="1"/>
  <c r="E47" i="22"/>
  <c r="F47" i="22"/>
  <c r="C44" i="25"/>
  <c r="E48" i="22" a="1"/>
  <c r="E48" i="22"/>
  <c r="F48" i="22"/>
  <c r="C45" i="25"/>
  <c r="E49" i="22" a="1"/>
  <c r="E49" i="22"/>
  <c r="F49" i="22"/>
  <c r="C46" i="25"/>
  <c r="E50" i="22" a="1"/>
  <c r="E50" i="22"/>
  <c r="F50" i="22"/>
  <c r="C47" i="25"/>
  <c r="E51" i="22" a="1"/>
  <c r="E51" i="22"/>
  <c r="F51" i="22"/>
  <c r="C48" i="25"/>
  <c r="E52" i="22" a="1"/>
  <c r="E52" i="22"/>
  <c r="F52" i="22"/>
  <c r="C49" i="25"/>
  <c r="E53" i="22" a="1"/>
  <c r="E53" i="22"/>
  <c r="F53" i="22"/>
  <c r="C50" i="25"/>
  <c r="E54" i="22" a="1"/>
  <c r="E54" i="22"/>
  <c r="F54" i="22"/>
  <c r="C51" i="25"/>
  <c r="E55" i="22" a="1"/>
  <c r="E55" i="22"/>
  <c r="F55" i="22"/>
  <c r="C52" i="25"/>
  <c r="E56" i="22" a="1"/>
  <c r="E56" i="22"/>
  <c r="F56" i="22"/>
  <c r="C53" i="25"/>
  <c r="E57" i="22" a="1"/>
  <c r="E57" i="22"/>
  <c r="F57" i="22"/>
  <c r="C54" i="25"/>
  <c r="E58" i="22" a="1"/>
  <c r="E58" i="22"/>
  <c r="F58" i="22"/>
  <c r="C55" i="25"/>
  <c r="E59" i="22" a="1"/>
  <c r="E59" i="22"/>
  <c r="F59" i="22"/>
  <c r="C56" i="25"/>
  <c r="E60" i="22" a="1"/>
  <c r="E60" i="22"/>
  <c r="F60" i="22"/>
  <c r="C57" i="25"/>
  <c r="E61" i="22" a="1"/>
  <c r="E61" i="22"/>
  <c r="F61" i="22"/>
  <c r="C58" i="25"/>
  <c r="E62" i="22" a="1"/>
  <c r="E62" i="22"/>
  <c r="F62" i="22"/>
  <c r="C59" i="25"/>
  <c r="E63" i="22" a="1"/>
  <c r="E63" i="22"/>
  <c r="F63" i="22"/>
  <c r="C60" i="25"/>
  <c r="E64" i="22" a="1"/>
  <c r="E64" i="22"/>
  <c r="F64" i="22"/>
  <c r="C61" i="25"/>
  <c r="E65" i="22" a="1"/>
  <c r="E65" i="22"/>
  <c r="F65" i="22"/>
  <c r="C62" i="25"/>
  <c r="E66" i="22" a="1"/>
  <c r="E66" i="22"/>
  <c r="F66" i="22"/>
  <c r="C63" i="25"/>
  <c r="E67" i="22" a="1"/>
  <c r="E67" i="22"/>
  <c r="F67" i="22"/>
  <c r="C64" i="25"/>
  <c r="E68" i="22" a="1"/>
  <c r="E68" i="22"/>
  <c r="F68" i="22"/>
  <c r="C65" i="25"/>
  <c r="E69" i="22" a="1"/>
  <c r="E69" i="22"/>
  <c r="F69" i="22"/>
  <c r="C66" i="25"/>
  <c r="E70" i="22" a="1"/>
  <c r="E70" i="22"/>
  <c r="F70" i="22"/>
  <c r="C67" i="25"/>
  <c r="E71" i="22" a="1"/>
  <c r="E71" i="22"/>
  <c r="F71" i="22"/>
  <c r="C68" i="25"/>
  <c r="E72" i="22" a="1"/>
  <c r="E72" i="22"/>
  <c r="F72" i="22"/>
  <c r="C69" i="25"/>
  <c r="E73" i="22" a="1"/>
  <c r="E73" i="22"/>
  <c r="F73" i="22"/>
  <c r="C70" i="25"/>
  <c r="E74" i="22" a="1"/>
  <c r="E74" i="22"/>
  <c r="F74" i="22"/>
  <c r="C71" i="25"/>
  <c r="E75" i="22" a="1"/>
  <c r="E75" i="22"/>
  <c r="F75" i="22"/>
  <c r="C72" i="25"/>
  <c r="E76" i="22" a="1"/>
  <c r="E76" i="22"/>
  <c r="F76" i="22"/>
  <c r="C73" i="25"/>
  <c r="E77" i="22" a="1"/>
  <c r="E77" i="22"/>
  <c r="F77" i="22"/>
  <c r="C74" i="25"/>
  <c r="C75" i="25"/>
  <c r="C76" i="25"/>
  <c r="C77" i="25"/>
  <c r="C78" i="25"/>
  <c r="C79" i="25"/>
  <c r="C80" i="25"/>
  <c r="C81" i="25"/>
  <c r="C82" i="25"/>
  <c r="C83" i="25"/>
  <c r="C84" i="25"/>
  <c r="C85" i="25"/>
  <c r="C86" i="25"/>
  <c r="C87" i="25"/>
  <c r="C88" i="25"/>
  <c r="C89" i="25"/>
  <c r="C90" i="25"/>
  <c r="C91" i="25"/>
  <c r="C92" i="25"/>
  <c r="C93" i="25"/>
  <c r="C94" i="25"/>
  <c r="C95" i="25"/>
  <c r="C96" i="25"/>
  <c r="C97" i="25"/>
  <c r="C98" i="25"/>
  <c r="C99" i="25"/>
  <c r="C100" i="25"/>
  <c r="C101" i="25"/>
  <c r="C102" i="25"/>
  <c r="C103" i="25"/>
  <c r="C104" i="25"/>
  <c r="C105" i="25"/>
  <c r="C106" i="25"/>
  <c r="C107" i="25"/>
  <c r="C108" i="25"/>
  <c r="C109" i="25"/>
  <c r="C110" i="25"/>
  <c r="C111" i="25"/>
  <c r="C112" i="25"/>
  <c r="C113" i="25"/>
  <c r="C114" i="25"/>
  <c r="C115" i="25"/>
  <c r="C116" i="25"/>
  <c r="C117" i="25"/>
  <c r="C118" i="25"/>
  <c r="C119" i="25"/>
  <c r="C120" i="25"/>
  <c r="C121" i="25"/>
  <c r="C122" i="25"/>
  <c r="C123" i="25"/>
  <c r="C124" i="25"/>
  <c r="C125" i="25"/>
  <c r="C126" i="25"/>
  <c r="C127" i="25"/>
  <c r="C128" i="25"/>
  <c r="C129" i="25"/>
  <c r="C130" i="25"/>
  <c r="C131" i="25"/>
  <c r="C132" i="25"/>
  <c r="C133" i="25"/>
  <c r="C134" i="25"/>
  <c r="C135" i="25"/>
  <c r="C136" i="25"/>
  <c r="C137" i="25"/>
  <c r="C138" i="25"/>
  <c r="C139" i="25"/>
  <c r="C140" i="25"/>
  <c r="C141" i="25"/>
  <c r="C142" i="25"/>
  <c r="C143" i="25"/>
  <c r="C144" i="25"/>
  <c r="C145" i="25"/>
  <c r="C146" i="25"/>
  <c r="E2" i="25"/>
  <c r="E63" i="9"/>
  <c r="B3" i="31"/>
  <c r="E28" i="9"/>
  <c r="C43" i="31"/>
  <c r="C31" i="31"/>
  <c r="C19" i="31"/>
  <c r="C7" i="31"/>
  <c r="E106" i="9"/>
  <c r="B4" i="31"/>
  <c r="E7" i="9"/>
  <c r="B2" i="31"/>
  <c r="J23" i="3"/>
  <c r="H23" i="3"/>
  <c r="H24" i="3"/>
  <c r="J25" i="3"/>
  <c r="H25" i="3"/>
  <c r="J18" i="3"/>
  <c r="H18" i="3"/>
  <c r="J19" i="3"/>
  <c r="H19" i="3"/>
  <c r="J20" i="3"/>
  <c r="H20" i="3"/>
  <c r="J21" i="3"/>
  <c r="H21" i="3"/>
  <c r="J22" i="3"/>
  <c r="H22" i="3"/>
  <c r="BR52" i="3"/>
  <c r="BT51" i="3"/>
  <c r="BU51" i="3"/>
  <c r="BV51" i="3"/>
  <c r="BW51" i="3"/>
  <c r="CA51" i="3"/>
  <c r="BR53" i="3"/>
  <c r="BS51" i="3"/>
  <c r="BR54" i="3"/>
  <c r="BR55" i="3"/>
  <c r="BR56" i="3"/>
  <c r="BR60" i="3"/>
  <c r="C25" i="3"/>
  <c r="C21" i="3"/>
  <c r="BT41" i="3"/>
  <c r="BU41" i="3"/>
  <c r="BV41" i="3"/>
  <c r="BW41" i="3"/>
  <c r="BX41" i="3"/>
  <c r="BY41" i="3"/>
  <c r="CA41" i="3"/>
  <c r="BS42" i="3"/>
  <c r="BU42" i="3"/>
  <c r="BV42" i="3"/>
  <c r="BW42" i="3"/>
  <c r="BX42" i="3"/>
  <c r="BY42" i="3"/>
  <c r="BZ42" i="3"/>
  <c r="CA42" i="3"/>
  <c r="BS43" i="3"/>
  <c r="BT43" i="3"/>
  <c r="BV43" i="3"/>
  <c r="BW43" i="3"/>
  <c r="BX43" i="3"/>
  <c r="BY43" i="3"/>
  <c r="BZ43" i="3"/>
  <c r="CA43" i="3"/>
  <c r="BS44" i="3"/>
  <c r="BT44" i="3"/>
  <c r="BU44" i="3"/>
  <c r="BW44" i="3"/>
  <c r="BX44" i="3"/>
  <c r="BY44" i="3"/>
  <c r="BZ44" i="3"/>
  <c r="CA44" i="3"/>
  <c r="BS45" i="3"/>
  <c r="BT45" i="3"/>
  <c r="BU45" i="3"/>
  <c r="BV45" i="3"/>
  <c r="BX45" i="3"/>
  <c r="BY45" i="3"/>
  <c r="BZ45" i="3"/>
  <c r="CA45" i="3"/>
  <c r="BS46" i="3"/>
  <c r="BT46" i="3"/>
  <c r="BU46" i="3"/>
  <c r="BV46" i="3"/>
  <c r="BW46" i="3"/>
  <c r="BY46" i="3"/>
  <c r="BZ46" i="3"/>
  <c r="CA46" i="3"/>
  <c r="BS47" i="3"/>
  <c r="BT47" i="3"/>
  <c r="BU47" i="3"/>
  <c r="BV47" i="3"/>
  <c r="BW47" i="3"/>
  <c r="BX47" i="3"/>
  <c r="BZ47" i="3"/>
  <c r="CA47" i="3"/>
  <c r="BT48" i="3"/>
  <c r="BU48" i="3"/>
  <c r="BV48" i="3"/>
  <c r="BW48" i="3"/>
  <c r="BX48" i="3"/>
  <c r="BY48" i="3"/>
  <c r="CA48" i="3"/>
  <c r="BS49" i="3"/>
  <c r="BT49" i="3"/>
  <c r="BU49" i="3"/>
  <c r="BV49" i="3"/>
  <c r="BW49" i="3"/>
  <c r="BX49" i="3"/>
  <c r="BY49" i="3"/>
  <c r="BZ49" i="3"/>
  <c r="BR30" i="3"/>
  <c r="BT29" i="3"/>
  <c r="BR31" i="3"/>
  <c r="BS29" i="3"/>
  <c r="BU29" i="3"/>
  <c r="BR32" i="3"/>
  <c r="BV29" i="3"/>
  <c r="BR33" i="3"/>
  <c r="BW29" i="3"/>
  <c r="BR34" i="3"/>
  <c r="CA29" i="3"/>
  <c r="BR38" i="3"/>
  <c r="C19" i="3"/>
  <c r="BZ40" i="3"/>
  <c r="BR48" i="3"/>
  <c r="CA40" i="3"/>
  <c r="BR49" i="3"/>
  <c r="BX40" i="3"/>
  <c r="BY40" i="3"/>
  <c r="BR46" i="3"/>
  <c r="BR47" i="3"/>
  <c r="BR41" i="3"/>
  <c r="BS40" i="3"/>
  <c r="BT40" i="3"/>
  <c r="BU40" i="3"/>
  <c r="BV40" i="3"/>
  <c r="BW40" i="3"/>
  <c r="BR42" i="3"/>
  <c r="BR43" i="3"/>
  <c r="BR44" i="3"/>
  <c r="BR45" i="3"/>
  <c r="H35" i="22"/>
  <c r="E41" i="6"/>
  <c r="B42" i="6"/>
  <c r="C42" i="6"/>
  <c r="G36" i="22"/>
  <c r="D42" i="6"/>
  <c r="H36" i="22"/>
  <c r="E42" i="6"/>
  <c r="B43" i="6"/>
  <c r="C43" i="6"/>
  <c r="G37" i="22"/>
  <c r="D43" i="6"/>
  <c r="H37" i="22"/>
  <c r="E43" i="6"/>
  <c r="B44" i="6"/>
  <c r="C44" i="6"/>
  <c r="G38" i="22"/>
  <c r="D44" i="6"/>
  <c r="H38" i="22"/>
  <c r="E44" i="6"/>
  <c r="B45" i="6"/>
  <c r="C45" i="6"/>
  <c r="G39" i="22"/>
  <c r="D45" i="6"/>
  <c r="H39" i="22"/>
  <c r="E45" i="6"/>
  <c r="B46" i="6"/>
  <c r="C46" i="6"/>
  <c r="G40" i="22"/>
  <c r="D46" i="6"/>
  <c r="H40" i="22"/>
  <c r="E46" i="6"/>
  <c r="B47" i="6"/>
  <c r="C47" i="6"/>
  <c r="G41" i="22"/>
  <c r="D47" i="6"/>
  <c r="H41" i="22"/>
  <c r="E47" i="6"/>
  <c r="B48" i="6"/>
  <c r="C48" i="6"/>
  <c r="G42" i="22"/>
  <c r="D48" i="6"/>
  <c r="H42" i="22"/>
  <c r="E48" i="6"/>
  <c r="B49" i="6"/>
  <c r="C49" i="6"/>
  <c r="G43" i="22"/>
  <c r="D49" i="6"/>
  <c r="H43" i="22"/>
  <c r="E49" i="6"/>
  <c r="B50" i="6"/>
  <c r="C50" i="6"/>
  <c r="G44" i="22"/>
  <c r="D50" i="6"/>
  <c r="H44" i="22"/>
  <c r="E50" i="6"/>
  <c r="B51" i="6"/>
  <c r="C51" i="6"/>
  <c r="G45" i="22"/>
  <c r="D51" i="6"/>
  <c r="H45" i="22"/>
  <c r="E51" i="6"/>
  <c r="B52" i="6"/>
  <c r="C52" i="6"/>
  <c r="G46" i="22"/>
  <c r="D52" i="6"/>
  <c r="H46" i="22"/>
  <c r="E52" i="6"/>
  <c r="B53" i="6"/>
  <c r="C53" i="6"/>
  <c r="G47" i="22"/>
  <c r="D53" i="6"/>
  <c r="H47" i="22"/>
  <c r="E53" i="6"/>
  <c r="H48" i="22"/>
  <c r="E54" i="6"/>
  <c r="B55" i="6"/>
  <c r="C55" i="6"/>
  <c r="G49" i="22"/>
  <c r="D55" i="6"/>
  <c r="H49" i="22"/>
  <c r="E55" i="6"/>
  <c r="B56" i="6"/>
  <c r="C56" i="6"/>
  <c r="G50" i="22"/>
  <c r="D56" i="6"/>
  <c r="H50" i="22"/>
  <c r="E56" i="6"/>
  <c r="B57" i="6"/>
  <c r="C57" i="6"/>
  <c r="G51" i="22"/>
  <c r="D57" i="6"/>
  <c r="H51" i="22"/>
  <c r="E57" i="6"/>
  <c r="B58" i="6"/>
  <c r="C58" i="6"/>
  <c r="G52" i="22"/>
  <c r="D58" i="6"/>
  <c r="H52" i="22"/>
  <c r="E58" i="6"/>
  <c r="B59" i="6"/>
  <c r="C59" i="6"/>
  <c r="G53" i="22"/>
  <c r="D59" i="6"/>
  <c r="H53" i="22"/>
  <c r="E59" i="6"/>
  <c r="B60" i="6"/>
  <c r="C60" i="6"/>
  <c r="G54" i="22"/>
  <c r="D60" i="6"/>
  <c r="H54" i="22"/>
  <c r="E60" i="6"/>
  <c r="B61" i="6"/>
  <c r="C61" i="6"/>
  <c r="G55" i="22"/>
  <c r="D61" i="6"/>
  <c r="H55" i="22"/>
  <c r="E61" i="6"/>
  <c r="B62" i="6"/>
  <c r="C62" i="6"/>
  <c r="G56" i="22"/>
  <c r="D62" i="6"/>
  <c r="H56" i="22"/>
  <c r="E62" i="6"/>
  <c r="B63" i="6"/>
  <c r="C63" i="6"/>
  <c r="G57" i="22"/>
  <c r="D63" i="6"/>
  <c r="H57" i="22"/>
  <c r="E63" i="6"/>
  <c r="B64" i="6"/>
  <c r="C64" i="6"/>
  <c r="G58" i="22"/>
  <c r="D64" i="6"/>
  <c r="H58" i="22"/>
  <c r="E64" i="6"/>
  <c r="B65" i="6"/>
  <c r="C65" i="6"/>
  <c r="G59" i="22"/>
  <c r="D65" i="6"/>
  <c r="H59" i="22"/>
  <c r="E65" i="6"/>
  <c r="B66" i="6"/>
  <c r="C66" i="6"/>
  <c r="G60" i="22"/>
  <c r="D66" i="6"/>
  <c r="H60" i="22"/>
  <c r="E66" i="6"/>
  <c r="B67" i="6"/>
  <c r="C67" i="6"/>
  <c r="G61" i="22"/>
  <c r="D67" i="6"/>
  <c r="H61" i="22"/>
  <c r="E67" i="6"/>
  <c r="B68" i="6"/>
  <c r="C68" i="6"/>
  <c r="G62" i="22"/>
  <c r="D68" i="6"/>
  <c r="H62" i="22"/>
  <c r="E68" i="6"/>
  <c r="B69" i="6"/>
  <c r="C69" i="6"/>
  <c r="G63" i="22"/>
  <c r="D69" i="6"/>
  <c r="H63" i="22"/>
  <c r="E69" i="6"/>
  <c r="B70" i="6"/>
  <c r="C70" i="6"/>
  <c r="G64" i="22"/>
  <c r="D70" i="6"/>
  <c r="H64" i="22"/>
  <c r="E70" i="6"/>
  <c r="B71" i="6"/>
  <c r="C71" i="6"/>
  <c r="G65" i="22"/>
  <c r="D71" i="6"/>
  <c r="H65" i="22"/>
  <c r="E71" i="6"/>
  <c r="B72" i="6"/>
  <c r="C72" i="6"/>
  <c r="G66" i="22"/>
  <c r="D72" i="6"/>
  <c r="H66" i="22"/>
  <c r="E72" i="6"/>
  <c r="B73" i="6"/>
  <c r="C73" i="6"/>
  <c r="G67" i="22"/>
  <c r="D73" i="6"/>
  <c r="H67" i="22"/>
  <c r="E73" i="6"/>
  <c r="B74" i="6"/>
  <c r="C74" i="6"/>
  <c r="G68" i="22"/>
  <c r="D74" i="6"/>
  <c r="H68" i="22"/>
  <c r="E74" i="6"/>
  <c r="B75" i="6"/>
  <c r="C75" i="6"/>
  <c r="G69" i="22"/>
  <c r="D75" i="6"/>
  <c r="H69" i="22"/>
  <c r="E75" i="6"/>
  <c r="B76" i="6"/>
  <c r="C76" i="6"/>
  <c r="G70" i="22"/>
  <c r="D76" i="6"/>
  <c r="H70" i="22"/>
  <c r="E76" i="6"/>
  <c r="B77" i="6"/>
  <c r="C77" i="6"/>
  <c r="G71" i="22"/>
  <c r="D77" i="6"/>
  <c r="H71" i="22"/>
  <c r="E77" i="6"/>
  <c r="B78" i="6"/>
  <c r="C78" i="6"/>
  <c r="G72" i="22"/>
  <c r="D78" i="6"/>
  <c r="H72" i="22"/>
  <c r="E78" i="6"/>
  <c r="B79" i="6"/>
  <c r="C79" i="6"/>
  <c r="G73" i="22"/>
  <c r="D79" i="6"/>
  <c r="H73" i="22"/>
  <c r="E79" i="6"/>
  <c r="B80" i="6"/>
  <c r="C80" i="6"/>
  <c r="G74" i="22"/>
  <c r="D80" i="6"/>
  <c r="H74" i="22"/>
  <c r="E80" i="6"/>
  <c r="B81" i="6"/>
  <c r="C81" i="6"/>
  <c r="G75" i="22"/>
  <c r="D81" i="6"/>
  <c r="H75" i="22"/>
  <c r="E81" i="6"/>
  <c r="B82" i="6"/>
  <c r="C82" i="6"/>
  <c r="G76" i="22"/>
  <c r="D82" i="6"/>
  <c r="H76" i="22"/>
  <c r="E82" i="6"/>
  <c r="B83" i="6"/>
  <c r="C83" i="6"/>
  <c r="G77" i="22"/>
  <c r="D83" i="6"/>
  <c r="H77" i="22"/>
  <c r="E83" i="6"/>
  <c r="C17" i="3"/>
  <c r="C18" i="3"/>
  <c r="C20" i="3"/>
  <c r="Z64" i="3"/>
  <c r="Z136" i="3"/>
  <c r="Z137" i="3"/>
  <c r="Z138" i="3"/>
  <c r="Z139" i="3"/>
  <c r="Z140" i="3"/>
  <c r="Z141" i="3"/>
  <c r="Z142" i="3"/>
  <c r="Z143" i="3"/>
  <c r="Z144" i="3"/>
  <c r="Z145" i="3"/>
  <c r="Z146" i="3"/>
  <c r="Z147" i="3"/>
  <c r="Z148" i="3"/>
  <c r="Z149" i="3"/>
  <c r="Z150" i="3"/>
  <c r="Z151" i="3"/>
  <c r="Z152" i="3"/>
  <c r="Z153" i="3"/>
  <c r="Z154" i="3"/>
  <c r="Z155" i="3"/>
  <c r="Z156" i="3"/>
  <c r="Z157" i="3"/>
  <c r="Z158" i="3"/>
  <c r="Z159" i="3"/>
  <c r="Z160" i="3"/>
  <c r="Z161" i="3"/>
  <c r="Z162" i="3"/>
  <c r="Z163" i="3"/>
  <c r="Z164" i="3"/>
  <c r="Z165" i="3"/>
  <c r="Z166" i="3"/>
  <c r="Z167" i="3"/>
  <c r="Z168" i="3"/>
  <c r="Z169" i="3"/>
  <c r="Z170" i="3"/>
  <c r="Z171" i="3"/>
  <c r="Z172" i="3"/>
  <c r="Z173" i="3"/>
  <c r="Z174" i="3"/>
  <c r="Z175" i="3"/>
  <c r="Z176" i="3"/>
  <c r="Z177" i="3"/>
  <c r="Z178" i="3"/>
  <c r="Z179" i="3"/>
  <c r="Z180" i="3"/>
  <c r="Z181" i="3"/>
  <c r="Z182" i="3"/>
  <c r="Z183" i="3"/>
  <c r="Z184" i="3"/>
  <c r="Z185" i="3"/>
  <c r="Z186" i="3"/>
  <c r="Z187" i="3"/>
  <c r="Z188" i="3"/>
  <c r="Z189" i="3"/>
  <c r="Z190" i="3"/>
  <c r="Z191" i="3"/>
  <c r="Z192" i="3"/>
  <c r="Z193" i="3"/>
  <c r="Z194" i="3"/>
  <c r="Z195" i="3"/>
  <c r="Z196" i="3"/>
  <c r="Z197" i="3"/>
  <c r="Z198" i="3"/>
  <c r="Z199" i="3"/>
  <c r="Z200" i="3"/>
  <c r="Z201" i="3"/>
  <c r="Z202" i="3"/>
  <c r="Z203" i="3"/>
  <c r="Z204" i="3"/>
  <c r="Z205" i="3"/>
  <c r="Z206" i="3"/>
  <c r="Z207" i="3"/>
  <c r="AY33" i="6"/>
  <c r="AY32" i="6"/>
  <c r="AY31" i="6"/>
  <c r="AY30" i="6"/>
  <c r="AY20" i="6"/>
  <c r="AY19" i="6"/>
  <c r="AY18" i="6"/>
  <c r="AY17" i="6"/>
  <c r="AU7" i="6"/>
  <c r="E65" i="9"/>
  <c r="AA17" i="27"/>
  <c r="AR17" i="27"/>
  <c r="AA24" i="27"/>
  <c r="AR24" i="27"/>
  <c r="AL26" i="27"/>
  <c r="AS25" i="27"/>
  <c r="AF25" i="27"/>
  <c r="AE25" i="27"/>
  <c r="AD25" i="27"/>
  <c r="AC25" i="27"/>
  <c r="AL19" i="27"/>
  <c r="AS18" i="27"/>
  <c r="AF18" i="27"/>
  <c r="AE18" i="27"/>
  <c r="AD18" i="27"/>
  <c r="AC18" i="27"/>
  <c r="H40" i="27"/>
  <c r="E64" i="9"/>
  <c r="AA10" i="27"/>
  <c r="AR10" i="27"/>
  <c r="AL12" i="27"/>
  <c r="AS11" i="27"/>
  <c r="AF11" i="27"/>
  <c r="AE11" i="27"/>
  <c r="AD11" i="27"/>
  <c r="AC11" i="27"/>
  <c r="I40" i="27"/>
  <c r="I38" i="27"/>
  <c r="V12" i="27"/>
  <c r="E12" i="27"/>
  <c r="I11" i="27"/>
  <c r="E11" i="27"/>
  <c r="D11" i="27"/>
  <c r="C11" i="27"/>
  <c r="C10" i="27"/>
  <c r="Y10" i="27"/>
  <c r="L7" i="27"/>
  <c r="J5" i="27"/>
  <c r="J4" i="27"/>
  <c r="J3" i="27"/>
  <c r="J2" i="27"/>
  <c r="E16" i="26"/>
  <c r="E15" i="26"/>
  <c r="C10" i="26"/>
  <c r="E13" i="26"/>
  <c r="E12" i="26"/>
  <c r="G21" i="26"/>
  <c r="F21" i="26"/>
  <c r="G18" i="26"/>
  <c r="Q16" i="26"/>
  <c r="K16" i="26"/>
  <c r="F16" i="26"/>
  <c r="Q15" i="26"/>
  <c r="K15" i="26"/>
  <c r="F15" i="26"/>
  <c r="C14" i="26"/>
  <c r="Q13" i="26"/>
  <c r="K13" i="26"/>
  <c r="Q12" i="26"/>
  <c r="K12" i="26"/>
  <c r="G11" i="26"/>
  <c r="E11" i="26"/>
  <c r="D11" i="26"/>
  <c r="C11" i="26"/>
  <c r="T9" i="26"/>
  <c r="G7" i="26"/>
  <c r="E5" i="26"/>
  <c r="E4" i="26"/>
  <c r="E3" i="26"/>
  <c r="E2" i="26"/>
  <c r="E6" i="22"/>
  <c r="G26" i="22"/>
  <c r="G27" i="22"/>
  <c r="G28" i="22"/>
  <c r="G29" i="22"/>
  <c r="G30" i="22"/>
  <c r="G31" i="22"/>
  <c r="G33" i="22"/>
  <c r="G34" i="22"/>
  <c r="G6" i="22"/>
  <c r="G7" i="22"/>
  <c r="H7" i="22"/>
  <c r="H8" i="22"/>
  <c r="H9" i="22"/>
  <c r="H10" i="22"/>
  <c r="H11" i="22"/>
  <c r="H12" i="22"/>
  <c r="H13" i="22"/>
  <c r="H14" i="22"/>
  <c r="H15" i="22"/>
  <c r="H16" i="22"/>
  <c r="H17" i="22"/>
  <c r="H18" i="22"/>
  <c r="H19" i="22"/>
  <c r="H20" i="22"/>
  <c r="H21" i="22"/>
  <c r="H22" i="22"/>
  <c r="H23" i="22"/>
  <c r="H24" i="22"/>
  <c r="H25" i="22"/>
  <c r="H26" i="22"/>
  <c r="H27" i="22"/>
  <c r="H28" i="22"/>
  <c r="H29" i="22"/>
  <c r="H30" i="22"/>
  <c r="H31" i="22"/>
  <c r="H32" i="22"/>
  <c r="H33" i="22"/>
  <c r="H34" i="22"/>
  <c r="H6" i="22"/>
  <c r="AY24" i="6"/>
  <c r="AY14" i="6"/>
  <c r="AY26" i="6"/>
  <c r="AY15" i="6"/>
  <c r="AY16" i="6"/>
  <c r="AY12" i="6"/>
  <c r="AY13" i="6"/>
  <c r="E12" i="21"/>
  <c r="B13" i="6"/>
  <c r="B12" i="6"/>
  <c r="E126" i="9"/>
  <c r="E127" i="9"/>
  <c r="E128" i="9"/>
  <c r="E129" i="9"/>
  <c r="T11" i="22"/>
  <c r="E100" i="9"/>
  <c r="AX7" i="6"/>
  <c r="AX24" i="6"/>
  <c r="AZ24" i="6"/>
  <c r="AX11" i="6"/>
  <c r="AY11" i="6"/>
  <c r="AZ11" i="6"/>
  <c r="AY29" i="6"/>
  <c r="AY28" i="6"/>
  <c r="AY27" i="6"/>
  <c r="AY25" i="6"/>
  <c r="E16" i="9"/>
  <c r="AX23" i="6"/>
  <c r="AX10" i="6"/>
  <c r="E122" i="9"/>
  <c r="R16" i="22"/>
  <c r="E121" i="9"/>
  <c r="R15" i="22"/>
  <c r="E119" i="9"/>
  <c r="E120" i="9"/>
  <c r="R22" i="22"/>
  <c r="E115" i="9"/>
  <c r="C10" i="21"/>
  <c r="C11" i="21"/>
  <c r="B3" i="10"/>
  <c r="E40" i="9"/>
  <c r="W36" i="6"/>
  <c r="E41" i="9"/>
  <c r="R4" i="22"/>
  <c r="E40" i="6"/>
  <c r="E39" i="6"/>
  <c r="E38" i="6"/>
  <c r="E37" i="6"/>
  <c r="E36" i="6"/>
  <c r="E35" i="6"/>
  <c r="E34" i="6"/>
  <c r="E33" i="6"/>
  <c r="E32" i="6"/>
  <c r="E31" i="6"/>
  <c r="E30" i="6"/>
  <c r="E29" i="6"/>
  <c r="E28" i="6"/>
  <c r="E27" i="6"/>
  <c r="E26" i="6"/>
  <c r="E25" i="6"/>
  <c r="E24" i="6"/>
  <c r="E23" i="6"/>
  <c r="E22" i="6"/>
  <c r="E21" i="6"/>
  <c r="E20" i="6"/>
  <c r="E19" i="6"/>
  <c r="E18" i="6"/>
  <c r="E17" i="6"/>
  <c r="E16" i="6"/>
  <c r="E15" i="6"/>
  <c r="E14" i="6"/>
  <c r="E13" i="6"/>
  <c r="D13" i="6"/>
  <c r="C13" i="6"/>
  <c r="E12" i="6"/>
  <c r="D12" i="6"/>
  <c r="C12" i="6"/>
  <c r="C29" i="22"/>
  <c r="C27" i="22"/>
  <c r="R13" i="22"/>
  <c r="E44" i="9"/>
  <c r="R11" i="22"/>
  <c r="E43" i="9"/>
  <c r="R9" i="22"/>
  <c r="E42" i="9"/>
  <c r="R7" i="22"/>
  <c r="E45" i="9"/>
  <c r="T5" i="22"/>
  <c r="R5" i="22"/>
  <c r="E31" i="9"/>
  <c r="L5" i="22"/>
  <c r="E34" i="9"/>
  <c r="I5" i="22"/>
  <c r="E17" i="9"/>
  <c r="H5" i="22"/>
  <c r="G5" i="22"/>
  <c r="F5" i="22"/>
  <c r="E5" i="22"/>
  <c r="C5" i="22"/>
  <c r="P4" i="22"/>
  <c r="E32" i="9"/>
  <c r="E4" i="22"/>
  <c r="C4" i="22"/>
  <c r="E30" i="9"/>
  <c r="E2" i="22"/>
  <c r="G25" i="21"/>
  <c r="F25" i="21"/>
  <c r="G7" i="21"/>
  <c r="E5" i="21"/>
  <c r="E4" i="21"/>
  <c r="E3" i="21"/>
  <c r="E2" i="21"/>
  <c r="G22" i="21"/>
  <c r="Q16" i="21"/>
  <c r="Q15" i="21"/>
  <c r="Q14" i="21"/>
  <c r="Q13" i="21"/>
  <c r="Q12" i="21"/>
  <c r="T9" i="21"/>
  <c r="K13" i="21"/>
  <c r="K14" i="21"/>
  <c r="K15" i="21"/>
  <c r="K16" i="21"/>
  <c r="G11" i="21"/>
  <c r="D11" i="21"/>
  <c r="E11" i="21"/>
  <c r="K12" i="21"/>
  <c r="E11" i="6"/>
  <c r="E18" i="9"/>
  <c r="I7" i="6"/>
  <c r="W23" i="6"/>
  <c r="AB24" i="6"/>
  <c r="AA24" i="6"/>
  <c r="Z24" i="6"/>
  <c r="Y24" i="6"/>
  <c r="W10" i="6"/>
  <c r="E13" i="9"/>
  <c r="E102" i="9"/>
  <c r="E103" i="9"/>
  <c r="E12" i="9"/>
  <c r="E11" i="9"/>
  <c r="E8" i="9"/>
  <c r="E38" i="9"/>
  <c r="E105" i="9"/>
  <c r="E101" i="9"/>
  <c r="E107" i="9"/>
  <c r="E110" i="9"/>
  <c r="E109" i="9"/>
  <c r="E112" i="9"/>
  <c r="E111" i="9"/>
  <c r="E136" i="9"/>
  <c r="E52" i="9"/>
  <c r="B4" i="14"/>
  <c r="E51" i="9"/>
  <c r="B1" i="14"/>
  <c r="E50" i="9"/>
  <c r="A1" i="13"/>
  <c r="D11" i="6"/>
  <c r="C11" i="6"/>
  <c r="E47" i="9"/>
  <c r="B4" i="10"/>
  <c r="G7" i="10"/>
  <c r="B2" i="10"/>
  <c r="C43" i="10"/>
  <c r="C31" i="10"/>
  <c r="C19" i="10"/>
  <c r="C7" i="10"/>
  <c r="E104" i="9"/>
  <c r="L1" i="9"/>
  <c r="E35" i="9"/>
  <c r="E36" i="9"/>
  <c r="E37" i="9"/>
  <c r="F99" i="9"/>
  <c r="C5" i="9"/>
  <c r="F1" i="9"/>
  <c r="F5" i="9"/>
  <c r="AH12" i="6"/>
  <c r="AB11" i="6"/>
  <c r="AA11" i="6"/>
  <c r="Z11" i="6"/>
  <c r="Y11" i="6"/>
  <c r="F11" i="6"/>
  <c r="B11" i="6"/>
  <c r="B10" i="6"/>
  <c r="K1" i="9"/>
  <c r="C31" i="3"/>
  <c r="C32" i="3"/>
  <c r="C33" i="3"/>
  <c r="C34" i="3"/>
  <c r="C35" i="3"/>
  <c r="C36" i="3"/>
  <c r="C37" i="3"/>
  <c r="C38" i="3"/>
  <c r="C30" i="3"/>
  <c r="I25" i="3"/>
  <c r="I18" i="3"/>
  <c r="I23" i="3"/>
  <c r="I22" i="3"/>
  <c r="I21" i="3"/>
  <c r="I20" i="3"/>
  <c r="I19" i="3"/>
  <c r="I17" i="3"/>
  <c r="C40" i="6"/>
  <c r="C39" i="6"/>
  <c r="C37" i="6"/>
  <c r="C36" i="6"/>
  <c r="C35" i="6"/>
  <c r="C34" i="6"/>
  <c r="C32" i="6"/>
  <c r="D40" i="6"/>
  <c r="D39" i="6"/>
  <c r="D37" i="6"/>
  <c r="D36" i="6"/>
  <c r="D35" i="6"/>
  <c r="D34" i="6"/>
  <c r="D33" i="6"/>
  <c r="D32" i="6"/>
  <c r="C33" i="6"/>
  <c r="B40" i="6"/>
  <c r="B39" i="6"/>
  <c r="B37" i="6"/>
  <c r="B36" i="6"/>
  <c r="B35" i="6"/>
  <c r="B34" i="6"/>
  <c r="B33" i="6"/>
  <c r="B32" i="6"/>
  <c r="C20" i="6"/>
  <c r="C19" i="6"/>
  <c r="C18" i="6"/>
  <c r="C15" i="6"/>
  <c r="C16" i="6"/>
  <c r="C17" i="6"/>
  <c r="G11" i="22"/>
  <c r="D17" i="6"/>
  <c r="G10" i="22"/>
  <c r="D16" i="6"/>
  <c r="G9" i="22"/>
  <c r="D15" i="6"/>
  <c r="G14" i="22"/>
  <c r="D20" i="6"/>
  <c r="G13" i="22"/>
  <c r="D19" i="6"/>
  <c r="G12" i="22"/>
  <c r="D18" i="6"/>
  <c r="B20" i="6"/>
  <c r="B19" i="6"/>
  <c r="B18" i="6"/>
  <c r="B17" i="6"/>
  <c r="B16" i="6"/>
  <c r="B15" i="6"/>
  <c r="C23" i="6"/>
  <c r="C22" i="6"/>
  <c r="C21" i="6"/>
  <c r="G17" i="22"/>
  <c r="D23" i="6"/>
  <c r="G16" i="22"/>
  <c r="D22" i="6"/>
  <c r="G15" i="22"/>
  <c r="D21" i="6"/>
  <c r="B23" i="6"/>
  <c r="B22" i="6"/>
  <c r="B21" i="6"/>
  <c r="B24" i="6"/>
  <c r="B25" i="6"/>
  <c r="B26" i="6"/>
  <c r="B27" i="6"/>
  <c r="B28" i="6"/>
  <c r="B29" i="6"/>
  <c r="B30" i="6"/>
  <c r="B31" i="6"/>
  <c r="G18" i="22"/>
  <c r="D24" i="6"/>
  <c r="G19" i="22"/>
  <c r="D25" i="6"/>
  <c r="G20" i="22"/>
  <c r="D26" i="6"/>
  <c r="G21" i="22"/>
  <c r="D27" i="6"/>
  <c r="G22" i="22"/>
  <c r="D28" i="6"/>
  <c r="G23" i="22"/>
  <c r="D29" i="6"/>
  <c r="G24" i="22"/>
  <c r="D30" i="6"/>
  <c r="G25" i="22"/>
  <c r="D31" i="6"/>
  <c r="C24" i="6"/>
  <c r="C25" i="6"/>
  <c r="C26" i="6"/>
  <c r="C27" i="6"/>
  <c r="C28" i="6"/>
  <c r="C29" i="6"/>
  <c r="C30" i="6"/>
  <c r="C31" i="6"/>
  <c r="G35" i="22"/>
  <c r="D41" i="6"/>
  <c r="C41" i="6"/>
  <c r="B41" i="6"/>
  <c r="G48" i="22"/>
  <c r="D54" i="6"/>
  <c r="C54" i="6"/>
  <c r="B54" i="6"/>
  <c r="B38" i="6"/>
  <c r="G32" i="22"/>
  <c r="D38" i="6"/>
  <c r="C38" i="6"/>
  <c r="B14" i="6"/>
  <c r="G8" i="22"/>
  <c r="D14" i="6"/>
  <c r="C14" i="6"/>
  <c r="D3" i="25" a="1"/>
  <c r="D3" i="25"/>
  <c r="D4" i="25"/>
  <c r="D5" i="25"/>
  <c r="D6" i="25"/>
  <c r="D7" i="25"/>
  <c r="D8" i="25"/>
  <c r="D9" i="25"/>
  <c r="D10" i="25"/>
  <c r="D11" i="25"/>
  <c r="D12" i="25"/>
  <c r="D13" i="25"/>
  <c r="D14" i="25"/>
  <c r="D15" i="25"/>
  <c r="D16" i="25"/>
  <c r="D17" i="25"/>
  <c r="D18" i="25"/>
  <c r="D19" i="25"/>
  <c r="D20" i="25"/>
  <c r="D21" i="25"/>
  <c r="D22" i="25"/>
  <c r="D23" i="25"/>
  <c r="D24" i="25"/>
  <c r="D25" i="25"/>
  <c r="D26" i="25"/>
  <c r="D27" i="25"/>
  <c r="D28" i="25"/>
  <c r="D29" i="25"/>
  <c r="D30" i="25"/>
  <c r="D31" i="25"/>
  <c r="D32" i="25"/>
  <c r="D33" i="25"/>
  <c r="D34" i="25"/>
  <c r="D35" i="25"/>
  <c r="D36" i="25"/>
  <c r="D37" i="25"/>
  <c r="D38" i="25"/>
  <c r="D39" i="25"/>
  <c r="D40" i="25"/>
  <c r="D41" i="25"/>
  <c r="D42" i="25"/>
  <c r="D43" i="25"/>
  <c r="D44" i="25"/>
  <c r="D45" i="25"/>
  <c r="D46" i="25"/>
  <c r="D47" i="25"/>
  <c r="D48" i="25"/>
  <c r="D49" i="25"/>
  <c r="D50" i="25"/>
  <c r="D51" i="25"/>
  <c r="D52" i="25"/>
  <c r="D53" i="25"/>
  <c r="D54" i="25"/>
  <c r="D55" i="25"/>
  <c r="D56" i="25"/>
  <c r="D57" i="25"/>
  <c r="D58" i="25"/>
  <c r="D59" i="25"/>
  <c r="D60" i="25"/>
  <c r="D61" i="25"/>
  <c r="D62" i="25"/>
  <c r="D63" i="25"/>
  <c r="D64" i="25"/>
  <c r="D65" i="25"/>
  <c r="D66" i="25"/>
  <c r="D67" i="25"/>
  <c r="D68" i="25"/>
  <c r="D69" i="25"/>
  <c r="D70" i="25"/>
  <c r="D71" i="25"/>
  <c r="D72" i="25"/>
  <c r="D73" i="25"/>
  <c r="D74" i="25"/>
  <c r="D75" i="25"/>
  <c r="D76" i="25"/>
  <c r="D77" i="25"/>
  <c r="D78" i="25"/>
  <c r="D79" i="25"/>
  <c r="D80" i="25"/>
  <c r="D81" i="25"/>
  <c r="D82" i="25"/>
  <c r="D83" i="25"/>
  <c r="D84" i="25"/>
  <c r="D85" i="25"/>
  <c r="D86" i="25"/>
  <c r="D87" i="25"/>
  <c r="D88" i="25"/>
  <c r="D89" i="25"/>
  <c r="D90" i="25"/>
  <c r="D91" i="25"/>
  <c r="D92" i="25"/>
  <c r="D93" i="25"/>
  <c r="D94" i="25"/>
  <c r="D95" i="25"/>
  <c r="D96" i="25"/>
  <c r="D97" i="25"/>
  <c r="D98" i="25"/>
  <c r="D99" i="25"/>
  <c r="D100" i="25"/>
  <c r="D101" i="25"/>
  <c r="D102" i="25"/>
  <c r="D103" i="25"/>
  <c r="D104" i="25"/>
  <c r="D105" i="25"/>
  <c r="D106" i="25"/>
  <c r="D107" i="25"/>
  <c r="D108" i="25"/>
  <c r="D109" i="25"/>
  <c r="D110" i="25"/>
  <c r="D111" i="25"/>
  <c r="D112" i="25"/>
  <c r="D113" i="25"/>
  <c r="D114" i="25"/>
  <c r="D115" i="25"/>
  <c r="D116" i="25"/>
  <c r="D117" i="25"/>
  <c r="D118" i="25"/>
  <c r="D119" i="25"/>
  <c r="D120" i="25"/>
  <c r="D121" i="25"/>
  <c r="D122" i="25"/>
  <c r="D123" i="25"/>
  <c r="D124" i="25"/>
  <c r="D125" i="25"/>
  <c r="D126" i="25"/>
  <c r="D127" i="25"/>
  <c r="D128" i="25"/>
  <c r="D129" i="25"/>
  <c r="D130" i="25"/>
  <c r="D131" i="25"/>
  <c r="D132" i="25"/>
  <c r="D133" i="25"/>
  <c r="D134" i="25"/>
  <c r="D135" i="25"/>
  <c r="D136" i="25"/>
  <c r="D137" i="25"/>
  <c r="D138" i="25"/>
  <c r="D139" i="25"/>
  <c r="D140" i="25"/>
  <c r="D141" i="25"/>
  <c r="D142" i="25"/>
  <c r="D143" i="25"/>
  <c r="D144" i="25"/>
  <c r="D145" i="25"/>
  <c r="D146" i="25"/>
  <c r="E7" i="25"/>
  <c r="E5" i="25" a="1"/>
  <c r="E5" i="25"/>
  <c r="E6" i="25"/>
  <c r="E8" i="25"/>
  <c r="E9" i="25" a="1"/>
  <c r="E9" i="25"/>
  <c r="F8" i="25"/>
  <c r="E3" i="25"/>
  <c r="S24" i="22" a="1"/>
  <c r="S24" i="22"/>
  <c r="F9" i="25"/>
  <c r="E4" i="25"/>
  <c r="T24" i="22" a="1"/>
  <c r="T24" i="22"/>
  <c r="F2" i="25" a="1"/>
  <c r="F2" i="25"/>
  <c r="G2" i="25"/>
  <c r="R26" i="22"/>
  <c r="R25" i="22"/>
  <c r="C12" i="21" a="1"/>
  <c r="C12" i="21"/>
  <c r="C12" i="32" a="1"/>
  <c r="C12" i="32"/>
  <c r="C12" i="26" a="1"/>
  <c r="C12" i="26"/>
  <c r="C13" i="26"/>
  <c r="C15" i="26"/>
  <c r="C16" i="26"/>
  <c r="C12" i="27" a="1"/>
  <c r="C12" i="27"/>
  <c r="L12" i="35"/>
  <c r="S13" i="22" a="1"/>
  <c r="S13" i="22"/>
  <c r="D12" i="27"/>
  <c r="C12" i="36" a="1"/>
  <c r="C12" i="36"/>
  <c r="D12" i="26"/>
  <c r="D13" i="26"/>
  <c r="D15" i="26"/>
  <c r="D16" i="26"/>
  <c r="I18" i="26"/>
  <c r="S18" i="22"/>
  <c r="D12" i="36"/>
  <c r="D12" i="21"/>
  <c r="D12" i="32"/>
  <c r="AK36" i="6"/>
  <c r="CW25" i="35"/>
  <c r="CU25" i="35"/>
  <c r="CT25" i="35"/>
  <c r="CW26" i="35"/>
  <c r="CW27" i="35"/>
  <c r="CU27" i="35"/>
  <c r="CT27" i="35"/>
  <c r="CW28" i="35"/>
  <c r="CU28" i="35"/>
  <c r="CT28" i="35"/>
  <c r="BD25" i="35"/>
  <c r="BB25" i="35"/>
  <c r="BA25" i="35"/>
  <c r="BD26" i="35"/>
  <c r="BB26" i="35"/>
  <c r="BA26" i="35"/>
  <c r="BD27" i="35"/>
  <c r="BB27" i="35"/>
  <c r="BA27" i="35"/>
  <c r="BD28" i="35"/>
  <c r="BB28" i="35"/>
  <c r="BA28" i="35"/>
  <c r="BC28" i="35"/>
  <c r="BC27" i="35"/>
  <c r="BC26" i="35"/>
  <c r="BC25" i="35"/>
  <c r="CV28" i="35"/>
  <c r="CV27" i="35"/>
  <c r="CV25" i="35"/>
  <c r="CW21" i="35"/>
  <c r="CV21" i="35"/>
  <c r="CW22" i="35"/>
  <c r="CV22" i="35"/>
  <c r="CW23" i="35"/>
  <c r="CV23" i="35"/>
  <c r="CW24" i="35"/>
  <c r="CV24" i="35"/>
  <c r="BD21" i="35"/>
  <c r="BC21" i="35"/>
  <c r="BD22" i="35"/>
  <c r="BC22" i="35"/>
  <c r="BD24" i="35"/>
  <c r="BC24" i="35"/>
  <c r="CW12" i="35"/>
  <c r="CU12" i="35"/>
  <c r="CT12" i="35"/>
  <c r="CW13" i="35"/>
  <c r="CU13" i="35"/>
  <c r="CT13" i="35"/>
  <c r="CW14" i="35"/>
  <c r="CU14" i="35"/>
  <c r="CT14" i="35"/>
  <c r="CW15" i="35"/>
  <c r="CU15" i="35"/>
  <c r="CT15" i="35"/>
  <c r="CW16" i="35"/>
  <c r="CU16" i="35"/>
  <c r="CT16" i="35"/>
  <c r="CW17" i="35"/>
  <c r="CU17" i="35"/>
  <c r="CT17" i="35"/>
  <c r="CW18" i="35"/>
  <c r="CU18" i="35"/>
  <c r="CT18" i="35"/>
  <c r="CW19" i="35"/>
  <c r="CU19" i="35"/>
  <c r="CT19" i="35"/>
  <c r="CW20" i="35"/>
  <c r="CU20" i="35"/>
  <c r="CT20" i="35"/>
  <c r="CU21" i="35"/>
  <c r="CT21" i="35"/>
  <c r="CU22" i="35"/>
  <c r="CT22" i="35"/>
  <c r="CU23" i="35"/>
  <c r="CT23" i="35"/>
  <c r="CU24" i="35"/>
  <c r="CT24" i="35"/>
  <c r="CU26" i="35"/>
  <c r="CT26" i="35"/>
  <c r="CW29" i="35"/>
  <c r="CU29" i="35"/>
  <c r="CT29" i="35"/>
  <c r="CW30" i="35"/>
  <c r="CU30" i="35"/>
  <c r="CT30" i="35"/>
  <c r="CW31" i="35"/>
  <c r="CU31" i="35"/>
  <c r="CT31" i="35"/>
  <c r="CW32" i="35"/>
  <c r="CU32" i="35"/>
  <c r="CT32" i="35"/>
  <c r="CW33" i="35"/>
  <c r="CU33" i="35"/>
  <c r="CT33" i="35"/>
  <c r="CW34" i="35"/>
  <c r="CU34" i="35"/>
  <c r="CT34" i="35"/>
  <c r="CW35" i="35"/>
  <c r="CU35" i="35"/>
  <c r="CT35" i="35"/>
  <c r="CW36" i="35"/>
  <c r="CU36" i="35"/>
  <c r="CT36" i="35"/>
  <c r="CX12" i="35"/>
  <c r="F90" i="35"/>
  <c r="J89" i="35"/>
  <c r="CX15" i="35"/>
  <c r="CX16" i="35"/>
  <c r="CX17" i="35"/>
  <c r="CX18" i="35"/>
  <c r="CX19" i="35"/>
  <c r="CX20" i="35"/>
  <c r="CX21" i="35"/>
  <c r="CX22" i="35"/>
  <c r="CX23" i="35"/>
  <c r="CX24" i="35"/>
  <c r="CX25" i="35"/>
  <c r="CX26" i="35"/>
  <c r="CX27" i="35"/>
  <c r="CX28" i="35"/>
  <c r="CX29" i="35"/>
  <c r="CX30" i="35"/>
  <c r="CX31" i="35"/>
  <c r="CX32" i="35"/>
  <c r="CX33" i="35"/>
  <c r="CX34" i="35"/>
  <c r="CX35" i="35"/>
  <c r="CX36" i="35"/>
  <c r="E90" i="35"/>
  <c r="CV14" i="35"/>
  <c r="G90" i="35"/>
  <c r="H90" i="35"/>
  <c r="CX13" i="35"/>
  <c r="CV26" i="35"/>
  <c r="G91" i="35"/>
  <c r="H91" i="35"/>
  <c r="CX14" i="35"/>
  <c r="CV30" i="35"/>
  <c r="G92" i="35"/>
  <c r="H92" i="35"/>
  <c r="F91" i="35"/>
  <c r="J90" i="35"/>
  <c r="K90" i="35"/>
  <c r="F92" i="35"/>
  <c r="J91" i="35"/>
  <c r="K91" i="35"/>
  <c r="E91" i="35"/>
  <c r="J92" i="35"/>
  <c r="K92" i="35"/>
  <c r="E92" i="35"/>
  <c r="BD12" i="35"/>
  <c r="BB12" i="35"/>
  <c r="BA12" i="35"/>
  <c r="BD13" i="35"/>
  <c r="BB13" i="35"/>
  <c r="BA13" i="35"/>
  <c r="BD14" i="35"/>
  <c r="BB14" i="35"/>
  <c r="BA14" i="35"/>
  <c r="BD15" i="35"/>
  <c r="BB15" i="35"/>
  <c r="BA15" i="35"/>
  <c r="BD16" i="35"/>
  <c r="BB16" i="35"/>
  <c r="BA16" i="35"/>
  <c r="BD17" i="35"/>
  <c r="BB17" i="35"/>
  <c r="BA17" i="35"/>
  <c r="BD18" i="35"/>
  <c r="BB18" i="35"/>
  <c r="BA18" i="35"/>
  <c r="BD19" i="35"/>
  <c r="BB19" i="35"/>
  <c r="BA19" i="35"/>
  <c r="BD20" i="35"/>
  <c r="BB20" i="35"/>
  <c r="BA20" i="35"/>
  <c r="BB21" i="35"/>
  <c r="BA21" i="35"/>
  <c r="BB22" i="35"/>
  <c r="BA22" i="35"/>
  <c r="BD23" i="35"/>
  <c r="BB23" i="35"/>
  <c r="BA23" i="35"/>
  <c r="BB24" i="35"/>
  <c r="BA24" i="35"/>
  <c r="BD29" i="35"/>
  <c r="BB29" i="35"/>
  <c r="BA29" i="35"/>
  <c r="BD30" i="35"/>
  <c r="BB30" i="35"/>
  <c r="BA30" i="35"/>
  <c r="BD31" i="35"/>
  <c r="BB31" i="35"/>
  <c r="BA31" i="35"/>
  <c r="BD32" i="35"/>
  <c r="BB32" i="35"/>
  <c r="BA32" i="35"/>
  <c r="BD33" i="35"/>
  <c r="BB33" i="35"/>
  <c r="BA33" i="35"/>
  <c r="BD34" i="35"/>
  <c r="BB34" i="35"/>
  <c r="BA34" i="35"/>
  <c r="BD35" i="35"/>
  <c r="BB35" i="35"/>
  <c r="BA35" i="35"/>
  <c r="BD36" i="35"/>
  <c r="BB36" i="35"/>
  <c r="BA36" i="35"/>
  <c r="BE14" i="35"/>
  <c r="H47" i="35"/>
  <c r="BC35" i="35"/>
  <c r="G47" i="35"/>
  <c r="E47" i="35"/>
  <c r="BE13" i="35"/>
  <c r="H46" i="35"/>
  <c r="BC23" i="35"/>
  <c r="G46" i="35"/>
  <c r="E46" i="35"/>
  <c r="BE12" i="35"/>
  <c r="H45" i="35"/>
  <c r="BC15" i="35"/>
  <c r="G45" i="35"/>
  <c r="E45" i="35"/>
  <c r="BE36" i="35"/>
  <c r="BE35" i="35"/>
  <c r="BE34" i="35"/>
  <c r="BE33" i="35"/>
  <c r="BE32" i="35"/>
  <c r="BE31" i="35"/>
  <c r="BE30" i="35"/>
  <c r="BE29" i="35"/>
  <c r="BE28" i="35"/>
  <c r="BE27" i="35"/>
  <c r="BE26" i="35"/>
  <c r="BE25" i="35"/>
  <c r="BE24" i="35"/>
  <c r="BE23" i="35"/>
  <c r="BE22" i="35"/>
  <c r="BE21" i="35"/>
  <c r="BE20" i="35"/>
  <c r="BE19" i="35"/>
  <c r="BE18" i="35"/>
  <c r="BE17" i="35"/>
  <c r="BE16" i="35"/>
  <c r="BE15" i="35"/>
  <c r="F47" i="35"/>
  <c r="J48" i="35"/>
  <c r="F46" i="35"/>
  <c r="J47" i="35"/>
  <c r="K47" i="35"/>
  <c r="F45" i="35"/>
  <c r="J46" i="35"/>
  <c r="K46" i="35"/>
  <c r="J45" i="35"/>
  <c r="K45" i="35"/>
  <c r="J44" i="35"/>
  <c r="BC36" i="35"/>
  <c r="BC34" i="35"/>
  <c r="BC33" i="35"/>
  <c r="BC32" i="35"/>
  <c r="BC31" i="35"/>
  <c r="BC30" i="35"/>
  <c r="BC29" i="35"/>
  <c r="BC20" i="35"/>
  <c r="BC19" i="35"/>
  <c r="BC18" i="35"/>
  <c r="BC17" i="35"/>
  <c r="BC16" i="35"/>
  <c r="BC14" i="35"/>
  <c r="BC13" i="35"/>
  <c r="BC12" i="35"/>
  <c r="CV36" i="35"/>
  <c r="CV35" i="35"/>
  <c r="CV34" i="35"/>
  <c r="CV33" i="35"/>
  <c r="CV32" i="35"/>
  <c r="CV31" i="35"/>
  <c r="CV29" i="35"/>
  <c r="CV20" i="35"/>
  <c r="CV19" i="35"/>
  <c r="CV18" i="35"/>
  <c r="CV17" i="35"/>
  <c r="CV16" i="35"/>
  <c r="CV15" i="35"/>
  <c r="CV13" i="35"/>
  <c r="CV12" i="35"/>
  <c r="J17" i="3"/>
  <c r="H17" i="3"/>
  <c r="J24" i="3"/>
  <c r="BZ41" i="3"/>
  <c r="BS48" i="3"/>
  <c r="AA136" i="3"/>
  <c r="I24" i="3"/>
  <c r="M4" i="3"/>
  <c r="F17" i="3"/>
  <c r="K5" i="3"/>
  <c r="K6" i="3"/>
  <c r="K7" i="3"/>
  <c r="K8" i="3"/>
  <c r="K9" i="3"/>
  <c r="K10" i="3"/>
  <c r="K11" i="3"/>
  <c r="K12" i="3"/>
  <c r="M5" i="3"/>
  <c r="M6" i="3"/>
  <c r="M7" i="3"/>
  <c r="M8" i="3"/>
  <c r="M9" i="3"/>
  <c r="M10" i="3"/>
  <c r="M11" i="3"/>
  <c r="M12" i="3"/>
  <c r="F18" i="3"/>
  <c r="F19" i="3"/>
  <c r="F20" i="3"/>
  <c r="F21" i="3"/>
  <c r="F22" i="3"/>
  <c r="F23" i="3"/>
  <c r="F25" i="3"/>
  <c r="F24" i="3"/>
  <c r="D24" i="3"/>
  <c r="D25" i="3"/>
  <c r="D23" i="3"/>
  <c r="D22" i="3"/>
  <c r="D21" i="3"/>
  <c r="D20" i="3"/>
  <c r="D19" i="3"/>
  <c r="D18" i="3"/>
  <c r="AS4" i="3"/>
  <c r="AS12" i="3"/>
  <c r="AS11" i="3"/>
  <c r="AS10" i="3"/>
  <c r="AS9" i="3"/>
  <c r="AS8" i="3"/>
  <c r="AS7" i="3"/>
  <c r="AS6" i="3"/>
  <c r="AS5" i="3"/>
  <c r="L4" i="3"/>
  <c r="E17" i="3"/>
  <c r="J4" i="3"/>
  <c r="L12" i="3"/>
  <c r="J12" i="3"/>
  <c r="L5" i="3"/>
  <c r="J5" i="3"/>
  <c r="L7" i="3"/>
  <c r="J7" i="3"/>
  <c r="L8" i="3"/>
  <c r="J8" i="3"/>
  <c r="L9" i="3"/>
  <c r="J9" i="3"/>
  <c r="L10" i="3"/>
  <c r="J10" i="3"/>
  <c r="L11" i="3"/>
  <c r="J11" i="3"/>
  <c r="Y25" i="3"/>
  <c r="Y17" i="3"/>
  <c r="Y18" i="3"/>
  <c r="Y19" i="3"/>
  <c r="Y20" i="3"/>
  <c r="Y21" i="3"/>
  <c r="Y22" i="3"/>
  <c r="Y23" i="3"/>
  <c r="Y24" i="3"/>
  <c r="N5" i="3"/>
  <c r="N7" i="3"/>
  <c r="N8" i="3"/>
  <c r="N9" i="3"/>
  <c r="N10" i="3"/>
  <c r="N11" i="3"/>
  <c r="N12" i="3"/>
  <c r="E24" i="3"/>
  <c r="G24" i="3"/>
  <c r="E25" i="3"/>
  <c r="G25" i="3"/>
  <c r="G23" i="3"/>
  <c r="E23" i="3"/>
  <c r="G22" i="3"/>
  <c r="E22" i="3"/>
  <c r="G21" i="3"/>
  <c r="E21" i="3"/>
  <c r="G20" i="3"/>
  <c r="E20" i="3"/>
  <c r="G18" i="3"/>
  <c r="E18" i="3"/>
  <c r="CH25" i="35"/>
  <c r="CF25" i="35"/>
  <c r="CE25" i="35"/>
  <c r="CH26" i="35"/>
  <c r="CF26" i="35"/>
  <c r="CE26" i="35"/>
  <c r="CH27" i="35"/>
  <c r="CH28" i="35"/>
  <c r="CF28" i="35"/>
  <c r="CE28" i="35"/>
  <c r="CR25" i="35"/>
  <c r="CP25" i="35"/>
  <c r="CO25" i="35"/>
  <c r="CR26" i="35"/>
  <c r="CP26" i="35"/>
  <c r="CO26" i="35"/>
  <c r="CR27" i="35"/>
  <c r="CR28" i="35"/>
  <c r="CP28" i="35"/>
  <c r="CO28" i="35"/>
  <c r="AY25" i="35"/>
  <c r="AW25" i="35"/>
  <c r="AV25" i="35"/>
  <c r="AY26" i="35"/>
  <c r="AW26" i="35"/>
  <c r="AV26" i="35"/>
  <c r="AY27" i="35"/>
  <c r="AW27" i="35"/>
  <c r="AV27" i="35"/>
  <c r="AY28" i="35"/>
  <c r="AW28" i="35"/>
  <c r="AV28" i="35"/>
  <c r="AT25" i="35"/>
  <c r="AR25" i="35"/>
  <c r="AQ25" i="35"/>
  <c r="AT26" i="35"/>
  <c r="AR26" i="35"/>
  <c r="AQ26" i="35"/>
  <c r="AT27" i="35"/>
  <c r="AR27" i="35"/>
  <c r="AQ27" i="35"/>
  <c r="AT28" i="35"/>
  <c r="AR28" i="35"/>
  <c r="AQ28" i="35"/>
  <c r="AO25" i="35"/>
  <c r="AM25" i="35"/>
  <c r="AL25" i="35"/>
  <c r="AO26" i="35"/>
  <c r="AM26" i="35"/>
  <c r="AL26" i="35"/>
  <c r="AO27" i="35"/>
  <c r="AM27" i="35"/>
  <c r="AL27" i="35"/>
  <c r="AO28" i="35"/>
  <c r="AM28" i="35"/>
  <c r="AL28" i="35"/>
  <c r="CM25" i="35"/>
  <c r="CM26" i="35"/>
  <c r="CK26" i="35"/>
  <c r="CJ26" i="35"/>
  <c r="CM27" i="35"/>
  <c r="CK27" i="35"/>
  <c r="CJ27" i="35"/>
  <c r="CM28" i="35"/>
  <c r="CK28" i="35"/>
  <c r="CJ28" i="35"/>
  <c r="CQ25" i="35"/>
  <c r="CG26" i="35"/>
  <c r="CL28" i="35"/>
  <c r="CL27" i="35"/>
  <c r="CL26" i="35"/>
  <c r="AS28" i="35"/>
  <c r="AS27" i="35"/>
  <c r="AS26" i="35"/>
  <c r="AS25" i="35"/>
  <c r="AN25" i="35"/>
  <c r="AN26" i="35"/>
  <c r="AN27" i="35"/>
  <c r="AN28" i="35"/>
  <c r="AX25" i="35"/>
  <c r="AX26" i="35"/>
  <c r="AX27" i="35"/>
  <c r="AX28" i="35"/>
  <c r="CG25" i="35"/>
  <c r="CQ28" i="35"/>
  <c r="CG28" i="35"/>
  <c r="CQ26" i="35"/>
  <c r="CM21" i="35"/>
  <c r="CL21" i="35"/>
  <c r="CM22" i="35"/>
  <c r="CL22" i="35"/>
  <c r="CM23" i="35"/>
  <c r="CL23" i="35"/>
  <c r="CM24" i="35"/>
  <c r="CL24" i="35"/>
  <c r="CH21" i="35"/>
  <c r="CG21" i="35"/>
  <c r="CH22" i="35"/>
  <c r="CG22" i="35"/>
  <c r="CH23" i="35"/>
  <c r="CG23" i="35"/>
  <c r="CH24" i="35"/>
  <c r="CG24" i="35"/>
  <c r="AT24" i="35"/>
  <c r="AS24" i="35"/>
  <c r="AO24" i="35"/>
  <c r="AN24" i="35"/>
  <c r="CR21" i="35"/>
  <c r="CQ21" i="35"/>
  <c r="CR22" i="35"/>
  <c r="CQ22" i="35"/>
  <c r="CR23" i="35"/>
  <c r="CQ23" i="35"/>
  <c r="CR24" i="35"/>
  <c r="CQ24" i="35"/>
  <c r="AY23" i="35"/>
  <c r="AX23" i="35"/>
  <c r="AY24" i="35"/>
  <c r="AX24" i="35"/>
  <c r="AY21" i="35"/>
  <c r="AX21" i="35"/>
  <c r="AT22" i="35"/>
  <c r="AS22" i="35"/>
  <c r="AT21" i="35"/>
  <c r="AS21" i="35"/>
  <c r="AO22" i="35"/>
  <c r="AN22" i="35"/>
  <c r="AO21" i="35"/>
  <c r="AN21" i="35"/>
  <c r="CH12" i="35"/>
  <c r="CF12" i="35"/>
  <c r="CE12" i="35"/>
  <c r="CH13" i="35"/>
  <c r="CF13" i="35"/>
  <c r="CE13" i="35"/>
  <c r="CH14" i="35"/>
  <c r="CF14" i="35"/>
  <c r="CE14" i="35"/>
  <c r="CH15" i="35"/>
  <c r="CF15" i="35"/>
  <c r="CE15" i="35"/>
  <c r="CH16" i="35"/>
  <c r="CF16" i="35"/>
  <c r="CE16" i="35"/>
  <c r="CH17" i="35"/>
  <c r="CF17" i="35"/>
  <c r="CE17" i="35"/>
  <c r="CH18" i="35"/>
  <c r="CF18" i="35"/>
  <c r="CE18" i="35"/>
  <c r="CH19" i="35"/>
  <c r="CF19" i="35"/>
  <c r="CE19" i="35"/>
  <c r="CH20" i="35"/>
  <c r="CF20" i="35"/>
  <c r="CE20" i="35"/>
  <c r="CF21" i="35"/>
  <c r="CE21" i="35"/>
  <c r="CF22" i="35"/>
  <c r="CE22" i="35"/>
  <c r="CF23" i="35"/>
  <c r="CE23" i="35"/>
  <c r="CF24" i="35"/>
  <c r="CE24" i="35"/>
  <c r="CF27" i="35"/>
  <c r="CE27" i="35"/>
  <c r="CH29" i="35"/>
  <c r="CF29" i="35"/>
  <c r="CE29" i="35"/>
  <c r="CH30" i="35"/>
  <c r="CF30" i="35"/>
  <c r="CE30" i="35"/>
  <c r="CH31" i="35"/>
  <c r="CF31" i="35"/>
  <c r="CE31" i="35"/>
  <c r="CH32" i="35"/>
  <c r="CF32" i="35"/>
  <c r="CE32" i="35"/>
  <c r="CH33" i="35"/>
  <c r="CF33" i="35"/>
  <c r="CE33" i="35"/>
  <c r="CH34" i="35"/>
  <c r="CF34" i="35"/>
  <c r="CE34" i="35"/>
  <c r="CH35" i="35"/>
  <c r="CF35" i="35"/>
  <c r="CE35" i="35"/>
  <c r="CH36" i="35"/>
  <c r="CF36" i="35"/>
  <c r="CE36" i="35"/>
  <c r="CI15" i="35"/>
  <c r="CI16" i="35"/>
  <c r="CI17" i="35"/>
  <c r="CI18" i="35"/>
  <c r="CI19" i="35"/>
  <c r="CI20" i="35"/>
  <c r="CI21" i="35"/>
  <c r="CI22" i="35"/>
  <c r="CI23" i="35"/>
  <c r="CI24" i="35"/>
  <c r="CI25" i="35"/>
  <c r="CI26" i="35"/>
  <c r="CI27" i="35"/>
  <c r="CI28" i="35"/>
  <c r="CI29" i="35"/>
  <c r="CI30" i="35"/>
  <c r="CI31" i="35"/>
  <c r="CI32" i="35"/>
  <c r="CI33" i="35"/>
  <c r="CI34" i="35"/>
  <c r="CI35" i="35"/>
  <c r="CI36" i="35"/>
  <c r="CR12" i="35"/>
  <c r="CP12" i="35"/>
  <c r="CO12" i="35"/>
  <c r="CR13" i="35"/>
  <c r="CP13" i="35"/>
  <c r="CO13" i="35"/>
  <c r="CR14" i="35"/>
  <c r="CP14" i="35"/>
  <c r="CO14" i="35"/>
  <c r="CR15" i="35"/>
  <c r="CP15" i="35"/>
  <c r="CO15" i="35"/>
  <c r="CR16" i="35"/>
  <c r="CP16" i="35"/>
  <c r="CO16" i="35"/>
  <c r="CR17" i="35"/>
  <c r="CP17" i="35"/>
  <c r="CO17" i="35"/>
  <c r="CR18" i="35"/>
  <c r="CP18" i="35"/>
  <c r="CO18" i="35"/>
  <c r="CR19" i="35"/>
  <c r="CP19" i="35"/>
  <c r="CO19" i="35"/>
  <c r="CR20" i="35"/>
  <c r="CP20" i="35"/>
  <c r="CO20" i="35"/>
  <c r="CP21" i="35"/>
  <c r="CO21" i="35"/>
  <c r="CP22" i="35"/>
  <c r="CO22" i="35"/>
  <c r="CP23" i="35"/>
  <c r="CO23" i="35"/>
  <c r="CP24" i="35"/>
  <c r="CO24" i="35"/>
  <c r="CP27" i="35"/>
  <c r="CO27" i="35"/>
  <c r="CR29" i="35"/>
  <c r="CP29" i="35"/>
  <c r="CO29" i="35"/>
  <c r="CR30" i="35"/>
  <c r="CP30" i="35"/>
  <c r="CO30" i="35"/>
  <c r="CR31" i="35"/>
  <c r="CP31" i="35"/>
  <c r="CO31" i="35"/>
  <c r="CR32" i="35"/>
  <c r="CP32" i="35"/>
  <c r="CO32" i="35"/>
  <c r="CR33" i="35"/>
  <c r="CP33" i="35"/>
  <c r="CO33" i="35"/>
  <c r="CR34" i="35"/>
  <c r="CP34" i="35"/>
  <c r="CO34" i="35"/>
  <c r="CR35" i="35"/>
  <c r="CP35" i="35"/>
  <c r="CO35" i="35"/>
  <c r="CR36" i="35"/>
  <c r="CP36" i="35"/>
  <c r="CO36" i="35"/>
  <c r="CS14" i="35"/>
  <c r="E87" i="35"/>
  <c r="CS13" i="35"/>
  <c r="E86" i="35"/>
  <c r="CS12" i="35"/>
  <c r="E85" i="35"/>
  <c r="CI12" i="35"/>
  <c r="E75" i="35"/>
  <c r="F75" i="35"/>
  <c r="J74" i="35"/>
  <c r="CI14" i="35"/>
  <c r="F77" i="35"/>
  <c r="J78" i="35"/>
  <c r="F85" i="35"/>
  <c r="J84" i="35"/>
  <c r="F87" i="35"/>
  <c r="J88" i="35"/>
  <c r="AY12" i="35"/>
  <c r="AW12" i="35"/>
  <c r="AV12" i="35"/>
  <c r="AY13" i="35"/>
  <c r="AW13" i="35"/>
  <c r="AV13" i="35"/>
  <c r="AY14" i="35"/>
  <c r="AW14" i="35"/>
  <c r="AV14" i="35"/>
  <c r="AY15" i="35"/>
  <c r="AW15" i="35"/>
  <c r="AV15" i="35"/>
  <c r="AY16" i="35"/>
  <c r="AW16" i="35"/>
  <c r="AV16" i="35"/>
  <c r="AY17" i="35"/>
  <c r="AW17" i="35"/>
  <c r="AV17" i="35"/>
  <c r="AY18" i="35"/>
  <c r="AW18" i="35"/>
  <c r="AV18" i="35"/>
  <c r="AY19" i="35"/>
  <c r="AW19" i="35"/>
  <c r="AV19" i="35"/>
  <c r="AY20" i="35"/>
  <c r="AW20" i="35"/>
  <c r="AV20" i="35"/>
  <c r="AW21" i="35"/>
  <c r="AV21" i="35"/>
  <c r="AY22" i="35"/>
  <c r="AW22" i="35"/>
  <c r="AV22" i="35"/>
  <c r="AW23" i="35"/>
  <c r="AV23" i="35"/>
  <c r="AW24" i="35"/>
  <c r="AV24" i="35"/>
  <c r="AY29" i="35"/>
  <c r="AW29" i="35"/>
  <c r="AV29" i="35"/>
  <c r="AY30" i="35"/>
  <c r="AW30" i="35"/>
  <c r="AV30" i="35"/>
  <c r="AY31" i="35"/>
  <c r="AW31" i="35"/>
  <c r="AV31" i="35"/>
  <c r="AY32" i="35"/>
  <c r="AW32" i="35"/>
  <c r="AV32" i="35"/>
  <c r="AY33" i="35"/>
  <c r="AW33" i="35"/>
  <c r="AV33" i="35"/>
  <c r="AY34" i="35"/>
  <c r="AW34" i="35"/>
  <c r="AV34" i="35"/>
  <c r="AY35" i="35"/>
  <c r="AW35" i="35"/>
  <c r="AV35" i="35"/>
  <c r="AY36" i="35"/>
  <c r="AW36" i="35"/>
  <c r="AV36" i="35"/>
  <c r="AZ14" i="35"/>
  <c r="H42" i="35"/>
  <c r="AX35" i="35"/>
  <c r="AX31" i="35"/>
  <c r="AX34" i="35"/>
  <c r="G42" i="35"/>
  <c r="AX32" i="35"/>
  <c r="AX36" i="35"/>
  <c r="AX29" i="35"/>
  <c r="E42" i="35"/>
  <c r="AZ13" i="35"/>
  <c r="H41" i="35"/>
  <c r="AX22" i="35"/>
  <c r="G41" i="35"/>
  <c r="E41" i="35"/>
  <c r="AZ12" i="35"/>
  <c r="H40" i="35"/>
  <c r="AX15" i="35"/>
  <c r="AX19" i="35"/>
  <c r="AX14" i="35"/>
  <c r="G40" i="35"/>
  <c r="AX20" i="35"/>
  <c r="AX16" i="35"/>
  <c r="AX17" i="35"/>
  <c r="E40" i="35"/>
  <c r="AT12" i="35"/>
  <c r="AR12" i="35"/>
  <c r="AQ12" i="35"/>
  <c r="AT13" i="35"/>
  <c r="AR13" i="35"/>
  <c r="AQ13" i="35"/>
  <c r="AT14" i="35"/>
  <c r="AR14" i="35"/>
  <c r="AQ14" i="35"/>
  <c r="AT15" i="35"/>
  <c r="AR15" i="35"/>
  <c r="AQ15" i="35"/>
  <c r="AT16" i="35"/>
  <c r="AR16" i="35"/>
  <c r="AQ16" i="35"/>
  <c r="AT17" i="35"/>
  <c r="AR17" i="35"/>
  <c r="AQ17" i="35"/>
  <c r="AT18" i="35"/>
  <c r="AR18" i="35"/>
  <c r="AQ18" i="35"/>
  <c r="AT19" i="35"/>
  <c r="AR19" i="35"/>
  <c r="AQ19" i="35"/>
  <c r="AT20" i="35"/>
  <c r="AR20" i="35"/>
  <c r="AQ20" i="35"/>
  <c r="AR21" i="35"/>
  <c r="AQ21" i="35"/>
  <c r="AR22" i="35"/>
  <c r="AQ22" i="35"/>
  <c r="AT23" i="35"/>
  <c r="AR23" i="35"/>
  <c r="AQ23" i="35"/>
  <c r="AR24" i="35"/>
  <c r="AQ24" i="35"/>
  <c r="AT29" i="35"/>
  <c r="AR29" i="35"/>
  <c r="AQ29" i="35"/>
  <c r="AT30" i="35"/>
  <c r="AR30" i="35"/>
  <c r="AQ30" i="35"/>
  <c r="AT31" i="35"/>
  <c r="AR31" i="35"/>
  <c r="AQ31" i="35"/>
  <c r="AT32" i="35"/>
  <c r="AR32" i="35"/>
  <c r="AQ32" i="35"/>
  <c r="AT33" i="35"/>
  <c r="AR33" i="35"/>
  <c r="AQ33" i="35"/>
  <c r="AT34" i="35"/>
  <c r="AR34" i="35"/>
  <c r="AQ34" i="35"/>
  <c r="AT35" i="35"/>
  <c r="AR35" i="35"/>
  <c r="AQ35" i="35"/>
  <c r="AT36" i="35"/>
  <c r="AR36" i="35"/>
  <c r="AQ36" i="35"/>
  <c r="AU14" i="35"/>
  <c r="H37" i="35"/>
  <c r="AS30" i="35"/>
  <c r="AS31" i="35"/>
  <c r="AS35" i="35"/>
  <c r="G37" i="35"/>
  <c r="AS34" i="35"/>
  <c r="AS33" i="35"/>
  <c r="E37" i="35"/>
  <c r="AU13" i="35"/>
  <c r="H36" i="35"/>
  <c r="AS23" i="35"/>
  <c r="G36" i="35"/>
  <c r="AU12" i="35"/>
  <c r="H35" i="35"/>
  <c r="AS18" i="35"/>
  <c r="AS19" i="35"/>
  <c r="AS15" i="35"/>
  <c r="G35" i="35"/>
  <c r="AS14" i="35"/>
  <c r="AS13" i="35"/>
  <c r="AO12" i="35"/>
  <c r="AM12" i="35"/>
  <c r="AL12" i="35"/>
  <c r="AO13" i="35"/>
  <c r="AM13" i="35"/>
  <c r="AL13" i="35"/>
  <c r="AO14" i="35"/>
  <c r="AM14" i="35"/>
  <c r="AL14" i="35"/>
  <c r="AO15" i="35"/>
  <c r="AM15" i="35"/>
  <c r="AL15" i="35"/>
  <c r="AO16" i="35"/>
  <c r="AM16" i="35"/>
  <c r="AL16" i="35"/>
  <c r="AO17" i="35"/>
  <c r="AM17" i="35"/>
  <c r="AL17" i="35"/>
  <c r="AO18" i="35"/>
  <c r="AM18" i="35"/>
  <c r="AL18" i="35"/>
  <c r="AO19" i="35"/>
  <c r="AM19" i="35"/>
  <c r="AL19" i="35"/>
  <c r="AO20" i="35"/>
  <c r="AM20" i="35"/>
  <c r="AL20" i="35"/>
  <c r="AM21" i="35"/>
  <c r="AL21" i="35"/>
  <c r="AM22" i="35"/>
  <c r="AL22" i="35"/>
  <c r="AO23" i="35"/>
  <c r="AM23" i="35"/>
  <c r="AL23" i="35"/>
  <c r="AM24" i="35"/>
  <c r="AL24" i="35"/>
  <c r="AO29" i="35"/>
  <c r="AM29" i="35"/>
  <c r="AL29" i="35"/>
  <c r="AO30" i="35"/>
  <c r="AM30" i="35"/>
  <c r="AL30" i="35"/>
  <c r="AO31" i="35"/>
  <c r="AM31" i="35"/>
  <c r="AL31" i="35"/>
  <c r="AO32" i="35"/>
  <c r="AM32" i="35"/>
  <c r="AL32" i="35"/>
  <c r="AO33" i="35"/>
  <c r="AM33" i="35"/>
  <c r="AL33" i="35"/>
  <c r="AO34" i="35"/>
  <c r="AM34" i="35"/>
  <c r="AL34" i="35"/>
  <c r="AO35" i="35"/>
  <c r="AM35" i="35"/>
  <c r="AL35" i="35"/>
  <c r="AO36" i="35"/>
  <c r="AM36" i="35"/>
  <c r="AL36" i="35"/>
  <c r="AP14" i="35"/>
  <c r="H32" i="35"/>
  <c r="AN35" i="35"/>
  <c r="AN30" i="35"/>
  <c r="AN34" i="35"/>
  <c r="AN31" i="35"/>
  <c r="G32" i="35"/>
  <c r="E32" i="35"/>
  <c r="AP13" i="35"/>
  <c r="H31" i="35"/>
  <c r="AN23" i="35"/>
  <c r="G31" i="35"/>
  <c r="AP12" i="35"/>
  <c r="H30" i="35"/>
  <c r="AN18" i="35"/>
  <c r="AN14" i="35"/>
  <c r="AN19" i="35"/>
  <c r="G30" i="35"/>
  <c r="AN15" i="35"/>
  <c r="F35" i="35"/>
  <c r="J34" i="35"/>
  <c r="F36" i="35"/>
  <c r="J35" i="35"/>
  <c r="K35" i="35"/>
  <c r="E35" i="35"/>
  <c r="F37" i="35"/>
  <c r="J36" i="35"/>
  <c r="K36" i="35"/>
  <c r="E36" i="35"/>
  <c r="J37" i="35"/>
  <c r="K37" i="35"/>
  <c r="J38" i="35"/>
  <c r="AU15" i="35"/>
  <c r="AU16" i="35"/>
  <c r="AU17" i="35"/>
  <c r="AU18" i="35"/>
  <c r="AU19" i="35"/>
  <c r="AU20" i="35"/>
  <c r="AU21" i="35"/>
  <c r="AU22" i="35"/>
  <c r="AU23" i="35"/>
  <c r="AU24" i="35"/>
  <c r="AU25" i="35"/>
  <c r="AU26" i="35"/>
  <c r="AU27" i="35"/>
  <c r="AU28" i="35"/>
  <c r="AU29" i="35"/>
  <c r="F32" i="35"/>
  <c r="J33" i="35"/>
  <c r="F31" i="35"/>
  <c r="J32" i="35"/>
  <c r="K32" i="35"/>
  <c r="F30" i="35"/>
  <c r="J31" i="35"/>
  <c r="K31" i="35"/>
  <c r="E31" i="35"/>
  <c r="J30" i="35"/>
  <c r="K30" i="35"/>
  <c r="E30" i="35"/>
  <c r="J29" i="35"/>
  <c r="AP15" i="35"/>
  <c r="AP16" i="35"/>
  <c r="AP17" i="35"/>
  <c r="AP18" i="35"/>
  <c r="AP19" i="35"/>
  <c r="AP20" i="35"/>
  <c r="AP21" i="35"/>
  <c r="AP22" i="35"/>
  <c r="AP23" i="35"/>
  <c r="AP24" i="35"/>
  <c r="AP25" i="35"/>
  <c r="AP26" i="35"/>
  <c r="AP27" i="35"/>
  <c r="AP28" i="35"/>
  <c r="AP29" i="35"/>
  <c r="F40" i="35"/>
  <c r="J39" i="35"/>
  <c r="F41" i="35"/>
  <c r="J40" i="35"/>
  <c r="K40" i="35"/>
  <c r="F42" i="35"/>
  <c r="J41" i="35"/>
  <c r="K41" i="35"/>
  <c r="J42" i="35"/>
  <c r="K42" i="35"/>
  <c r="J43" i="35"/>
  <c r="AZ15" i="35"/>
  <c r="AZ16" i="35"/>
  <c r="AZ17" i="35"/>
  <c r="AZ18" i="35"/>
  <c r="AZ19" i="35"/>
  <c r="AZ20" i="35"/>
  <c r="AZ21" i="35"/>
  <c r="AZ22" i="35"/>
  <c r="AZ23" i="35"/>
  <c r="AZ24" i="35"/>
  <c r="AZ25" i="35"/>
  <c r="AZ26" i="35"/>
  <c r="AZ27" i="35"/>
  <c r="AZ28" i="35"/>
  <c r="AZ29" i="35"/>
  <c r="AP30" i="35"/>
  <c r="AU30" i="35"/>
  <c r="AZ30" i="35"/>
  <c r="AP31" i="35"/>
  <c r="AU31" i="35"/>
  <c r="AZ31" i="35"/>
  <c r="AP32" i="35"/>
  <c r="AU32" i="35"/>
  <c r="AZ32" i="35"/>
  <c r="AP33" i="35"/>
  <c r="AU33" i="35"/>
  <c r="AZ33" i="35"/>
  <c r="AP34" i="35"/>
  <c r="AU34" i="35"/>
  <c r="AZ34" i="35"/>
  <c r="AP35" i="35"/>
  <c r="AU35" i="35"/>
  <c r="AZ35" i="35"/>
  <c r="AP36" i="35"/>
  <c r="AU36" i="35"/>
  <c r="AZ36" i="35"/>
  <c r="CS15" i="35"/>
  <c r="CS16" i="35"/>
  <c r="CS17" i="35"/>
  <c r="CS18" i="35"/>
  <c r="CS19" i="35"/>
  <c r="CS20" i="35"/>
  <c r="CS21" i="35"/>
  <c r="CS22" i="35"/>
  <c r="CS23" i="35"/>
  <c r="CS24" i="35"/>
  <c r="CS25" i="35"/>
  <c r="CS26" i="35"/>
  <c r="CS27" i="35"/>
  <c r="CS28" i="35"/>
  <c r="CS29" i="35"/>
  <c r="CS30" i="35"/>
  <c r="CS31" i="35"/>
  <c r="CS32" i="35"/>
  <c r="CS33" i="35"/>
  <c r="CS34" i="35"/>
  <c r="CS35" i="35"/>
  <c r="CS36" i="35"/>
  <c r="CG15" i="35"/>
  <c r="CG16" i="35"/>
  <c r="CG14" i="35"/>
  <c r="CG19" i="35"/>
  <c r="G75" i="35"/>
  <c r="H75" i="35"/>
  <c r="CI13" i="35"/>
  <c r="CG27" i="35"/>
  <c r="G76" i="35"/>
  <c r="H76" i="35"/>
  <c r="CG31" i="35"/>
  <c r="CG32" i="35"/>
  <c r="CG30" i="35"/>
  <c r="CG35" i="35"/>
  <c r="G77" i="35"/>
  <c r="H77" i="35"/>
  <c r="CQ19" i="35"/>
  <c r="CQ18" i="35"/>
  <c r="CQ13" i="35"/>
  <c r="CQ15" i="35"/>
  <c r="G85" i="35"/>
  <c r="H85" i="35"/>
  <c r="CQ27" i="35"/>
  <c r="G86" i="35"/>
  <c r="H86" i="35"/>
  <c r="CQ35" i="35"/>
  <c r="CQ34" i="35"/>
  <c r="CQ29" i="35"/>
  <c r="CQ31" i="35"/>
  <c r="G87" i="35"/>
  <c r="H87" i="35"/>
  <c r="F76" i="35"/>
  <c r="J75" i="35"/>
  <c r="K75" i="35"/>
  <c r="J76" i="35"/>
  <c r="K76" i="35"/>
  <c r="E76" i="35"/>
  <c r="J77" i="35"/>
  <c r="K77" i="35"/>
  <c r="E77" i="35"/>
  <c r="F86" i="35"/>
  <c r="J85" i="35"/>
  <c r="K85" i="35"/>
  <c r="J86" i="35"/>
  <c r="K86" i="35"/>
  <c r="J87" i="35"/>
  <c r="K87" i="35"/>
  <c r="CM12" i="35"/>
  <c r="CK12" i="35"/>
  <c r="CJ12" i="35"/>
  <c r="CM13" i="35"/>
  <c r="CK13" i="35"/>
  <c r="CJ13" i="35"/>
  <c r="CM14" i="35"/>
  <c r="CK14" i="35"/>
  <c r="CJ14" i="35"/>
  <c r="CM15" i="35"/>
  <c r="CK15" i="35"/>
  <c r="CJ15" i="35"/>
  <c r="CM16" i="35"/>
  <c r="CK16" i="35"/>
  <c r="CJ16" i="35"/>
  <c r="CM17" i="35"/>
  <c r="CK17" i="35"/>
  <c r="CJ17" i="35"/>
  <c r="CM18" i="35"/>
  <c r="CK18" i="35"/>
  <c r="CJ18" i="35"/>
  <c r="CM19" i="35"/>
  <c r="CK19" i="35"/>
  <c r="CJ19" i="35"/>
  <c r="CM20" i="35"/>
  <c r="CK20" i="35"/>
  <c r="CJ20" i="35"/>
  <c r="CK21" i="35"/>
  <c r="CJ21" i="35"/>
  <c r="CK22" i="35"/>
  <c r="CJ22" i="35"/>
  <c r="CK23" i="35"/>
  <c r="CJ23" i="35"/>
  <c r="CK24" i="35"/>
  <c r="CJ24" i="35"/>
  <c r="CK25" i="35"/>
  <c r="CJ25" i="35"/>
  <c r="CM29" i="35"/>
  <c r="CK29" i="35"/>
  <c r="CJ29" i="35"/>
  <c r="CM30" i="35"/>
  <c r="CK30" i="35"/>
  <c r="CJ30" i="35"/>
  <c r="CM31" i="35"/>
  <c r="CK31" i="35"/>
  <c r="CJ31" i="35"/>
  <c r="CM32" i="35"/>
  <c r="CK32" i="35"/>
  <c r="CJ32" i="35"/>
  <c r="CM33" i="35"/>
  <c r="CK33" i="35"/>
  <c r="CJ33" i="35"/>
  <c r="CM34" i="35"/>
  <c r="CK34" i="35"/>
  <c r="CJ34" i="35"/>
  <c r="CM35" i="35"/>
  <c r="CK35" i="35"/>
  <c r="CJ35" i="35"/>
  <c r="CM36" i="35"/>
  <c r="CK36" i="35"/>
  <c r="CJ36" i="35"/>
  <c r="CN14" i="35"/>
  <c r="E82" i="35"/>
  <c r="CN13" i="35"/>
  <c r="E81" i="35"/>
  <c r="CN12" i="35"/>
  <c r="E80" i="35"/>
  <c r="F82" i="35"/>
  <c r="J83" i="35"/>
  <c r="F80" i="35"/>
  <c r="J79" i="35"/>
  <c r="CN36" i="35"/>
  <c r="CN35" i="35"/>
  <c r="CN34" i="35"/>
  <c r="CN33" i="35"/>
  <c r="CN32" i="35"/>
  <c r="CN31" i="35"/>
  <c r="CN30" i="35"/>
  <c r="CN29" i="35"/>
  <c r="CN28" i="35"/>
  <c r="CN27" i="35"/>
  <c r="CN26" i="35"/>
  <c r="CN25" i="35"/>
  <c r="CN24" i="35"/>
  <c r="CN23" i="35"/>
  <c r="CN22" i="35"/>
  <c r="CN21" i="35"/>
  <c r="CN20" i="35"/>
  <c r="CN19" i="35"/>
  <c r="CN18" i="35"/>
  <c r="CN17" i="35"/>
  <c r="CN16" i="35"/>
  <c r="CN15" i="35"/>
  <c r="CL17" i="35"/>
  <c r="CL13" i="35"/>
  <c r="CL25" i="35"/>
  <c r="G80" i="35"/>
  <c r="H80" i="35"/>
  <c r="G81" i="35"/>
  <c r="H81" i="35"/>
  <c r="CL33" i="35"/>
  <c r="CL29" i="35"/>
  <c r="G82" i="35"/>
  <c r="H82" i="35"/>
  <c r="F81" i="35"/>
  <c r="J80" i="35"/>
  <c r="K80" i="35"/>
  <c r="J81" i="35"/>
  <c r="K81" i="35"/>
  <c r="J82" i="35"/>
  <c r="K82" i="35"/>
  <c r="CQ36" i="35"/>
  <c r="CQ33" i="35"/>
  <c r="CQ32" i="35"/>
  <c r="CQ30" i="35"/>
  <c r="CQ20" i="35"/>
  <c r="CQ17" i="35"/>
  <c r="CQ16" i="35"/>
  <c r="CQ14" i="35"/>
  <c r="CQ12" i="35"/>
  <c r="AS36" i="35"/>
  <c r="AN36" i="35"/>
  <c r="AX33" i="35"/>
  <c r="AN33" i="35"/>
  <c r="AS32" i="35"/>
  <c r="AN32" i="35"/>
  <c r="AX30" i="35"/>
  <c r="AX18" i="35"/>
  <c r="AX13" i="35"/>
  <c r="AX12" i="35"/>
  <c r="AN29" i="35"/>
  <c r="AN20" i="35"/>
  <c r="AN17" i="35"/>
  <c r="AN16" i="35"/>
  <c r="AN13" i="35"/>
  <c r="AN12" i="35"/>
  <c r="AS12" i="35"/>
  <c r="AS16" i="35"/>
  <c r="AS17" i="35"/>
  <c r="AS20" i="35"/>
  <c r="AS29" i="35"/>
  <c r="CG36" i="35"/>
  <c r="CG34" i="35"/>
  <c r="CG33" i="35"/>
  <c r="CG29" i="35"/>
  <c r="CG20" i="35"/>
  <c r="CG18" i="35"/>
  <c r="CG17" i="35"/>
  <c r="CG13" i="35"/>
  <c r="CG12" i="35"/>
  <c r="CL36" i="35"/>
  <c r="CL35" i="35"/>
  <c r="CL34" i="35"/>
  <c r="CL32" i="35"/>
  <c r="CL31" i="35"/>
  <c r="CL30" i="35"/>
  <c r="CL20" i="35"/>
  <c r="CL19" i="35"/>
  <c r="CL18" i="35"/>
  <c r="CL16" i="35"/>
  <c r="CL15" i="35"/>
  <c r="CL14" i="35"/>
  <c r="CL12" i="35"/>
  <c r="L6" i="3"/>
  <c r="J6" i="3"/>
  <c r="N6" i="3"/>
  <c r="E19" i="3"/>
  <c r="G19" i="3"/>
  <c r="AT4" i="3"/>
  <c r="K17" i="3"/>
  <c r="AU4" i="3"/>
  <c r="L17" i="3"/>
  <c r="AT5" i="3"/>
  <c r="K18" i="3"/>
  <c r="AU5" i="3"/>
  <c r="L18" i="3"/>
  <c r="AT6" i="3"/>
  <c r="K19" i="3"/>
  <c r="AU6" i="3"/>
  <c r="L19" i="3"/>
  <c r="AT7" i="3"/>
  <c r="K20" i="3"/>
  <c r="AU7" i="3"/>
  <c r="L20" i="3"/>
  <c r="AT8" i="3"/>
  <c r="K21" i="3"/>
  <c r="AU8" i="3"/>
  <c r="L21" i="3"/>
  <c r="AT9" i="3"/>
  <c r="K22" i="3"/>
  <c r="AU9" i="3"/>
  <c r="L22" i="3"/>
  <c r="AT10" i="3"/>
  <c r="K23" i="3"/>
  <c r="AU10" i="3"/>
  <c r="L23" i="3"/>
  <c r="AT11" i="3"/>
  <c r="K24" i="3"/>
  <c r="AU11" i="3"/>
  <c r="L24" i="3"/>
  <c r="AT12" i="3"/>
  <c r="K25" i="3"/>
  <c r="AU12" i="3"/>
  <c r="L25" i="3"/>
  <c r="M17" i="3"/>
  <c r="N17" i="3" a="1"/>
  <c r="N17" i="3"/>
  <c r="O17" i="3"/>
  <c r="E30" i="3" a="1"/>
  <c r="E30" i="3"/>
  <c r="F30" i="3" a="1"/>
  <c r="F30" i="3"/>
  <c r="G30" i="3" a="1"/>
  <c r="H30" i="3" a="1"/>
  <c r="I30" i="3" a="1"/>
  <c r="J30" i="3" a="1"/>
  <c r="K30" i="3" a="1"/>
  <c r="L30" i="3" a="1"/>
  <c r="P17" i="3"/>
  <c r="M30" i="3" a="1"/>
  <c r="N30" i="3" a="1"/>
  <c r="O30" i="3" a="1"/>
  <c r="P30" i="3" a="1"/>
  <c r="Q30" i="3" a="1"/>
  <c r="R30" i="3" a="1"/>
  <c r="S30" i="3" a="1"/>
  <c r="T30" i="3" a="1"/>
  <c r="Q17" i="3"/>
  <c r="U30" i="3" a="1"/>
  <c r="V30" i="3" a="1"/>
  <c r="W30" i="3" a="1"/>
  <c r="X30" i="3" a="1"/>
  <c r="Y30" i="3" a="1"/>
  <c r="Z30" i="3" a="1"/>
  <c r="AA30" i="3" a="1"/>
  <c r="AB30" i="3" a="1"/>
  <c r="R17" i="3"/>
  <c r="AC30" i="3" a="1"/>
  <c r="AD30" i="3" a="1"/>
  <c r="AE30" i="3" a="1"/>
  <c r="AF30" i="3" a="1"/>
  <c r="AG30" i="3" a="1"/>
  <c r="AH30" i="3" a="1"/>
  <c r="AI30" i="3" a="1"/>
  <c r="AJ30" i="3" a="1"/>
  <c r="S17" i="3"/>
  <c r="AK30" i="3" a="1"/>
  <c r="AL30" i="3" a="1"/>
  <c r="AM30" i="3" a="1"/>
  <c r="AN30" i="3" a="1"/>
  <c r="AO30" i="3" a="1"/>
  <c r="AP30" i="3" a="1"/>
  <c r="AQ30" i="3" a="1"/>
  <c r="AR30" i="3" a="1"/>
  <c r="T17" i="3"/>
  <c r="AS30" i="3" a="1"/>
  <c r="AT30" i="3" a="1"/>
  <c r="AU30" i="3" a="1"/>
  <c r="AV30" i="3" a="1"/>
  <c r="AW30" i="3" a="1"/>
  <c r="AX30" i="3" a="1"/>
  <c r="AY30" i="3" a="1"/>
  <c r="AZ30" i="3" a="1"/>
  <c r="U17" i="3"/>
  <c r="BA30" i="3" a="1"/>
  <c r="BB30" i="3" a="1"/>
  <c r="BC30" i="3" a="1"/>
  <c r="BD30" i="3" a="1"/>
  <c r="BE30" i="3" a="1"/>
  <c r="BF30" i="3" a="1"/>
  <c r="BG30" i="3" a="1"/>
  <c r="BH30" i="3" a="1"/>
  <c r="V17" i="3"/>
  <c r="BI30" i="3" a="1"/>
  <c r="BJ30" i="3" a="1"/>
  <c r="BK30" i="3" a="1"/>
  <c r="BL30" i="3" a="1"/>
  <c r="BM30" i="3" a="1"/>
  <c r="BN30" i="3" a="1"/>
  <c r="BO30" i="3" a="1"/>
  <c r="BP30" i="3" a="1"/>
  <c r="G30" i="3"/>
  <c r="H30" i="3"/>
  <c r="I30" i="3"/>
  <c r="J30" i="3"/>
  <c r="K30" i="3"/>
  <c r="L30" i="3"/>
  <c r="M30" i="3"/>
  <c r="N30" i="3"/>
  <c r="O30" i="3"/>
  <c r="P30" i="3"/>
  <c r="Q30" i="3"/>
  <c r="R30" i="3"/>
  <c r="S30" i="3"/>
  <c r="T30" i="3"/>
  <c r="U30" i="3"/>
  <c r="V30" i="3"/>
  <c r="W30" i="3"/>
  <c r="X30" i="3"/>
  <c r="Y30" i="3"/>
  <c r="Z30" i="3"/>
  <c r="AA30" i="3"/>
  <c r="AB30" i="3"/>
  <c r="AC30" i="3"/>
  <c r="AD30" i="3"/>
  <c r="AE30" i="3"/>
  <c r="AF30" i="3"/>
  <c r="AG30" i="3"/>
  <c r="AH30" i="3"/>
  <c r="AI30" i="3"/>
  <c r="AJ30" i="3"/>
  <c r="AK30" i="3"/>
  <c r="AL30" i="3"/>
  <c r="AM30" i="3"/>
  <c r="AN30" i="3"/>
  <c r="AO30" i="3"/>
  <c r="AP30" i="3"/>
  <c r="AQ30" i="3"/>
  <c r="AR30" i="3"/>
  <c r="AS30" i="3"/>
  <c r="AT30" i="3"/>
  <c r="AU30" i="3"/>
  <c r="AV30" i="3"/>
  <c r="AW30" i="3"/>
  <c r="AX30" i="3"/>
  <c r="AY30" i="3"/>
  <c r="AZ30" i="3"/>
  <c r="BA30" i="3"/>
  <c r="BB30" i="3"/>
  <c r="BC30" i="3"/>
  <c r="BD30" i="3"/>
  <c r="BE30" i="3"/>
  <c r="BF30" i="3"/>
  <c r="BG30" i="3"/>
  <c r="BH30" i="3"/>
  <c r="BI30" i="3"/>
  <c r="BJ30" i="3"/>
  <c r="BK30" i="3"/>
  <c r="BL30" i="3"/>
  <c r="BM30" i="3"/>
  <c r="BN30" i="3"/>
  <c r="BO30" i="3"/>
  <c r="BP30" i="3"/>
  <c r="AA17" i="3"/>
  <c r="E41" i="3" a="1"/>
  <c r="E41" i="3"/>
  <c r="F41" i="3" a="1"/>
  <c r="F41" i="3"/>
  <c r="G41" i="3" a="1"/>
  <c r="H41" i="3" a="1"/>
  <c r="I41" i="3" a="1"/>
  <c r="J41" i="3" a="1"/>
  <c r="K41" i="3" a="1"/>
  <c r="L41" i="3" a="1"/>
  <c r="M41" i="3" a="1"/>
  <c r="N41" i="3" a="1"/>
  <c r="O41" i="3" a="1"/>
  <c r="P41" i="3" a="1"/>
  <c r="Q41" i="3" a="1"/>
  <c r="R41" i="3" a="1"/>
  <c r="S41" i="3" a="1"/>
  <c r="T41" i="3" a="1"/>
  <c r="U41" i="3" a="1"/>
  <c r="V41" i="3" a="1"/>
  <c r="W41" i="3" a="1"/>
  <c r="X41" i="3" a="1"/>
  <c r="Y41" i="3" a="1"/>
  <c r="Z41" i="3" a="1"/>
  <c r="AA41" i="3" a="1"/>
  <c r="AB41" i="3" a="1"/>
  <c r="AC41" i="3" a="1"/>
  <c r="AD41" i="3" a="1"/>
  <c r="AE41" i="3" a="1"/>
  <c r="AF41" i="3" a="1"/>
  <c r="AG41" i="3" a="1"/>
  <c r="AH41" i="3" a="1"/>
  <c r="AI41" i="3" a="1"/>
  <c r="AJ41" i="3" a="1"/>
  <c r="AK41" i="3" a="1"/>
  <c r="AL41" i="3" a="1"/>
  <c r="AM41" i="3" a="1"/>
  <c r="AN41" i="3" a="1"/>
  <c r="AO41" i="3" a="1"/>
  <c r="AP41" i="3" a="1"/>
  <c r="AQ41" i="3" a="1"/>
  <c r="AR41" i="3" a="1"/>
  <c r="AS41" i="3" a="1"/>
  <c r="AT41" i="3" a="1"/>
  <c r="AU41" i="3" a="1"/>
  <c r="AV41" i="3" a="1"/>
  <c r="AW41" i="3" a="1"/>
  <c r="AX41" i="3" a="1"/>
  <c r="AY41" i="3" a="1"/>
  <c r="AZ41" i="3" a="1"/>
  <c r="BA41" i="3" a="1"/>
  <c r="BB41" i="3" a="1"/>
  <c r="BC41" i="3" a="1"/>
  <c r="BD41" i="3" a="1"/>
  <c r="BE41" i="3" a="1"/>
  <c r="BF41" i="3" a="1"/>
  <c r="BG41" i="3" a="1"/>
  <c r="BH41" i="3" a="1"/>
  <c r="BI41" i="3" a="1"/>
  <c r="BJ41" i="3" a="1"/>
  <c r="BK41" i="3" a="1"/>
  <c r="BL41" i="3" a="1"/>
  <c r="BM41" i="3" a="1"/>
  <c r="BN41" i="3" a="1"/>
  <c r="BO41" i="3" a="1"/>
  <c r="BP41" i="3" a="1"/>
  <c r="G41" i="3"/>
  <c r="H41" i="3"/>
  <c r="I41" i="3"/>
  <c r="J41" i="3"/>
  <c r="K41" i="3"/>
  <c r="L41" i="3"/>
  <c r="M41" i="3"/>
  <c r="N41" i="3"/>
  <c r="O41" i="3"/>
  <c r="P41" i="3"/>
  <c r="Q41" i="3"/>
  <c r="R41" i="3"/>
  <c r="S41" i="3"/>
  <c r="T41" i="3"/>
  <c r="U41" i="3"/>
  <c r="V41" i="3"/>
  <c r="W41" i="3"/>
  <c r="X41" i="3"/>
  <c r="Y41" i="3"/>
  <c r="Z41" i="3"/>
  <c r="AA41" i="3"/>
  <c r="AB41" i="3"/>
  <c r="AC41" i="3"/>
  <c r="AD41" i="3"/>
  <c r="AE41" i="3"/>
  <c r="AF41" i="3"/>
  <c r="AG41" i="3"/>
  <c r="AH41" i="3"/>
  <c r="AI41" i="3"/>
  <c r="AJ41" i="3"/>
  <c r="AK41" i="3"/>
  <c r="AL41" i="3"/>
  <c r="AM41" i="3"/>
  <c r="AN41" i="3"/>
  <c r="AO41" i="3"/>
  <c r="AP41" i="3"/>
  <c r="AQ41" i="3"/>
  <c r="AR41" i="3"/>
  <c r="AS41" i="3"/>
  <c r="AT41" i="3"/>
  <c r="AU41" i="3"/>
  <c r="AV41" i="3"/>
  <c r="AW41" i="3"/>
  <c r="AX41" i="3"/>
  <c r="AY41" i="3"/>
  <c r="AZ41" i="3"/>
  <c r="BA41" i="3"/>
  <c r="BB41" i="3"/>
  <c r="BC41" i="3"/>
  <c r="BD41" i="3"/>
  <c r="BE41" i="3"/>
  <c r="BF41" i="3"/>
  <c r="BG41" i="3"/>
  <c r="BH41" i="3"/>
  <c r="BI41" i="3"/>
  <c r="BJ41" i="3"/>
  <c r="BK41" i="3"/>
  <c r="BL41" i="3"/>
  <c r="BM41" i="3"/>
  <c r="BN41" i="3"/>
  <c r="BO41" i="3"/>
  <c r="BP41" i="3"/>
  <c r="AB17" i="3"/>
  <c r="W17" i="3"/>
  <c r="M18" i="3"/>
  <c r="N18" i="3" a="1"/>
  <c r="N18" i="3"/>
  <c r="O18" i="3"/>
  <c r="E31" i="3" a="1"/>
  <c r="E31" i="3"/>
  <c r="F31" i="3" a="1"/>
  <c r="F31" i="3"/>
  <c r="G31" i="3" a="1"/>
  <c r="H31" i="3" a="1"/>
  <c r="I31" i="3" a="1"/>
  <c r="J31" i="3" a="1"/>
  <c r="K31" i="3" a="1"/>
  <c r="L31" i="3" a="1"/>
  <c r="P18" i="3"/>
  <c r="M31" i="3" a="1"/>
  <c r="N31" i="3" a="1"/>
  <c r="O31" i="3" a="1"/>
  <c r="P31" i="3" a="1"/>
  <c r="Q31" i="3" a="1"/>
  <c r="R31" i="3" a="1"/>
  <c r="S31" i="3" a="1"/>
  <c r="T31" i="3" a="1"/>
  <c r="Q18" i="3"/>
  <c r="U31" i="3" a="1"/>
  <c r="V31" i="3" a="1"/>
  <c r="W31" i="3" a="1"/>
  <c r="X31" i="3" a="1"/>
  <c r="Y31" i="3" a="1"/>
  <c r="Z31" i="3" a="1"/>
  <c r="AA31" i="3" a="1"/>
  <c r="AB31" i="3" a="1"/>
  <c r="R18" i="3"/>
  <c r="AC31" i="3" a="1"/>
  <c r="M19" i="3"/>
  <c r="N19" i="3" a="1"/>
  <c r="N19" i="3"/>
  <c r="R19" i="3"/>
  <c r="AD31" i="3" a="1"/>
  <c r="M20" i="3"/>
  <c r="N20" i="3" a="1"/>
  <c r="N20" i="3"/>
  <c r="R20" i="3"/>
  <c r="AE31" i="3" a="1"/>
  <c r="M21" i="3"/>
  <c r="N21" i="3" a="1"/>
  <c r="N21" i="3"/>
  <c r="R21" i="3"/>
  <c r="AF31" i="3" a="1"/>
  <c r="M22" i="3"/>
  <c r="N22" i="3" a="1"/>
  <c r="N22" i="3"/>
  <c r="R22" i="3"/>
  <c r="AG31" i="3" a="1"/>
  <c r="M23" i="3"/>
  <c r="N23" i="3" a="1"/>
  <c r="N23" i="3"/>
  <c r="R23" i="3"/>
  <c r="AH31" i="3" a="1"/>
  <c r="M24" i="3"/>
  <c r="N24" i="3" a="1"/>
  <c r="N24" i="3"/>
  <c r="R24" i="3"/>
  <c r="AI31" i="3" a="1"/>
  <c r="M25" i="3"/>
  <c r="N25" i="3" a="1"/>
  <c r="N25" i="3"/>
  <c r="R25" i="3"/>
  <c r="AJ31" i="3" a="1"/>
  <c r="S18" i="3"/>
  <c r="AK31" i="3" a="1"/>
  <c r="AL31" i="3" a="1"/>
  <c r="AM31" i="3" a="1"/>
  <c r="AN31" i="3" a="1"/>
  <c r="AO31" i="3" a="1"/>
  <c r="AP31" i="3" a="1"/>
  <c r="AQ31" i="3" a="1"/>
  <c r="AR31" i="3" a="1"/>
  <c r="T18" i="3"/>
  <c r="AS31" i="3" a="1"/>
  <c r="AT31" i="3" a="1"/>
  <c r="AU31" i="3" a="1"/>
  <c r="AV31" i="3" a="1"/>
  <c r="AW31" i="3" a="1"/>
  <c r="AX31" i="3" a="1"/>
  <c r="AY31" i="3" a="1"/>
  <c r="AZ31" i="3" a="1"/>
  <c r="U18" i="3"/>
  <c r="BA31" i="3" a="1"/>
  <c r="BB31" i="3" a="1"/>
  <c r="BC31" i="3" a="1"/>
  <c r="BD31" i="3" a="1"/>
  <c r="BE31" i="3" a="1"/>
  <c r="BF31" i="3" a="1"/>
  <c r="BG31" i="3" a="1"/>
  <c r="BH31" i="3" a="1"/>
  <c r="V18" i="3"/>
  <c r="BI31" i="3" a="1"/>
  <c r="BJ31" i="3" a="1"/>
  <c r="BK31" i="3" a="1"/>
  <c r="BL31" i="3" a="1"/>
  <c r="BM31" i="3" a="1"/>
  <c r="BN31" i="3" a="1"/>
  <c r="BO31" i="3" a="1"/>
  <c r="BP31" i="3" a="1"/>
  <c r="G31" i="3"/>
  <c r="H31" i="3"/>
  <c r="I31" i="3"/>
  <c r="J31" i="3"/>
  <c r="K31" i="3"/>
  <c r="L31" i="3"/>
  <c r="M31" i="3"/>
  <c r="N31" i="3"/>
  <c r="O31" i="3"/>
  <c r="P31" i="3"/>
  <c r="Q31" i="3"/>
  <c r="R31" i="3"/>
  <c r="S31" i="3"/>
  <c r="T31" i="3"/>
  <c r="U31" i="3"/>
  <c r="V31" i="3"/>
  <c r="W31" i="3"/>
  <c r="X31" i="3"/>
  <c r="Y31" i="3"/>
  <c r="Z31" i="3"/>
  <c r="AA31" i="3"/>
  <c r="AB31" i="3"/>
  <c r="AC31" i="3"/>
  <c r="AD31" i="3"/>
  <c r="AE31" i="3"/>
  <c r="AF31" i="3"/>
  <c r="AG31" i="3"/>
  <c r="AH31" i="3"/>
  <c r="AI31" i="3"/>
  <c r="AJ31" i="3"/>
  <c r="AK31" i="3"/>
  <c r="AL31" i="3"/>
  <c r="AM31" i="3"/>
  <c r="AN31" i="3"/>
  <c r="AO31" i="3"/>
  <c r="AP31" i="3"/>
  <c r="AQ31" i="3"/>
  <c r="AR31" i="3"/>
  <c r="AS31" i="3"/>
  <c r="AT31" i="3"/>
  <c r="AU31" i="3"/>
  <c r="AV31" i="3"/>
  <c r="AW31" i="3"/>
  <c r="AX31" i="3"/>
  <c r="AY31" i="3"/>
  <c r="AZ31" i="3"/>
  <c r="BA31" i="3"/>
  <c r="BB31" i="3"/>
  <c r="BC31" i="3"/>
  <c r="BD31" i="3"/>
  <c r="BE31" i="3"/>
  <c r="BF31" i="3"/>
  <c r="BG31" i="3"/>
  <c r="BH31" i="3"/>
  <c r="BI31" i="3"/>
  <c r="BJ31" i="3"/>
  <c r="BK31" i="3"/>
  <c r="BL31" i="3"/>
  <c r="BM31" i="3"/>
  <c r="BN31" i="3"/>
  <c r="BO31" i="3"/>
  <c r="BP31" i="3"/>
  <c r="AA18" i="3"/>
  <c r="E42" i="3" a="1"/>
  <c r="E42" i="3"/>
  <c r="F42" i="3" a="1"/>
  <c r="F42" i="3"/>
  <c r="G42" i="3" a="1"/>
  <c r="H42" i="3" a="1"/>
  <c r="I42" i="3" a="1"/>
  <c r="J42" i="3" a="1"/>
  <c r="K42" i="3" a="1"/>
  <c r="L42" i="3" a="1"/>
  <c r="M42" i="3" a="1"/>
  <c r="N42" i="3" a="1"/>
  <c r="O42" i="3" a="1"/>
  <c r="P42" i="3" a="1"/>
  <c r="Q42" i="3" a="1"/>
  <c r="R42" i="3" a="1"/>
  <c r="S42" i="3" a="1"/>
  <c r="T42" i="3" a="1"/>
  <c r="U42" i="3" a="1"/>
  <c r="V42" i="3" a="1"/>
  <c r="W42" i="3" a="1"/>
  <c r="X42" i="3" a="1"/>
  <c r="Y42" i="3" a="1"/>
  <c r="Z42" i="3" a="1"/>
  <c r="AA42" i="3" a="1"/>
  <c r="AB42" i="3" a="1"/>
  <c r="AC42" i="3" a="1"/>
  <c r="AD42" i="3" a="1"/>
  <c r="AE42" i="3" a="1"/>
  <c r="AF42" i="3" a="1"/>
  <c r="AG42" i="3" a="1"/>
  <c r="AH42" i="3" a="1"/>
  <c r="AI42" i="3" a="1"/>
  <c r="AJ42" i="3" a="1"/>
  <c r="AK42" i="3" a="1"/>
  <c r="AL42" i="3" a="1"/>
  <c r="AM42" i="3" a="1"/>
  <c r="AN42" i="3" a="1"/>
  <c r="AO42" i="3" a="1"/>
  <c r="AP42" i="3" a="1"/>
  <c r="AQ42" i="3" a="1"/>
  <c r="AR42" i="3" a="1"/>
  <c r="AS42" i="3" a="1"/>
  <c r="AT42" i="3" a="1"/>
  <c r="AU42" i="3" a="1"/>
  <c r="AV42" i="3" a="1"/>
  <c r="AW42" i="3" a="1"/>
  <c r="AX42" i="3" a="1"/>
  <c r="AY42" i="3" a="1"/>
  <c r="AZ42" i="3" a="1"/>
  <c r="BA42" i="3" a="1"/>
  <c r="BB42" i="3" a="1"/>
  <c r="BC42" i="3" a="1"/>
  <c r="BD42" i="3" a="1"/>
  <c r="BE42" i="3" a="1"/>
  <c r="BF42" i="3" a="1"/>
  <c r="BG42" i="3" a="1"/>
  <c r="BH42" i="3" a="1"/>
  <c r="BI42" i="3" a="1"/>
  <c r="BJ42" i="3" a="1"/>
  <c r="BK42" i="3" a="1"/>
  <c r="BL42" i="3" a="1"/>
  <c r="BM42" i="3" a="1"/>
  <c r="BN42" i="3" a="1"/>
  <c r="BO42" i="3" a="1"/>
  <c r="BP42" i="3" a="1"/>
  <c r="G42" i="3"/>
  <c r="H42" i="3"/>
  <c r="I42" i="3"/>
  <c r="J42" i="3"/>
  <c r="K42" i="3"/>
  <c r="L42" i="3"/>
  <c r="M42" i="3"/>
  <c r="N42" i="3"/>
  <c r="O42" i="3"/>
  <c r="P42" i="3"/>
  <c r="Q42" i="3"/>
  <c r="R42" i="3"/>
  <c r="S42" i="3"/>
  <c r="T42" i="3"/>
  <c r="U42" i="3"/>
  <c r="V42" i="3"/>
  <c r="W42" i="3"/>
  <c r="X42" i="3"/>
  <c r="Y42" i="3"/>
  <c r="Z42" i="3"/>
  <c r="AA42" i="3"/>
  <c r="AB42" i="3"/>
  <c r="AC42" i="3"/>
  <c r="AD42" i="3"/>
  <c r="AE42" i="3"/>
  <c r="AF42" i="3"/>
  <c r="AG42" i="3"/>
  <c r="AH42" i="3"/>
  <c r="AI42" i="3"/>
  <c r="AJ42" i="3"/>
  <c r="AK42" i="3"/>
  <c r="AL42" i="3"/>
  <c r="AM42" i="3"/>
  <c r="AN42" i="3"/>
  <c r="AO42" i="3"/>
  <c r="AP42" i="3"/>
  <c r="AQ42" i="3"/>
  <c r="AR42" i="3"/>
  <c r="AS42" i="3"/>
  <c r="AT42" i="3"/>
  <c r="AU42" i="3"/>
  <c r="AV42" i="3"/>
  <c r="AW42" i="3"/>
  <c r="AX42" i="3"/>
  <c r="AY42" i="3"/>
  <c r="AZ42" i="3"/>
  <c r="BA42" i="3"/>
  <c r="BB42" i="3"/>
  <c r="BC42" i="3"/>
  <c r="BD42" i="3"/>
  <c r="BE42" i="3"/>
  <c r="BF42" i="3"/>
  <c r="BG42" i="3"/>
  <c r="BH42" i="3"/>
  <c r="BI42" i="3"/>
  <c r="BJ42" i="3"/>
  <c r="BK42" i="3"/>
  <c r="BL42" i="3"/>
  <c r="BM42" i="3"/>
  <c r="BN42" i="3"/>
  <c r="BO42" i="3"/>
  <c r="BP42" i="3"/>
  <c r="AB18" i="3"/>
  <c r="W18" i="3"/>
  <c r="O19" i="3"/>
  <c r="E32" i="3" a="1"/>
  <c r="E32" i="3"/>
  <c r="F32" i="3" a="1"/>
  <c r="F32" i="3"/>
  <c r="G32" i="3" a="1"/>
  <c r="H32" i="3" a="1"/>
  <c r="I32" i="3" a="1"/>
  <c r="J32" i="3" a="1"/>
  <c r="K32" i="3" a="1"/>
  <c r="L32" i="3" a="1"/>
  <c r="P19" i="3"/>
  <c r="M32" i="3" a="1"/>
  <c r="N32" i="3" a="1"/>
  <c r="O32" i="3" a="1"/>
  <c r="P32" i="3" a="1"/>
  <c r="Q32" i="3" a="1"/>
  <c r="R32" i="3" a="1"/>
  <c r="S32" i="3" a="1"/>
  <c r="T32" i="3" a="1"/>
  <c r="Q19" i="3"/>
  <c r="U32" i="3" a="1"/>
  <c r="V32" i="3" a="1"/>
  <c r="W32" i="3" a="1"/>
  <c r="X32" i="3" a="1"/>
  <c r="Y32" i="3" a="1"/>
  <c r="Z32" i="3" a="1"/>
  <c r="AA32" i="3" a="1"/>
  <c r="AB32" i="3" a="1"/>
  <c r="AC32" i="3" a="1"/>
  <c r="AD32" i="3" a="1"/>
  <c r="AE32" i="3" a="1"/>
  <c r="AF32" i="3" a="1"/>
  <c r="AG32" i="3" a="1"/>
  <c r="AH32" i="3" a="1"/>
  <c r="AI32" i="3" a="1"/>
  <c r="AJ32" i="3" a="1"/>
  <c r="S19" i="3"/>
  <c r="AK32" i="3" a="1"/>
  <c r="AL32" i="3" a="1"/>
  <c r="AM32" i="3" a="1"/>
  <c r="AN32" i="3" a="1"/>
  <c r="AO32" i="3" a="1"/>
  <c r="AP32" i="3" a="1"/>
  <c r="AQ32" i="3" a="1"/>
  <c r="AR32" i="3" a="1"/>
  <c r="T19" i="3"/>
  <c r="AS32" i="3" a="1"/>
  <c r="AT32" i="3" a="1"/>
  <c r="AU32" i="3" a="1"/>
  <c r="AV32" i="3" a="1"/>
  <c r="AW32" i="3" a="1"/>
  <c r="AX32" i="3" a="1"/>
  <c r="AY32" i="3" a="1"/>
  <c r="AZ32" i="3" a="1"/>
  <c r="U19" i="3"/>
  <c r="BA32" i="3" a="1"/>
  <c r="BB32" i="3" a="1"/>
  <c r="BC32" i="3" a="1"/>
  <c r="BD32" i="3" a="1"/>
  <c r="BE32" i="3" a="1"/>
  <c r="BF32" i="3" a="1"/>
  <c r="BG32" i="3" a="1"/>
  <c r="BH32" i="3" a="1"/>
  <c r="V19" i="3"/>
  <c r="BI32" i="3" a="1"/>
  <c r="BJ32" i="3" a="1"/>
  <c r="BK32" i="3" a="1"/>
  <c r="BL32" i="3" a="1"/>
  <c r="BM32" i="3" a="1"/>
  <c r="BN32" i="3" a="1"/>
  <c r="BO32" i="3" a="1"/>
  <c r="BP32" i="3" a="1"/>
  <c r="G32" i="3"/>
  <c r="H32" i="3"/>
  <c r="I32" i="3"/>
  <c r="J32" i="3"/>
  <c r="K32" i="3"/>
  <c r="L32" i="3"/>
  <c r="M32" i="3"/>
  <c r="N32" i="3"/>
  <c r="O32" i="3"/>
  <c r="P32" i="3"/>
  <c r="Q32" i="3"/>
  <c r="R32" i="3"/>
  <c r="S32" i="3"/>
  <c r="T32" i="3"/>
  <c r="U32" i="3"/>
  <c r="V32" i="3"/>
  <c r="W32" i="3"/>
  <c r="X32" i="3"/>
  <c r="Y32" i="3"/>
  <c r="Z32" i="3"/>
  <c r="AA32" i="3"/>
  <c r="AB32" i="3"/>
  <c r="AC32" i="3"/>
  <c r="AD32" i="3"/>
  <c r="AE32" i="3"/>
  <c r="AF32" i="3"/>
  <c r="AG32" i="3"/>
  <c r="AH32" i="3"/>
  <c r="AI32" i="3"/>
  <c r="AJ32" i="3"/>
  <c r="AK32" i="3"/>
  <c r="AL32" i="3"/>
  <c r="AM32" i="3"/>
  <c r="AN32" i="3"/>
  <c r="AO32" i="3"/>
  <c r="AP32" i="3"/>
  <c r="AQ32" i="3"/>
  <c r="AR32" i="3"/>
  <c r="AS32" i="3"/>
  <c r="AT32" i="3"/>
  <c r="AU32" i="3"/>
  <c r="AV32" i="3"/>
  <c r="AW32" i="3"/>
  <c r="AX32" i="3"/>
  <c r="AY32" i="3"/>
  <c r="AZ32" i="3"/>
  <c r="BA32" i="3"/>
  <c r="BB32" i="3"/>
  <c r="BC32" i="3"/>
  <c r="BD32" i="3"/>
  <c r="BE32" i="3"/>
  <c r="BF32" i="3"/>
  <c r="BG32" i="3"/>
  <c r="BH32" i="3"/>
  <c r="BI32" i="3"/>
  <c r="BJ32" i="3"/>
  <c r="BK32" i="3"/>
  <c r="BL32" i="3"/>
  <c r="BM32" i="3"/>
  <c r="BN32" i="3"/>
  <c r="BO32" i="3"/>
  <c r="BP32" i="3"/>
  <c r="AA19" i="3"/>
  <c r="E43" i="3" a="1"/>
  <c r="E43" i="3"/>
  <c r="F43" i="3" a="1"/>
  <c r="F43" i="3"/>
  <c r="G43" i="3" a="1"/>
  <c r="H43" i="3" a="1"/>
  <c r="I43" i="3" a="1"/>
  <c r="J43" i="3" a="1"/>
  <c r="K43" i="3" a="1"/>
  <c r="L43" i="3" a="1"/>
  <c r="M43" i="3" a="1"/>
  <c r="N43" i="3" a="1"/>
  <c r="O43" i="3" a="1"/>
  <c r="P43" i="3" a="1"/>
  <c r="Q43" i="3" a="1"/>
  <c r="R43" i="3" a="1"/>
  <c r="S43" i="3" a="1"/>
  <c r="T43" i="3" a="1"/>
  <c r="U43" i="3" a="1"/>
  <c r="V43" i="3" a="1"/>
  <c r="W43" i="3" a="1"/>
  <c r="X43" i="3" a="1"/>
  <c r="Y43" i="3" a="1"/>
  <c r="Z43" i="3" a="1"/>
  <c r="AA43" i="3" a="1"/>
  <c r="AB43" i="3" a="1"/>
  <c r="AC43" i="3" a="1"/>
  <c r="AD43" i="3" a="1"/>
  <c r="AE43" i="3" a="1"/>
  <c r="AF43" i="3" a="1"/>
  <c r="AG43" i="3" a="1"/>
  <c r="AH43" i="3" a="1"/>
  <c r="AI43" i="3" a="1"/>
  <c r="AJ43" i="3" a="1"/>
  <c r="AK43" i="3" a="1"/>
  <c r="AL43" i="3" a="1"/>
  <c r="AM43" i="3" a="1"/>
  <c r="AN43" i="3" a="1"/>
  <c r="AO43" i="3" a="1"/>
  <c r="AP43" i="3" a="1"/>
  <c r="AQ43" i="3" a="1"/>
  <c r="AR43" i="3" a="1"/>
  <c r="AS43" i="3" a="1"/>
  <c r="AT43" i="3" a="1"/>
  <c r="AU43" i="3" a="1"/>
  <c r="AV43" i="3" a="1"/>
  <c r="AW43" i="3" a="1"/>
  <c r="AX43" i="3" a="1"/>
  <c r="AY43" i="3" a="1"/>
  <c r="AZ43" i="3" a="1"/>
  <c r="BA43" i="3" a="1"/>
  <c r="BB43" i="3" a="1"/>
  <c r="BC43" i="3" a="1"/>
  <c r="BD43" i="3" a="1"/>
  <c r="BE43" i="3" a="1"/>
  <c r="BF43" i="3" a="1"/>
  <c r="BG43" i="3" a="1"/>
  <c r="BH43" i="3" a="1"/>
  <c r="BI43" i="3" a="1"/>
  <c r="BJ43" i="3" a="1"/>
  <c r="BK43" i="3" a="1"/>
  <c r="BL43" i="3" a="1"/>
  <c r="BM43" i="3" a="1"/>
  <c r="BN43" i="3" a="1"/>
  <c r="BO43" i="3" a="1"/>
  <c r="BP43" i="3" a="1"/>
  <c r="G43" i="3"/>
  <c r="H43" i="3"/>
  <c r="I43" i="3"/>
  <c r="J43" i="3"/>
  <c r="K43" i="3"/>
  <c r="L43" i="3"/>
  <c r="M43" i="3"/>
  <c r="N43" i="3"/>
  <c r="O43" i="3"/>
  <c r="P43" i="3"/>
  <c r="Q43" i="3"/>
  <c r="R43" i="3"/>
  <c r="S43" i="3"/>
  <c r="T43" i="3"/>
  <c r="U43" i="3"/>
  <c r="V43" i="3"/>
  <c r="W43" i="3"/>
  <c r="X43" i="3"/>
  <c r="Y43" i="3"/>
  <c r="Z43" i="3"/>
  <c r="AA43" i="3"/>
  <c r="AB43" i="3"/>
  <c r="AC43" i="3"/>
  <c r="AD43" i="3"/>
  <c r="AE43" i="3"/>
  <c r="AF43" i="3"/>
  <c r="AG43" i="3"/>
  <c r="AH43" i="3"/>
  <c r="AI43" i="3"/>
  <c r="AJ43" i="3"/>
  <c r="AK43" i="3"/>
  <c r="AL43" i="3"/>
  <c r="AM43" i="3"/>
  <c r="AN43" i="3"/>
  <c r="AO43" i="3"/>
  <c r="AP43" i="3"/>
  <c r="AQ43" i="3"/>
  <c r="AR43" i="3"/>
  <c r="AS43" i="3"/>
  <c r="AT43" i="3"/>
  <c r="AU43" i="3"/>
  <c r="AV43" i="3"/>
  <c r="AW43" i="3"/>
  <c r="AX43" i="3"/>
  <c r="AY43" i="3"/>
  <c r="AZ43" i="3"/>
  <c r="BA43" i="3"/>
  <c r="BB43" i="3"/>
  <c r="BC43" i="3"/>
  <c r="BD43" i="3"/>
  <c r="BE43" i="3"/>
  <c r="BF43" i="3"/>
  <c r="BG43" i="3"/>
  <c r="BH43" i="3"/>
  <c r="BI43" i="3"/>
  <c r="BJ43" i="3"/>
  <c r="BK43" i="3"/>
  <c r="BL43" i="3"/>
  <c r="BM43" i="3"/>
  <c r="BN43" i="3"/>
  <c r="BO43" i="3"/>
  <c r="BP43" i="3"/>
  <c r="AB19" i="3"/>
  <c r="W19" i="3"/>
  <c r="O20" i="3"/>
  <c r="E33" i="3" a="1"/>
  <c r="E33" i="3"/>
  <c r="F33" i="3" a="1"/>
  <c r="F33" i="3"/>
  <c r="G33" i="3" a="1"/>
  <c r="H33" i="3" a="1"/>
  <c r="I33" i="3" a="1"/>
  <c r="J33" i="3" a="1"/>
  <c r="K33" i="3" a="1"/>
  <c r="L33" i="3" a="1"/>
  <c r="P20" i="3"/>
  <c r="M33" i="3" a="1"/>
  <c r="N33" i="3" a="1"/>
  <c r="O33" i="3" a="1"/>
  <c r="P33" i="3" a="1"/>
  <c r="Q33" i="3" a="1"/>
  <c r="R33" i="3" a="1"/>
  <c r="S33" i="3" a="1"/>
  <c r="T33" i="3" a="1"/>
  <c r="Q20" i="3"/>
  <c r="U33" i="3" a="1"/>
  <c r="V33" i="3" a="1"/>
  <c r="W33" i="3" a="1"/>
  <c r="X33" i="3" a="1"/>
  <c r="Y33" i="3" a="1"/>
  <c r="Z33" i="3" a="1"/>
  <c r="AA33" i="3" a="1"/>
  <c r="AB33" i="3" a="1"/>
  <c r="AC33" i="3" a="1"/>
  <c r="AD33" i="3" a="1"/>
  <c r="AE33" i="3" a="1"/>
  <c r="AF33" i="3" a="1"/>
  <c r="AG33" i="3" a="1"/>
  <c r="AH33" i="3" a="1"/>
  <c r="AI33" i="3" a="1"/>
  <c r="AJ33" i="3" a="1"/>
  <c r="S20" i="3"/>
  <c r="AK33" i="3" a="1"/>
  <c r="AL33" i="3" a="1"/>
  <c r="AM33" i="3" a="1"/>
  <c r="AN33" i="3" a="1"/>
  <c r="AO33" i="3" a="1"/>
  <c r="AP33" i="3" a="1"/>
  <c r="AQ33" i="3" a="1"/>
  <c r="AR33" i="3" a="1"/>
  <c r="T20" i="3"/>
  <c r="AS33" i="3" a="1"/>
  <c r="AT33" i="3" a="1"/>
  <c r="AU33" i="3" a="1"/>
  <c r="AV33" i="3" a="1"/>
  <c r="AW33" i="3" a="1"/>
  <c r="AX33" i="3" a="1"/>
  <c r="AY33" i="3" a="1"/>
  <c r="AZ33" i="3" a="1"/>
  <c r="U20" i="3"/>
  <c r="BA33" i="3" a="1"/>
  <c r="BB33" i="3" a="1"/>
  <c r="BC33" i="3" a="1"/>
  <c r="BD33" i="3" a="1"/>
  <c r="BE33" i="3" a="1"/>
  <c r="BF33" i="3" a="1"/>
  <c r="BG33" i="3" a="1"/>
  <c r="BH33" i="3" a="1"/>
  <c r="V20" i="3"/>
  <c r="BI33" i="3" a="1"/>
  <c r="BJ33" i="3" a="1"/>
  <c r="BK33" i="3" a="1"/>
  <c r="BL33" i="3" a="1"/>
  <c r="BM33" i="3" a="1"/>
  <c r="BN33" i="3" a="1"/>
  <c r="BO33" i="3" a="1"/>
  <c r="BP33" i="3" a="1"/>
  <c r="G33" i="3"/>
  <c r="H33" i="3"/>
  <c r="I33" i="3"/>
  <c r="J33" i="3"/>
  <c r="K33" i="3"/>
  <c r="L33" i="3"/>
  <c r="M33" i="3"/>
  <c r="N33" i="3"/>
  <c r="O33" i="3"/>
  <c r="P33" i="3"/>
  <c r="Q33" i="3"/>
  <c r="R33" i="3"/>
  <c r="S33" i="3"/>
  <c r="T33" i="3"/>
  <c r="U33" i="3"/>
  <c r="V33" i="3"/>
  <c r="W33" i="3"/>
  <c r="X33" i="3"/>
  <c r="Y33" i="3"/>
  <c r="Z33" i="3"/>
  <c r="AA33" i="3"/>
  <c r="AB33" i="3"/>
  <c r="AC33" i="3"/>
  <c r="AD33" i="3"/>
  <c r="AE33" i="3"/>
  <c r="AF33" i="3"/>
  <c r="AG33" i="3"/>
  <c r="AH33" i="3"/>
  <c r="AI33" i="3"/>
  <c r="AJ33" i="3"/>
  <c r="AK33" i="3"/>
  <c r="AL33" i="3"/>
  <c r="AM33" i="3"/>
  <c r="AN33" i="3"/>
  <c r="AO33" i="3"/>
  <c r="AP33" i="3"/>
  <c r="AQ33" i="3"/>
  <c r="AR33" i="3"/>
  <c r="AS33" i="3"/>
  <c r="AT33" i="3"/>
  <c r="AU33" i="3"/>
  <c r="AV33" i="3"/>
  <c r="AW33" i="3"/>
  <c r="AX33" i="3"/>
  <c r="AY33" i="3"/>
  <c r="AZ33" i="3"/>
  <c r="BA33" i="3"/>
  <c r="BB33" i="3"/>
  <c r="BC33" i="3"/>
  <c r="BD33" i="3"/>
  <c r="BE33" i="3"/>
  <c r="BF33" i="3"/>
  <c r="BG33" i="3"/>
  <c r="BH33" i="3"/>
  <c r="BI33" i="3"/>
  <c r="BJ33" i="3"/>
  <c r="BK33" i="3"/>
  <c r="BL33" i="3"/>
  <c r="BM33" i="3"/>
  <c r="BN33" i="3"/>
  <c r="BO33" i="3"/>
  <c r="BP33" i="3"/>
  <c r="AA20" i="3"/>
  <c r="E44" i="3" a="1"/>
  <c r="E44" i="3"/>
  <c r="F44" i="3" a="1"/>
  <c r="F44" i="3"/>
  <c r="G44" i="3" a="1"/>
  <c r="H44" i="3" a="1"/>
  <c r="I44" i="3" a="1"/>
  <c r="J44" i="3" a="1"/>
  <c r="K44" i="3" a="1"/>
  <c r="L44" i="3" a="1"/>
  <c r="M44" i="3" a="1"/>
  <c r="N44" i="3" a="1"/>
  <c r="O44" i="3" a="1"/>
  <c r="P44" i="3" a="1"/>
  <c r="Q44" i="3" a="1"/>
  <c r="R44" i="3" a="1"/>
  <c r="S44" i="3" a="1"/>
  <c r="T44" i="3" a="1"/>
  <c r="U44" i="3" a="1"/>
  <c r="V44" i="3" a="1"/>
  <c r="W44" i="3" a="1"/>
  <c r="X44" i="3" a="1"/>
  <c r="Y44" i="3" a="1"/>
  <c r="Z44" i="3" a="1"/>
  <c r="AA44" i="3" a="1"/>
  <c r="AB44" i="3" a="1"/>
  <c r="AC44" i="3" a="1"/>
  <c r="AD44" i="3" a="1"/>
  <c r="AE44" i="3" a="1"/>
  <c r="AF44" i="3" a="1"/>
  <c r="AG44" i="3" a="1"/>
  <c r="AH44" i="3" a="1"/>
  <c r="AI44" i="3" a="1"/>
  <c r="AJ44" i="3" a="1"/>
  <c r="AK44" i="3" a="1"/>
  <c r="AL44" i="3" a="1"/>
  <c r="AM44" i="3" a="1"/>
  <c r="AN44" i="3" a="1"/>
  <c r="AO44" i="3" a="1"/>
  <c r="AP44" i="3" a="1"/>
  <c r="AQ44" i="3" a="1"/>
  <c r="AR44" i="3" a="1"/>
  <c r="AS44" i="3" a="1"/>
  <c r="AT44" i="3" a="1"/>
  <c r="AU44" i="3" a="1"/>
  <c r="AV44" i="3" a="1"/>
  <c r="AW44" i="3" a="1"/>
  <c r="AX44" i="3" a="1"/>
  <c r="AY44" i="3" a="1"/>
  <c r="AZ44" i="3" a="1"/>
  <c r="BA44" i="3" a="1"/>
  <c r="BB44" i="3" a="1"/>
  <c r="BC44" i="3" a="1"/>
  <c r="BD44" i="3" a="1"/>
  <c r="BE44" i="3" a="1"/>
  <c r="BF44" i="3" a="1"/>
  <c r="BG44" i="3" a="1"/>
  <c r="BH44" i="3" a="1"/>
  <c r="BI44" i="3" a="1"/>
  <c r="BJ44" i="3" a="1"/>
  <c r="BK44" i="3" a="1"/>
  <c r="BL44" i="3" a="1"/>
  <c r="BM44" i="3" a="1"/>
  <c r="BN44" i="3" a="1"/>
  <c r="BO44" i="3" a="1"/>
  <c r="BP44" i="3" a="1"/>
  <c r="G44" i="3"/>
  <c r="H44" i="3"/>
  <c r="I44" i="3"/>
  <c r="J44" i="3"/>
  <c r="K44" i="3"/>
  <c r="L44" i="3"/>
  <c r="M44" i="3"/>
  <c r="N44" i="3"/>
  <c r="O44" i="3"/>
  <c r="P44" i="3"/>
  <c r="Q44" i="3"/>
  <c r="R44" i="3"/>
  <c r="S44" i="3"/>
  <c r="T44" i="3"/>
  <c r="U44" i="3"/>
  <c r="V44" i="3"/>
  <c r="W44" i="3"/>
  <c r="X44" i="3"/>
  <c r="Y44" i="3"/>
  <c r="Z44" i="3"/>
  <c r="AA44" i="3"/>
  <c r="AB44" i="3"/>
  <c r="AC44" i="3"/>
  <c r="AD44" i="3"/>
  <c r="AE44" i="3"/>
  <c r="AF44" i="3"/>
  <c r="AG44" i="3"/>
  <c r="AH44" i="3"/>
  <c r="AI44" i="3"/>
  <c r="AJ44" i="3"/>
  <c r="AK44" i="3"/>
  <c r="AL44" i="3"/>
  <c r="AM44" i="3"/>
  <c r="AN44" i="3"/>
  <c r="AO44" i="3"/>
  <c r="AP44" i="3"/>
  <c r="AQ44" i="3"/>
  <c r="AR44" i="3"/>
  <c r="AS44" i="3"/>
  <c r="AT44" i="3"/>
  <c r="AU44" i="3"/>
  <c r="AV44" i="3"/>
  <c r="AW44" i="3"/>
  <c r="AX44" i="3"/>
  <c r="AY44" i="3"/>
  <c r="AZ44" i="3"/>
  <c r="BA44" i="3"/>
  <c r="BB44" i="3"/>
  <c r="BC44" i="3"/>
  <c r="BD44" i="3"/>
  <c r="BE44" i="3"/>
  <c r="BF44" i="3"/>
  <c r="BG44" i="3"/>
  <c r="BH44" i="3"/>
  <c r="BI44" i="3"/>
  <c r="BJ44" i="3"/>
  <c r="BK44" i="3"/>
  <c r="BL44" i="3"/>
  <c r="BM44" i="3"/>
  <c r="BN44" i="3"/>
  <c r="BO44" i="3"/>
  <c r="BP44" i="3"/>
  <c r="AB20" i="3"/>
  <c r="W20" i="3"/>
  <c r="O21" i="3"/>
  <c r="E34" i="3" a="1"/>
  <c r="E34" i="3"/>
  <c r="F34" i="3" a="1"/>
  <c r="F34" i="3"/>
  <c r="G34" i="3" a="1"/>
  <c r="H34" i="3" a="1"/>
  <c r="I34" i="3" a="1"/>
  <c r="J34" i="3" a="1"/>
  <c r="K34" i="3" a="1"/>
  <c r="L34" i="3" a="1"/>
  <c r="P21" i="3"/>
  <c r="M34" i="3" a="1"/>
  <c r="N34" i="3" a="1"/>
  <c r="O34" i="3" a="1"/>
  <c r="P34" i="3" a="1"/>
  <c r="Q34" i="3" a="1"/>
  <c r="R34" i="3" a="1"/>
  <c r="S34" i="3" a="1"/>
  <c r="T34" i="3" a="1"/>
  <c r="Q21" i="3"/>
  <c r="U34" i="3" a="1"/>
  <c r="V34" i="3" a="1"/>
  <c r="W34" i="3" a="1"/>
  <c r="X34" i="3" a="1"/>
  <c r="Y34" i="3" a="1"/>
  <c r="Z34" i="3" a="1"/>
  <c r="AA34" i="3" a="1"/>
  <c r="AB34" i="3" a="1"/>
  <c r="AC34" i="3" a="1"/>
  <c r="AD34" i="3" a="1"/>
  <c r="AE34" i="3" a="1"/>
  <c r="AF34" i="3" a="1"/>
  <c r="AG34" i="3" a="1"/>
  <c r="AH34" i="3" a="1"/>
  <c r="AI34" i="3" a="1"/>
  <c r="AJ34" i="3" a="1"/>
  <c r="S21" i="3"/>
  <c r="AK34" i="3" a="1"/>
  <c r="AL34" i="3" a="1"/>
  <c r="AM34" i="3" a="1"/>
  <c r="AN34" i="3" a="1"/>
  <c r="AO34" i="3" a="1"/>
  <c r="AP34" i="3" a="1"/>
  <c r="AQ34" i="3" a="1"/>
  <c r="AR34" i="3" a="1"/>
  <c r="T21" i="3"/>
  <c r="AS34" i="3" a="1"/>
  <c r="AT34" i="3" a="1"/>
  <c r="AU34" i="3" a="1"/>
  <c r="AV34" i="3" a="1"/>
  <c r="AW34" i="3" a="1"/>
  <c r="AX34" i="3" a="1"/>
  <c r="AY34" i="3" a="1"/>
  <c r="AZ34" i="3" a="1"/>
  <c r="U21" i="3"/>
  <c r="BA34" i="3" a="1"/>
  <c r="BB34" i="3" a="1"/>
  <c r="BC34" i="3" a="1"/>
  <c r="BD34" i="3" a="1"/>
  <c r="BE34" i="3" a="1"/>
  <c r="BF34" i="3" a="1"/>
  <c r="BG34" i="3" a="1"/>
  <c r="BH34" i="3" a="1"/>
  <c r="V21" i="3"/>
  <c r="BI34" i="3" a="1"/>
  <c r="BJ34" i="3" a="1"/>
  <c r="BK34" i="3" a="1"/>
  <c r="BL34" i="3" a="1"/>
  <c r="BM34" i="3" a="1"/>
  <c r="BN34" i="3" a="1"/>
  <c r="BO34" i="3" a="1"/>
  <c r="BP34" i="3" a="1"/>
  <c r="G34" i="3"/>
  <c r="H34" i="3"/>
  <c r="I34" i="3"/>
  <c r="J34" i="3"/>
  <c r="K34" i="3"/>
  <c r="L34" i="3"/>
  <c r="M34" i="3"/>
  <c r="N34" i="3"/>
  <c r="O34" i="3"/>
  <c r="P34" i="3"/>
  <c r="Q34" i="3"/>
  <c r="R34" i="3"/>
  <c r="S34" i="3"/>
  <c r="T34" i="3"/>
  <c r="U34" i="3"/>
  <c r="V34" i="3"/>
  <c r="W34" i="3"/>
  <c r="X34" i="3"/>
  <c r="Y34" i="3"/>
  <c r="Z34" i="3"/>
  <c r="AA34" i="3"/>
  <c r="AB34" i="3"/>
  <c r="AC34" i="3"/>
  <c r="AD34" i="3"/>
  <c r="AE34" i="3"/>
  <c r="AF34" i="3"/>
  <c r="AG34" i="3"/>
  <c r="AH34" i="3"/>
  <c r="AI34" i="3"/>
  <c r="AJ34" i="3"/>
  <c r="AK34" i="3"/>
  <c r="AL34" i="3"/>
  <c r="AM34" i="3"/>
  <c r="AN34" i="3"/>
  <c r="AO34" i="3"/>
  <c r="AP34" i="3"/>
  <c r="AQ34" i="3"/>
  <c r="AR34" i="3"/>
  <c r="AS34" i="3"/>
  <c r="AT34" i="3"/>
  <c r="AU34" i="3"/>
  <c r="AV34" i="3"/>
  <c r="AW34" i="3"/>
  <c r="AX34" i="3"/>
  <c r="AY34" i="3"/>
  <c r="AZ34" i="3"/>
  <c r="BA34" i="3"/>
  <c r="BB34" i="3"/>
  <c r="BC34" i="3"/>
  <c r="BD34" i="3"/>
  <c r="BE34" i="3"/>
  <c r="BF34" i="3"/>
  <c r="BG34" i="3"/>
  <c r="BH34" i="3"/>
  <c r="BI34" i="3"/>
  <c r="BJ34" i="3"/>
  <c r="BK34" i="3"/>
  <c r="BL34" i="3"/>
  <c r="BM34" i="3"/>
  <c r="BN34" i="3"/>
  <c r="BO34" i="3"/>
  <c r="BP34" i="3"/>
  <c r="AA21" i="3"/>
  <c r="E45" i="3" a="1"/>
  <c r="E45" i="3"/>
  <c r="F45" i="3" a="1"/>
  <c r="F45" i="3"/>
  <c r="G45" i="3" a="1"/>
  <c r="H45" i="3" a="1"/>
  <c r="I45" i="3" a="1"/>
  <c r="J45" i="3" a="1"/>
  <c r="K45" i="3" a="1"/>
  <c r="L45" i="3" a="1"/>
  <c r="M45" i="3" a="1"/>
  <c r="N45" i="3" a="1"/>
  <c r="O45" i="3" a="1"/>
  <c r="P45" i="3" a="1"/>
  <c r="Q45" i="3" a="1"/>
  <c r="R45" i="3" a="1"/>
  <c r="S45" i="3" a="1"/>
  <c r="T45" i="3" a="1"/>
  <c r="U45" i="3" a="1"/>
  <c r="V45" i="3" a="1"/>
  <c r="W45" i="3" a="1"/>
  <c r="X45" i="3" a="1"/>
  <c r="Y45" i="3" a="1"/>
  <c r="Z45" i="3" a="1"/>
  <c r="AA45" i="3" a="1"/>
  <c r="AB45" i="3" a="1"/>
  <c r="AC45" i="3" a="1"/>
  <c r="AD45" i="3" a="1"/>
  <c r="AE45" i="3" a="1"/>
  <c r="AF45" i="3" a="1"/>
  <c r="AG45" i="3" a="1"/>
  <c r="AH45" i="3" a="1"/>
  <c r="AI45" i="3" a="1"/>
  <c r="AJ45" i="3" a="1"/>
  <c r="AK45" i="3" a="1"/>
  <c r="AL45" i="3" a="1"/>
  <c r="AM45" i="3" a="1"/>
  <c r="AN45" i="3" a="1"/>
  <c r="AO45" i="3" a="1"/>
  <c r="AP45" i="3" a="1"/>
  <c r="AQ45" i="3" a="1"/>
  <c r="AR45" i="3" a="1"/>
  <c r="AS45" i="3" a="1"/>
  <c r="AT45" i="3" a="1"/>
  <c r="AU45" i="3" a="1"/>
  <c r="AV45" i="3" a="1"/>
  <c r="AW45" i="3" a="1"/>
  <c r="AX45" i="3" a="1"/>
  <c r="AY45" i="3" a="1"/>
  <c r="AZ45" i="3" a="1"/>
  <c r="BA45" i="3" a="1"/>
  <c r="BB45" i="3" a="1"/>
  <c r="BC45" i="3" a="1"/>
  <c r="BD45" i="3" a="1"/>
  <c r="BE45" i="3" a="1"/>
  <c r="BF45" i="3" a="1"/>
  <c r="BG45" i="3" a="1"/>
  <c r="BH45" i="3" a="1"/>
  <c r="BI45" i="3" a="1"/>
  <c r="BJ45" i="3" a="1"/>
  <c r="BK45" i="3" a="1"/>
  <c r="BL45" i="3" a="1"/>
  <c r="BM45" i="3" a="1"/>
  <c r="BN45" i="3" a="1"/>
  <c r="BO45" i="3" a="1"/>
  <c r="BP45" i="3" a="1"/>
  <c r="G45" i="3"/>
  <c r="H45" i="3"/>
  <c r="I45" i="3"/>
  <c r="J45" i="3"/>
  <c r="K45" i="3"/>
  <c r="L45" i="3"/>
  <c r="M45" i="3"/>
  <c r="N45" i="3"/>
  <c r="O45" i="3"/>
  <c r="P45" i="3"/>
  <c r="Q45" i="3"/>
  <c r="R45" i="3"/>
  <c r="S45" i="3"/>
  <c r="T45" i="3"/>
  <c r="U45" i="3"/>
  <c r="V45" i="3"/>
  <c r="W45" i="3"/>
  <c r="X45" i="3"/>
  <c r="Y45" i="3"/>
  <c r="Z45" i="3"/>
  <c r="AA45" i="3"/>
  <c r="AB45" i="3"/>
  <c r="AC45" i="3"/>
  <c r="AD45" i="3"/>
  <c r="AE45" i="3"/>
  <c r="AF45" i="3"/>
  <c r="AG45" i="3"/>
  <c r="AH45" i="3"/>
  <c r="AI45" i="3"/>
  <c r="AJ45" i="3"/>
  <c r="AK45" i="3"/>
  <c r="AL45" i="3"/>
  <c r="AM45" i="3"/>
  <c r="AN45" i="3"/>
  <c r="AO45" i="3"/>
  <c r="AP45" i="3"/>
  <c r="AQ45" i="3"/>
  <c r="AR45" i="3"/>
  <c r="AS45" i="3"/>
  <c r="AT45" i="3"/>
  <c r="AU45" i="3"/>
  <c r="AV45" i="3"/>
  <c r="AW45" i="3"/>
  <c r="AX45" i="3"/>
  <c r="AY45" i="3"/>
  <c r="AZ45" i="3"/>
  <c r="BA45" i="3"/>
  <c r="BB45" i="3"/>
  <c r="BC45" i="3"/>
  <c r="BD45" i="3"/>
  <c r="BE45" i="3"/>
  <c r="BF45" i="3"/>
  <c r="BG45" i="3"/>
  <c r="BH45" i="3"/>
  <c r="BI45" i="3"/>
  <c r="BJ45" i="3"/>
  <c r="BK45" i="3"/>
  <c r="BL45" i="3"/>
  <c r="BM45" i="3"/>
  <c r="BN45" i="3"/>
  <c r="BO45" i="3"/>
  <c r="BP45" i="3"/>
  <c r="AB21" i="3"/>
  <c r="W21" i="3"/>
  <c r="O22" i="3"/>
  <c r="E35" i="3" a="1"/>
  <c r="E35" i="3"/>
  <c r="F35" i="3" a="1"/>
  <c r="F35" i="3"/>
  <c r="G35" i="3" a="1"/>
  <c r="H35" i="3" a="1"/>
  <c r="I35" i="3" a="1"/>
  <c r="O23" i="3"/>
  <c r="J35" i="3" a="1"/>
  <c r="O24" i="3"/>
  <c r="K35" i="3" a="1"/>
  <c r="O25" i="3"/>
  <c r="L35" i="3" a="1"/>
  <c r="P22" i="3"/>
  <c r="M35" i="3" a="1"/>
  <c r="N35" i="3" a="1"/>
  <c r="O35" i="3" a="1"/>
  <c r="P35" i="3" a="1"/>
  <c r="Q35" i="3" a="1"/>
  <c r="P23" i="3"/>
  <c r="R35" i="3" a="1"/>
  <c r="P24" i="3"/>
  <c r="S35" i="3" a="1"/>
  <c r="P25" i="3"/>
  <c r="T35" i="3" a="1"/>
  <c r="Q22" i="3"/>
  <c r="U35" i="3" a="1"/>
  <c r="V35" i="3" a="1"/>
  <c r="W35" i="3" a="1"/>
  <c r="X35" i="3" a="1"/>
  <c r="Y35" i="3" a="1"/>
  <c r="Q23" i="3"/>
  <c r="Z35" i="3" a="1"/>
  <c r="Q24" i="3"/>
  <c r="AA35" i="3" a="1"/>
  <c r="Q25" i="3"/>
  <c r="AB35" i="3" a="1"/>
  <c r="AC35" i="3" a="1"/>
  <c r="AD35" i="3" a="1"/>
  <c r="AE35" i="3" a="1"/>
  <c r="AF35" i="3" a="1"/>
  <c r="AG35" i="3" a="1"/>
  <c r="AH35" i="3" a="1"/>
  <c r="AI35" i="3" a="1"/>
  <c r="AJ35" i="3" a="1"/>
  <c r="S22" i="3"/>
  <c r="AK35" i="3" a="1"/>
  <c r="AL35" i="3" a="1"/>
  <c r="AM35" i="3" a="1"/>
  <c r="AN35" i="3" a="1"/>
  <c r="AO35" i="3" a="1"/>
  <c r="S23" i="3"/>
  <c r="AP35" i="3" a="1"/>
  <c r="S24" i="3"/>
  <c r="AQ35" i="3" a="1"/>
  <c r="S25" i="3"/>
  <c r="AR35" i="3" a="1"/>
  <c r="T22" i="3"/>
  <c r="AS35" i="3" a="1"/>
  <c r="AT35" i="3" a="1"/>
  <c r="AU35" i="3" a="1"/>
  <c r="AV35" i="3" a="1"/>
  <c r="AW35" i="3" a="1"/>
  <c r="T23" i="3"/>
  <c r="AX35" i="3" a="1"/>
  <c r="T24" i="3"/>
  <c r="AY35" i="3" a="1"/>
  <c r="T25" i="3"/>
  <c r="AZ35" i="3" a="1"/>
  <c r="U22" i="3"/>
  <c r="BA35" i="3" a="1"/>
  <c r="BB35" i="3" a="1"/>
  <c r="BC35" i="3" a="1"/>
  <c r="BD35" i="3" a="1"/>
  <c r="BE35" i="3" a="1"/>
  <c r="U23" i="3"/>
  <c r="BF35" i="3" a="1"/>
  <c r="U24" i="3"/>
  <c r="BG35" i="3" a="1"/>
  <c r="U25" i="3"/>
  <c r="BH35" i="3" a="1"/>
  <c r="V22" i="3"/>
  <c r="BI35" i="3" a="1"/>
  <c r="BJ35" i="3" a="1"/>
  <c r="BK35" i="3" a="1"/>
  <c r="BL35" i="3" a="1"/>
  <c r="BM35" i="3" a="1"/>
  <c r="V23" i="3"/>
  <c r="BN35" i="3" a="1"/>
  <c r="V24" i="3"/>
  <c r="BO35" i="3" a="1"/>
  <c r="V25" i="3"/>
  <c r="BP35" i="3" a="1"/>
  <c r="G35" i="3"/>
  <c r="H35" i="3"/>
  <c r="I35" i="3"/>
  <c r="J35" i="3"/>
  <c r="K35" i="3"/>
  <c r="L35" i="3"/>
  <c r="M35" i="3"/>
  <c r="N35" i="3"/>
  <c r="O35" i="3"/>
  <c r="P35" i="3"/>
  <c r="Q35" i="3"/>
  <c r="R35" i="3"/>
  <c r="S35" i="3"/>
  <c r="T35" i="3"/>
  <c r="U35" i="3"/>
  <c r="V35" i="3"/>
  <c r="W35" i="3"/>
  <c r="X35" i="3"/>
  <c r="Y35" i="3"/>
  <c r="Z35" i="3"/>
  <c r="AA35" i="3"/>
  <c r="AB35" i="3"/>
  <c r="AC35" i="3"/>
  <c r="AD35" i="3"/>
  <c r="AE35" i="3"/>
  <c r="AF35" i="3"/>
  <c r="AG35" i="3"/>
  <c r="AH35" i="3"/>
  <c r="AI35" i="3"/>
  <c r="AJ35" i="3"/>
  <c r="AK35" i="3"/>
  <c r="AL35" i="3"/>
  <c r="AM35" i="3"/>
  <c r="AN35" i="3"/>
  <c r="AO35" i="3"/>
  <c r="AP35" i="3"/>
  <c r="AQ35" i="3"/>
  <c r="AR35" i="3"/>
  <c r="AS35" i="3"/>
  <c r="AT35" i="3"/>
  <c r="AU35" i="3"/>
  <c r="AV35" i="3"/>
  <c r="AW35" i="3"/>
  <c r="AX35" i="3"/>
  <c r="AY35" i="3"/>
  <c r="AZ35" i="3"/>
  <c r="BA35" i="3"/>
  <c r="BB35" i="3"/>
  <c r="BC35" i="3"/>
  <c r="BD35" i="3"/>
  <c r="BE35" i="3"/>
  <c r="BF35" i="3"/>
  <c r="BG35" i="3"/>
  <c r="BH35" i="3"/>
  <c r="BI35" i="3"/>
  <c r="BJ35" i="3"/>
  <c r="BK35" i="3"/>
  <c r="BL35" i="3"/>
  <c r="BM35" i="3"/>
  <c r="BN35" i="3"/>
  <c r="BO35" i="3"/>
  <c r="BP35" i="3"/>
  <c r="AA22" i="3"/>
  <c r="E46" i="3" a="1"/>
  <c r="E46" i="3"/>
  <c r="F46" i="3" a="1"/>
  <c r="F46" i="3"/>
  <c r="G46" i="3" a="1"/>
  <c r="H46" i="3" a="1"/>
  <c r="I46" i="3" a="1"/>
  <c r="J46" i="3" a="1"/>
  <c r="K46" i="3" a="1"/>
  <c r="L46" i="3" a="1"/>
  <c r="M46" i="3" a="1"/>
  <c r="N46" i="3" a="1"/>
  <c r="O46" i="3" a="1"/>
  <c r="P46" i="3" a="1"/>
  <c r="Q46" i="3" a="1"/>
  <c r="R46" i="3" a="1"/>
  <c r="S46" i="3" a="1"/>
  <c r="T46" i="3" a="1"/>
  <c r="U46" i="3" a="1"/>
  <c r="V46" i="3" a="1"/>
  <c r="W46" i="3" a="1"/>
  <c r="X46" i="3" a="1"/>
  <c r="Y46" i="3" a="1"/>
  <c r="Z46" i="3" a="1"/>
  <c r="AA46" i="3" a="1"/>
  <c r="AB46" i="3" a="1"/>
  <c r="AC46" i="3" a="1"/>
  <c r="AD46" i="3" a="1"/>
  <c r="AE46" i="3" a="1"/>
  <c r="AF46" i="3" a="1"/>
  <c r="AG46" i="3" a="1"/>
  <c r="AH46" i="3" a="1"/>
  <c r="AI46" i="3" a="1"/>
  <c r="AJ46" i="3" a="1"/>
  <c r="AK46" i="3" a="1"/>
  <c r="AL46" i="3" a="1"/>
  <c r="AM46" i="3" a="1"/>
  <c r="AN46" i="3" a="1"/>
  <c r="AO46" i="3" a="1"/>
  <c r="AP46" i="3" a="1"/>
  <c r="AQ46" i="3" a="1"/>
  <c r="AR46" i="3" a="1"/>
  <c r="AS46" i="3" a="1"/>
  <c r="AT46" i="3" a="1"/>
  <c r="AU46" i="3" a="1"/>
  <c r="AV46" i="3" a="1"/>
  <c r="AW46" i="3" a="1"/>
  <c r="AX46" i="3" a="1"/>
  <c r="AY46" i="3" a="1"/>
  <c r="AZ46" i="3" a="1"/>
  <c r="BA46" i="3" a="1"/>
  <c r="BB46" i="3" a="1"/>
  <c r="BC46" i="3" a="1"/>
  <c r="BD46" i="3" a="1"/>
  <c r="BE46" i="3" a="1"/>
  <c r="BF46" i="3" a="1"/>
  <c r="BG46" i="3" a="1"/>
  <c r="BH46" i="3" a="1"/>
  <c r="BI46" i="3" a="1"/>
  <c r="BJ46" i="3" a="1"/>
  <c r="BK46" i="3" a="1"/>
  <c r="BL46" i="3" a="1"/>
  <c r="BM46" i="3" a="1"/>
  <c r="BN46" i="3" a="1"/>
  <c r="BO46" i="3" a="1"/>
  <c r="BP46" i="3" a="1"/>
  <c r="G46" i="3"/>
  <c r="H46" i="3"/>
  <c r="I46" i="3"/>
  <c r="J46" i="3"/>
  <c r="K46" i="3"/>
  <c r="L46" i="3"/>
  <c r="M46" i="3"/>
  <c r="N46" i="3"/>
  <c r="O46" i="3"/>
  <c r="P46" i="3"/>
  <c r="Q46" i="3"/>
  <c r="R46" i="3"/>
  <c r="S46" i="3"/>
  <c r="T46" i="3"/>
  <c r="U46" i="3"/>
  <c r="V46" i="3"/>
  <c r="W46" i="3"/>
  <c r="X46" i="3"/>
  <c r="Y46" i="3"/>
  <c r="Z46" i="3"/>
  <c r="AA46" i="3"/>
  <c r="AB46" i="3"/>
  <c r="AC46" i="3"/>
  <c r="AD46" i="3"/>
  <c r="AE46" i="3"/>
  <c r="AF46" i="3"/>
  <c r="AG46" i="3"/>
  <c r="AH46" i="3"/>
  <c r="AI46" i="3"/>
  <c r="AJ46" i="3"/>
  <c r="AK46" i="3"/>
  <c r="AL46" i="3"/>
  <c r="AM46" i="3"/>
  <c r="AN46" i="3"/>
  <c r="AO46" i="3"/>
  <c r="AP46" i="3"/>
  <c r="AQ46" i="3"/>
  <c r="AR46" i="3"/>
  <c r="AS46" i="3"/>
  <c r="AT46" i="3"/>
  <c r="AU46" i="3"/>
  <c r="AV46" i="3"/>
  <c r="AW46" i="3"/>
  <c r="AX46" i="3"/>
  <c r="AY46" i="3"/>
  <c r="AZ46" i="3"/>
  <c r="BA46" i="3"/>
  <c r="BB46" i="3"/>
  <c r="BC46" i="3"/>
  <c r="BD46" i="3"/>
  <c r="BE46" i="3"/>
  <c r="BF46" i="3"/>
  <c r="BG46" i="3"/>
  <c r="BH46" i="3"/>
  <c r="BI46" i="3"/>
  <c r="BJ46" i="3"/>
  <c r="BK46" i="3"/>
  <c r="BL46" i="3"/>
  <c r="BM46" i="3"/>
  <c r="BN46" i="3"/>
  <c r="BO46" i="3"/>
  <c r="BP46" i="3"/>
  <c r="AB22" i="3"/>
  <c r="W22" i="3"/>
  <c r="E36" i="3" a="1"/>
  <c r="E36" i="3"/>
  <c r="F36" i="3" a="1"/>
  <c r="F36" i="3"/>
  <c r="G36" i="3" a="1"/>
  <c r="H36" i="3" a="1"/>
  <c r="I36" i="3" a="1"/>
  <c r="J36" i="3" a="1"/>
  <c r="K36" i="3" a="1"/>
  <c r="L36" i="3" a="1"/>
  <c r="M36" i="3" a="1"/>
  <c r="N36" i="3" a="1"/>
  <c r="O36" i="3" a="1"/>
  <c r="P36" i="3" a="1"/>
  <c r="Q36" i="3" a="1"/>
  <c r="R36" i="3" a="1"/>
  <c r="S36" i="3" a="1"/>
  <c r="T36" i="3" a="1"/>
  <c r="U36" i="3" a="1"/>
  <c r="V36" i="3" a="1"/>
  <c r="W36" i="3" a="1"/>
  <c r="X36" i="3" a="1"/>
  <c r="Y36" i="3" a="1"/>
  <c r="Z36" i="3" a="1"/>
  <c r="AA36" i="3" a="1"/>
  <c r="AB36" i="3" a="1"/>
  <c r="AC36" i="3" a="1"/>
  <c r="AD36" i="3" a="1"/>
  <c r="AE36" i="3" a="1"/>
  <c r="AF36" i="3" a="1"/>
  <c r="AG36" i="3" a="1"/>
  <c r="AH36" i="3" a="1"/>
  <c r="AI36" i="3" a="1"/>
  <c r="AJ36" i="3" a="1"/>
  <c r="AK36" i="3" a="1"/>
  <c r="AL36" i="3" a="1"/>
  <c r="AM36" i="3" a="1"/>
  <c r="AN36" i="3" a="1"/>
  <c r="AO36" i="3" a="1"/>
  <c r="AP36" i="3" a="1"/>
  <c r="AQ36" i="3" a="1"/>
  <c r="AR36" i="3" a="1"/>
  <c r="AS36" i="3" a="1"/>
  <c r="AT36" i="3" a="1"/>
  <c r="AU36" i="3" a="1"/>
  <c r="AV36" i="3" a="1"/>
  <c r="AW36" i="3" a="1"/>
  <c r="AX36" i="3" a="1"/>
  <c r="AY36" i="3" a="1"/>
  <c r="AZ36" i="3" a="1"/>
  <c r="BA36" i="3" a="1"/>
  <c r="BB36" i="3" a="1"/>
  <c r="BC36" i="3" a="1"/>
  <c r="BD36" i="3" a="1"/>
  <c r="BE36" i="3" a="1"/>
  <c r="BF36" i="3" a="1"/>
  <c r="BG36" i="3" a="1"/>
  <c r="BH36" i="3" a="1"/>
  <c r="BI36" i="3" a="1"/>
  <c r="BJ36" i="3" a="1"/>
  <c r="BK36" i="3" a="1"/>
  <c r="BL36" i="3" a="1"/>
  <c r="BM36" i="3" a="1"/>
  <c r="BN36" i="3" a="1"/>
  <c r="BO36" i="3" a="1"/>
  <c r="BP36" i="3" a="1"/>
  <c r="G36" i="3"/>
  <c r="H36" i="3"/>
  <c r="I36" i="3"/>
  <c r="J36" i="3"/>
  <c r="K36" i="3"/>
  <c r="L36" i="3"/>
  <c r="M36" i="3"/>
  <c r="N36" i="3"/>
  <c r="O36" i="3"/>
  <c r="P36" i="3"/>
  <c r="Q36" i="3"/>
  <c r="R36" i="3"/>
  <c r="S36" i="3"/>
  <c r="T36" i="3"/>
  <c r="U36" i="3"/>
  <c r="V36" i="3"/>
  <c r="W36" i="3"/>
  <c r="X36" i="3"/>
  <c r="Y36" i="3"/>
  <c r="Z36" i="3"/>
  <c r="AA36" i="3"/>
  <c r="AB36" i="3"/>
  <c r="AC36" i="3"/>
  <c r="AD36" i="3"/>
  <c r="AE36" i="3"/>
  <c r="AF36" i="3"/>
  <c r="AG36" i="3"/>
  <c r="AH36" i="3"/>
  <c r="AI36" i="3"/>
  <c r="AJ36" i="3"/>
  <c r="AK36" i="3"/>
  <c r="AL36" i="3"/>
  <c r="AM36" i="3"/>
  <c r="AN36" i="3"/>
  <c r="AO36" i="3"/>
  <c r="AP36" i="3"/>
  <c r="AQ36" i="3"/>
  <c r="AR36" i="3"/>
  <c r="AS36" i="3"/>
  <c r="AT36" i="3"/>
  <c r="AU36" i="3"/>
  <c r="AV36" i="3"/>
  <c r="AW36" i="3"/>
  <c r="AX36" i="3"/>
  <c r="AY36" i="3"/>
  <c r="AZ36" i="3"/>
  <c r="BA36" i="3"/>
  <c r="BB36" i="3"/>
  <c r="BC36" i="3"/>
  <c r="BD36" i="3"/>
  <c r="BE36" i="3"/>
  <c r="BF36" i="3"/>
  <c r="BG36" i="3"/>
  <c r="BH36" i="3"/>
  <c r="BI36" i="3"/>
  <c r="BJ36" i="3"/>
  <c r="BK36" i="3"/>
  <c r="BL36" i="3"/>
  <c r="BM36" i="3"/>
  <c r="BN36" i="3"/>
  <c r="BO36" i="3"/>
  <c r="BP36" i="3"/>
  <c r="AA23" i="3"/>
  <c r="E47" i="3" a="1"/>
  <c r="E47" i="3"/>
  <c r="F47" i="3" a="1"/>
  <c r="F47" i="3"/>
  <c r="G47" i="3" a="1"/>
  <c r="H47" i="3" a="1"/>
  <c r="I47" i="3" a="1"/>
  <c r="J47" i="3" a="1"/>
  <c r="K47" i="3" a="1"/>
  <c r="L47" i="3" a="1"/>
  <c r="M47" i="3" a="1"/>
  <c r="N47" i="3" a="1"/>
  <c r="O47" i="3" a="1"/>
  <c r="P47" i="3" a="1"/>
  <c r="Q47" i="3" a="1"/>
  <c r="R47" i="3" a="1"/>
  <c r="S47" i="3" a="1"/>
  <c r="T47" i="3" a="1"/>
  <c r="U47" i="3" a="1"/>
  <c r="V47" i="3" a="1"/>
  <c r="W47" i="3" a="1"/>
  <c r="X47" i="3" a="1"/>
  <c r="Y47" i="3" a="1"/>
  <c r="Z47" i="3" a="1"/>
  <c r="AA47" i="3" a="1"/>
  <c r="AB47" i="3" a="1"/>
  <c r="AC47" i="3" a="1"/>
  <c r="AD47" i="3" a="1"/>
  <c r="AE47" i="3" a="1"/>
  <c r="AF47" i="3" a="1"/>
  <c r="AG47" i="3" a="1"/>
  <c r="AH47" i="3" a="1"/>
  <c r="AI47" i="3" a="1"/>
  <c r="AJ47" i="3" a="1"/>
  <c r="AK47" i="3" a="1"/>
  <c r="AL47" i="3" a="1"/>
  <c r="AM47" i="3" a="1"/>
  <c r="AN47" i="3" a="1"/>
  <c r="AO47" i="3" a="1"/>
  <c r="AP47" i="3" a="1"/>
  <c r="AQ47" i="3" a="1"/>
  <c r="AR47" i="3" a="1"/>
  <c r="AS47" i="3" a="1"/>
  <c r="AT47" i="3" a="1"/>
  <c r="AU47" i="3" a="1"/>
  <c r="AV47" i="3" a="1"/>
  <c r="AW47" i="3" a="1"/>
  <c r="AX47" i="3" a="1"/>
  <c r="AY47" i="3" a="1"/>
  <c r="AZ47" i="3" a="1"/>
  <c r="BA47" i="3" a="1"/>
  <c r="BB47" i="3" a="1"/>
  <c r="BC47" i="3" a="1"/>
  <c r="BD47" i="3" a="1"/>
  <c r="BE47" i="3" a="1"/>
  <c r="BF47" i="3" a="1"/>
  <c r="BG47" i="3" a="1"/>
  <c r="BH47" i="3" a="1"/>
  <c r="BI47" i="3" a="1"/>
  <c r="BJ47" i="3" a="1"/>
  <c r="BK47" i="3" a="1"/>
  <c r="BL47" i="3" a="1"/>
  <c r="BM47" i="3" a="1"/>
  <c r="BN47" i="3" a="1"/>
  <c r="BO47" i="3" a="1"/>
  <c r="BP47" i="3" a="1"/>
  <c r="G47" i="3"/>
  <c r="H47" i="3"/>
  <c r="I47" i="3"/>
  <c r="J47" i="3"/>
  <c r="K47" i="3"/>
  <c r="L47" i="3"/>
  <c r="M47" i="3"/>
  <c r="N47" i="3"/>
  <c r="O47" i="3"/>
  <c r="P47" i="3"/>
  <c r="Q47" i="3"/>
  <c r="R47" i="3"/>
  <c r="S47" i="3"/>
  <c r="T47" i="3"/>
  <c r="U47" i="3"/>
  <c r="V47" i="3"/>
  <c r="W47" i="3"/>
  <c r="X47" i="3"/>
  <c r="Y47" i="3"/>
  <c r="Z47" i="3"/>
  <c r="AA47" i="3"/>
  <c r="AB47" i="3"/>
  <c r="AC47" i="3"/>
  <c r="AD47" i="3"/>
  <c r="AE47" i="3"/>
  <c r="AF47" i="3"/>
  <c r="AG47" i="3"/>
  <c r="AH47" i="3"/>
  <c r="AI47" i="3"/>
  <c r="AJ47" i="3"/>
  <c r="AK47" i="3"/>
  <c r="AL47" i="3"/>
  <c r="AM47" i="3"/>
  <c r="AN47" i="3"/>
  <c r="AO47" i="3"/>
  <c r="AP47" i="3"/>
  <c r="AQ47" i="3"/>
  <c r="AR47" i="3"/>
  <c r="AS47" i="3"/>
  <c r="AT47" i="3"/>
  <c r="AU47" i="3"/>
  <c r="AV47" i="3"/>
  <c r="AW47" i="3"/>
  <c r="AX47" i="3"/>
  <c r="AY47" i="3"/>
  <c r="AZ47" i="3"/>
  <c r="BA47" i="3"/>
  <c r="BB47" i="3"/>
  <c r="BC47" i="3"/>
  <c r="BD47" i="3"/>
  <c r="BE47" i="3"/>
  <c r="BF47" i="3"/>
  <c r="BG47" i="3"/>
  <c r="BH47" i="3"/>
  <c r="BI47" i="3"/>
  <c r="BJ47" i="3"/>
  <c r="BK47" i="3"/>
  <c r="BL47" i="3"/>
  <c r="BM47" i="3"/>
  <c r="BN47" i="3"/>
  <c r="BO47" i="3"/>
  <c r="BP47" i="3"/>
  <c r="AB23" i="3"/>
  <c r="W23" i="3"/>
  <c r="E37" i="3" a="1"/>
  <c r="E37" i="3"/>
  <c r="F37" i="3" a="1"/>
  <c r="F37" i="3"/>
  <c r="G37" i="3" a="1"/>
  <c r="H37" i="3" a="1"/>
  <c r="I37" i="3" a="1"/>
  <c r="J37" i="3" a="1"/>
  <c r="K37" i="3" a="1"/>
  <c r="L37" i="3" a="1"/>
  <c r="M37" i="3" a="1"/>
  <c r="N37" i="3" a="1"/>
  <c r="O37" i="3" a="1"/>
  <c r="P37" i="3" a="1"/>
  <c r="Q37" i="3" a="1"/>
  <c r="R37" i="3" a="1"/>
  <c r="S37" i="3" a="1"/>
  <c r="T37" i="3" a="1"/>
  <c r="U37" i="3" a="1"/>
  <c r="V37" i="3" a="1"/>
  <c r="W37" i="3" a="1"/>
  <c r="X37" i="3" a="1"/>
  <c r="Y37" i="3" a="1"/>
  <c r="Z37" i="3" a="1"/>
  <c r="AA37" i="3" a="1"/>
  <c r="AB37" i="3" a="1"/>
  <c r="AC37" i="3" a="1"/>
  <c r="AD37" i="3" a="1"/>
  <c r="AE37" i="3" a="1"/>
  <c r="AF37" i="3" a="1"/>
  <c r="AG37" i="3" a="1"/>
  <c r="AH37" i="3" a="1"/>
  <c r="AI37" i="3" a="1"/>
  <c r="AJ37" i="3" a="1"/>
  <c r="AK37" i="3" a="1"/>
  <c r="AL37" i="3" a="1"/>
  <c r="AM37" i="3" a="1"/>
  <c r="AN37" i="3" a="1"/>
  <c r="AO37" i="3" a="1"/>
  <c r="AP37" i="3" a="1"/>
  <c r="AQ37" i="3" a="1"/>
  <c r="AR37" i="3" a="1"/>
  <c r="AS37" i="3" a="1"/>
  <c r="AT37" i="3" a="1"/>
  <c r="AU37" i="3" a="1"/>
  <c r="AV37" i="3" a="1"/>
  <c r="AW37" i="3" a="1"/>
  <c r="AX37" i="3" a="1"/>
  <c r="AY37" i="3" a="1"/>
  <c r="AZ37" i="3" a="1"/>
  <c r="BA37" i="3" a="1"/>
  <c r="BB37" i="3" a="1"/>
  <c r="BC37" i="3" a="1"/>
  <c r="BD37" i="3" a="1"/>
  <c r="BE37" i="3" a="1"/>
  <c r="BF37" i="3" a="1"/>
  <c r="BG37" i="3" a="1"/>
  <c r="BH37" i="3" a="1"/>
  <c r="BI37" i="3" a="1"/>
  <c r="BJ37" i="3" a="1"/>
  <c r="BK37" i="3" a="1"/>
  <c r="BL37" i="3" a="1"/>
  <c r="BM37" i="3" a="1"/>
  <c r="BN37" i="3" a="1"/>
  <c r="BO37" i="3" a="1"/>
  <c r="BP37" i="3" a="1"/>
  <c r="G37" i="3"/>
  <c r="H37" i="3"/>
  <c r="I37" i="3"/>
  <c r="J37" i="3"/>
  <c r="K37" i="3"/>
  <c r="L37" i="3"/>
  <c r="M37" i="3"/>
  <c r="N37" i="3"/>
  <c r="O37" i="3"/>
  <c r="P37" i="3"/>
  <c r="Q37" i="3"/>
  <c r="R37" i="3"/>
  <c r="S37" i="3"/>
  <c r="T37" i="3"/>
  <c r="U37" i="3"/>
  <c r="V37" i="3"/>
  <c r="W37" i="3"/>
  <c r="X37" i="3"/>
  <c r="Y37" i="3"/>
  <c r="Z37" i="3"/>
  <c r="AA37" i="3"/>
  <c r="AB37" i="3"/>
  <c r="AC37" i="3"/>
  <c r="AD37" i="3"/>
  <c r="AE37" i="3"/>
  <c r="AF37" i="3"/>
  <c r="AG37" i="3"/>
  <c r="AH37" i="3"/>
  <c r="AI37" i="3"/>
  <c r="AJ37" i="3"/>
  <c r="AK37" i="3"/>
  <c r="AL37" i="3"/>
  <c r="AM37" i="3"/>
  <c r="AN37" i="3"/>
  <c r="AO37" i="3"/>
  <c r="AP37" i="3"/>
  <c r="AQ37" i="3"/>
  <c r="AR37" i="3"/>
  <c r="AS37" i="3"/>
  <c r="AT37" i="3"/>
  <c r="AU37" i="3"/>
  <c r="AV37" i="3"/>
  <c r="AW37" i="3"/>
  <c r="AX37" i="3"/>
  <c r="AY37" i="3"/>
  <c r="AZ37" i="3"/>
  <c r="BA37" i="3"/>
  <c r="BB37" i="3"/>
  <c r="BC37" i="3"/>
  <c r="BD37" i="3"/>
  <c r="BE37" i="3"/>
  <c r="BF37" i="3"/>
  <c r="BG37" i="3"/>
  <c r="BH37" i="3"/>
  <c r="BI37" i="3"/>
  <c r="BJ37" i="3"/>
  <c r="BK37" i="3"/>
  <c r="BL37" i="3"/>
  <c r="BM37" i="3"/>
  <c r="BN37" i="3"/>
  <c r="BO37" i="3"/>
  <c r="BP37" i="3"/>
  <c r="AA24" i="3"/>
  <c r="E48" i="3" a="1"/>
  <c r="E48" i="3"/>
  <c r="F48" i="3" a="1"/>
  <c r="F48" i="3"/>
  <c r="G48" i="3" a="1"/>
  <c r="H48" i="3" a="1"/>
  <c r="I48" i="3" a="1"/>
  <c r="J48" i="3" a="1"/>
  <c r="K48" i="3" a="1"/>
  <c r="L48" i="3" a="1"/>
  <c r="M48" i="3" a="1"/>
  <c r="N48" i="3" a="1"/>
  <c r="O48" i="3" a="1"/>
  <c r="P48" i="3" a="1"/>
  <c r="Q48" i="3" a="1"/>
  <c r="R48" i="3" a="1"/>
  <c r="S48" i="3" a="1"/>
  <c r="T48" i="3" a="1"/>
  <c r="U48" i="3" a="1"/>
  <c r="V48" i="3" a="1"/>
  <c r="W48" i="3" a="1"/>
  <c r="X48" i="3" a="1"/>
  <c r="Y48" i="3" a="1"/>
  <c r="Z48" i="3" a="1"/>
  <c r="AA48" i="3" a="1"/>
  <c r="AB48" i="3" a="1"/>
  <c r="AC48" i="3" a="1"/>
  <c r="AD48" i="3" a="1"/>
  <c r="AE48" i="3" a="1"/>
  <c r="AF48" i="3" a="1"/>
  <c r="AG48" i="3" a="1"/>
  <c r="AH48" i="3" a="1"/>
  <c r="AI48" i="3" a="1"/>
  <c r="AJ48" i="3" a="1"/>
  <c r="AK48" i="3" a="1"/>
  <c r="AL48" i="3" a="1"/>
  <c r="AM48" i="3" a="1"/>
  <c r="AN48" i="3" a="1"/>
  <c r="AO48" i="3" a="1"/>
  <c r="AP48" i="3" a="1"/>
  <c r="AQ48" i="3" a="1"/>
  <c r="AR48" i="3" a="1"/>
  <c r="AS48" i="3" a="1"/>
  <c r="AT48" i="3" a="1"/>
  <c r="AU48" i="3" a="1"/>
  <c r="AV48" i="3" a="1"/>
  <c r="AW48" i="3" a="1"/>
  <c r="AX48" i="3" a="1"/>
  <c r="AY48" i="3" a="1"/>
  <c r="AZ48" i="3" a="1"/>
  <c r="BA48" i="3" a="1"/>
  <c r="BB48" i="3" a="1"/>
  <c r="BC48" i="3" a="1"/>
  <c r="BD48" i="3" a="1"/>
  <c r="BE48" i="3" a="1"/>
  <c r="BF48" i="3" a="1"/>
  <c r="BG48" i="3" a="1"/>
  <c r="BH48" i="3" a="1"/>
  <c r="BI48" i="3" a="1"/>
  <c r="BJ48" i="3" a="1"/>
  <c r="BK48" i="3" a="1"/>
  <c r="BL48" i="3" a="1"/>
  <c r="BM48" i="3" a="1"/>
  <c r="BN48" i="3" a="1"/>
  <c r="BO48" i="3" a="1"/>
  <c r="BP48" i="3" a="1"/>
  <c r="G48" i="3"/>
  <c r="H48" i="3"/>
  <c r="I48" i="3"/>
  <c r="J48" i="3"/>
  <c r="K48" i="3"/>
  <c r="L48" i="3"/>
  <c r="M48" i="3"/>
  <c r="N48" i="3"/>
  <c r="O48" i="3"/>
  <c r="P48" i="3"/>
  <c r="Q48" i="3"/>
  <c r="R48" i="3"/>
  <c r="S48" i="3"/>
  <c r="T48" i="3"/>
  <c r="U48" i="3"/>
  <c r="V48" i="3"/>
  <c r="W48" i="3"/>
  <c r="X48" i="3"/>
  <c r="Y48" i="3"/>
  <c r="Z48" i="3"/>
  <c r="AA48" i="3"/>
  <c r="AB48" i="3"/>
  <c r="AC48" i="3"/>
  <c r="AD48" i="3"/>
  <c r="AE48" i="3"/>
  <c r="AF48" i="3"/>
  <c r="AG48" i="3"/>
  <c r="AH48" i="3"/>
  <c r="AI48" i="3"/>
  <c r="AJ48" i="3"/>
  <c r="AK48" i="3"/>
  <c r="AL48" i="3"/>
  <c r="AM48" i="3"/>
  <c r="AN48" i="3"/>
  <c r="AO48" i="3"/>
  <c r="AP48" i="3"/>
  <c r="AQ48" i="3"/>
  <c r="AR48" i="3"/>
  <c r="AS48" i="3"/>
  <c r="AT48" i="3"/>
  <c r="AU48" i="3"/>
  <c r="AV48" i="3"/>
  <c r="AW48" i="3"/>
  <c r="AX48" i="3"/>
  <c r="AY48" i="3"/>
  <c r="AZ48" i="3"/>
  <c r="BA48" i="3"/>
  <c r="BB48" i="3"/>
  <c r="BC48" i="3"/>
  <c r="BD48" i="3"/>
  <c r="BE48" i="3"/>
  <c r="BF48" i="3"/>
  <c r="BG48" i="3"/>
  <c r="BH48" i="3"/>
  <c r="BI48" i="3"/>
  <c r="BJ48" i="3"/>
  <c r="BK48" i="3"/>
  <c r="BL48" i="3"/>
  <c r="BM48" i="3"/>
  <c r="BN48" i="3"/>
  <c r="BO48" i="3"/>
  <c r="BP48" i="3"/>
  <c r="AB24" i="3"/>
  <c r="W24" i="3"/>
  <c r="E38" i="3" a="1"/>
  <c r="E38" i="3"/>
  <c r="F38" i="3" a="1"/>
  <c r="F38" i="3"/>
  <c r="G38" i="3" a="1"/>
  <c r="H38" i="3" a="1"/>
  <c r="I38" i="3" a="1"/>
  <c r="J38" i="3" a="1"/>
  <c r="K38" i="3" a="1"/>
  <c r="L38" i="3" a="1"/>
  <c r="M38" i="3" a="1"/>
  <c r="N38" i="3" a="1"/>
  <c r="O38" i="3" a="1"/>
  <c r="P38" i="3" a="1"/>
  <c r="Q38" i="3" a="1"/>
  <c r="R38" i="3" a="1"/>
  <c r="S38" i="3" a="1"/>
  <c r="T38" i="3" a="1"/>
  <c r="U38" i="3" a="1"/>
  <c r="V38" i="3" a="1"/>
  <c r="W38" i="3" a="1"/>
  <c r="X38" i="3" a="1"/>
  <c r="Y38" i="3" a="1"/>
  <c r="Z38" i="3" a="1"/>
  <c r="AA38" i="3" a="1"/>
  <c r="AB38" i="3" a="1"/>
  <c r="AC38" i="3" a="1"/>
  <c r="AD38" i="3" a="1"/>
  <c r="AE38" i="3" a="1"/>
  <c r="AF38" i="3" a="1"/>
  <c r="AG38" i="3" a="1"/>
  <c r="AH38" i="3" a="1"/>
  <c r="AI38" i="3" a="1"/>
  <c r="AJ38" i="3" a="1"/>
  <c r="AK38" i="3" a="1"/>
  <c r="AL38" i="3" a="1"/>
  <c r="AM38" i="3" a="1"/>
  <c r="AN38" i="3" a="1"/>
  <c r="AO38" i="3" a="1"/>
  <c r="AP38" i="3" a="1"/>
  <c r="AQ38" i="3" a="1"/>
  <c r="AR38" i="3" a="1"/>
  <c r="AS38" i="3" a="1"/>
  <c r="AT38" i="3" a="1"/>
  <c r="AU38" i="3" a="1"/>
  <c r="AV38" i="3" a="1"/>
  <c r="AW38" i="3" a="1"/>
  <c r="AX38" i="3" a="1"/>
  <c r="AY38" i="3" a="1"/>
  <c r="AZ38" i="3" a="1"/>
  <c r="BA38" i="3" a="1"/>
  <c r="BB38" i="3" a="1"/>
  <c r="BC38" i="3" a="1"/>
  <c r="BD38" i="3" a="1"/>
  <c r="BE38" i="3" a="1"/>
  <c r="BF38" i="3" a="1"/>
  <c r="BG38" i="3" a="1"/>
  <c r="BH38" i="3" a="1"/>
  <c r="BI38" i="3" a="1"/>
  <c r="BJ38" i="3" a="1"/>
  <c r="BK38" i="3" a="1"/>
  <c r="BL38" i="3" a="1"/>
  <c r="BM38" i="3" a="1"/>
  <c r="BN38" i="3" a="1"/>
  <c r="BO38" i="3" a="1"/>
  <c r="BP38" i="3" a="1"/>
  <c r="G38" i="3"/>
  <c r="H38" i="3"/>
  <c r="I38" i="3"/>
  <c r="J38" i="3"/>
  <c r="K38" i="3"/>
  <c r="L38" i="3"/>
  <c r="M38" i="3"/>
  <c r="N38" i="3"/>
  <c r="O38" i="3"/>
  <c r="P38" i="3"/>
  <c r="Q38" i="3"/>
  <c r="R38" i="3"/>
  <c r="S38" i="3"/>
  <c r="T38" i="3"/>
  <c r="U38" i="3"/>
  <c r="V38" i="3"/>
  <c r="W38" i="3"/>
  <c r="X38" i="3"/>
  <c r="Y38" i="3"/>
  <c r="Z38" i="3"/>
  <c r="AA38" i="3"/>
  <c r="AB38" i="3"/>
  <c r="AC38" i="3"/>
  <c r="AD38" i="3"/>
  <c r="AE38" i="3"/>
  <c r="AF38" i="3"/>
  <c r="AG38" i="3"/>
  <c r="AH38" i="3"/>
  <c r="AI38" i="3"/>
  <c r="AJ38" i="3"/>
  <c r="AK38" i="3"/>
  <c r="AL38" i="3"/>
  <c r="AM38" i="3"/>
  <c r="AN38" i="3"/>
  <c r="AO38" i="3"/>
  <c r="AP38" i="3"/>
  <c r="AQ38" i="3"/>
  <c r="AR38" i="3"/>
  <c r="AS38" i="3"/>
  <c r="AT38" i="3"/>
  <c r="AU38" i="3"/>
  <c r="AV38" i="3"/>
  <c r="AW38" i="3"/>
  <c r="AX38" i="3"/>
  <c r="AY38" i="3"/>
  <c r="AZ38" i="3"/>
  <c r="BA38" i="3"/>
  <c r="BB38" i="3"/>
  <c r="BC38" i="3"/>
  <c r="BD38" i="3"/>
  <c r="BE38" i="3"/>
  <c r="BF38" i="3"/>
  <c r="BG38" i="3"/>
  <c r="BH38" i="3"/>
  <c r="BI38" i="3"/>
  <c r="BJ38" i="3"/>
  <c r="BK38" i="3"/>
  <c r="BL38" i="3"/>
  <c r="BM38" i="3"/>
  <c r="BN38" i="3"/>
  <c r="BO38" i="3"/>
  <c r="BP38" i="3"/>
  <c r="AA25" i="3"/>
  <c r="E49" i="3" a="1"/>
  <c r="E49" i="3"/>
  <c r="F49" i="3" a="1"/>
  <c r="F49" i="3"/>
  <c r="G49" i="3" a="1"/>
  <c r="H49" i="3" a="1"/>
  <c r="I49" i="3" a="1"/>
  <c r="J49" i="3" a="1"/>
  <c r="K49" i="3" a="1"/>
  <c r="L49" i="3" a="1"/>
  <c r="M49" i="3" a="1"/>
  <c r="N49" i="3" a="1"/>
  <c r="O49" i="3" a="1"/>
  <c r="P49" i="3" a="1"/>
  <c r="Q49" i="3" a="1"/>
  <c r="R49" i="3" a="1"/>
  <c r="S49" i="3" a="1"/>
  <c r="T49" i="3" a="1"/>
  <c r="U49" i="3" a="1"/>
  <c r="V49" i="3" a="1"/>
  <c r="W49" i="3" a="1"/>
  <c r="X49" i="3" a="1"/>
  <c r="Y49" i="3" a="1"/>
  <c r="Z49" i="3" a="1"/>
  <c r="AA49" i="3" a="1"/>
  <c r="AB49" i="3" a="1"/>
  <c r="AC49" i="3" a="1"/>
  <c r="AD49" i="3" a="1"/>
  <c r="AE49" i="3" a="1"/>
  <c r="AF49" i="3" a="1"/>
  <c r="AG49" i="3" a="1"/>
  <c r="AH49" i="3" a="1"/>
  <c r="AI49" i="3" a="1"/>
  <c r="AJ49" i="3" a="1"/>
  <c r="AK49" i="3" a="1"/>
  <c r="AL49" i="3" a="1"/>
  <c r="AM49" i="3" a="1"/>
  <c r="AN49" i="3" a="1"/>
  <c r="AO49" i="3" a="1"/>
  <c r="AP49" i="3" a="1"/>
  <c r="AQ49" i="3" a="1"/>
  <c r="AR49" i="3" a="1"/>
  <c r="AS49" i="3" a="1"/>
  <c r="AT49" i="3" a="1"/>
  <c r="AU49" i="3" a="1"/>
  <c r="AV49" i="3" a="1"/>
  <c r="AW49" i="3" a="1"/>
  <c r="AX49" i="3" a="1"/>
  <c r="AY49" i="3" a="1"/>
  <c r="AZ49" i="3" a="1"/>
  <c r="BA49" i="3" a="1"/>
  <c r="BB49" i="3" a="1"/>
  <c r="BC49" i="3" a="1"/>
  <c r="BD49" i="3" a="1"/>
  <c r="BE49" i="3" a="1"/>
  <c r="BF49" i="3" a="1"/>
  <c r="BG49" i="3" a="1"/>
  <c r="BH49" i="3" a="1"/>
  <c r="BI49" i="3" a="1"/>
  <c r="BJ49" i="3" a="1"/>
  <c r="BK49" i="3" a="1"/>
  <c r="BL49" i="3" a="1"/>
  <c r="BM49" i="3" a="1"/>
  <c r="BN49" i="3" a="1"/>
  <c r="BO49" i="3" a="1"/>
  <c r="BP49" i="3" a="1"/>
  <c r="G49" i="3"/>
  <c r="H49" i="3"/>
  <c r="I49" i="3"/>
  <c r="J49" i="3"/>
  <c r="K49" i="3"/>
  <c r="L49" i="3"/>
  <c r="M49" i="3"/>
  <c r="N49" i="3"/>
  <c r="O49" i="3"/>
  <c r="P49" i="3"/>
  <c r="Q49" i="3"/>
  <c r="R49" i="3"/>
  <c r="S49" i="3"/>
  <c r="T49" i="3"/>
  <c r="U49" i="3"/>
  <c r="V49" i="3"/>
  <c r="W49" i="3"/>
  <c r="X49" i="3"/>
  <c r="Y49" i="3"/>
  <c r="Z49" i="3"/>
  <c r="AA49" i="3"/>
  <c r="AB49" i="3"/>
  <c r="AC49" i="3"/>
  <c r="AD49" i="3"/>
  <c r="AE49" i="3"/>
  <c r="AF49" i="3"/>
  <c r="AG49" i="3"/>
  <c r="AH49" i="3"/>
  <c r="AI49" i="3"/>
  <c r="AJ49" i="3"/>
  <c r="AK49" i="3"/>
  <c r="AL49" i="3"/>
  <c r="AM49" i="3"/>
  <c r="AN49" i="3"/>
  <c r="AO49" i="3"/>
  <c r="AP49" i="3"/>
  <c r="AQ49" i="3"/>
  <c r="AR49" i="3"/>
  <c r="AS49" i="3"/>
  <c r="AT49" i="3"/>
  <c r="AU49" i="3"/>
  <c r="AV49" i="3"/>
  <c r="AW49" i="3"/>
  <c r="AX49" i="3"/>
  <c r="AY49" i="3"/>
  <c r="AZ49" i="3"/>
  <c r="BA49" i="3"/>
  <c r="BB49" i="3"/>
  <c r="BC49" i="3"/>
  <c r="BD49" i="3"/>
  <c r="BE49" i="3"/>
  <c r="BF49" i="3"/>
  <c r="BG49" i="3"/>
  <c r="BH49" i="3"/>
  <c r="BI49" i="3"/>
  <c r="BJ49" i="3"/>
  <c r="BK49" i="3"/>
  <c r="BL49" i="3"/>
  <c r="BM49" i="3"/>
  <c r="BN49" i="3"/>
  <c r="BO49" i="3"/>
  <c r="BP49" i="3"/>
  <c r="AB25" i="3"/>
  <c r="W25" i="3"/>
  <c r="X17" i="3"/>
  <c r="X18" i="3"/>
  <c r="X19" i="3"/>
  <c r="X20" i="3"/>
  <c r="X21" i="3"/>
  <c r="X22" i="3"/>
  <c r="X23" i="3"/>
  <c r="X24" i="3"/>
  <c r="X25" i="3"/>
  <c r="E4" i="3"/>
  <c r="D4" i="3"/>
  <c r="E5" i="3"/>
  <c r="D5" i="3"/>
  <c r="E6" i="3"/>
  <c r="D6" i="3"/>
  <c r="E7" i="3"/>
  <c r="D7" i="3"/>
  <c r="E8" i="3"/>
  <c r="D8" i="3"/>
  <c r="E9" i="3"/>
  <c r="D9" i="3"/>
  <c r="E10" i="3"/>
  <c r="D10" i="3"/>
  <c r="E11" i="3"/>
  <c r="D11" i="3"/>
  <c r="E12" i="3"/>
  <c r="D12" i="3"/>
  <c r="C4" i="3"/>
  <c r="C5" i="3"/>
  <c r="C6" i="3"/>
  <c r="C7" i="3"/>
  <c r="C8" i="3"/>
  <c r="C9" i="3"/>
  <c r="C10" i="3"/>
  <c r="C11" i="3"/>
  <c r="C12" i="3"/>
  <c r="K17" i="17"/>
  <c r="AT4" i="17"/>
  <c r="AU4" i="17"/>
  <c r="L17" i="17"/>
  <c r="K18" i="17"/>
  <c r="AT5" i="17"/>
  <c r="AU5" i="17"/>
  <c r="L18" i="17"/>
  <c r="K19" i="17"/>
  <c r="AT6" i="17"/>
  <c r="AU6" i="17"/>
  <c r="L19" i="17"/>
  <c r="K20" i="17"/>
  <c r="AT7" i="17"/>
  <c r="AU7" i="17"/>
  <c r="L20" i="17"/>
  <c r="K21" i="17"/>
  <c r="AT8" i="17"/>
  <c r="AU8" i="17"/>
  <c r="L21" i="17"/>
  <c r="K22" i="17"/>
  <c r="AT9" i="17"/>
  <c r="AU9" i="17"/>
  <c r="L22" i="17"/>
  <c r="K23" i="17"/>
  <c r="AT10" i="17"/>
  <c r="AU10" i="17"/>
  <c r="L23" i="17"/>
  <c r="K24" i="17"/>
  <c r="AT11" i="17"/>
  <c r="AU11" i="17"/>
  <c r="L24" i="17"/>
  <c r="K25" i="17"/>
  <c r="AT12" i="17"/>
  <c r="AU12" i="17"/>
  <c r="L25" i="17"/>
  <c r="M17" i="17"/>
  <c r="N17" i="17" a="1"/>
  <c r="N17" i="17"/>
  <c r="O17" i="17"/>
  <c r="E30" i="17" a="1"/>
  <c r="E30" i="17"/>
  <c r="F30" i="17" a="1"/>
  <c r="F30" i="17"/>
  <c r="G30" i="17" a="1"/>
  <c r="H30" i="17" a="1"/>
  <c r="I30" i="17" a="1"/>
  <c r="J30" i="17" a="1"/>
  <c r="K30" i="17" a="1"/>
  <c r="L30" i="17" a="1"/>
  <c r="P17" i="17"/>
  <c r="M30" i="17" a="1"/>
  <c r="N30" i="17" a="1"/>
  <c r="O30" i="17" a="1"/>
  <c r="P30" i="17" a="1"/>
  <c r="Q30" i="17" a="1"/>
  <c r="R30" i="17" a="1"/>
  <c r="S30" i="17" a="1"/>
  <c r="T30" i="17" a="1"/>
  <c r="Q17" i="17"/>
  <c r="U30" i="17" a="1"/>
  <c r="V30" i="17" a="1"/>
  <c r="W30" i="17" a="1"/>
  <c r="X30" i="17" a="1"/>
  <c r="Y30" i="17" a="1"/>
  <c r="Z30" i="17" a="1"/>
  <c r="AA30" i="17" a="1"/>
  <c r="AB30" i="17" a="1"/>
  <c r="R17" i="17"/>
  <c r="AC30" i="17" a="1"/>
  <c r="AD30" i="17" a="1"/>
  <c r="AE30" i="17" a="1"/>
  <c r="AF30" i="17" a="1"/>
  <c r="AG30" i="17" a="1"/>
  <c r="AH30" i="17" a="1"/>
  <c r="AI30" i="17" a="1"/>
  <c r="AJ30" i="17" a="1"/>
  <c r="S17" i="17"/>
  <c r="AK30" i="17" a="1"/>
  <c r="AL30" i="17" a="1"/>
  <c r="AM30" i="17" a="1"/>
  <c r="AN30" i="17" a="1"/>
  <c r="AO30" i="17" a="1"/>
  <c r="AP30" i="17" a="1"/>
  <c r="AQ30" i="17" a="1"/>
  <c r="AR30" i="17" a="1"/>
  <c r="T17" i="17"/>
  <c r="AS30" i="17" a="1"/>
  <c r="AT30" i="17" a="1"/>
  <c r="AU30" i="17" a="1"/>
  <c r="AV30" i="17" a="1"/>
  <c r="AW30" i="17" a="1"/>
  <c r="AX30" i="17" a="1"/>
  <c r="AY30" i="17" a="1"/>
  <c r="AZ30" i="17" a="1"/>
  <c r="U17" i="17"/>
  <c r="BA30" i="17" a="1"/>
  <c r="BB30" i="17" a="1"/>
  <c r="BC30" i="17" a="1"/>
  <c r="BD30" i="17" a="1"/>
  <c r="BE30" i="17" a="1"/>
  <c r="BF30" i="17" a="1"/>
  <c r="BG30" i="17" a="1"/>
  <c r="BH30" i="17" a="1"/>
  <c r="V17" i="17"/>
  <c r="BI30" i="17" a="1"/>
  <c r="BJ30" i="17" a="1"/>
  <c r="BK30" i="17" a="1"/>
  <c r="BL30" i="17" a="1"/>
  <c r="BM30" i="17" a="1"/>
  <c r="BN30" i="17" a="1"/>
  <c r="BO30" i="17" a="1"/>
  <c r="BP30" i="17" a="1"/>
  <c r="G30" i="17"/>
  <c r="H30" i="17"/>
  <c r="I30" i="17"/>
  <c r="J30" i="17"/>
  <c r="K30" i="17"/>
  <c r="L30" i="17"/>
  <c r="M30" i="17"/>
  <c r="N30" i="17"/>
  <c r="O30" i="17"/>
  <c r="P30" i="17"/>
  <c r="Q30" i="17"/>
  <c r="R30" i="17"/>
  <c r="S30" i="17"/>
  <c r="T30" i="17"/>
  <c r="U30" i="17"/>
  <c r="V30" i="17"/>
  <c r="W30" i="17"/>
  <c r="X30" i="17"/>
  <c r="Y30" i="17"/>
  <c r="Z30" i="17"/>
  <c r="AA30" i="17"/>
  <c r="AB30" i="17"/>
  <c r="AC30" i="17"/>
  <c r="AD30" i="17"/>
  <c r="AE30" i="17"/>
  <c r="AF30" i="17"/>
  <c r="AG30" i="17"/>
  <c r="AH30" i="17"/>
  <c r="AI30" i="17"/>
  <c r="AJ30" i="17"/>
  <c r="AK30" i="17"/>
  <c r="AL30" i="17"/>
  <c r="AM30" i="17"/>
  <c r="AN30" i="17"/>
  <c r="AO30" i="17"/>
  <c r="AP30" i="17"/>
  <c r="AQ30" i="17"/>
  <c r="AR30" i="17"/>
  <c r="AS30" i="17"/>
  <c r="AT30" i="17"/>
  <c r="AU30" i="17"/>
  <c r="AV30" i="17"/>
  <c r="AW30" i="17"/>
  <c r="AX30" i="17"/>
  <c r="AY30" i="17"/>
  <c r="AZ30" i="17"/>
  <c r="BA30" i="17"/>
  <c r="BB30" i="17"/>
  <c r="BC30" i="17"/>
  <c r="BD30" i="17"/>
  <c r="BE30" i="17"/>
  <c r="BF30" i="17"/>
  <c r="BG30" i="17"/>
  <c r="BH30" i="17"/>
  <c r="BI30" i="17"/>
  <c r="BJ30" i="17"/>
  <c r="BK30" i="17"/>
  <c r="BL30" i="17"/>
  <c r="BM30" i="17"/>
  <c r="BN30" i="17"/>
  <c r="BO30" i="17"/>
  <c r="BP30" i="17"/>
  <c r="AA17" i="17"/>
  <c r="E41" i="17" a="1"/>
  <c r="E41" i="17"/>
  <c r="F41" i="17" a="1"/>
  <c r="F41" i="17"/>
  <c r="G41" i="17" a="1"/>
  <c r="H41" i="17" a="1"/>
  <c r="I41" i="17" a="1"/>
  <c r="J41" i="17" a="1"/>
  <c r="K41" i="17" a="1"/>
  <c r="L41" i="17" a="1"/>
  <c r="M41" i="17" a="1"/>
  <c r="N41" i="17" a="1"/>
  <c r="O41" i="17" a="1"/>
  <c r="P41" i="17" a="1"/>
  <c r="Q41" i="17" a="1"/>
  <c r="R41" i="17" a="1"/>
  <c r="S41" i="17" a="1"/>
  <c r="T41" i="17" a="1"/>
  <c r="U41" i="17" a="1"/>
  <c r="V41" i="17" a="1"/>
  <c r="W41" i="17" a="1"/>
  <c r="X41" i="17" a="1"/>
  <c r="Y41" i="17" a="1"/>
  <c r="Z41" i="17" a="1"/>
  <c r="AA41" i="17" a="1"/>
  <c r="AB41" i="17" a="1"/>
  <c r="AC41" i="17" a="1"/>
  <c r="AD41" i="17" a="1"/>
  <c r="AE41" i="17" a="1"/>
  <c r="AF41" i="17" a="1"/>
  <c r="AG41" i="17" a="1"/>
  <c r="AH41" i="17" a="1"/>
  <c r="AI41" i="17" a="1"/>
  <c r="AJ41" i="17" a="1"/>
  <c r="AK41" i="17" a="1"/>
  <c r="AL41" i="17" a="1"/>
  <c r="AM41" i="17" a="1"/>
  <c r="AN41" i="17" a="1"/>
  <c r="AO41" i="17" a="1"/>
  <c r="AP41" i="17" a="1"/>
  <c r="AQ41" i="17" a="1"/>
  <c r="AR41" i="17" a="1"/>
  <c r="AS41" i="17" a="1"/>
  <c r="AT41" i="17" a="1"/>
  <c r="AU41" i="17" a="1"/>
  <c r="AV41" i="17" a="1"/>
  <c r="AW41" i="17" a="1"/>
  <c r="AX41" i="17" a="1"/>
  <c r="AY41" i="17" a="1"/>
  <c r="AZ41" i="17" a="1"/>
  <c r="BA41" i="17" a="1"/>
  <c r="BB41" i="17" a="1"/>
  <c r="BC41" i="17" a="1"/>
  <c r="BD41" i="17" a="1"/>
  <c r="BE41" i="17" a="1"/>
  <c r="BF41" i="17" a="1"/>
  <c r="BG41" i="17" a="1"/>
  <c r="BH41" i="17" a="1"/>
  <c r="BI41" i="17" a="1"/>
  <c r="BJ41" i="17" a="1"/>
  <c r="BK41" i="17" a="1"/>
  <c r="BL41" i="17" a="1"/>
  <c r="BM41" i="17" a="1"/>
  <c r="BN41" i="17" a="1"/>
  <c r="BO41" i="17" a="1"/>
  <c r="BP41" i="17" a="1"/>
  <c r="G41" i="17"/>
  <c r="H41" i="17"/>
  <c r="I41" i="17"/>
  <c r="J41" i="17"/>
  <c r="K41" i="17"/>
  <c r="L41" i="17"/>
  <c r="M41" i="17"/>
  <c r="N41" i="17"/>
  <c r="O41" i="17"/>
  <c r="P41" i="17"/>
  <c r="Q41" i="17"/>
  <c r="R41" i="17"/>
  <c r="S41" i="17"/>
  <c r="T41" i="17"/>
  <c r="U41" i="17"/>
  <c r="V41" i="17"/>
  <c r="W41" i="17"/>
  <c r="X41" i="17"/>
  <c r="Y41" i="17"/>
  <c r="Z41" i="17"/>
  <c r="AA41" i="17"/>
  <c r="AB41" i="17"/>
  <c r="AC41" i="17"/>
  <c r="AD41" i="17"/>
  <c r="AE41" i="17"/>
  <c r="AF41" i="17"/>
  <c r="AG41" i="17"/>
  <c r="AH41" i="17"/>
  <c r="AI41" i="17"/>
  <c r="AJ41" i="17"/>
  <c r="AK41" i="17"/>
  <c r="AL41" i="17"/>
  <c r="AM41" i="17"/>
  <c r="AN41" i="17"/>
  <c r="AO41" i="17"/>
  <c r="AP41" i="17"/>
  <c r="AQ41" i="17"/>
  <c r="AR41" i="17"/>
  <c r="AS41" i="17"/>
  <c r="AT41" i="17"/>
  <c r="AU41" i="17"/>
  <c r="AV41" i="17"/>
  <c r="AW41" i="17"/>
  <c r="AX41" i="17"/>
  <c r="AY41" i="17"/>
  <c r="AZ41" i="17"/>
  <c r="BA41" i="17"/>
  <c r="BB41" i="17"/>
  <c r="BC41" i="17"/>
  <c r="BD41" i="17"/>
  <c r="BE41" i="17"/>
  <c r="BF41" i="17"/>
  <c r="BG41" i="17"/>
  <c r="BH41" i="17"/>
  <c r="BI41" i="17"/>
  <c r="BJ41" i="17"/>
  <c r="BK41" i="17"/>
  <c r="BL41" i="17"/>
  <c r="BM41" i="17"/>
  <c r="BN41" i="17"/>
  <c r="BO41" i="17"/>
  <c r="BP41" i="17"/>
  <c r="AB17" i="17"/>
  <c r="W17" i="17"/>
  <c r="M18" i="17"/>
  <c r="N18" i="17" a="1"/>
  <c r="N18" i="17"/>
  <c r="O18" i="17"/>
  <c r="E31" i="17" a="1"/>
  <c r="E31" i="17"/>
  <c r="F31" i="17" a="1"/>
  <c r="F31" i="17"/>
  <c r="G31" i="17" a="1"/>
  <c r="H31" i="17" a="1"/>
  <c r="I31" i="17" a="1"/>
  <c r="J31" i="17" a="1"/>
  <c r="K31" i="17" a="1"/>
  <c r="L31" i="17" a="1"/>
  <c r="P18" i="17"/>
  <c r="M31" i="17" a="1"/>
  <c r="N31" i="17" a="1"/>
  <c r="O31" i="17" a="1"/>
  <c r="P31" i="17" a="1"/>
  <c r="Q31" i="17" a="1"/>
  <c r="R31" i="17" a="1"/>
  <c r="S31" i="17" a="1"/>
  <c r="T31" i="17" a="1"/>
  <c r="Q18" i="17"/>
  <c r="U31" i="17" a="1"/>
  <c r="V31" i="17" a="1"/>
  <c r="W31" i="17" a="1"/>
  <c r="X31" i="17" a="1"/>
  <c r="Y31" i="17" a="1"/>
  <c r="Z31" i="17" a="1"/>
  <c r="AA31" i="17" a="1"/>
  <c r="AB31" i="17" a="1"/>
  <c r="R18" i="17"/>
  <c r="AC31" i="17" a="1"/>
  <c r="AD31" i="17" a="1"/>
  <c r="AE31" i="17" a="1"/>
  <c r="AF31" i="17" a="1"/>
  <c r="AG31" i="17" a="1"/>
  <c r="AH31" i="17" a="1"/>
  <c r="AI31" i="17" a="1"/>
  <c r="AJ31" i="17" a="1"/>
  <c r="S18" i="17"/>
  <c r="AK31" i="17" a="1"/>
  <c r="AL31" i="17" a="1"/>
  <c r="AM31" i="17" a="1"/>
  <c r="AN31" i="17" a="1"/>
  <c r="AO31" i="17" a="1"/>
  <c r="AP31" i="17" a="1"/>
  <c r="AQ31" i="17" a="1"/>
  <c r="AR31" i="17" a="1"/>
  <c r="T18" i="17"/>
  <c r="AS31" i="17" a="1"/>
  <c r="AT31" i="17" a="1"/>
  <c r="AU31" i="17" a="1"/>
  <c r="AV31" i="17" a="1"/>
  <c r="AW31" i="17" a="1"/>
  <c r="AX31" i="17" a="1"/>
  <c r="AY31" i="17" a="1"/>
  <c r="AZ31" i="17" a="1"/>
  <c r="U18" i="17"/>
  <c r="BA31" i="17" a="1"/>
  <c r="BB31" i="17" a="1"/>
  <c r="BC31" i="17" a="1"/>
  <c r="BD31" i="17" a="1"/>
  <c r="BE31" i="17" a="1"/>
  <c r="BF31" i="17" a="1"/>
  <c r="BG31" i="17" a="1"/>
  <c r="BH31" i="17" a="1"/>
  <c r="V18" i="17"/>
  <c r="BI31" i="17" a="1"/>
  <c r="BJ31" i="17" a="1"/>
  <c r="BK31" i="17" a="1"/>
  <c r="BL31" i="17" a="1"/>
  <c r="BM31" i="17" a="1"/>
  <c r="BN31" i="17" a="1"/>
  <c r="BO31" i="17" a="1"/>
  <c r="BP31" i="17" a="1"/>
  <c r="G31" i="17"/>
  <c r="H31" i="17"/>
  <c r="I31" i="17"/>
  <c r="J31" i="17"/>
  <c r="K31" i="17"/>
  <c r="L31" i="17"/>
  <c r="M31" i="17"/>
  <c r="N31" i="17"/>
  <c r="O31" i="17"/>
  <c r="P31" i="17"/>
  <c r="Q31" i="17"/>
  <c r="R31" i="17"/>
  <c r="S31" i="17"/>
  <c r="T31" i="17"/>
  <c r="U31" i="17"/>
  <c r="V31" i="17"/>
  <c r="W31" i="17"/>
  <c r="X31" i="17"/>
  <c r="Y31" i="17"/>
  <c r="Z31" i="17"/>
  <c r="AA31" i="17"/>
  <c r="AB31" i="17"/>
  <c r="AC31" i="17"/>
  <c r="AD31" i="17"/>
  <c r="AE31" i="17"/>
  <c r="AF31" i="17"/>
  <c r="AG31" i="17"/>
  <c r="AH31" i="17"/>
  <c r="AI31" i="17"/>
  <c r="AJ31" i="17"/>
  <c r="AK31" i="17"/>
  <c r="AL31" i="17"/>
  <c r="AM31" i="17"/>
  <c r="AN31" i="17"/>
  <c r="AO31" i="17"/>
  <c r="AP31" i="17"/>
  <c r="AQ31" i="17"/>
  <c r="AR31" i="17"/>
  <c r="AS31" i="17"/>
  <c r="AT31" i="17"/>
  <c r="AU31" i="17"/>
  <c r="AV31" i="17"/>
  <c r="AW31" i="17"/>
  <c r="AX31" i="17"/>
  <c r="AY31" i="17"/>
  <c r="AZ31" i="17"/>
  <c r="BA31" i="17"/>
  <c r="BB31" i="17"/>
  <c r="BC31" i="17"/>
  <c r="BD31" i="17"/>
  <c r="BE31" i="17"/>
  <c r="BF31" i="17"/>
  <c r="BG31" i="17"/>
  <c r="BH31" i="17"/>
  <c r="BI31" i="17"/>
  <c r="BJ31" i="17"/>
  <c r="BK31" i="17"/>
  <c r="BL31" i="17"/>
  <c r="BM31" i="17"/>
  <c r="BN31" i="17"/>
  <c r="BO31" i="17"/>
  <c r="BP31" i="17"/>
  <c r="AA18" i="17"/>
  <c r="E42" i="17" a="1"/>
  <c r="E42" i="17"/>
  <c r="F42" i="17" a="1"/>
  <c r="F42" i="17"/>
  <c r="G42" i="17" a="1"/>
  <c r="H42" i="17" a="1"/>
  <c r="I42" i="17" a="1"/>
  <c r="J42" i="17" a="1"/>
  <c r="K42" i="17" a="1"/>
  <c r="L42" i="17" a="1"/>
  <c r="M42" i="17" a="1"/>
  <c r="N42" i="17" a="1"/>
  <c r="O42" i="17" a="1"/>
  <c r="P42" i="17" a="1"/>
  <c r="Q42" i="17" a="1"/>
  <c r="R42" i="17" a="1"/>
  <c r="S42" i="17" a="1"/>
  <c r="T42" i="17" a="1"/>
  <c r="U42" i="17" a="1"/>
  <c r="V42" i="17" a="1"/>
  <c r="W42" i="17" a="1"/>
  <c r="X42" i="17" a="1"/>
  <c r="Y42" i="17" a="1"/>
  <c r="Z42" i="17" a="1"/>
  <c r="AA42" i="17" a="1"/>
  <c r="AB42" i="17" a="1"/>
  <c r="AC42" i="17" a="1"/>
  <c r="AD42" i="17" a="1"/>
  <c r="AE42" i="17" a="1"/>
  <c r="AF42" i="17" a="1"/>
  <c r="AG42" i="17" a="1"/>
  <c r="AH42" i="17" a="1"/>
  <c r="AI42" i="17" a="1"/>
  <c r="AJ42" i="17" a="1"/>
  <c r="AK42" i="17" a="1"/>
  <c r="AL42" i="17" a="1"/>
  <c r="AM42" i="17" a="1"/>
  <c r="AN42" i="17" a="1"/>
  <c r="AO42" i="17" a="1"/>
  <c r="AP42" i="17" a="1"/>
  <c r="AQ42" i="17" a="1"/>
  <c r="AR42" i="17" a="1"/>
  <c r="AS42" i="17" a="1"/>
  <c r="AT42" i="17" a="1"/>
  <c r="AU42" i="17" a="1"/>
  <c r="AV42" i="17" a="1"/>
  <c r="AW42" i="17" a="1"/>
  <c r="AX42" i="17" a="1"/>
  <c r="AY42" i="17" a="1"/>
  <c r="AZ42" i="17" a="1"/>
  <c r="BA42" i="17" a="1"/>
  <c r="BB42" i="17" a="1"/>
  <c r="BC42" i="17" a="1"/>
  <c r="BD42" i="17" a="1"/>
  <c r="BE42" i="17" a="1"/>
  <c r="BF42" i="17" a="1"/>
  <c r="BG42" i="17" a="1"/>
  <c r="BH42" i="17" a="1"/>
  <c r="BI42" i="17" a="1"/>
  <c r="BJ42" i="17" a="1"/>
  <c r="BK42" i="17" a="1"/>
  <c r="BL42" i="17" a="1"/>
  <c r="BM42" i="17" a="1"/>
  <c r="BN42" i="17" a="1"/>
  <c r="BO42" i="17" a="1"/>
  <c r="BP42" i="17" a="1"/>
  <c r="G42" i="17"/>
  <c r="H42" i="17"/>
  <c r="I42" i="17"/>
  <c r="J42" i="17"/>
  <c r="K42" i="17"/>
  <c r="L42" i="17"/>
  <c r="M42" i="17"/>
  <c r="N42" i="17"/>
  <c r="O42" i="17"/>
  <c r="P42" i="17"/>
  <c r="Q42" i="17"/>
  <c r="R42" i="17"/>
  <c r="S42" i="17"/>
  <c r="T42" i="17"/>
  <c r="U42" i="17"/>
  <c r="V42" i="17"/>
  <c r="W42" i="17"/>
  <c r="X42" i="17"/>
  <c r="Y42" i="17"/>
  <c r="Z42" i="17"/>
  <c r="AA42" i="17"/>
  <c r="AB42" i="17"/>
  <c r="AC42" i="17"/>
  <c r="AD42" i="17"/>
  <c r="AE42" i="17"/>
  <c r="AF42" i="17"/>
  <c r="AG42" i="17"/>
  <c r="AH42" i="17"/>
  <c r="AI42" i="17"/>
  <c r="AJ42" i="17"/>
  <c r="AK42" i="17"/>
  <c r="AL42" i="17"/>
  <c r="AM42" i="17"/>
  <c r="AN42" i="17"/>
  <c r="AO42" i="17"/>
  <c r="AP42" i="17"/>
  <c r="AQ42" i="17"/>
  <c r="AR42" i="17"/>
  <c r="AS42" i="17"/>
  <c r="AT42" i="17"/>
  <c r="AU42" i="17"/>
  <c r="AV42" i="17"/>
  <c r="AW42" i="17"/>
  <c r="AX42" i="17"/>
  <c r="AY42" i="17"/>
  <c r="AZ42" i="17"/>
  <c r="BA42" i="17"/>
  <c r="BB42" i="17"/>
  <c r="BC42" i="17"/>
  <c r="BD42" i="17"/>
  <c r="BE42" i="17"/>
  <c r="BF42" i="17"/>
  <c r="BG42" i="17"/>
  <c r="BH42" i="17"/>
  <c r="BI42" i="17"/>
  <c r="BJ42" i="17"/>
  <c r="BK42" i="17"/>
  <c r="BL42" i="17"/>
  <c r="BM42" i="17"/>
  <c r="BN42" i="17"/>
  <c r="BO42" i="17"/>
  <c r="BP42" i="17"/>
  <c r="AB18" i="17"/>
  <c r="W18" i="17"/>
  <c r="M19" i="17"/>
  <c r="N19" i="17" a="1"/>
  <c r="N19" i="17"/>
  <c r="O19" i="17"/>
  <c r="E32" i="17" a="1"/>
  <c r="E32" i="17"/>
  <c r="F32" i="17" a="1"/>
  <c r="F32" i="17"/>
  <c r="G32" i="17" a="1"/>
  <c r="H32" i="17" a="1"/>
  <c r="I32" i="17" a="1"/>
  <c r="J32" i="17" a="1"/>
  <c r="K32" i="17" a="1"/>
  <c r="L32" i="17" a="1"/>
  <c r="P19" i="17"/>
  <c r="M32" i="17" a="1"/>
  <c r="N32" i="17" a="1"/>
  <c r="O32" i="17" a="1"/>
  <c r="P32" i="17" a="1"/>
  <c r="Q32" i="17" a="1"/>
  <c r="R32" i="17" a="1"/>
  <c r="S32" i="17" a="1"/>
  <c r="T32" i="17" a="1"/>
  <c r="Q19" i="17"/>
  <c r="U32" i="17" a="1"/>
  <c r="V32" i="17" a="1"/>
  <c r="W32" i="17" a="1"/>
  <c r="X32" i="17" a="1"/>
  <c r="Y32" i="17" a="1"/>
  <c r="Z32" i="17" a="1"/>
  <c r="AA32" i="17" a="1"/>
  <c r="AB32" i="17" a="1"/>
  <c r="R19" i="17"/>
  <c r="AC32" i="17" a="1"/>
  <c r="AD32" i="17" a="1"/>
  <c r="AE32" i="17" a="1"/>
  <c r="AF32" i="17" a="1"/>
  <c r="AG32" i="17" a="1"/>
  <c r="AH32" i="17" a="1"/>
  <c r="AI32" i="17" a="1"/>
  <c r="AJ32" i="17" a="1"/>
  <c r="S19" i="17"/>
  <c r="AK32" i="17" a="1"/>
  <c r="AL32" i="17" a="1"/>
  <c r="AM32" i="17" a="1"/>
  <c r="AN32" i="17" a="1"/>
  <c r="AO32" i="17" a="1"/>
  <c r="AP32" i="17" a="1"/>
  <c r="AQ32" i="17" a="1"/>
  <c r="AR32" i="17" a="1"/>
  <c r="T19" i="17"/>
  <c r="AS32" i="17" a="1"/>
  <c r="AT32" i="17" a="1"/>
  <c r="AU32" i="17" a="1"/>
  <c r="AV32" i="17" a="1"/>
  <c r="AW32" i="17" a="1"/>
  <c r="AX32" i="17" a="1"/>
  <c r="AY32" i="17" a="1"/>
  <c r="AZ32" i="17" a="1"/>
  <c r="U19" i="17"/>
  <c r="BA32" i="17" a="1"/>
  <c r="BB32" i="17" a="1"/>
  <c r="BC32" i="17" a="1"/>
  <c r="BD32" i="17" a="1"/>
  <c r="BE32" i="17" a="1"/>
  <c r="BF32" i="17" a="1"/>
  <c r="BG32" i="17" a="1"/>
  <c r="BH32" i="17" a="1"/>
  <c r="V19" i="17"/>
  <c r="BI32" i="17" a="1"/>
  <c r="BJ32" i="17" a="1"/>
  <c r="BK32" i="17" a="1"/>
  <c r="BL32" i="17" a="1"/>
  <c r="BM32" i="17" a="1"/>
  <c r="BN32" i="17" a="1"/>
  <c r="BO32" i="17" a="1"/>
  <c r="BP32" i="17" a="1"/>
  <c r="G32" i="17"/>
  <c r="H32" i="17"/>
  <c r="I32" i="17"/>
  <c r="J32" i="17"/>
  <c r="K32" i="17"/>
  <c r="L32" i="17"/>
  <c r="M32" i="17"/>
  <c r="N32" i="17"/>
  <c r="O32" i="17"/>
  <c r="P32" i="17"/>
  <c r="Q32" i="17"/>
  <c r="R32" i="17"/>
  <c r="S32" i="17"/>
  <c r="T32" i="17"/>
  <c r="U32" i="17"/>
  <c r="V32" i="17"/>
  <c r="W32" i="17"/>
  <c r="X32" i="17"/>
  <c r="Y32" i="17"/>
  <c r="Z32" i="17"/>
  <c r="AA32" i="17"/>
  <c r="AB32" i="17"/>
  <c r="AC32" i="17"/>
  <c r="AD32" i="17"/>
  <c r="AE32" i="17"/>
  <c r="AF32" i="17"/>
  <c r="AG32" i="17"/>
  <c r="AH32" i="17"/>
  <c r="AI32" i="17"/>
  <c r="AJ32" i="17"/>
  <c r="AK32" i="17"/>
  <c r="AL32" i="17"/>
  <c r="AM32" i="17"/>
  <c r="AN32" i="17"/>
  <c r="AO32" i="17"/>
  <c r="AP32" i="17"/>
  <c r="AQ32" i="17"/>
  <c r="AR32" i="17"/>
  <c r="AS32" i="17"/>
  <c r="AT32" i="17"/>
  <c r="AU32" i="17"/>
  <c r="AV32" i="17"/>
  <c r="AW32" i="17"/>
  <c r="AX32" i="17"/>
  <c r="AY32" i="17"/>
  <c r="AZ32" i="17"/>
  <c r="BA32" i="17"/>
  <c r="BB32" i="17"/>
  <c r="BC32" i="17"/>
  <c r="BD32" i="17"/>
  <c r="BE32" i="17"/>
  <c r="BF32" i="17"/>
  <c r="BG32" i="17"/>
  <c r="BH32" i="17"/>
  <c r="BI32" i="17"/>
  <c r="BJ32" i="17"/>
  <c r="BK32" i="17"/>
  <c r="BL32" i="17"/>
  <c r="BM32" i="17"/>
  <c r="BN32" i="17"/>
  <c r="BO32" i="17"/>
  <c r="BP32" i="17"/>
  <c r="AA19" i="17"/>
  <c r="E43" i="17" a="1"/>
  <c r="E43" i="17"/>
  <c r="F43" i="17" a="1"/>
  <c r="F43" i="17"/>
  <c r="G43" i="17" a="1"/>
  <c r="H43" i="17" a="1"/>
  <c r="I43" i="17" a="1"/>
  <c r="J43" i="17" a="1"/>
  <c r="K43" i="17" a="1"/>
  <c r="L43" i="17" a="1"/>
  <c r="M43" i="17" a="1"/>
  <c r="N43" i="17" a="1"/>
  <c r="O43" i="17" a="1"/>
  <c r="P43" i="17" a="1"/>
  <c r="Q43" i="17" a="1"/>
  <c r="R43" i="17" a="1"/>
  <c r="S43" i="17" a="1"/>
  <c r="T43" i="17" a="1"/>
  <c r="U43" i="17" a="1"/>
  <c r="V43" i="17" a="1"/>
  <c r="W43" i="17" a="1"/>
  <c r="X43" i="17" a="1"/>
  <c r="Y43" i="17" a="1"/>
  <c r="Z43" i="17" a="1"/>
  <c r="AA43" i="17" a="1"/>
  <c r="AB43" i="17" a="1"/>
  <c r="AC43" i="17" a="1"/>
  <c r="AD43" i="17" a="1"/>
  <c r="AE43" i="17" a="1"/>
  <c r="AF43" i="17" a="1"/>
  <c r="AG43" i="17" a="1"/>
  <c r="AH43" i="17" a="1"/>
  <c r="AI43" i="17" a="1"/>
  <c r="AJ43" i="17" a="1"/>
  <c r="AK43" i="17" a="1"/>
  <c r="AL43" i="17" a="1"/>
  <c r="AM43" i="17" a="1"/>
  <c r="AN43" i="17" a="1"/>
  <c r="AO43" i="17" a="1"/>
  <c r="AP43" i="17" a="1"/>
  <c r="AQ43" i="17" a="1"/>
  <c r="AR43" i="17" a="1"/>
  <c r="AS43" i="17" a="1"/>
  <c r="AT43" i="17" a="1"/>
  <c r="AU43" i="17" a="1"/>
  <c r="AV43" i="17" a="1"/>
  <c r="AW43" i="17" a="1"/>
  <c r="AX43" i="17" a="1"/>
  <c r="AY43" i="17" a="1"/>
  <c r="AZ43" i="17" a="1"/>
  <c r="BA43" i="17" a="1"/>
  <c r="BB43" i="17" a="1"/>
  <c r="BC43" i="17" a="1"/>
  <c r="BD43" i="17" a="1"/>
  <c r="BE43" i="17" a="1"/>
  <c r="BF43" i="17" a="1"/>
  <c r="BG43" i="17" a="1"/>
  <c r="BH43" i="17" a="1"/>
  <c r="BI43" i="17" a="1"/>
  <c r="BJ43" i="17" a="1"/>
  <c r="BK43" i="17" a="1"/>
  <c r="BL43" i="17" a="1"/>
  <c r="BM43" i="17" a="1"/>
  <c r="BN43" i="17" a="1"/>
  <c r="BO43" i="17" a="1"/>
  <c r="BP43" i="17" a="1"/>
  <c r="G43" i="17"/>
  <c r="H43" i="17"/>
  <c r="I43" i="17"/>
  <c r="J43" i="17"/>
  <c r="K43" i="17"/>
  <c r="L43" i="17"/>
  <c r="M43" i="17"/>
  <c r="N43" i="17"/>
  <c r="O43" i="17"/>
  <c r="P43" i="17"/>
  <c r="Q43" i="17"/>
  <c r="R43" i="17"/>
  <c r="S43" i="17"/>
  <c r="T43" i="17"/>
  <c r="U43" i="17"/>
  <c r="V43" i="17"/>
  <c r="W43" i="17"/>
  <c r="X43" i="17"/>
  <c r="Y43" i="17"/>
  <c r="Z43" i="17"/>
  <c r="AA43" i="17"/>
  <c r="AB43" i="17"/>
  <c r="AC43" i="17"/>
  <c r="AD43" i="17"/>
  <c r="AE43" i="17"/>
  <c r="AF43" i="17"/>
  <c r="AG43" i="17"/>
  <c r="AH43" i="17"/>
  <c r="AI43" i="17"/>
  <c r="AJ43" i="17"/>
  <c r="AK43" i="17"/>
  <c r="AL43" i="17"/>
  <c r="AM43" i="17"/>
  <c r="AN43" i="17"/>
  <c r="AO43" i="17"/>
  <c r="AP43" i="17"/>
  <c r="AQ43" i="17"/>
  <c r="AR43" i="17"/>
  <c r="AS43" i="17"/>
  <c r="AT43" i="17"/>
  <c r="AU43" i="17"/>
  <c r="AV43" i="17"/>
  <c r="AW43" i="17"/>
  <c r="AX43" i="17"/>
  <c r="AY43" i="17"/>
  <c r="AZ43" i="17"/>
  <c r="BA43" i="17"/>
  <c r="BB43" i="17"/>
  <c r="BC43" i="17"/>
  <c r="BD43" i="17"/>
  <c r="BE43" i="17"/>
  <c r="BF43" i="17"/>
  <c r="BG43" i="17"/>
  <c r="BH43" i="17"/>
  <c r="BI43" i="17"/>
  <c r="BJ43" i="17"/>
  <c r="BK43" i="17"/>
  <c r="BL43" i="17"/>
  <c r="BM43" i="17"/>
  <c r="BN43" i="17"/>
  <c r="BO43" i="17"/>
  <c r="BP43" i="17"/>
  <c r="AB19" i="17"/>
  <c r="W19" i="17"/>
  <c r="M20" i="17"/>
  <c r="N20" i="17" a="1"/>
  <c r="N20" i="17"/>
  <c r="O20" i="17"/>
  <c r="E33" i="17" a="1"/>
  <c r="E33" i="17"/>
  <c r="F33" i="17" a="1"/>
  <c r="F33" i="17"/>
  <c r="G33" i="17" a="1"/>
  <c r="H33" i="17" a="1"/>
  <c r="I33" i="17" a="1"/>
  <c r="J33" i="17" a="1"/>
  <c r="K33" i="17" a="1"/>
  <c r="L33" i="17" a="1"/>
  <c r="P20" i="17"/>
  <c r="M33" i="17" a="1"/>
  <c r="N33" i="17" a="1"/>
  <c r="O33" i="17" a="1"/>
  <c r="P33" i="17" a="1"/>
  <c r="Q33" i="17" a="1"/>
  <c r="R33" i="17" a="1"/>
  <c r="S33" i="17" a="1"/>
  <c r="T33" i="17" a="1"/>
  <c r="Q20" i="17"/>
  <c r="U33" i="17" a="1"/>
  <c r="V33" i="17" a="1"/>
  <c r="W33" i="17" a="1"/>
  <c r="X33" i="17" a="1"/>
  <c r="Y33" i="17" a="1"/>
  <c r="Z33" i="17" a="1"/>
  <c r="AA33" i="17" a="1"/>
  <c r="AB33" i="17" a="1"/>
  <c r="R20" i="17"/>
  <c r="AC33" i="17" a="1"/>
  <c r="AD33" i="17" a="1"/>
  <c r="AE33" i="17" a="1"/>
  <c r="AF33" i="17" a="1"/>
  <c r="AG33" i="17" a="1"/>
  <c r="AH33" i="17" a="1"/>
  <c r="AI33" i="17" a="1"/>
  <c r="AJ33" i="17" a="1"/>
  <c r="S20" i="17"/>
  <c r="AK33" i="17" a="1"/>
  <c r="AL33" i="17" a="1"/>
  <c r="AM33" i="17" a="1"/>
  <c r="AN33" i="17" a="1"/>
  <c r="AO33" i="17" a="1"/>
  <c r="AP33" i="17" a="1"/>
  <c r="AQ33" i="17" a="1"/>
  <c r="AR33" i="17" a="1"/>
  <c r="T20" i="17"/>
  <c r="AS33" i="17" a="1"/>
  <c r="AT33" i="17" a="1"/>
  <c r="AU33" i="17" a="1"/>
  <c r="AV33" i="17" a="1"/>
  <c r="AW33" i="17" a="1"/>
  <c r="AX33" i="17" a="1"/>
  <c r="AY33" i="17" a="1"/>
  <c r="AZ33" i="17" a="1"/>
  <c r="U20" i="17"/>
  <c r="BA33" i="17" a="1"/>
  <c r="BB33" i="17" a="1"/>
  <c r="BC33" i="17" a="1"/>
  <c r="BD33" i="17" a="1"/>
  <c r="BE33" i="17" a="1"/>
  <c r="BF33" i="17" a="1"/>
  <c r="BG33" i="17" a="1"/>
  <c r="BH33" i="17" a="1"/>
  <c r="V20" i="17"/>
  <c r="BI33" i="17" a="1"/>
  <c r="BJ33" i="17" a="1"/>
  <c r="BK33" i="17" a="1"/>
  <c r="BL33" i="17" a="1"/>
  <c r="BM33" i="17" a="1"/>
  <c r="BN33" i="17" a="1"/>
  <c r="BO33" i="17" a="1"/>
  <c r="BP33" i="17" a="1"/>
  <c r="G33" i="17"/>
  <c r="H33" i="17"/>
  <c r="I33" i="17"/>
  <c r="J33" i="17"/>
  <c r="K33" i="17"/>
  <c r="L33" i="17"/>
  <c r="M33" i="17"/>
  <c r="N33" i="17"/>
  <c r="O33" i="17"/>
  <c r="P33" i="17"/>
  <c r="Q33" i="17"/>
  <c r="R33" i="17"/>
  <c r="S33" i="17"/>
  <c r="T33" i="17"/>
  <c r="U33" i="17"/>
  <c r="V33" i="17"/>
  <c r="W33" i="17"/>
  <c r="X33" i="17"/>
  <c r="Y33" i="17"/>
  <c r="Z33" i="17"/>
  <c r="AA33" i="17"/>
  <c r="AB33" i="17"/>
  <c r="AC33" i="17"/>
  <c r="AD33" i="17"/>
  <c r="AE33" i="17"/>
  <c r="AF33" i="17"/>
  <c r="AG33" i="17"/>
  <c r="AH33" i="17"/>
  <c r="AI33" i="17"/>
  <c r="AJ33" i="17"/>
  <c r="AK33" i="17"/>
  <c r="AL33" i="17"/>
  <c r="AM33" i="17"/>
  <c r="AN33" i="17"/>
  <c r="AO33" i="17"/>
  <c r="AP33" i="17"/>
  <c r="AQ33" i="17"/>
  <c r="AR33" i="17"/>
  <c r="AS33" i="17"/>
  <c r="AT33" i="17"/>
  <c r="AU33" i="17"/>
  <c r="AV33" i="17"/>
  <c r="AW33" i="17"/>
  <c r="AX33" i="17"/>
  <c r="AY33" i="17"/>
  <c r="AZ33" i="17"/>
  <c r="BA33" i="17"/>
  <c r="BB33" i="17"/>
  <c r="BC33" i="17"/>
  <c r="BD33" i="17"/>
  <c r="BE33" i="17"/>
  <c r="BF33" i="17"/>
  <c r="BG33" i="17"/>
  <c r="BH33" i="17"/>
  <c r="BI33" i="17"/>
  <c r="BJ33" i="17"/>
  <c r="BK33" i="17"/>
  <c r="BL33" i="17"/>
  <c r="BM33" i="17"/>
  <c r="BN33" i="17"/>
  <c r="BO33" i="17"/>
  <c r="BP33" i="17"/>
  <c r="AA20" i="17"/>
  <c r="E44" i="17" a="1"/>
  <c r="E44" i="17"/>
  <c r="F44" i="17" a="1"/>
  <c r="F44" i="17"/>
  <c r="G44" i="17" a="1"/>
  <c r="H44" i="17" a="1"/>
  <c r="I44" i="17" a="1"/>
  <c r="J44" i="17" a="1"/>
  <c r="K44" i="17" a="1"/>
  <c r="L44" i="17" a="1"/>
  <c r="M44" i="17" a="1"/>
  <c r="N44" i="17" a="1"/>
  <c r="O44" i="17" a="1"/>
  <c r="P44" i="17" a="1"/>
  <c r="Q44" i="17" a="1"/>
  <c r="R44" i="17" a="1"/>
  <c r="S44" i="17" a="1"/>
  <c r="T44" i="17" a="1"/>
  <c r="U44" i="17" a="1"/>
  <c r="V44" i="17" a="1"/>
  <c r="W44" i="17" a="1"/>
  <c r="X44" i="17" a="1"/>
  <c r="Y44" i="17" a="1"/>
  <c r="Z44" i="17" a="1"/>
  <c r="AA44" i="17" a="1"/>
  <c r="AB44" i="17" a="1"/>
  <c r="AC44" i="17" a="1"/>
  <c r="AD44" i="17" a="1"/>
  <c r="AE44" i="17" a="1"/>
  <c r="AF44" i="17" a="1"/>
  <c r="AG44" i="17" a="1"/>
  <c r="AH44" i="17" a="1"/>
  <c r="AI44" i="17" a="1"/>
  <c r="AJ44" i="17" a="1"/>
  <c r="AK44" i="17" a="1"/>
  <c r="AL44" i="17" a="1"/>
  <c r="AM44" i="17" a="1"/>
  <c r="AN44" i="17" a="1"/>
  <c r="AO44" i="17" a="1"/>
  <c r="AP44" i="17" a="1"/>
  <c r="AQ44" i="17" a="1"/>
  <c r="AR44" i="17" a="1"/>
  <c r="AS44" i="17" a="1"/>
  <c r="AT44" i="17" a="1"/>
  <c r="AU44" i="17" a="1"/>
  <c r="AV44" i="17" a="1"/>
  <c r="AW44" i="17" a="1"/>
  <c r="AX44" i="17" a="1"/>
  <c r="AY44" i="17" a="1"/>
  <c r="AZ44" i="17" a="1"/>
  <c r="BA44" i="17" a="1"/>
  <c r="BB44" i="17" a="1"/>
  <c r="BC44" i="17" a="1"/>
  <c r="BD44" i="17" a="1"/>
  <c r="BE44" i="17" a="1"/>
  <c r="BF44" i="17" a="1"/>
  <c r="BG44" i="17" a="1"/>
  <c r="BH44" i="17" a="1"/>
  <c r="BI44" i="17" a="1"/>
  <c r="BJ44" i="17" a="1"/>
  <c r="BK44" i="17" a="1"/>
  <c r="BL44" i="17" a="1"/>
  <c r="BM44" i="17" a="1"/>
  <c r="BN44" i="17" a="1"/>
  <c r="BO44" i="17" a="1"/>
  <c r="BP44" i="17" a="1"/>
  <c r="G44" i="17"/>
  <c r="H44" i="17"/>
  <c r="I44" i="17"/>
  <c r="J44" i="17"/>
  <c r="K44" i="17"/>
  <c r="L44" i="17"/>
  <c r="M44" i="17"/>
  <c r="N44" i="17"/>
  <c r="O44" i="17"/>
  <c r="P44" i="17"/>
  <c r="Q44" i="17"/>
  <c r="R44" i="17"/>
  <c r="S44" i="17"/>
  <c r="T44" i="17"/>
  <c r="U44" i="17"/>
  <c r="V44" i="17"/>
  <c r="W44" i="17"/>
  <c r="X44" i="17"/>
  <c r="Y44" i="17"/>
  <c r="Z44" i="17"/>
  <c r="AA44" i="17"/>
  <c r="AB44" i="17"/>
  <c r="AC44" i="17"/>
  <c r="AD44" i="17"/>
  <c r="AE44" i="17"/>
  <c r="AF44" i="17"/>
  <c r="AG44" i="17"/>
  <c r="AH44" i="17"/>
  <c r="AI44" i="17"/>
  <c r="AJ44" i="17"/>
  <c r="AK44" i="17"/>
  <c r="AL44" i="17"/>
  <c r="AM44" i="17"/>
  <c r="AN44" i="17"/>
  <c r="AO44" i="17"/>
  <c r="AP44" i="17"/>
  <c r="AQ44" i="17"/>
  <c r="AR44" i="17"/>
  <c r="AS44" i="17"/>
  <c r="AT44" i="17"/>
  <c r="AU44" i="17"/>
  <c r="AV44" i="17"/>
  <c r="AW44" i="17"/>
  <c r="AX44" i="17"/>
  <c r="AY44" i="17"/>
  <c r="AZ44" i="17"/>
  <c r="BA44" i="17"/>
  <c r="BB44" i="17"/>
  <c r="BC44" i="17"/>
  <c r="BD44" i="17"/>
  <c r="BE44" i="17"/>
  <c r="BF44" i="17"/>
  <c r="BG44" i="17"/>
  <c r="BH44" i="17"/>
  <c r="BI44" i="17"/>
  <c r="BJ44" i="17"/>
  <c r="BK44" i="17"/>
  <c r="BL44" i="17"/>
  <c r="BM44" i="17"/>
  <c r="BN44" i="17"/>
  <c r="BO44" i="17"/>
  <c r="BP44" i="17"/>
  <c r="AB20" i="17"/>
  <c r="W20" i="17"/>
  <c r="M21" i="17"/>
  <c r="N21" i="17" a="1"/>
  <c r="N21" i="17"/>
  <c r="O21" i="17"/>
  <c r="E34" i="17" a="1"/>
  <c r="E34" i="17"/>
  <c r="F34" i="17" a="1"/>
  <c r="F34" i="17"/>
  <c r="G34" i="17" a="1"/>
  <c r="H34" i="17" a="1"/>
  <c r="I34" i="17" a="1"/>
  <c r="J34" i="17" a="1"/>
  <c r="K34" i="17" a="1"/>
  <c r="L34" i="17" a="1"/>
  <c r="P21" i="17"/>
  <c r="M34" i="17" a="1"/>
  <c r="N34" i="17" a="1"/>
  <c r="O34" i="17" a="1"/>
  <c r="P34" i="17" a="1"/>
  <c r="Q34" i="17" a="1"/>
  <c r="R34" i="17" a="1"/>
  <c r="S34" i="17" a="1"/>
  <c r="T34" i="17" a="1"/>
  <c r="Q21" i="17"/>
  <c r="U34" i="17" a="1"/>
  <c r="V34" i="17" a="1"/>
  <c r="W34" i="17" a="1"/>
  <c r="X34" i="17" a="1"/>
  <c r="Y34" i="17" a="1"/>
  <c r="Z34" i="17" a="1"/>
  <c r="AA34" i="17" a="1"/>
  <c r="AB34" i="17" a="1"/>
  <c r="R21" i="17"/>
  <c r="AC34" i="17" a="1"/>
  <c r="AD34" i="17" a="1"/>
  <c r="AE34" i="17" a="1"/>
  <c r="AF34" i="17" a="1"/>
  <c r="AG34" i="17" a="1"/>
  <c r="AH34" i="17" a="1"/>
  <c r="AI34" i="17" a="1"/>
  <c r="AJ34" i="17" a="1"/>
  <c r="S21" i="17"/>
  <c r="AK34" i="17" a="1"/>
  <c r="AL34" i="17" a="1"/>
  <c r="AM34" i="17" a="1"/>
  <c r="AN34" i="17" a="1"/>
  <c r="AO34" i="17" a="1"/>
  <c r="AP34" i="17" a="1"/>
  <c r="AQ34" i="17" a="1"/>
  <c r="AR34" i="17" a="1"/>
  <c r="T21" i="17"/>
  <c r="AS34" i="17" a="1"/>
  <c r="AT34" i="17" a="1"/>
  <c r="AU34" i="17" a="1"/>
  <c r="AV34" i="17" a="1"/>
  <c r="AW34" i="17" a="1"/>
  <c r="AX34" i="17" a="1"/>
  <c r="AY34" i="17" a="1"/>
  <c r="AZ34" i="17" a="1"/>
  <c r="U21" i="17"/>
  <c r="BA34" i="17" a="1"/>
  <c r="BB34" i="17" a="1"/>
  <c r="BC34" i="17" a="1"/>
  <c r="BD34" i="17" a="1"/>
  <c r="BE34" i="17" a="1"/>
  <c r="BF34" i="17" a="1"/>
  <c r="BG34" i="17" a="1"/>
  <c r="BH34" i="17" a="1"/>
  <c r="V21" i="17"/>
  <c r="BI34" i="17" a="1"/>
  <c r="BJ34" i="17" a="1"/>
  <c r="BK34" i="17" a="1"/>
  <c r="BL34" i="17" a="1"/>
  <c r="BM34" i="17" a="1"/>
  <c r="BN34" i="17" a="1"/>
  <c r="BO34" i="17" a="1"/>
  <c r="BP34" i="17" a="1"/>
  <c r="G34" i="17"/>
  <c r="H34" i="17"/>
  <c r="I34" i="17"/>
  <c r="J34" i="17"/>
  <c r="K34" i="17"/>
  <c r="L34" i="17"/>
  <c r="M34" i="17"/>
  <c r="N34" i="17"/>
  <c r="O34" i="17"/>
  <c r="P34" i="17"/>
  <c r="Q34" i="17"/>
  <c r="R34" i="17"/>
  <c r="S34" i="17"/>
  <c r="T34" i="17"/>
  <c r="U34" i="17"/>
  <c r="V34" i="17"/>
  <c r="W34" i="17"/>
  <c r="X34" i="17"/>
  <c r="Y34" i="17"/>
  <c r="Z34" i="17"/>
  <c r="AA34" i="17"/>
  <c r="AB34" i="17"/>
  <c r="AC34" i="17"/>
  <c r="AD34" i="17"/>
  <c r="AE34" i="17"/>
  <c r="AF34" i="17"/>
  <c r="AG34" i="17"/>
  <c r="AH34" i="17"/>
  <c r="AI34" i="17"/>
  <c r="AJ34" i="17"/>
  <c r="AK34" i="17"/>
  <c r="AL34" i="17"/>
  <c r="AM34" i="17"/>
  <c r="AN34" i="17"/>
  <c r="AO34" i="17"/>
  <c r="AP34" i="17"/>
  <c r="AQ34" i="17"/>
  <c r="AR34" i="17"/>
  <c r="AS34" i="17"/>
  <c r="AT34" i="17"/>
  <c r="AU34" i="17"/>
  <c r="AV34" i="17"/>
  <c r="AW34" i="17"/>
  <c r="AX34" i="17"/>
  <c r="AY34" i="17"/>
  <c r="AZ34" i="17"/>
  <c r="BA34" i="17"/>
  <c r="BB34" i="17"/>
  <c r="BC34" i="17"/>
  <c r="BD34" i="17"/>
  <c r="BE34" i="17"/>
  <c r="BF34" i="17"/>
  <c r="BG34" i="17"/>
  <c r="BH34" i="17"/>
  <c r="BI34" i="17"/>
  <c r="BJ34" i="17"/>
  <c r="BK34" i="17"/>
  <c r="BL34" i="17"/>
  <c r="BM34" i="17"/>
  <c r="BN34" i="17"/>
  <c r="BO34" i="17"/>
  <c r="BP34" i="17"/>
  <c r="AA21" i="17"/>
  <c r="E45" i="17" a="1"/>
  <c r="E45" i="17"/>
  <c r="F45" i="17" a="1"/>
  <c r="F45" i="17"/>
  <c r="G45" i="17" a="1"/>
  <c r="H45" i="17" a="1"/>
  <c r="I45" i="17" a="1"/>
  <c r="J45" i="17" a="1"/>
  <c r="K45" i="17" a="1"/>
  <c r="L45" i="17" a="1"/>
  <c r="M45" i="17" a="1"/>
  <c r="N45" i="17" a="1"/>
  <c r="O45" i="17" a="1"/>
  <c r="P45" i="17" a="1"/>
  <c r="Q45" i="17" a="1"/>
  <c r="R45" i="17" a="1"/>
  <c r="S45" i="17" a="1"/>
  <c r="T45" i="17" a="1"/>
  <c r="U45" i="17" a="1"/>
  <c r="V45" i="17" a="1"/>
  <c r="W45" i="17" a="1"/>
  <c r="X45" i="17" a="1"/>
  <c r="Y45" i="17" a="1"/>
  <c r="Z45" i="17" a="1"/>
  <c r="AA45" i="17" a="1"/>
  <c r="AB45" i="17" a="1"/>
  <c r="AC45" i="17" a="1"/>
  <c r="AD45" i="17" a="1"/>
  <c r="AE45" i="17" a="1"/>
  <c r="AF45" i="17" a="1"/>
  <c r="AG45" i="17" a="1"/>
  <c r="AH45" i="17" a="1"/>
  <c r="AI45" i="17" a="1"/>
  <c r="AJ45" i="17" a="1"/>
  <c r="AK45" i="17" a="1"/>
  <c r="AL45" i="17" a="1"/>
  <c r="AM45" i="17" a="1"/>
  <c r="AN45" i="17" a="1"/>
  <c r="AO45" i="17" a="1"/>
  <c r="AP45" i="17" a="1"/>
  <c r="AQ45" i="17" a="1"/>
  <c r="AR45" i="17" a="1"/>
  <c r="AS45" i="17" a="1"/>
  <c r="AT45" i="17" a="1"/>
  <c r="AU45" i="17" a="1"/>
  <c r="AV45" i="17" a="1"/>
  <c r="AW45" i="17" a="1"/>
  <c r="AX45" i="17" a="1"/>
  <c r="AY45" i="17" a="1"/>
  <c r="AZ45" i="17" a="1"/>
  <c r="BA45" i="17" a="1"/>
  <c r="BB45" i="17" a="1"/>
  <c r="BC45" i="17" a="1"/>
  <c r="BD45" i="17" a="1"/>
  <c r="BE45" i="17" a="1"/>
  <c r="BF45" i="17" a="1"/>
  <c r="BG45" i="17" a="1"/>
  <c r="BH45" i="17" a="1"/>
  <c r="BI45" i="17" a="1"/>
  <c r="BJ45" i="17" a="1"/>
  <c r="BK45" i="17" a="1"/>
  <c r="BL45" i="17" a="1"/>
  <c r="BM45" i="17" a="1"/>
  <c r="BN45" i="17" a="1"/>
  <c r="BO45" i="17" a="1"/>
  <c r="BP45" i="17" a="1"/>
  <c r="G45" i="17"/>
  <c r="H45" i="17"/>
  <c r="I45" i="17"/>
  <c r="J45" i="17"/>
  <c r="K45" i="17"/>
  <c r="L45" i="17"/>
  <c r="M45" i="17"/>
  <c r="N45" i="17"/>
  <c r="O45" i="17"/>
  <c r="P45" i="17"/>
  <c r="Q45" i="17"/>
  <c r="R45" i="17"/>
  <c r="S45" i="17"/>
  <c r="T45" i="17"/>
  <c r="U45" i="17"/>
  <c r="V45" i="17"/>
  <c r="W45" i="17"/>
  <c r="X45" i="17"/>
  <c r="Y45" i="17"/>
  <c r="Z45" i="17"/>
  <c r="AA45" i="17"/>
  <c r="AB45" i="17"/>
  <c r="AC45" i="17"/>
  <c r="AD45" i="17"/>
  <c r="AE45" i="17"/>
  <c r="AF45" i="17"/>
  <c r="AG45" i="17"/>
  <c r="AH45" i="17"/>
  <c r="AI45" i="17"/>
  <c r="AJ45" i="17"/>
  <c r="AK45" i="17"/>
  <c r="AL45" i="17"/>
  <c r="AM45" i="17"/>
  <c r="AN45" i="17"/>
  <c r="AO45" i="17"/>
  <c r="AP45" i="17"/>
  <c r="AQ45" i="17"/>
  <c r="AR45" i="17"/>
  <c r="AS45" i="17"/>
  <c r="AT45" i="17"/>
  <c r="AU45" i="17"/>
  <c r="AV45" i="17"/>
  <c r="AW45" i="17"/>
  <c r="AX45" i="17"/>
  <c r="AY45" i="17"/>
  <c r="AZ45" i="17"/>
  <c r="BA45" i="17"/>
  <c r="BB45" i="17"/>
  <c r="BC45" i="17"/>
  <c r="BD45" i="17"/>
  <c r="BE45" i="17"/>
  <c r="BF45" i="17"/>
  <c r="BG45" i="17"/>
  <c r="BH45" i="17"/>
  <c r="BI45" i="17"/>
  <c r="BJ45" i="17"/>
  <c r="BK45" i="17"/>
  <c r="BL45" i="17"/>
  <c r="BM45" i="17"/>
  <c r="BN45" i="17"/>
  <c r="BO45" i="17"/>
  <c r="BP45" i="17"/>
  <c r="AB21" i="17"/>
  <c r="W21" i="17"/>
  <c r="M22" i="17"/>
  <c r="N22" i="17" a="1"/>
  <c r="N22" i="17"/>
  <c r="O22" i="17"/>
  <c r="E35" i="17" a="1"/>
  <c r="E35" i="17"/>
  <c r="F35" i="17" a="1"/>
  <c r="F35" i="17"/>
  <c r="G35" i="17" a="1"/>
  <c r="H35" i="17" a="1"/>
  <c r="I35" i="17" a="1"/>
  <c r="M23" i="17"/>
  <c r="N23" i="17" a="1"/>
  <c r="N23" i="17"/>
  <c r="O23" i="17"/>
  <c r="J35" i="17" a="1"/>
  <c r="M24" i="17"/>
  <c r="N24" i="17" a="1"/>
  <c r="N24" i="17"/>
  <c r="O24" i="17"/>
  <c r="K35" i="17" a="1"/>
  <c r="M25" i="17"/>
  <c r="N25" i="17" a="1"/>
  <c r="N25" i="17"/>
  <c r="O25" i="17"/>
  <c r="L35" i="17" a="1"/>
  <c r="P22" i="17"/>
  <c r="M35" i="17" a="1"/>
  <c r="N35" i="17" a="1"/>
  <c r="O35" i="17" a="1"/>
  <c r="P35" i="17" a="1"/>
  <c r="Q35" i="17" a="1"/>
  <c r="P23" i="17"/>
  <c r="R35" i="17" a="1"/>
  <c r="P24" i="17"/>
  <c r="S35" i="17" a="1"/>
  <c r="P25" i="17"/>
  <c r="T35" i="17" a="1"/>
  <c r="Q22" i="17"/>
  <c r="U35" i="17" a="1"/>
  <c r="V35" i="17" a="1"/>
  <c r="W35" i="17" a="1"/>
  <c r="X35" i="17" a="1"/>
  <c r="Y35" i="17" a="1"/>
  <c r="Q23" i="17"/>
  <c r="Z35" i="17" a="1"/>
  <c r="Q24" i="17"/>
  <c r="AA35" i="17" a="1"/>
  <c r="Q25" i="17"/>
  <c r="AB35" i="17" a="1"/>
  <c r="R22" i="17"/>
  <c r="AC35" i="17" a="1"/>
  <c r="AD35" i="17" a="1"/>
  <c r="AE35" i="17" a="1"/>
  <c r="AF35" i="17" a="1"/>
  <c r="AG35" i="17" a="1"/>
  <c r="R23" i="17"/>
  <c r="AH35" i="17" a="1"/>
  <c r="R24" i="17"/>
  <c r="AI35" i="17" a="1"/>
  <c r="R25" i="17"/>
  <c r="AJ35" i="17" a="1"/>
  <c r="S22" i="17"/>
  <c r="AK35" i="17" a="1"/>
  <c r="AL35" i="17" a="1"/>
  <c r="AM35" i="17" a="1"/>
  <c r="AN35" i="17" a="1"/>
  <c r="AO35" i="17" a="1"/>
  <c r="S23" i="17"/>
  <c r="AP35" i="17" a="1"/>
  <c r="S24" i="17"/>
  <c r="AQ35" i="17" a="1"/>
  <c r="S25" i="17"/>
  <c r="AR35" i="17" a="1"/>
  <c r="T22" i="17"/>
  <c r="AS35" i="17" a="1"/>
  <c r="AT35" i="17" a="1"/>
  <c r="AU35" i="17" a="1"/>
  <c r="AV35" i="17" a="1"/>
  <c r="AW35" i="17" a="1"/>
  <c r="T23" i="17"/>
  <c r="AX35" i="17" a="1"/>
  <c r="T24" i="17"/>
  <c r="AY35" i="17" a="1"/>
  <c r="T25" i="17"/>
  <c r="AZ35" i="17" a="1"/>
  <c r="U22" i="17"/>
  <c r="BA35" i="17" a="1"/>
  <c r="BB35" i="17" a="1"/>
  <c r="BC35" i="17" a="1"/>
  <c r="BD35" i="17" a="1"/>
  <c r="BE35" i="17" a="1"/>
  <c r="U23" i="17"/>
  <c r="BF35" i="17" a="1"/>
  <c r="U24" i="17"/>
  <c r="BG35" i="17" a="1"/>
  <c r="U25" i="17"/>
  <c r="BH35" i="17" a="1"/>
  <c r="V22" i="17"/>
  <c r="BI35" i="17" a="1"/>
  <c r="BJ35" i="17" a="1"/>
  <c r="BK35" i="17" a="1"/>
  <c r="BL35" i="17" a="1"/>
  <c r="BM35" i="17" a="1"/>
  <c r="V23" i="17"/>
  <c r="BN35" i="17" a="1"/>
  <c r="V24" i="17"/>
  <c r="BO35" i="17" a="1"/>
  <c r="V25" i="17"/>
  <c r="BP35" i="17" a="1"/>
  <c r="G35" i="17"/>
  <c r="H35" i="17"/>
  <c r="I35" i="17"/>
  <c r="J35" i="17"/>
  <c r="K35" i="17"/>
  <c r="L35" i="17"/>
  <c r="M35" i="17"/>
  <c r="N35" i="17"/>
  <c r="O35" i="17"/>
  <c r="P35" i="17"/>
  <c r="Q35" i="17"/>
  <c r="R35" i="17"/>
  <c r="S35" i="17"/>
  <c r="T35" i="17"/>
  <c r="U35" i="17"/>
  <c r="V35" i="17"/>
  <c r="W35" i="17"/>
  <c r="X35" i="17"/>
  <c r="Y35" i="17"/>
  <c r="Z35" i="17"/>
  <c r="AA35" i="17"/>
  <c r="AB35" i="17"/>
  <c r="AC35" i="17"/>
  <c r="AD35" i="17"/>
  <c r="AE35" i="17"/>
  <c r="AF35" i="17"/>
  <c r="AG35" i="17"/>
  <c r="AH35" i="17"/>
  <c r="AI35" i="17"/>
  <c r="AJ35" i="17"/>
  <c r="AK35" i="17"/>
  <c r="AL35" i="17"/>
  <c r="AM35" i="17"/>
  <c r="AN35" i="17"/>
  <c r="AO35" i="17"/>
  <c r="AP35" i="17"/>
  <c r="AQ35" i="17"/>
  <c r="AR35" i="17"/>
  <c r="AS35" i="17"/>
  <c r="AT35" i="17"/>
  <c r="AU35" i="17"/>
  <c r="AV35" i="17"/>
  <c r="AW35" i="17"/>
  <c r="AX35" i="17"/>
  <c r="AY35" i="17"/>
  <c r="AZ35" i="17"/>
  <c r="BA35" i="17"/>
  <c r="BB35" i="17"/>
  <c r="BC35" i="17"/>
  <c r="BD35" i="17"/>
  <c r="BE35" i="17"/>
  <c r="BF35" i="17"/>
  <c r="BG35" i="17"/>
  <c r="BH35" i="17"/>
  <c r="BI35" i="17"/>
  <c r="BJ35" i="17"/>
  <c r="BK35" i="17"/>
  <c r="BL35" i="17"/>
  <c r="BM35" i="17"/>
  <c r="BN35" i="17"/>
  <c r="BO35" i="17"/>
  <c r="BP35" i="17"/>
  <c r="AA22" i="17"/>
  <c r="E46" i="17" a="1"/>
  <c r="E46" i="17"/>
  <c r="F46" i="17" a="1"/>
  <c r="F46" i="17"/>
  <c r="G46" i="17" a="1"/>
  <c r="H46" i="17" a="1"/>
  <c r="I46" i="17" a="1"/>
  <c r="J46" i="17" a="1"/>
  <c r="K46" i="17" a="1"/>
  <c r="L46" i="17" a="1"/>
  <c r="M46" i="17" a="1"/>
  <c r="N46" i="17" a="1"/>
  <c r="O46" i="17" a="1"/>
  <c r="P46" i="17" a="1"/>
  <c r="Q46" i="17" a="1"/>
  <c r="R46" i="17" a="1"/>
  <c r="S46" i="17" a="1"/>
  <c r="T46" i="17" a="1"/>
  <c r="U46" i="17" a="1"/>
  <c r="V46" i="17" a="1"/>
  <c r="W46" i="17" a="1"/>
  <c r="X46" i="17" a="1"/>
  <c r="Y46" i="17" a="1"/>
  <c r="Z46" i="17" a="1"/>
  <c r="AA46" i="17" a="1"/>
  <c r="AB46" i="17" a="1"/>
  <c r="AC46" i="17" a="1"/>
  <c r="AD46" i="17" a="1"/>
  <c r="AE46" i="17" a="1"/>
  <c r="AF46" i="17" a="1"/>
  <c r="AG46" i="17" a="1"/>
  <c r="AH46" i="17" a="1"/>
  <c r="AI46" i="17" a="1"/>
  <c r="AJ46" i="17" a="1"/>
  <c r="AK46" i="17" a="1"/>
  <c r="AL46" i="17" a="1"/>
  <c r="AM46" i="17" a="1"/>
  <c r="AN46" i="17" a="1"/>
  <c r="AO46" i="17" a="1"/>
  <c r="AP46" i="17" a="1"/>
  <c r="AQ46" i="17" a="1"/>
  <c r="AR46" i="17" a="1"/>
  <c r="AS46" i="17" a="1"/>
  <c r="AT46" i="17" a="1"/>
  <c r="AU46" i="17" a="1"/>
  <c r="AV46" i="17" a="1"/>
  <c r="AW46" i="17" a="1"/>
  <c r="AX46" i="17" a="1"/>
  <c r="AY46" i="17" a="1"/>
  <c r="AZ46" i="17" a="1"/>
  <c r="BA46" i="17" a="1"/>
  <c r="BB46" i="17" a="1"/>
  <c r="BC46" i="17" a="1"/>
  <c r="BD46" i="17" a="1"/>
  <c r="BE46" i="17" a="1"/>
  <c r="BF46" i="17" a="1"/>
  <c r="BG46" i="17" a="1"/>
  <c r="BH46" i="17" a="1"/>
  <c r="BI46" i="17" a="1"/>
  <c r="BJ46" i="17" a="1"/>
  <c r="BK46" i="17" a="1"/>
  <c r="BL46" i="17" a="1"/>
  <c r="BM46" i="17" a="1"/>
  <c r="BN46" i="17" a="1"/>
  <c r="BO46" i="17" a="1"/>
  <c r="BP46" i="17" a="1"/>
  <c r="G46" i="17"/>
  <c r="H46" i="17"/>
  <c r="I46" i="17"/>
  <c r="J46" i="17"/>
  <c r="K46" i="17"/>
  <c r="L46" i="17"/>
  <c r="M46" i="17"/>
  <c r="N46" i="17"/>
  <c r="O46" i="17"/>
  <c r="P46" i="17"/>
  <c r="Q46" i="17"/>
  <c r="R46" i="17"/>
  <c r="S46" i="17"/>
  <c r="T46" i="17"/>
  <c r="U46" i="17"/>
  <c r="V46" i="17"/>
  <c r="W46" i="17"/>
  <c r="X46" i="17"/>
  <c r="Y46" i="17"/>
  <c r="Z46" i="17"/>
  <c r="AA46" i="17"/>
  <c r="AB46" i="17"/>
  <c r="AC46" i="17"/>
  <c r="AD46" i="17"/>
  <c r="AE46" i="17"/>
  <c r="AF46" i="17"/>
  <c r="AG46" i="17"/>
  <c r="AH46" i="17"/>
  <c r="AI46" i="17"/>
  <c r="AJ46" i="17"/>
  <c r="AK46" i="17"/>
  <c r="AL46" i="17"/>
  <c r="AM46" i="17"/>
  <c r="AN46" i="17"/>
  <c r="AO46" i="17"/>
  <c r="AP46" i="17"/>
  <c r="AQ46" i="17"/>
  <c r="AR46" i="17"/>
  <c r="AS46" i="17"/>
  <c r="AT46" i="17"/>
  <c r="AU46" i="17"/>
  <c r="AV46" i="17"/>
  <c r="AW46" i="17"/>
  <c r="AX46" i="17"/>
  <c r="AY46" i="17"/>
  <c r="AZ46" i="17"/>
  <c r="BA46" i="17"/>
  <c r="BB46" i="17"/>
  <c r="BC46" i="17"/>
  <c r="BD46" i="17"/>
  <c r="BE46" i="17"/>
  <c r="BF46" i="17"/>
  <c r="BG46" i="17"/>
  <c r="BH46" i="17"/>
  <c r="BI46" i="17"/>
  <c r="BJ46" i="17"/>
  <c r="BK46" i="17"/>
  <c r="BL46" i="17"/>
  <c r="BM46" i="17"/>
  <c r="BN46" i="17"/>
  <c r="BO46" i="17"/>
  <c r="BP46" i="17"/>
  <c r="AB22" i="17"/>
  <c r="W22" i="17"/>
  <c r="E36" i="17" a="1"/>
  <c r="E36" i="17"/>
  <c r="F36" i="17" a="1"/>
  <c r="F36" i="17"/>
  <c r="G36" i="17" a="1"/>
  <c r="H36" i="17" a="1"/>
  <c r="I36" i="17" a="1"/>
  <c r="J36" i="17" a="1"/>
  <c r="K36" i="17" a="1"/>
  <c r="L36" i="17" a="1"/>
  <c r="M36" i="17" a="1"/>
  <c r="N36" i="17" a="1"/>
  <c r="O36" i="17" a="1"/>
  <c r="P36" i="17" a="1"/>
  <c r="Q36" i="17" a="1"/>
  <c r="R36" i="17" a="1"/>
  <c r="S36" i="17" a="1"/>
  <c r="T36" i="17" a="1"/>
  <c r="U36" i="17" a="1"/>
  <c r="V36" i="17" a="1"/>
  <c r="W36" i="17" a="1"/>
  <c r="X36" i="17" a="1"/>
  <c r="Y36" i="17" a="1"/>
  <c r="Z36" i="17" a="1"/>
  <c r="AA36" i="17" a="1"/>
  <c r="AB36" i="17" a="1"/>
  <c r="AC36" i="17" a="1"/>
  <c r="AD36" i="17" a="1"/>
  <c r="AE36" i="17" a="1"/>
  <c r="AF36" i="17" a="1"/>
  <c r="AG36" i="17" a="1"/>
  <c r="AH36" i="17" a="1"/>
  <c r="AI36" i="17" a="1"/>
  <c r="AJ36" i="17" a="1"/>
  <c r="AK36" i="17" a="1"/>
  <c r="AL36" i="17" a="1"/>
  <c r="AM36" i="17" a="1"/>
  <c r="AN36" i="17" a="1"/>
  <c r="AO36" i="17" a="1"/>
  <c r="AP36" i="17" a="1"/>
  <c r="AQ36" i="17" a="1"/>
  <c r="AR36" i="17" a="1"/>
  <c r="AS36" i="17" a="1"/>
  <c r="AT36" i="17" a="1"/>
  <c r="AU36" i="17" a="1"/>
  <c r="AV36" i="17" a="1"/>
  <c r="AW36" i="17" a="1"/>
  <c r="AX36" i="17" a="1"/>
  <c r="AY36" i="17" a="1"/>
  <c r="AZ36" i="17" a="1"/>
  <c r="BA36" i="17" a="1"/>
  <c r="BB36" i="17" a="1"/>
  <c r="BC36" i="17" a="1"/>
  <c r="BD36" i="17" a="1"/>
  <c r="BE36" i="17" a="1"/>
  <c r="BF36" i="17" a="1"/>
  <c r="BG36" i="17" a="1"/>
  <c r="BH36" i="17" a="1"/>
  <c r="BI36" i="17" a="1"/>
  <c r="BJ36" i="17" a="1"/>
  <c r="BK36" i="17" a="1"/>
  <c r="BL36" i="17" a="1"/>
  <c r="BM36" i="17" a="1"/>
  <c r="BN36" i="17" a="1"/>
  <c r="BO36" i="17" a="1"/>
  <c r="BP36" i="17" a="1"/>
  <c r="G36" i="17"/>
  <c r="H36" i="17"/>
  <c r="I36" i="17"/>
  <c r="J36" i="17"/>
  <c r="K36" i="17"/>
  <c r="L36" i="17"/>
  <c r="M36" i="17"/>
  <c r="N36" i="17"/>
  <c r="O36" i="17"/>
  <c r="P36" i="17"/>
  <c r="Q36" i="17"/>
  <c r="R36" i="17"/>
  <c r="S36" i="17"/>
  <c r="T36" i="17"/>
  <c r="U36" i="17"/>
  <c r="V36" i="17"/>
  <c r="W36" i="17"/>
  <c r="X36" i="17"/>
  <c r="Y36" i="17"/>
  <c r="Z36" i="17"/>
  <c r="AA36" i="17"/>
  <c r="AB36" i="17"/>
  <c r="AC36" i="17"/>
  <c r="AD36" i="17"/>
  <c r="AE36" i="17"/>
  <c r="AF36" i="17"/>
  <c r="AG36" i="17"/>
  <c r="AH36" i="17"/>
  <c r="AI36" i="17"/>
  <c r="AJ36" i="17"/>
  <c r="AK36" i="17"/>
  <c r="AL36" i="17"/>
  <c r="AM36" i="17"/>
  <c r="AN36" i="17"/>
  <c r="AO36" i="17"/>
  <c r="AP36" i="17"/>
  <c r="AQ36" i="17"/>
  <c r="AR36" i="17"/>
  <c r="AS36" i="17"/>
  <c r="AT36" i="17"/>
  <c r="AU36" i="17"/>
  <c r="AV36" i="17"/>
  <c r="AW36" i="17"/>
  <c r="AX36" i="17"/>
  <c r="AY36" i="17"/>
  <c r="AZ36" i="17"/>
  <c r="BA36" i="17"/>
  <c r="BB36" i="17"/>
  <c r="BC36" i="17"/>
  <c r="BD36" i="17"/>
  <c r="BE36" i="17"/>
  <c r="BF36" i="17"/>
  <c r="BG36" i="17"/>
  <c r="BH36" i="17"/>
  <c r="BI36" i="17"/>
  <c r="BJ36" i="17"/>
  <c r="BK36" i="17"/>
  <c r="BL36" i="17"/>
  <c r="BM36" i="17"/>
  <c r="BN36" i="17"/>
  <c r="BO36" i="17"/>
  <c r="BP36" i="17"/>
  <c r="AA23" i="17"/>
  <c r="E47" i="17" a="1"/>
  <c r="E47" i="17"/>
  <c r="F47" i="17" a="1"/>
  <c r="F47" i="17"/>
  <c r="G47" i="17" a="1"/>
  <c r="H47" i="17" a="1"/>
  <c r="I47" i="17" a="1"/>
  <c r="J47" i="17" a="1"/>
  <c r="K47" i="17" a="1"/>
  <c r="L47" i="17" a="1"/>
  <c r="M47" i="17" a="1"/>
  <c r="N47" i="17" a="1"/>
  <c r="O47" i="17" a="1"/>
  <c r="P47" i="17" a="1"/>
  <c r="Q47" i="17" a="1"/>
  <c r="R47" i="17" a="1"/>
  <c r="S47" i="17" a="1"/>
  <c r="T47" i="17" a="1"/>
  <c r="U47" i="17" a="1"/>
  <c r="V47" i="17" a="1"/>
  <c r="W47" i="17" a="1"/>
  <c r="X47" i="17" a="1"/>
  <c r="Y47" i="17" a="1"/>
  <c r="Z47" i="17" a="1"/>
  <c r="AA47" i="17" a="1"/>
  <c r="AB47" i="17" a="1"/>
  <c r="AC47" i="17" a="1"/>
  <c r="AD47" i="17" a="1"/>
  <c r="AE47" i="17" a="1"/>
  <c r="AF47" i="17" a="1"/>
  <c r="AG47" i="17" a="1"/>
  <c r="AH47" i="17" a="1"/>
  <c r="AI47" i="17" a="1"/>
  <c r="AJ47" i="17" a="1"/>
  <c r="AK47" i="17" a="1"/>
  <c r="AL47" i="17" a="1"/>
  <c r="AM47" i="17" a="1"/>
  <c r="AN47" i="17" a="1"/>
  <c r="AO47" i="17" a="1"/>
  <c r="AP47" i="17" a="1"/>
  <c r="AQ47" i="17" a="1"/>
  <c r="AR47" i="17" a="1"/>
  <c r="AS47" i="17" a="1"/>
  <c r="AT47" i="17" a="1"/>
  <c r="AU47" i="17" a="1"/>
  <c r="AV47" i="17" a="1"/>
  <c r="AW47" i="17" a="1"/>
  <c r="AX47" i="17" a="1"/>
  <c r="AY47" i="17" a="1"/>
  <c r="AZ47" i="17" a="1"/>
  <c r="BA47" i="17" a="1"/>
  <c r="BB47" i="17" a="1"/>
  <c r="BC47" i="17" a="1"/>
  <c r="BD47" i="17" a="1"/>
  <c r="BE47" i="17" a="1"/>
  <c r="BF47" i="17" a="1"/>
  <c r="BG47" i="17" a="1"/>
  <c r="BH47" i="17" a="1"/>
  <c r="BI47" i="17" a="1"/>
  <c r="BJ47" i="17" a="1"/>
  <c r="BK47" i="17" a="1"/>
  <c r="BL47" i="17" a="1"/>
  <c r="BM47" i="17" a="1"/>
  <c r="BN47" i="17" a="1"/>
  <c r="BO47" i="17" a="1"/>
  <c r="BP47" i="17" a="1"/>
  <c r="G47" i="17"/>
  <c r="H47" i="17"/>
  <c r="I47" i="17"/>
  <c r="J47" i="17"/>
  <c r="K47" i="17"/>
  <c r="L47" i="17"/>
  <c r="M47" i="17"/>
  <c r="N47" i="17"/>
  <c r="O47" i="17"/>
  <c r="P47" i="17"/>
  <c r="Q47" i="17"/>
  <c r="R47" i="17"/>
  <c r="S47" i="17"/>
  <c r="T47" i="17"/>
  <c r="U47" i="17"/>
  <c r="V47" i="17"/>
  <c r="W47" i="17"/>
  <c r="X47" i="17"/>
  <c r="Y47" i="17"/>
  <c r="Z47" i="17"/>
  <c r="AA47" i="17"/>
  <c r="AB47" i="17"/>
  <c r="AC47" i="17"/>
  <c r="AD47" i="17"/>
  <c r="AE47" i="17"/>
  <c r="AF47" i="17"/>
  <c r="AG47" i="17"/>
  <c r="AH47" i="17"/>
  <c r="AI47" i="17"/>
  <c r="AJ47" i="17"/>
  <c r="AK47" i="17"/>
  <c r="AL47" i="17"/>
  <c r="AM47" i="17"/>
  <c r="AN47" i="17"/>
  <c r="AO47" i="17"/>
  <c r="AP47" i="17"/>
  <c r="AQ47" i="17"/>
  <c r="AR47" i="17"/>
  <c r="AS47" i="17"/>
  <c r="AT47" i="17"/>
  <c r="AU47" i="17"/>
  <c r="AV47" i="17"/>
  <c r="AW47" i="17"/>
  <c r="AX47" i="17"/>
  <c r="AY47" i="17"/>
  <c r="AZ47" i="17"/>
  <c r="BA47" i="17"/>
  <c r="BB47" i="17"/>
  <c r="BC47" i="17"/>
  <c r="BD47" i="17"/>
  <c r="BE47" i="17"/>
  <c r="BF47" i="17"/>
  <c r="BG47" i="17"/>
  <c r="BH47" i="17"/>
  <c r="BI47" i="17"/>
  <c r="BJ47" i="17"/>
  <c r="BK47" i="17"/>
  <c r="BL47" i="17"/>
  <c r="BM47" i="17"/>
  <c r="BN47" i="17"/>
  <c r="BO47" i="17"/>
  <c r="BP47" i="17"/>
  <c r="AB23" i="17"/>
  <c r="W23" i="17"/>
  <c r="E37" i="17" a="1"/>
  <c r="E37" i="17"/>
  <c r="F37" i="17" a="1"/>
  <c r="F37" i="17"/>
  <c r="G37" i="17" a="1"/>
  <c r="H37" i="17" a="1"/>
  <c r="I37" i="17" a="1"/>
  <c r="J37" i="17" a="1"/>
  <c r="K37" i="17" a="1"/>
  <c r="L37" i="17" a="1"/>
  <c r="M37" i="17" a="1"/>
  <c r="N37" i="17" a="1"/>
  <c r="O37" i="17" a="1"/>
  <c r="P37" i="17" a="1"/>
  <c r="Q37" i="17" a="1"/>
  <c r="R37" i="17" a="1"/>
  <c r="S37" i="17" a="1"/>
  <c r="T37" i="17" a="1"/>
  <c r="U37" i="17" a="1"/>
  <c r="V37" i="17" a="1"/>
  <c r="W37" i="17" a="1"/>
  <c r="X37" i="17" a="1"/>
  <c r="Y37" i="17" a="1"/>
  <c r="Z37" i="17" a="1"/>
  <c r="AA37" i="17" a="1"/>
  <c r="AB37" i="17" a="1"/>
  <c r="AC37" i="17" a="1"/>
  <c r="AD37" i="17" a="1"/>
  <c r="AE37" i="17" a="1"/>
  <c r="AF37" i="17" a="1"/>
  <c r="AG37" i="17" a="1"/>
  <c r="AH37" i="17" a="1"/>
  <c r="AI37" i="17" a="1"/>
  <c r="AJ37" i="17" a="1"/>
  <c r="AK37" i="17" a="1"/>
  <c r="AL37" i="17" a="1"/>
  <c r="AM37" i="17" a="1"/>
  <c r="AN37" i="17" a="1"/>
  <c r="AO37" i="17" a="1"/>
  <c r="AP37" i="17" a="1"/>
  <c r="AQ37" i="17" a="1"/>
  <c r="AR37" i="17" a="1"/>
  <c r="AS37" i="17" a="1"/>
  <c r="AT37" i="17" a="1"/>
  <c r="AU37" i="17" a="1"/>
  <c r="AV37" i="17" a="1"/>
  <c r="AW37" i="17" a="1"/>
  <c r="AX37" i="17" a="1"/>
  <c r="AY37" i="17" a="1"/>
  <c r="AZ37" i="17" a="1"/>
  <c r="BA37" i="17" a="1"/>
  <c r="BB37" i="17" a="1"/>
  <c r="BC37" i="17" a="1"/>
  <c r="BD37" i="17" a="1"/>
  <c r="BE37" i="17" a="1"/>
  <c r="BF37" i="17" a="1"/>
  <c r="BG37" i="17" a="1"/>
  <c r="BH37" i="17" a="1"/>
  <c r="BI37" i="17" a="1"/>
  <c r="BJ37" i="17" a="1"/>
  <c r="BK37" i="17" a="1"/>
  <c r="BL37" i="17" a="1"/>
  <c r="BM37" i="17" a="1"/>
  <c r="BN37" i="17" a="1"/>
  <c r="BO37" i="17" a="1"/>
  <c r="BP37" i="17" a="1"/>
  <c r="G37" i="17"/>
  <c r="H37" i="17"/>
  <c r="I37" i="17"/>
  <c r="J37" i="17"/>
  <c r="K37" i="17"/>
  <c r="L37" i="17"/>
  <c r="M37" i="17"/>
  <c r="N37" i="17"/>
  <c r="O37" i="17"/>
  <c r="P37" i="17"/>
  <c r="Q37" i="17"/>
  <c r="R37" i="17"/>
  <c r="S37" i="17"/>
  <c r="T37" i="17"/>
  <c r="U37" i="17"/>
  <c r="V37" i="17"/>
  <c r="W37" i="17"/>
  <c r="X37" i="17"/>
  <c r="Y37" i="17"/>
  <c r="Z37" i="17"/>
  <c r="AA37" i="17"/>
  <c r="AB37" i="17"/>
  <c r="AC37" i="17"/>
  <c r="AD37" i="17"/>
  <c r="AE37" i="17"/>
  <c r="AF37" i="17"/>
  <c r="AG37" i="17"/>
  <c r="AH37" i="17"/>
  <c r="AI37" i="17"/>
  <c r="AJ37" i="17"/>
  <c r="AK37" i="17"/>
  <c r="AL37" i="17"/>
  <c r="AM37" i="17"/>
  <c r="AN37" i="17"/>
  <c r="AO37" i="17"/>
  <c r="AP37" i="17"/>
  <c r="AQ37" i="17"/>
  <c r="AR37" i="17"/>
  <c r="AS37" i="17"/>
  <c r="AT37" i="17"/>
  <c r="AU37" i="17"/>
  <c r="AV37" i="17"/>
  <c r="AW37" i="17"/>
  <c r="AX37" i="17"/>
  <c r="AY37" i="17"/>
  <c r="AZ37" i="17"/>
  <c r="BA37" i="17"/>
  <c r="BB37" i="17"/>
  <c r="BC37" i="17"/>
  <c r="BD37" i="17"/>
  <c r="BE37" i="17"/>
  <c r="BF37" i="17"/>
  <c r="BG37" i="17"/>
  <c r="BH37" i="17"/>
  <c r="BI37" i="17"/>
  <c r="BJ37" i="17"/>
  <c r="BK37" i="17"/>
  <c r="BL37" i="17"/>
  <c r="BM37" i="17"/>
  <c r="BN37" i="17"/>
  <c r="BO37" i="17"/>
  <c r="BP37" i="17"/>
  <c r="AA24" i="17"/>
  <c r="E48" i="17" a="1"/>
  <c r="E48" i="17"/>
  <c r="F48" i="17" a="1"/>
  <c r="F48" i="17"/>
  <c r="G48" i="17" a="1"/>
  <c r="H48" i="17" a="1"/>
  <c r="I48" i="17" a="1"/>
  <c r="J48" i="17" a="1"/>
  <c r="K48" i="17" a="1"/>
  <c r="L48" i="17" a="1"/>
  <c r="M48" i="17" a="1"/>
  <c r="N48" i="17" a="1"/>
  <c r="O48" i="17" a="1"/>
  <c r="P48" i="17" a="1"/>
  <c r="Q48" i="17" a="1"/>
  <c r="R48" i="17" a="1"/>
  <c r="S48" i="17" a="1"/>
  <c r="T48" i="17" a="1"/>
  <c r="U48" i="17" a="1"/>
  <c r="V48" i="17" a="1"/>
  <c r="W48" i="17" a="1"/>
  <c r="X48" i="17" a="1"/>
  <c r="Y48" i="17" a="1"/>
  <c r="Z48" i="17" a="1"/>
  <c r="AA48" i="17" a="1"/>
  <c r="AB48" i="17" a="1"/>
  <c r="AC48" i="17" a="1"/>
  <c r="AD48" i="17" a="1"/>
  <c r="AE48" i="17" a="1"/>
  <c r="AF48" i="17" a="1"/>
  <c r="AG48" i="17" a="1"/>
  <c r="AH48" i="17" a="1"/>
  <c r="AI48" i="17" a="1"/>
  <c r="AJ48" i="17" a="1"/>
  <c r="AK48" i="17" a="1"/>
  <c r="AL48" i="17" a="1"/>
  <c r="AM48" i="17" a="1"/>
  <c r="AN48" i="17" a="1"/>
  <c r="AO48" i="17" a="1"/>
  <c r="AP48" i="17" a="1"/>
  <c r="AQ48" i="17" a="1"/>
  <c r="AR48" i="17" a="1"/>
  <c r="AS48" i="17" a="1"/>
  <c r="AT48" i="17" a="1"/>
  <c r="AU48" i="17" a="1"/>
  <c r="AV48" i="17" a="1"/>
  <c r="AW48" i="17" a="1"/>
  <c r="AX48" i="17" a="1"/>
  <c r="AY48" i="17" a="1"/>
  <c r="AZ48" i="17" a="1"/>
  <c r="BA48" i="17" a="1"/>
  <c r="BB48" i="17" a="1"/>
  <c r="BC48" i="17" a="1"/>
  <c r="BD48" i="17" a="1"/>
  <c r="BE48" i="17" a="1"/>
  <c r="BF48" i="17" a="1"/>
  <c r="BG48" i="17" a="1"/>
  <c r="BH48" i="17" a="1"/>
  <c r="BI48" i="17" a="1"/>
  <c r="BJ48" i="17" a="1"/>
  <c r="BK48" i="17" a="1"/>
  <c r="BL48" i="17" a="1"/>
  <c r="BM48" i="17" a="1"/>
  <c r="BN48" i="17" a="1"/>
  <c r="BO48" i="17" a="1"/>
  <c r="BP48" i="17" a="1"/>
  <c r="G48" i="17"/>
  <c r="H48" i="17"/>
  <c r="I48" i="17"/>
  <c r="J48" i="17"/>
  <c r="K48" i="17"/>
  <c r="L48" i="17"/>
  <c r="M48" i="17"/>
  <c r="N48" i="17"/>
  <c r="O48" i="17"/>
  <c r="P48" i="17"/>
  <c r="Q48" i="17"/>
  <c r="R48" i="17"/>
  <c r="S48" i="17"/>
  <c r="T48" i="17"/>
  <c r="U48" i="17"/>
  <c r="V48" i="17"/>
  <c r="W48" i="17"/>
  <c r="X48" i="17"/>
  <c r="Y48" i="17"/>
  <c r="Z48" i="17"/>
  <c r="AA48" i="17"/>
  <c r="AB48" i="17"/>
  <c r="AC48" i="17"/>
  <c r="AD48" i="17"/>
  <c r="AE48" i="17"/>
  <c r="AF48" i="17"/>
  <c r="AG48" i="17"/>
  <c r="AH48" i="17"/>
  <c r="AI48" i="17"/>
  <c r="AJ48" i="17"/>
  <c r="AK48" i="17"/>
  <c r="AL48" i="17"/>
  <c r="AM48" i="17"/>
  <c r="AN48" i="17"/>
  <c r="AO48" i="17"/>
  <c r="AP48" i="17"/>
  <c r="AQ48" i="17"/>
  <c r="AR48" i="17"/>
  <c r="AS48" i="17"/>
  <c r="AT48" i="17"/>
  <c r="AU48" i="17"/>
  <c r="AV48" i="17"/>
  <c r="AW48" i="17"/>
  <c r="AX48" i="17"/>
  <c r="AY48" i="17"/>
  <c r="AZ48" i="17"/>
  <c r="BA48" i="17"/>
  <c r="BB48" i="17"/>
  <c r="BC48" i="17"/>
  <c r="BD48" i="17"/>
  <c r="BE48" i="17"/>
  <c r="BF48" i="17"/>
  <c r="BG48" i="17"/>
  <c r="BH48" i="17"/>
  <c r="BI48" i="17"/>
  <c r="BJ48" i="17"/>
  <c r="BK48" i="17"/>
  <c r="BL48" i="17"/>
  <c r="BM48" i="17"/>
  <c r="BN48" i="17"/>
  <c r="BO48" i="17"/>
  <c r="BP48" i="17"/>
  <c r="AB24" i="17"/>
  <c r="W24" i="17"/>
  <c r="E38" i="17" a="1"/>
  <c r="E38" i="17"/>
  <c r="F38" i="17" a="1"/>
  <c r="F38" i="17"/>
  <c r="G38" i="17" a="1"/>
  <c r="H38" i="17" a="1"/>
  <c r="I38" i="17" a="1"/>
  <c r="J38" i="17" a="1"/>
  <c r="K38" i="17" a="1"/>
  <c r="L38" i="17" a="1"/>
  <c r="M38" i="17" a="1"/>
  <c r="N38" i="17" a="1"/>
  <c r="O38" i="17" a="1"/>
  <c r="P38" i="17" a="1"/>
  <c r="Q38" i="17" a="1"/>
  <c r="R38" i="17" a="1"/>
  <c r="S38" i="17" a="1"/>
  <c r="T38" i="17" a="1"/>
  <c r="U38" i="17" a="1"/>
  <c r="V38" i="17" a="1"/>
  <c r="W38" i="17" a="1"/>
  <c r="X38" i="17" a="1"/>
  <c r="Y38" i="17" a="1"/>
  <c r="Z38" i="17" a="1"/>
  <c r="AA38" i="17" a="1"/>
  <c r="AB38" i="17" a="1"/>
  <c r="AC38" i="17" a="1"/>
  <c r="AD38" i="17" a="1"/>
  <c r="AE38" i="17" a="1"/>
  <c r="AF38" i="17" a="1"/>
  <c r="AG38" i="17" a="1"/>
  <c r="AH38" i="17" a="1"/>
  <c r="AI38" i="17" a="1"/>
  <c r="AJ38" i="17" a="1"/>
  <c r="AK38" i="17" a="1"/>
  <c r="AL38" i="17" a="1"/>
  <c r="AM38" i="17" a="1"/>
  <c r="AN38" i="17" a="1"/>
  <c r="AO38" i="17" a="1"/>
  <c r="AP38" i="17" a="1"/>
  <c r="AQ38" i="17" a="1"/>
  <c r="AR38" i="17" a="1"/>
  <c r="AS38" i="17" a="1"/>
  <c r="AT38" i="17" a="1"/>
  <c r="AU38" i="17" a="1"/>
  <c r="AV38" i="17" a="1"/>
  <c r="AW38" i="17" a="1"/>
  <c r="AX38" i="17" a="1"/>
  <c r="AY38" i="17" a="1"/>
  <c r="AZ38" i="17" a="1"/>
  <c r="BA38" i="17" a="1"/>
  <c r="BB38" i="17" a="1"/>
  <c r="BC38" i="17" a="1"/>
  <c r="BD38" i="17" a="1"/>
  <c r="BE38" i="17" a="1"/>
  <c r="BF38" i="17" a="1"/>
  <c r="BG38" i="17" a="1"/>
  <c r="BH38" i="17" a="1"/>
  <c r="BI38" i="17" a="1"/>
  <c r="BJ38" i="17" a="1"/>
  <c r="BK38" i="17" a="1"/>
  <c r="BL38" i="17" a="1"/>
  <c r="BM38" i="17" a="1"/>
  <c r="BN38" i="17" a="1"/>
  <c r="BO38" i="17" a="1"/>
  <c r="BP38" i="17" a="1"/>
  <c r="G38" i="17"/>
  <c r="H38" i="17"/>
  <c r="I38" i="17"/>
  <c r="J38" i="17"/>
  <c r="K38" i="17"/>
  <c r="L38" i="17"/>
  <c r="M38" i="17"/>
  <c r="N38" i="17"/>
  <c r="O38" i="17"/>
  <c r="P38" i="17"/>
  <c r="Q38" i="17"/>
  <c r="R38" i="17"/>
  <c r="S38" i="17"/>
  <c r="T38" i="17"/>
  <c r="U38" i="17"/>
  <c r="V38" i="17"/>
  <c r="W38" i="17"/>
  <c r="X38" i="17"/>
  <c r="Y38" i="17"/>
  <c r="Z38" i="17"/>
  <c r="AA38" i="17"/>
  <c r="AB38" i="17"/>
  <c r="AC38" i="17"/>
  <c r="AD38" i="17"/>
  <c r="AE38" i="17"/>
  <c r="AF38" i="17"/>
  <c r="AG38" i="17"/>
  <c r="AH38" i="17"/>
  <c r="AI38" i="17"/>
  <c r="AJ38" i="17"/>
  <c r="AK38" i="17"/>
  <c r="AL38" i="17"/>
  <c r="AM38" i="17"/>
  <c r="AN38" i="17"/>
  <c r="AO38" i="17"/>
  <c r="AP38" i="17"/>
  <c r="AQ38" i="17"/>
  <c r="AR38" i="17"/>
  <c r="AS38" i="17"/>
  <c r="AT38" i="17"/>
  <c r="AU38" i="17"/>
  <c r="AV38" i="17"/>
  <c r="AW38" i="17"/>
  <c r="AX38" i="17"/>
  <c r="AY38" i="17"/>
  <c r="AZ38" i="17"/>
  <c r="BA38" i="17"/>
  <c r="BB38" i="17"/>
  <c r="BC38" i="17"/>
  <c r="BD38" i="17"/>
  <c r="BE38" i="17"/>
  <c r="BF38" i="17"/>
  <c r="BG38" i="17"/>
  <c r="BH38" i="17"/>
  <c r="BI38" i="17"/>
  <c r="BJ38" i="17"/>
  <c r="BK38" i="17"/>
  <c r="BL38" i="17"/>
  <c r="BM38" i="17"/>
  <c r="BN38" i="17"/>
  <c r="BO38" i="17"/>
  <c r="BP38" i="17"/>
  <c r="AA25" i="17"/>
  <c r="E49" i="17" a="1"/>
  <c r="E49" i="17"/>
  <c r="F49" i="17" a="1"/>
  <c r="F49" i="17"/>
  <c r="G49" i="17" a="1"/>
  <c r="H49" i="17" a="1"/>
  <c r="I49" i="17" a="1"/>
  <c r="J49" i="17" a="1"/>
  <c r="K49" i="17" a="1"/>
  <c r="L49" i="17" a="1"/>
  <c r="M49" i="17" a="1"/>
  <c r="N49" i="17" a="1"/>
  <c r="O49" i="17" a="1"/>
  <c r="P49" i="17" a="1"/>
  <c r="Q49" i="17" a="1"/>
  <c r="R49" i="17" a="1"/>
  <c r="S49" i="17" a="1"/>
  <c r="T49" i="17" a="1"/>
  <c r="U49" i="17" a="1"/>
  <c r="V49" i="17" a="1"/>
  <c r="W49" i="17" a="1"/>
  <c r="X49" i="17" a="1"/>
  <c r="Y49" i="17" a="1"/>
  <c r="Z49" i="17" a="1"/>
  <c r="AA49" i="17" a="1"/>
  <c r="AB49" i="17" a="1"/>
  <c r="AC49" i="17" a="1"/>
  <c r="AD49" i="17" a="1"/>
  <c r="AE49" i="17" a="1"/>
  <c r="AF49" i="17" a="1"/>
  <c r="AG49" i="17" a="1"/>
  <c r="AH49" i="17" a="1"/>
  <c r="AI49" i="17" a="1"/>
  <c r="AJ49" i="17" a="1"/>
  <c r="AK49" i="17" a="1"/>
  <c r="AL49" i="17" a="1"/>
  <c r="AM49" i="17" a="1"/>
  <c r="AN49" i="17" a="1"/>
  <c r="AO49" i="17" a="1"/>
  <c r="AP49" i="17" a="1"/>
  <c r="AQ49" i="17" a="1"/>
  <c r="AR49" i="17" a="1"/>
  <c r="AS49" i="17" a="1"/>
  <c r="AT49" i="17" a="1"/>
  <c r="AU49" i="17" a="1"/>
  <c r="AV49" i="17" a="1"/>
  <c r="AW49" i="17" a="1"/>
  <c r="AX49" i="17" a="1"/>
  <c r="AY49" i="17" a="1"/>
  <c r="AZ49" i="17" a="1"/>
  <c r="BA49" i="17" a="1"/>
  <c r="BB49" i="17" a="1"/>
  <c r="BC49" i="17" a="1"/>
  <c r="BD49" i="17" a="1"/>
  <c r="BE49" i="17" a="1"/>
  <c r="BF49" i="17" a="1"/>
  <c r="BG49" i="17" a="1"/>
  <c r="BH49" i="17" a="1"/>
  <c r="BI49" i="17" a="1"/>
  <c r="BJ49" i="17" a="1"/>
  <c r="BK49" i="17" a="1"/>
  <c r="BL49" i="17" a="1"/>
  <c r="BM49" i="17" a="1"/>
  <c r="BN49" i="17" a="1"/>
  <c r="BO49" i="17" a="1"/>
  <c r="BP49" i="17" a="1"/>
  <c r="G49" i="17"/>
  <c r="H49" i="17"/>
  <c r="I49" i="17"/>
  <c r="J49" i="17"/>
  <c r="K49" i="17"/>
  <c r="L49" i="17"/>
  <c r="M49" i="17"/>
  <c r="N49" i="17"/>
  <c r="O49" i="17"/>
  <c r="P49" i="17"/>
  <c r="Q49" i="17"/>
  <c r="R49" i="17"/>
  <c r="S49" i="17"/>
  <c r="T49" i="17"/>
  <c r="U49" i="17"/>
  <c r="V49" i="17"/>
  <c r="W49" i="17"/>
  <c r="X49" i="17"/>
  <c r="Y49" i="17"/>
  <c r="Z49" i="17"/>
  <c r="AA49" i="17"/>
  <c r="AB49" i="17"/>
  <c r="AC49" i="17"/>
  <c r="AD49" i="17"/>
  <c r="AE49" i="17"/>
  <c r="AF49" i="17"/>
  <c r="AG49" i="17"/>
  <c r="AH49" i="17"/>
  <c r="AI49" i="17"/>
  <c r="AJ49" i="17"/>
  <c r="AK49" i="17"/>
  <c r="AL49" i="17"/>
  <c r="AM49" i="17"/>
  <c r="AN49" i="17"/>
  <c r="AO49" i="17"/>
  <c r="AP49" i="17"/>
  <c r="AQ49" i="17"/>
  <c r="AR49" i="17"/>
  <c r="AS49" i="17"/>
  <c r="AT49" i="17"/>
  <c r="AU49" i="17"/>
  <c r="AV49" i="17"/>
  <c r="AW49" i="17"/>
  <c r="AX49" i="17"/>
  <c r="AY49" i="17"/>
  <c r="AZ49" i="17"/>
  <c r="BA49" i="17"/>
  <c r="BB49" i="17"/>
  <c r="BC49" i="17"/>
  <c r="BD49" i="17"/>
  <c r="BE49" i="17"/>
  <c r="BF49" i="17"/>
  <c r="BG49" i="17"/>
  <c r="BH49" i="17"/>
  <c r="BI49" i="17"/>
  <c r="BJ49" i="17"/>
  <c r="BK49" i="17"/>
  <c r="BL49" i="17"/>
  <c r="BM49" i="17"/>
  <c r="BN49" i="17"/>
  <c r="BO49" i="17"/>
  <c r="BP49" i="17"/>
  <c r="AB25" i="17"/>
  <c r="W25" i="17"/>
  <c r="X17" i="17"/>
  <c r="X18" i="17"/>
  <c r="X19" i="17"/>
  <c r="X20" i="17"/>
  <c r="X21" i="17"/>
  <c r="X22" i="17"/>
  <c r="X23" i="17"/>
  <c r="X24" i="17"/>
  <c r="X25" i="17"/>
  <c r="E4" i="17"/>
  <c r="D4" i="17"/>
  <c r="E5" i="17"/>
  <c r="D5" i="17"/>
  <c r="E6" i="17"/>
  <c r="D6" i="17"/>
  <c r="E7" i="17"/>
  <c r="D7" i="17"/>
  <c r="E8" i="17"/>
  <c r="D8" i="17"/>
  <c r="E9" i="17"/>
  <c r="D9" i="17"/>
  <c r="E10" i="17"/>
  <c r="D10" i="17"/>
  <c r="E11" i="17"/>
  <c r="D11" i="17"/>
  <c r="E12" i="17"/>
  <c r="D12" i="17"/>
  <c r="C4" i="17"/>
  <c r="C5" i="17"/>
  <c r="C6" i="17"/>
  <c r="C7" i="17"/>
  <c r="C8" i="17"/>
  <c r="C9" i="17"/>
  <c r="C10" i="17"/>
  <c r="C11" i="17"/>
  <c r="C12" i="17"/>
  <c r="O3" i="3"/>
  <c r="P3" i="3"/>
  <c r="Q3" i="3"/>
  <c r="R3" i="3"/>
  <c r="S3" i="3"/>
  <c r="T3" i="3"/>
  <c r="U3" i="3"/>
  <c r="V3" i="3"/>
  <c r="Q4" i="3"/>
  <c r="AG3" i="3"/>
  <c r="AG4" i="3"/>
  <c r="AI4" i="3"/>
  <c r="AG5" i="3"/>
  <c r="AI5" i="3"/>
  <c r="AG6" i="3"/>
  <c r="AI6" i="3"/>
  <c r="AG7" i="3"/>
  <c r="AI7" i="3"/>
  <c r="AG8" i="3"/>
  <c r="AI8" i="3"/>
  <c r="AG9" i="3"/>
  <c r="AI9" i="3"/>
  <c r="AG10" i="3"/>
  <c r="AI10" i="3"/>
  <c r="AG11" i="3"/>
  <c r="AI11" i="3"/>
  <c r="AG12" i="3"/>
  <c r="AI12" i="3"/>
  <c r="AJ4" i="3"/>
  <c r="AJ5" i="3"/>
  <c r="AJ6" i="3"/>
  <c r="AJ7" i="3"/>
  <c r="AJ8" i="3"/>
  <c r="AJ9" i="3"/>
  <c r="AJ10" i="3"/>
  <c r="AJ11" i="3"/>
  <c r="AJ12" i="3"/>
  <c r="AK4" i="3"/>
  <c r="AK5" i="3"/>
  <c r="AK6" i="3"/>
  <c r="AK7" i="3"/>
  <c r="AK8" i="3"/>
  <c r="AK9" i="3"/>
  <c r="AK10" i="3"/>
  <c r="AK11" i="3"/>
  <c r="AK12" i="3"/>
  <c r="AH9" i="3"/>
  <c r="AH7" i="3"/>
  <c r="AH10" i="3"/>
  <c r="AH11" i="3"/>
  <c r="AH12" i="3"/>
  <c r="AH6" i="3"/>
  <c r="AH8" i="3"/>
  <c r="AH4" i="3"/>
  <c r="P4" i="3"/>
  <c r="AB3" i="3"/>
  <c r="AB4" i="3"/>
  <c r="AD4" i="3"/>
  <c r="AB5" i="3"/>
  <c r="AD5" i="3"/>
  <c r="AB6" i="3"/>
  <c r="AD6" i="3"/>
  <c r="AB7" i="3"/>
  <c r="AD7" i="3"/>
  <c r="AB8" i="3"/>
  <c r="AD8" i="3"/>
  <c r="AB9" i="3"/>
  <c r="AD9" i="3"/>
  <c r="AB10" i="3"/>
  <c r="AD10" i="3"/>
  <c r="AB11" i="3"/>
  <c r="AD11" i="3"/>
  <c r="AB12" i="3"/>
  <c r="AD12" i="3"/>
  <c r="AE4" i="3"/>
  <c r="AE5" i="3"/>
  <c r="AE6" i="3"/>
  <c r="AE7" i="3"/>
  <c r="AE8" i="3"/>
  <c r="AE9" i="3"/>
  <c r="AE10" i="3"/>
  <c r="AE11" i="3"/>
  <c r="AE12" i="3"/>
  <c r="AF4" i="3"/>
  <c r="AF5" i="3"/>
  <c r="AF6" i="3"/>
  <c r="AF7" i="3"/>
  <c r="AF8" i="3"/>
  <c r="AF9" i="3"/>
  <c r="AF10" i="3"/>
  <c r="AF11" i="3"/>
  <c r="AF12" i="3"/>
  <c r="AC12" i="3"/>
  <c r="AC11" i="3"/>
  <c r="AC9" i="3"/>
  <c r="AC4" i="3"/>
  <c r="AC10" i="3"/>
  <c r="AC6" i="3"/>
  <c r="AC8" i="3"/>
  <c r="AC7" i="3"/>
  <c r="AC5" i="3"/>
  <c r="O4" i="3"/>
  <c r="W3" i="3"/>
  <c r="W4" i="3"/>
  <c r="Y4" i="3"/>
  <c r="W5" i="3"/>
  <c r="Z18" i="3"/>
  <c r="Y5" i="3"/>
  <c r="W6" i="3"/>
  <c r="Y6" i="3"/>
  <c r="W7" i="3"/>
  <c r="Y7" i="3"/>
  <c r="W8" i="3"/>
  <c r="Z21" i="3"/>
  <c r="Y8" i="3"/>
  <c r="W9" i="3"/>
  <c r="Y9" i="3"/>
  <c r="W10" i="3"/>
  <c r="Y10" i="3"/>
  <c r="W11" i="3"/>
  <c r="Y11" i="3"/>
  <c r="W12" i="3"/>
  <c r="Y12" i="3"/>
  <c r="Z4" i="3"/>
  <c r="Z5" i="3"/>
  <c r="Z6" i="3"/>
  <c r="Z7" i="3"/>
  <c r="Z8" i="3"/>
  <c r="Z9" i="3"/>
  <c r="Z10" i="3"/>
  <c r="Z11" i="3"/>
  <c r="Z12" i="3"/>
  <c r="AA4" i="3"/>
  <c r="AA5" i="3"/>
  <c r="AA6" i="3"/>
  <c r="AA7" i="3"/>
  <c r="AA8" i="3"/>
  <c r="AA9" i="3"/>
  <c r="AA10" i="3"/>
  <c r="AA11" i="3"/>
  <c r="AA12" i="3"/>
  <c r="X9" i="3"/>
  <c r="X12" i="3"/>
  <c r="X10" i="3"/>
  <c r="X11" i="3"/>
  <c r="X8" i="3"/>
  <c r="X7" i="3"/>
  <c r="X6" i="3"/>
  <c r="X4" i="3"/>
  <c r="AH5" i="3"/>
  <c r="X5" i="3"/>
  <c r="E53" i="3" a="1"/>
  <c r="E53" i="3"/>
  <c r="F53" i="3" a="1"/>
  <c r="F53" i="3"/>
  <c r="G53" i="3" a="1"/>
  <c r="H53" i="3" a="1"/>
  <c r="I53" i="3" a="1"/>
  <c r="J53" i="3" a="1"/>
  <c r="K53" i="3" a="1"/>
  <c r="L53" i="3" a="1"/>
  <c r="M53" i="3" a="1"/>
  <c r="N53" i="3" a="1"/>
  <c r="O53" i="3" a="1"/>
  <c r="P53" i="3" a="1"/>
  <c r="Q53" i="3" a="1"/>
  <c r="R53" i="3" a="1"/>
  <c r="S53" i="3" a="1"/>
  <c r="T53" i="3" a="1"/>
  <c r="U53" i="3" a="1"/>
  <c r="V53" i="3" a="1"/>
  <c r="W53" i="3" a="1"/>
  <c r="X53" i="3" a="1"/>
  <c r="Y53" i="3" a="1"/>
  <c r="Z53" i="3" a="1"/>
  <c r="AA53" i="3" a="1"/>
  <c r="AB53" i="3" a="1"/>
  <c r="AC53" i="3" a="1"/>
  <c r="AD53" i="3" a="1"/>
  <c r="AE53" i="3" a="1"/>
  <c r="AF53" i="3" a="1"/>
  <c r="AG53" i="3" a="1"/>
  <c r="AH53" i="3" a="1"/>
  <c r="AI53" i="3" a="1"/>
  <c r="AJ53" i="3" a="1"/>
  <c r="AK53" i="3" a="1"/>
  <c r="AL53" i="3" a="1"/>
  <c r="AM53" i="3" a="1"/>
  <c r="AN53" i="3" a="1"/>
  <c r="AO53" i="3" a="1"/>
  <c r="AP53" i="3" a="1"/>
  <c r="AQ53" i="3" a="1"/>
  <c r="AR53" i="3" a="1"/>
  <c r="AS53" i="3" a="1"/>
  <c r="AT53" i="3" a="1"/>
  <c r="AU53" i="3" a="1"/>
  <c r="AV53" i="3" a="1"/>
  <c r="AW53" i="3" a="1"/>
  <c r="AX53" i="3" a="1"/>
  <c r="AY53" i="3" a="1"/>
  <c r="AZ53" i="3" a="1"/>
  <c r="BA53" i="3" a="1"/>
  <c r="BB53" i="3" a="1"/>
  <c r="BC53" i="3" a="1"/>
  <c r="BD53" i="3" a="1"/>
  <c r="BE53" i="3" a="1"/>
  <c r="BF53" i="3" a="1"/>
  <c r="BG53" i="3" a="1"/>
  <c r="BH53" i="3" a="1"/>
  <c r="BI53" i="3" a="1"/>
  <c r="BJ53" i="3" a="1"/>
  <c r="BK53" i="3" a="1"/>
  <c r="BL53" i="3" a="1"/>
  <c r="BM53" i="3" a="1"/>
  <c r="BN53" i="3" a="1"/>
  <c r="BO53" i="3" a="1"/>
  <c r="BP53" i="3" a="1"/>
  <c r="G53" i="3"/>
  <c r="H53" i="3"/>
  <c r="I53" i="3"/>
  <c r="J53" i="3"/>
  <c r="K53" i="3"/>
  <c r="L53" i="3"/>
  <c r="M53" i="3"/>
  <c r="N53" i="3"/>
  <c r="O53" i="3"/>
  <c r="P53" i="3"/>
  <c r="Q53" i="3"/>
  <c r="R53" i="3"/>
  <c r="S53" i="3"/>
  <c r="T53" i="3"/>
  <c r="U53" i="3"/>
  <c r="V53" i="3"/>
  <c r="W53" i="3"/>
  <c r="X53" i="3"/>
  <c r="Y53" i="3"/>
  <c r="Z53" i="3"/>
  <c r="AA53" i="3"/>
  <c r="AB53" i="3"/>
  <c r="AC53" i="3"/>
  <c r="AD53" i="3"/>
  <c r="AE53" i="3"/>
  <c r="AF53" i="3"/>
  <c r="AG53" i="3"/>
  <c r="AH53" i="3"/>
  <c r="AI53" i="3"/>
  <c r="AJ53" i="3"/>
  <c r="AK53" i="3"/>
  <c r="AL53" i="3"/>
  <c r="AM53" i="3"/>
  <c r="AN53" i="3"/>
  <c r="AO53" i="3"/>
  <c r="AP53" i="3"/>
  <c r="AQ53" i="3"/>
  <c r="AR53" i="3"/>
  <c r="AS53" i="3"/>
  <c r="AT53" i="3"/>
  <c r="AU53" i="3"/>
  <c r="AV53" i="3"/>
  <c r="AW53" i="3"/>
  <c r="AX53" i="3"/>
  <c r="AY53" i="3"/>
  <c r="AZ53" i="3"/>
  <c r="BA53" i="3"/>
  <c r="BB53" i="3"/>
  <c r="BC53" i="3"/>
  <c r="BD53" i="3"/>
  <c r="BE53" i="3"/>
  <c r="BF53" i="3"/>
  <c r="BG53" i="3"/>
  <c r="BH53" i="3"/>
  <c r="BI53" i="3"/>
  <c r="BJ53" i="3"/>
  <c r="BK53" i="3"/>
  <c r="BL53" i="3"/>
  <c r="BM53" i="3"/>
  <c r="BN53" i="3"/>
  <c r="BO53" i="3"/>
  <c r="BP53" i="3"/>
  <c r="AC18" i="3"/>
  <c r="E56" i="3" a="1"/>
  <c r="E56" i="3"/>
  <c r="F56" i="3" a="1"/>
  <c r="F56" i="3"/>
  <c r="G56" i="3" a="1"/>
  <c r="H56" i="3" a="1"/>
  <c r="I56" i="3" a="1"/>
  <c r="J56" i="3" a="1"/>
  <c r="K56" i="3" a="1"/>
  <c r="L56" i="3" a="1"/>
  <c r="M56" i="3" a="1"/>
  <c r="N56" i="3" a="1"/>
  <c r="O56" i="3" a="1"/>
  <c r="P56" i="3" a="1"/>
  <c r="Q56" i="3" a="1"/>
  <c r="R56" i="3" a="1"/>
  <c r="S56" i="3" a="1"/>
  <c r="T56" i="3" a="1"/>
  <c r="U56" i="3" a="1"/>
  <c r="V56" i="3" a="1"/>
  <c r="W56" i="3" a="1"/>
  <c r="X56" i="3" a="1"/>
  <c r="Y56" i="3" a="1"/>
  <c r="Z56" i="3" a="1"/>
  <c r="AA56" i="3" a="1"/>
  <c r="AB56" i="3" a="1"/>
  <c r="AC56" i="3" a="1"/>
  <c r="AD56" i="3" a="1"/>
  <c r="AE56" i="3" a="1"/>
  <c r="AF56" i="3" a="1"/>
  <c r="AG56" i="3" a="1"/>
  <c r="AH56" i="3" a="1"/>
  <c r="AI56" i="3" a="1"/>
  <c r="AJ56" i="3" a="1"/>
  <c r="AK56" i="3" a="1"/>
  <c r="AL56" i="3" a="1"/>
  <c r="AM56" i="3" a="1"/>
  <c r="AN56" i="3" a="1"/>
  <c r="AO56" i="3" a="1"/>
  <c r="AP56" i="3" a="1"/>
  <c r="AQ56" i="3" a="1"/>
  <c r="AR56" i="3" a="1"/>
  <c r="AS56" i="3" a="1"/>
  <c r="AT56" i="3" a="1"/>
  <c r="AU56" i="3" a="1"/>
  <c r="AV56" i="3" a="1"/>
  <c r="AW56" i="3" a="1"/>
  <c r="AX56" i="3" a="1"/>
  <c r="AY56" i="3" a="1"/>
  <c r="AZ56" i="3" a="1"/>
  <c r="BA56" i="3" a="1"/>
  <c r="BB56" i="3" a="1"/>
  <c r="BC56" i="3" a="1"/>
  <c r="BD56" i="3" a="1"/>
  <c r="BE56" i="3" a="1"/>
  <c r="BF56" i="3" a="1"/>
  <c r="BG56" i="3" a="1"/>
  <c r="BH56" i="3" a="1"/>
  <c r="BI56" i="3" a="1"/>
  <c r="BJ56" i="3" a="1"/>
  <c r="BK56" i="3" a="1"/>
  <c r="BL56" i="3" a="1"/>
  <c r="BM56" i="3" a="1"/>
  <c r="BN56" i="3" a="1"/>
  <c r="BO56" i="3" a="1"/>
  <c r="BP56" i="3" a="1"/>
  <c r="G56" i="3"/>
  <c r="H56" i="3"/>
  <c r="I56" i="3"/>
  <c r="J56" i="3"/>
  <c r="K56" i="3"/>
  <c r="L56" i="3"/>
  <c r="M56" i="3"/>
  <c r="N56" i="3"/>
  <c r="O56" i="3"/>
  <c r="P56" i="3"/>
  <c r="Q56" i="3"/>
  <c r="R56" i="3"/>
  <c r="S56" i="3"/>
  <c r="T56" i="3"/>
  <c r="U56" i="3"/>
  <c r="V56" i="3"/>
  <c r="W56" i="3"/>
  <c r="X56" i="3"/>
  <c r="Y56" i="3"/>
  <c r="Z56" i="3"/>
  <c r="AA56" i="3"/>
  <c r="AB56" i="3"/>
  <c r="AC56" i="3"/>
  <c r="AD56" i="3"/>
  <c r="AE56" i="3"/>
  <c r="AF56" i="3"/>
  <c r="AG56" i="3"/>
  <c r="AH56" i="3"/>
  <c r="AI56" i="3"/>
  <c r="AJ56" i="3"/>
  <c r="AK56" i="3"/>
  <c r="AL56" i="3"/>
  <c r="AM56" i="3"/>
  <c r="AN56" i="3"/>
  <c r="AO56" i="3"/>
  <c r="AP56" i="3"/>
  <c r="AQ56" i="3"/>
  <c r="AR56" i="3"/>
  <c r="AS56" i="3"/>
  <c r="AT56" i="3"/>
  <c r="AU56" i="3"/>
  <c r="AV56" i="3"/>
  <c r="AW56" i="3"/>
  <c r="AX56" i="3"/>
  <c r="AY56" i="3"/>
  <c r="AZ56" i="3"/>
  <c r="BA56" i="3"/>
  <c r="BB56" i="3"/>
  <c r="BC56" i="3"/>
  <c r="BD56" i="3"/>
  <c r="BE56" i="3"/>
  <c r="BF56" i="3"/>
  <c r="BG56" i="3"/>
  <c r="BH56" i="3"/>
  <c r="BI56" i="3"/>
  <c r="BJ56" i="3"/>
  <c r="BK56" i="3"/>
  <c r="BL56" i="3"/>
  <c r="BM56" i="3"/>
  <c r="BN56" i="3"/>
  <c r="BO56" i="3"/>
  <c r="BP56" i="3"/>
  <c r="AC21" i="3"/>
  <c r="R4" i="3"/>
  <c r="AL3" i="3"/>
  <c r="AL4" i="3"/>
  <c r="AN4" i="3"/>
  <c r="AL5" i="3"/>
  <c r="AN5" i="3"/>
  <c r="AL6" i="3"/>
  <c r="AN6" i="3"/>
  <c r="AL7" i="3"/>
  <c r="AN7" i="3"/>
  <c r="AL8" i="3"/>
  <c r="AN8" i="3"/>
  <c r="AL9" i="3"/>
  <c r="AN9" i="3"/>
  <c r="AL10" i="3"/>
  <c r="AN10" i="3"/>
  <c r="AL11" i="3"/>
  <c r="AN11" i="3"/>
  <c r="AL12" i="3"/>
  <c r="AN12" i="3"/>
  <c r="AO4" i="3"/>
  <c r="AO5" i="3"/>
  <c r="AO6" i="3"/>
  <c r="AO7" i="3"/>
  <c r="AO8" i="3"/>
  <c r="AO9" i="3"/>
  <c r="AO10" i="3"/>
  <c r="AO11" i="3"/>
  <c r="AO12" i="3"/>
  <c r="AP4" i="3"/>
  <c r="AP5" i="3"/>
  <c r="AP6" i="3"/>
  <c r="AP7" i="3"/>
  <c r="AP8" i="3"/>
  <c r="AP9" i="3"/>
  <c r="AP10" i="3"/>
  <c r="AP11" i="3"/>
  <c r="AP12" i="3"/>
  <c r="AM12" i="3"/>
  <c r="AM8" i="3"/>
  <c r="AM11" i="3"/>
  <c r="AM10" i="3"/>
  <c r="AM9" i="3"/>
  <c r="AM6" i="3"/>
  <c r="AM7" i="3"/>
  <c r="AM4" i="3"/>
  <c r="AM5" i="3"/>
  <c r="E52" i="3" a="1"/>
  <c r="E52" i="3"/>
  <c r="F52" i="3" a="1"/>
  <c r="F52" i="3"/>
  <c r="G52" i="3" a="1"/>
  <c r="H52" i="3" a="1"/>
  <c r="I52" i="3" a="1"/>
  <c r="J52" i="3" a="1"/>
  <c r="K52" i="3" a="1"/>
  <c r="L52" i="3" a="1"/>
  <c r="M52" i="3" a="1"/>
  <c r="N52" i="3" a="1"/>
  <c r="O52" i="3" a="1"/>
  <c r="P52" i="3" a="1"/>
  <c r="Q52" i="3" a="1"/>
  <c r="R52" i="3" a="1"/>
  <c r="S52" i="3" a="1"/>
  <c r="T52" i="3" a="1"/>
  <c r="U52" i="3" a="1"/>
  <c r="V52" i="3" a="1"/>
  <c r="W52" i="3" a="1"/>
  <c r="X52" i="3" a="1"/>
  <c r="Y52" i="3" a="1"/>
  <c r="Z52" i="3" a="1"/>
  <c r="AA52" i="3" a="1"/>
  <c r="AB52" i="3" a="1"/>
  <c r="AC52" i="3" a="1"/>
  <c r="AD52" i="3" a="1"/>
  <c r="AE52" i="3" a="1"/>
  <c r="AF52" i="3" a="1"/>
  <c r="AG52" i="3" a="1"/>
  <c r="AH52" i="3" a="1"/>
  <c r="AI52" i="3" a="1"/>
  <c r="AJ52" i="3" a="1"/>
  <c r="AK52" i="3" a="1"/>
  <c r="AL52" i="3" a="1"/>
  <c r="AM52" i="3" a="1"/>
  <c r="AN52" i="3" a="1"/>
  <c r="AO52" i="3" a="1"/>
  <c r="AP52" i="3" a="1"/>
  <c r="AQ52" i="3" a="1"/>
  <c r="AR52" i="3" a="1"/>
  <c r="AS52" i="3" a="1"/>
  <c r="AT52" i="3" a="1"/>
  <c r="AU52" i="3" a="1"/>
  <c r="AV52" i="3" a="1"/>
  <c r="AW52" i="3" a="1"/>
  <c r="AX52" i="3" a="1"/>
  <c r="AY52" i="3" a="1"/>
  <c r="AZ52" i="3" a="1"/>
  <c r="BA52" i="3" a="1"/>
  <c r="BB52" i="3" a="1"/>
  <c r="BC52" i="3" a="1"/>
  <c r="BD52" i="3" a="1"/>
  <c r="BE52" i="3" a="1"/>
  <c r="BF52" i="3" a="1"/>
  <c r="BG52" i="3" a="1"/>
  <c r="BH52" i="3" a="1"/>
  <c r="BI52" i="3" a="1"/>
  <c r="BJ52" i="3" a="1"/>
  <c r="BK52" i="3" a="1"/>
  <c r="BL52" i="3" a="1"/>
  <c r="BM52" i="3" a="1"/>
  <c r="BN52" i="3" a="1"/>
  <c r="BO52" i="3" a="1"/>
  <c r="BP52" i="3" a="1"/>
  <c r="G52" i="3"/>
  <c r="H52" i="3"/>
  <c r="I52" i="3"/>
  <c r="J52" i="3"/>
  <c r="K52" i="3"/>
  <c r="L52" i="3"/>
  <c r="M52" i="3"/>
  <c r="N52" i="3"/>
  <c r="O52" i="3"/>
  <c r="P52" i="3"/>
  <c r="Q52" i="3"/>
  <c r="R52" i="3"/>
  <c r="S52" i="3"/>
  <c r="T52" i="3"/>
  <c r="U52" i="3"/>
  <c r="V52" i="3"/>
  <c r="W52" i="3"/>
  <c r="X52" i="3"/>
  <c r="Y52" i="3"/>
  <c r="Z52" i="3"/>
  <c r="AA52" i="3"/>
  <c r="AB52" i="3"/>
  <c r="AC52" i="3"/>
  <c r="AD52" i="3"/>
  <c r="AE52" i="3"/>
  <c r="AF52" i="3"/>
  <c r="AG52" i="3"/>
  <c r="AH52" i="3"/>
  <c r="AI52" i="3"/>
  <c r="AJ52" i="3"/>
  <c r="AK52" i="3"/>
  <c r="AL52" i="3"/>
  <c r="AM52" i="3"/>
  <c r="AN52" i="3"/>
  <c r="AO52" i="3"/>
  <c r="AP52" i="3"/>
  <c r="AQ52" i="3"/>
  <c r="AR52" i="3"/>
  <c r="AS52" i="3"/>
  <c r="AT52" i="3"/>
  <c r="AU52" i="3"/>
  <c r="AV52" i="3"/>
  <c r="AW52" i="3"/>
  <c r="AX52" i="3"/>
  <c r="AY52" i="3"/>
  <c r="AZ52" i="3"/>
  <c r="BA52" i="3"/>
  <c r="BB52" i="3"/>
  <c r="BC52" i="3"/>
  <c r="BD52" i="3"/>
  <c r="BE52" i="3"/>
  <c r="BF52" i="3"/>
  <c r="BG52" i="3"/>
  <c r="BH52" i="3"/>
  <c r="BI52" i="3"/>
  <c r="BJ52" i="3"/>
  <c r="BK52" i="3"/>
  <c r="BL52" i="3"/>
  <c r="BM52" i="3"/>
  <c r="BN52" i="3"/>
  <c r="BO52" i="3"/>
  <c r="BP52" i="3"/>
  <c r="AC17" i="3"/>
  <c r="E57" i="3" a="1"/>
  <c r="E57" i="3"/>
  <c r="F57" i="3" a="1"/>
  <c r="F57" i="3"/>
  <c r="G57" i="3" a="1"/>
  <c r="H57" i="3" a="1"/>
  <c r="I57" i="3" a="1"/>
  <c r="J57" i="3" a="1"/>
  <c r="K57" i="3" a="1"/>
  <c r="L57" i="3" a="1"/>
  <c r="M57" i="3" a="1"/>
  <c r="N57" i="3" a="1"/>
  <c r="O57" i="3" a="1"/>
  <c r="P57" i="3" a="1"/>
  <c r="Q57" i="3" a="1"/>
  <c r="R57" i="3" a="1"/>
  <c r="S57" i="3" a="1"/>
  <c r="T57" i="3" a="1"/>
  <c r="U57" i="3" a="1"/>
  <c r="V57" i="3" a="1"/>
  <c r="W57" i="3" a="1"/>
  <c r="X57" i="3" a="1"/>
  <c r="Y57" i="3" a="1"/>
  <c r="Z57" i="3" a="1"/>
  <c r="AA57" i="3" a="1"/>
  <c r="AB57" i="3" a="1"/>
  <c r="AC57" i="3" a="1"/>
  <c r="AD57" i="3" a="1"/>
  <c r="AE57" i="3" a="1"/>
  <c r="AF57" i="3" a="1"/>
  <c r="AG57" i="3" a="1"/>
  <c r="AH57" i="3" a="1"/>
  <c r="AI57" i="3" a="1"/>
  <c r="AJ57" i="3" a="1"/>
  <c r="AK57" i="3" a="1"/>
  <c r="AL57" i="3" a="1"/>
  <c r="AM57" i="3" a="1"/>
  <c r="AN57" i="3" a="1"/>
  <c r="AO57" i="3" a="1"/>
  <c r="AP57" i="3" a="1"/>
  <c r="AQ57" i="3" a="1"/>
  <c r="AR57" i="3" a="1"/>
  <c r="AS57" i="3" a="1"/>
  <c r="AT57" i="3" a="1"/>
  <c r="AU57" i="3" a="1"/>
  <c r="AV57" i="3" a="1"/>
  <c r="AW57" i="3" a="1"/>
  <c r="AX57" i="3" a="1"/>
  <c r="AY57" i="3" a="1"/>
  <c r="AZ57" i="3" a="1"/>
  <c r="BA57" i="3" a="1"/>
  <c r="BB57" i="3" a="1"/>
  <c r="BC57" i="3" a="1"/>
  <c r="BD57" i="3" a="1"/>
  <c r="BE57" i="3" a="1"/>
  <c r="BF57" i="3" a="1"/>
  <c r="BG57" i="3" a="1"/>
  <c r="BH57" i="3" a="1"/>
  <c r="BI57" i="3" a="1"/>
  <c r="BJ57" i="3" a="1"/>
  <c r="BK57" i="3" a="1"/>
  <c r="BL57" i="3" a="1"/>
  <c r="BM57" i="3" a="1"/>
  <c r="BN57" i="3" a="1"/>
  <c r="BO57" i="3" a="1"/>
  <c r="BP57" i="3" a="1"/>
  <c r="G57" i="3"/>
  <c r="H57" i="3"/>
  <c r="I57" i="3"/>
  <c r="J57" i="3"/>
  <c r="K57" i="3"/>
  <c r="L57" i="3"/>
  <c r="M57" i="3"/>
  <c r="N57" i="3"/>
  <c r="O57" i="3"/>
  <c r="P57" i="3"/>
  <c r="Q57" i="3"/>
  <c r="R57" i="3"/>
  <c r="S57" i="3"/>
  <c r="T57" i="3"/>
  <c r="U57" i="3"/>
  <c r="V57" i="3"/>
  <c r="W57" i="3"/>
  <c r="X57" i="3"/>
  <c r="Y57" i="3"/>
  <c r="Z57" i="3"/>
  <c r="AA57" i="3"/>
  <c r="AB57" i="3"/>
  <c r="AC57" i="3"/>
  <c r="AD57" i="3"/>
  <c r="AE57" i="3"/>
  <c r="AF57" i="3"/>
  <c r="AG57" i="3"/>
  <c r="AH57" i="3"/>
  <c r="AI57" i="3"/>
  <c r="AJ57" i="3"/>
  <c r="AK57" i="3"/>
  <c r="AL57" i="3"/>
  <c r="AM57" i="3"/>
  <c r="AN57" i="3"/>
  <c r="AO57" i="3"/>
  <c r="AP57" i="3"/>
  <c r="AQ57" i="3"/>
  <c r="AR57" i="3"/>
  <c r="AS57" i="3"/>
  <c r="AT57" i="3"/>
  <c r="AU57" i="3"/>
  <c r="AV57" i="3"/>
  <c r="AW57" i="3"/>
  <c r="AX57" i="3"/>
  <c r="AY57" i="3"/>
  <c r="AZ57" i="3"/>
  <c r="BA57" i="3"/>
  <c r="BB57" i="3"/>
  <c r="BC57" i="3"/>
  <c r="BD57" i="3"/>
  <c r="BE57" i="3"/>
  <c r="BF57" i="3"/>
  <c r="BG57" i="3"/>
  <c r="BH57" i="3"/>
  <c r="BI57" i="3"/>
  <c r="BJ57" i="3"/>
  <c r="BK57" i="3"/>
  <c r="BL57" i="3"/>
  <c r="BM57" i="3"/>
  <c r="BN57" i="3"/>
  <c r="BO57" i="3"/>
  <c r="BP57" i="3"/>
  <c r="AC22" i="3"/>
  <c r="E55" i="3" a="1"/>
  <c r="E55" i="3"/>
  <c r="F55" i="3" a="1"/>
  <c r="F55" i="3"/>
  <c r="G55" i="3" a="1"/>
  <c r="H55" i="3" a="1"/>
  <c r="I55" i="3" a="1"/>
  <c r="J55" i="3" a="1"/>
  <c r="K55" i="3" a="1"/>
  <c r="L55" i="3" a="1"/>
  <c r="M55" i="3" a="1"/>
  <c r="N55" i="3" a="1"/>
  <c r="O55" i="3" a="1"/>
  <c r="P55" i="3" a="1"/>
  <c r="Q55" i="3" a="1"/>
  <c r="R55" i="3" a="1"/>
  <c r="S55" i="3" a="1"/>
  <c r="T55" i="3" a="1"/>
  <c r="U55" i="3" a="1"/>
  <c r="V55" i="3" a="1"/>
  <c r="W55" i="3" a="1"/>
  <c r="X55" i="3" a="1"/>
  <c r="Y55" i="3" a="1"/>
  <c r="Z55" i="3" a="1"/>
  <c r="AA55" i="3" a="1"/>
  <c r="AB55" i="3" a="1"/>
  <c r="AC55" i="3" a="1"/>
  <c r="AD55" i="3" a="1"/>
  <c r="AE55" i="3" a="1"/>
  <c r="AF55" i="3" a="1"/>
  <c r="AG55" i="3" a="1"/>
  <c r="AH55" i="3" a="1"/>
  <c r="AI55" i="3" a="1"/>
  <c r="AJ55" i="3" a="1"/>
  <c r="AK55" i="3" a="1"/>
  <c r="AL55" i="3" a="1"/>
  <c r="AM55" i="3" a="1"/>
  <c r="AN55" i="3" a="1"/>
  <c r="AO55" i="3" a="1"/>
  <c r="AP55" i="3" a="1"/>
  <c r="AQ55" i="3" a="1"/>
  <c r="AR55" i="3" a="1"/>
  <c r="AS55" i="3" a="1"/>
  <c r="AT55" i="3" a="1"/>
  <c r="AU55" i="3" a="1"/>
  <c r="AV55" i="3" a="1"/>
  <c r="AW55" i="3" a="1"/>
  <c r="AX55" i="3" a="1"/>
  <c r="AY55" i="3" a="1"/>
  <c r="AZ55" i="3" a="1"/>
  <c r="BA55" i="3" a="1"/>
  <c r="BB55" i="3" a="1"/>
  <c r="BC55" i="3" a="1"/>
  <c r="BD55" i="3" a="1"/>
  <c r="BE55" i="3" a="1"/>
  <c r="BF55" i="3" a="1"/>
  <c r="BG55" i="3" a="1"/>
  <c r="BH55" i="3" a="1"/>
  <c r="BI55" i="3" a="1"/>
  <c r="BJ55" i="3" a="1"/>
  <c r="BK55" i="3" a="1"/>
  <c r="BL55" i="3" a="1"/>
  <c r="BM55" i="3" a="1"/>
  <c r="BN55" i="3" a="1"/>
  <c r="BO55" i="3" a="1"/>
  <c r="BP55" i="3" a="1"/>
  <c r="G55" i="3"/>
  <c r="H55" i="3"/>
  <c r="I55" i="3"/>
  <c r="J55" i="3"/>
  <c r="K55" i="3"/>
  <c r="L55" i="3"/>
  <c r="M55" i="3"/>
  <c r="N55" i="3"/>
  <c r="O55" i="3"/>
  <c r="P55" i="3"/>
  <c r="Q55" i="3"/>
  <c r="R55" i="3"/>
  <c r="S55" i="3"/>
  <c r="T55" i="3"/>
  <c r="U55" i="3"/>
  <c r="V55" i="3"/>
  <c r="W55" i="3"/>
  <c r="X55" i="3"/>
  <c r="Y55" i="3"/>
  <c r="Z55" i="3"/>
  <c r="AA55" i="3"/>
  <c r="AB55" i="3"/>
  <c r="AC55" i="3"/>
  <c r="AD55" i="3"/>
  <c r="AE55" i="3"/>
  <c r="AF55" i="3"/>
  <c r="AG55" i="3"/>
  <c r="AH55" i="3"/>
  <c r="AI55" i="3"/>
  <c r="AJ55" i="3"/>
  <c r="AK55" i="3"/>
  <c r="AL55" i="3"/>
  <c r="AM55" i="3"/>
  <c r="AN55" i="3"/>
  <c r="AO55" i="3"/>
  <c r="AP55" i="3"/>
  <c r="AQ55" i="3"/>
  <c r="AR55" i="3"/>
  <c r="AS55" i="3"/>
  <c r="AT55" i="3"/>
  <c r="AU55" i="3"/>
  <c r="AV55" i="3"/>
  <c r="AW55" i="3"/>
  <c r="AX55" i="3"/>
  <c r="AY55" i="3"/>
  <c r="AZ55" i="3"/>
  <c r="BA55" i="3"/>
  <c r="BB55" i="3"/>
  <c r="BC55" i="3"/>
  <c r="BD55" i="3"/>
  <c r="BE55" i="3"/>
  <c r="BF55" i="3"/>
  <c r="BG55" i="3"/>
  <c r="BH55" i="3"/>
  <c r="BI55" i="3"/>
  <c r="BJ55" i="3"/>
  <c r="BK55" i="3"/>
  <c r="BL55" i="3"/>
  <c r="BM55" i="3"/>
  <c r="BN55" i="3"/>
  <c r="BO55" i="3"/>
  <c r="BP55" i="3"/>
  <c r="AC20" i="3"/>
  <c r="E59" i="3" a="1"/>
  <c r="E59" i="3"/>
  <c r="F59" i="3" a="1"/>
  <c r="F59" i="3"/>
  <c r="G59" i="3" a="1"/>
  <c r="H59" i="3" a="1"/>
  <c r="I59" i="3" a="1"/>
  <c r="J59" i="3" a="1"/>
  <c r="K59" i="3" a="1"/>
  <c r="L59" i="3" a="1"/>
  <c r="M59" i="3" a="1"/>
  <c r="N59" i="3" a="1"/>
  <c r="O59" i="3" a="1"/>
  <c r="P59" i="3" a="1"/>
  <c r="Q59" i="3" a="1"/>
  <c r="R59" i="3" a="1"/>
  <c r="S59" i="3" a="1"/>
  <c r="T59" i="3" a="1"/>
  <c r="U59" i="3" a="1"/>
  <c r="V59" i="3" a="1"/>
  <c r="W59" i="3" a="1"/>
  <c r="X59" i="3" a="1"/>
  <c r="Y59" i="3" a="1"/>
  <c r="Z59" i="3" a="1"/>
  <c r="AA59" i="3" a="1"/>
  <c r="AB59" i="3" a="1"/>
  <c r="AC59" i="3" a="1"/>
  <c r="AD59" i="3" a="1"/>
  <c r="AE59" i="3" a="1"/>
  <c r="AF59" i="3" a="1"/>
  <c r="AG59" i="3" a="1"/>
  <c r="AH59" i="3" a="1"/>
  <c r="AI59" i="3" a="1"/>
  <c r="AJ59" i="3" a="1"/>
  <c r="AK59" i="3" a="1"/>
  <c r="AL59" i="3" a="1"/>
  <c r="AM59" i="3" a="1"/>
  <c r="AN59" i="3" a="1"/>
  <c r="AO59" i="3" a="1"/>
  <c r="AP59" i="3" a="1"/>
  <c r="AQ59" i="3" a="1"/>
  <c r="AR59" i="3" a="1"/>
  <c r="AS59" i="3" a="1"/>
  <c r="AT59" i="3" a="1"/>
  <c r="AU59" i="3" a="1"/>
  <c r="AV59" i="3" a="1"/>
  <c r="AW59" i="3" a="1"/>
  <c r="AX59" i="3" a="1"/>
  <c r="AY59" i="3" a="1"/>
  <c r="AZ59" i="3" a="1"/>
  <c r="BA59" i="3" a="1"/>
  <c r="BB59" i="3" a="1"/>
  <c r="BC59" i="3" a="1"/>
  <c r="BD59" i="3" a="1"/>
  <c r="BE59" i="3" a="1"/>
  <c r="BF59" i="3" a="1"/>
  <c r="BG59" i="3" a="1"/>
  <c r="BH59" i="3" a="1"/>
  <c r="BI59" i="3" a="1"/>
  <c r="BJ59" i="3" a="1"/>
  <c r="BK59" i="3" a="1"/>
  <c r="BL59" i="3" a="1"/>
  <c r="BM59" i="3" a="1"/>
  <c r="BN59" i="3" a="1"/>
  <c r="BO59" i="3" a="1"/>
  <c r="BP59" i="3" a="1"/>
  <c r="G59" i="3"/>
  <c r="H59" i="3"/>
  <c r="I59" i="3"/>
  <c r="J59" i="3"/>
  <c r="K59" i="3"/>
  <c r="L59" i="3"/>
  <c r="M59" i="3"/>
  <c r="N59" i="3"/>
  <c r="O59" i="3"/>
  <c r="P59" i="3"/>
  <c r="Q59" i="3"/>
  <c r="R59" i="3"/>
  <c r="S59" i="3"/>
  <c r="T59" i="3"/>
  <c r="U59" i="3"/>
  <c r="V59" i="3"/>
  <c r="W59" i="3"/>
  <c r="X59" i="3"/>
  <c r="Y59" i="3"/>
  <c r="Z59" i="3"/>
  <c r="AA59" i="3"/>
  <c r="AB59" i="3"/>
  <c r="AC59" i="3"/>
  <c r="AD59" i="3"/>
  <c r="AE59" i="3"/>
  <c r="AF59" i="3"/>
  <c r="AG59" i="3"/>
  <c r="AH59" i="3"/>
  <c r="AI59" i="3"/>
  <c r="AJ59" i="3"/>
  <c r="AK59" i="3"/>
  <c r="AL59" i="3"/>
  <c r="AM59" i="3"/>
  <c r="AN59" i="3"/>
  <c r="AO59" i="3"/>
  <c r="AP59" i="3"/>
  <c r="AQ59" i="3"/>
  <c r="AR59" i="3"/>
  <c r="AS59" i="3"/>
  <c r="AT59" i="3"/>
  <c r="AU59" i="3"/>
  <c r="AV59" i="3"/>
  <c r="AW59" i="3"/>
  <c r="AX59" i="3"/>
  <c r="AY59" i="3"/>
  <c r="AZ59" i="3"/>
  <c r="BA59" i="3"/>
  <c r="BB59" i="3"/>
  <c r="BC59" i="3"/>
  <c r="BD59" i="3"/>
  <c r="BE59" i="3"/>
  <c r="BF59" i="3"/>
  <c r="BG59" i="3"/>
  <c r="BH59" i="3"/>
  <c r="BI59" i="3"/>
  <c r="BJ59" i="3"/>
  <c r="BK59" i="3"/>
  <c r="BL59" i="3"/>
  <c r="BM59" i="3"/>
  <c r="BN59" i="3"/>
  <c r="BO59" i="3"/>
  <c r="BP59" i="3"/>
  <c r="AC24" i="3"/>
  <c r="E58" i="3" a="1"/>
  <c r="E58" i="3"/>
  <c r="F58" i="3" a="1"/>
  <c r="F58" i="3"/>
  <c r="G58" i="3" a="1"/>
  <c r="H58" i="3" a="1"/>
  <c r="I58" i="3" a="1"/>
  <c r="J58" i="3" a="1"/>
  <c r="K58" i="3" a="1"/>
  <c r="L58" i="3" a="1"/>
  <c r="M58" i="3" a="1"/>
  <c r="N58" i="3" a="1"/>
  <c r="O58" i="3" a="1"/>
  <c r="P58" i="3" a="1"/>
  <c r="Q58" i="3" a="1"/>
  <c r="R58" i="3" a="1"/>
  <c r="S58" i="3" a="1"/>
  <c r="T58" i="3" a="1"/>
  <c r="U58" i="3" a="1"/>
  <c r="V58" i="3" a="1"/>
  <c r="W58" i="3" a="1"/>
  <c r="X58" i="3" a="1"/>
  <c r="Y58" i="3" a="1"/>
  <c r="Z58" i="3" a="1"/>
  <c r="AA58" i="3" a="1"/>
  <c r="AB58" i="3" a="1"/>
  <c r="AC58" i="3" a="1"/>
  <c r="AD58" i="3" a="1"/>
  <c r="AE58" i="3" a="1"/>
  <c r="AF58" i="3" a="1"/>
  <c r="AG58" i="3" a="1"/>
  <c r="AH58" i="3" a="1"/>
  <c r="AI58" i="3" a="1"/>
  <c r="AJ58" i="3" a="1"/>
  <c r="AK58" i="3" a="1"/>
  <c r="AL58" i="3" a="1"/>
  <c r="AM58" i="3" a="1"/>
  <c r="AN58" i="3" a="1"/>
  <c r="AO58" i="3" a="1"/>
  <c r="AP58" i="3" a="1"/>
  <c r="AQ58" i="3" a="1"/>
  <c r="AR58" i="3" a="1"/>
  <c r="AS58" i="3" a="1"/>
  <c r="AT58" i="3" a="1"/>
  <c r="AU58" i="3" a="1"/>
  <c r="AV58" i="3" a="1"/>
  <c r="AW58" i="3" a="1"/>
  <c r="AX58" i="3" a="1"/>
  <c r="AY58" i="3" a="1"/>
  <c r="AZ58" i="3" a="1"/>
  <c r="BA58" i="3" a="1"/>
  <c r="BB58" i="3" a="1"/>
  <c r="BC58" i="3" a="1"/>
  <c r="BD58" i="3" a="1"/>
  <c r="BE58" i="3" a="1"/>
  <c r="BF58" i="3" a="1"/>
  <c r="BG58" i="3" a="1"/>
  <c r="BH58" i="3" a="1"/>
  <c r="BI58" i="3" a="1"/>
  <c r="BJ58" i="3" a="1"/>
  <c r="BK58" i="3" a="1"/>
  <c r="BL58" i="3" a="1"/>
  <c r="BM58" i="3" a="1"/>
  <c r="BN58" i="3" a="1"/>
  <c r="BO58" i="3" a="1"/>
  <c r="BP58" i="3" a="1"/>
  <c r="G58" i="3"/>
  <c r="H58" i="3"/>
  <c r="I58" i="3"/>
  <c r="J58" i="3"/>
  <c r="K58" i="3"/>
  <c r="L58" i="3"/>
  <c r="M58" i="3"/>
  <c r="N58" i="3"/>
  <c r="O58" i="3"/>
  <c r="P58" i="3"/>
  <c r="Q58" i="3"/>
  <c r="R58" i="3"/>
  <c r="S58" i="3"/>
  <c r="T58" i="3"/>
  <c r="U58" i="3"/>
  <c r="V58" i="3"/>
  <c r="W58" i="3"/>
  <c r="X58" i="3"/>
  <c r="Y58" i="3"/>
  <c r="Z58" i="3"/>
  <c r="AA58" i="3"/>
  <c r="AB58" i="3"/>
  <c r="AC58" i="3"/>
  <c r="AD58" i="3"/>
  <c r="AE58" i="3"/>
  <c r="AF58" i="3"/>
  <c r="AG58" i="3"/>
  <c r="AH58" i="3"/>
  <c r="AI58" i="3"/>
  <c r="AJ58" i="3"/>
  <c r="AK58" i="3"/>
  <c r="AL58" i="3"/>
  <c r="AM58" i="3"/>
  <c r="AN58" i="3"/>
  <c r="AO58" i="3"/>
  <c r="AP58" i="3"/>
  <c r="AQ58" i="3"/>
  <c r="AR58" i="3"/>
  <c r="AS58" i="3"/>
  <c r="AT58" i="3"/>
  <c r="AU58" i="3"/>
  <c r="AV58" i="3"/>
  <c r="AW58" i="3"/>
  <c r="AX58" i="3"/>
  <c r="AY58" i="3"/>
  <c r="AZ58" i="3"/>
  <c r="BA58" i="3"/>
  <c r="BB58" i="3"/>
  <c r="BC58" i="3"/>
  <c r="BD58" i="3"/>
  <c r="BE58" i="3"/>
  <c r="BF58" i="3"/>
  <c r="BG58" i="3"/>
  <c r="BH58" i="3"/>
  <c r="BI58" i="3"/>
  <c r="BJ58" i="3"/>
  <c r="BK58" i="3"/>
  <c r="BL58" i="3"/>
  <c r="BM58" i="3"/>
  <c r="BN58" i="3"/>
  <c r="BO58" i="3"/>
  <c r="BP58" i="3"/>
  <c r="AC23" i="3"/>
  <c r="E54" i="3" a="1"/>
  <c r="E54" i="3"/>
  <c r="F54" i="3" a="1"/>
  <c r="F54" i="3"/>
  <c r="G54" i="3" a="1"/>
  <c r="H54" i="3" a="1"/>
  <c r="I54" i="3" a="1"/>
  <c r="J54" i="3" a="1"/>
  <c r="K54" i="3" a="1"/>
  <c r="L54" i="3" a="1"/>
  <c r="M54" i="3" a="1"/>
  <c r="N54" i="3" a="1"/>
  <c r="O54" i="3" a="1"/>
  <c r="P54" i="3" a="1"/>
  <c r="Q54" i="3" a="1"/>
  <c r="R54" i="3" a="1"/>
  <c r="S54" i="3" a="1"/>
  <c r="T54" i="3" a="1"/>
  <c r="U54" i="3" a="1"/>
  <c r="V54" i="3" a="1"/>
  <c r="W54" i="3" a="1"/>
  <c r="X54" i="3" a="1"/>
  <c r="Y54" i="3" a="1"/>
  <c r="Z54" i="3" a="1"/>
  <c r="AA54" i="3" a="1"/>
  <c r="AB54" i="3" a="1"/>
  <c r="AC54" i="3" a="1"/>
  <c r="AD54" i="3" a="1"/>
  <c r="AE54" i="3" a="1"/>
  <c r="AF54" i="3" a="1"/>
  <c r="AG54" i="3" a="1"/>
  <c r="AH54" i="3" a="1"/>
  <c r="AI54" i="3" a="1"/>
  <c r="AJ54" i="3" a="1"/>
  <c r="AK54" i="3" a="1"/>
  <c r="AL54" i="3" a="1"/>
  <c r="AM54" i="3" a="1"/>
  <c r="AN54" i="3" a="1"/>
  <c r="AO54" i="3" a="1"/>
  <c r="AP54" i="3" a="1"/>
  <c r="AQ54" i="3" a="1"/>
  <c r="AR54" i="3" a="1"/>
  <c r="AS54" i="3" a="1"/>
  <c r="AT54" i="3" a="1"/>
  <c r="AU54" i="3" a="1"/>
  <c r="AV54" i="3" a="1"/>
  <c r="AW54" i="3" a="1"/>
  <c r="AX54" i="3" a="1"/>
  <c r="AY54" i="3" a="1"/>
  <c r="AZ54" i="3" a="1"/>
  <c r="BA54" i="3" a="1"/>
  <c r="BB54" i="3" a="1"/>
  <c r="BC54" i="3" a="1"/>
  <c r="BD54" i="3" a="1"/>
  <c r="BE54" i="3" a="1"/>
  <c r="BF54" i="3" a="1"/>
  <c r="BG54" i="3" a="1"/>
  <c r="BH54" i="3" a="1"/>
  <c r="BI54" i="3" a="1"/>
  <c r="BJ54" i="3" a="1"/>
  <c r="BK54" i="3" a="1"/>
  <c r="BL54" i="3" a="1"/>
  <c r="BM54" i="3" a="1"/>
  <c r="BN54" i="3" a="1"/>
  <c r="BO54" i="3" a="1"/>
  <c r="BP54" i="3" a="1"/>
  <c r="G54" i="3"/>
  <c r="H54" i="3"/>
  <c r="I54" i="3"/>
  <c r="J54" i="3"/>
  <c r="K54" i="3"/>
  <c r="L54" i="3"/>
  <c r="M54" i="3"/>
  <c r="N54" i="3"/>
  <c r="O54" i="3"/>
  <c r="P54" i="3"/>
  <c r="Q54" i="3"/>
  <c r="R54" i="3"/>
  <c r="S54" i="3"/>
  <c r="T54" i="3"/>
  <c r="U54" i="3"/>
  <c r="V54" i="3"/>
  <c r="W54" i="3"/>
  <c r="X54" i="3"/>
  <c r="Y54" i="3"/>
  <c r="Z54" i="3"/>
  <c r="AA54" i="3"/>
  <c r="AB54" i="3"/>
  <c r="AC54" i="3"/>
  <c r="AD54" i="3"/>
  <c r="AE54" i="3"/>
  <c r="AF54" i="3"/>
  <c r="AG54" i="3"/>
  <c r="AH54" i="3"/>
  <c r="AI54" i="3"/>
  <c r="AJ54" i="3"/>
  <c r="AK54" i="3"/>
  <c r="AL54" i="3"/>
  <c r="AM54" i="3"/>
  <c r="AN54" i="3"/>
  <c r="AO54" i="3"/>
  <c r="AP54" i="3"/>
  <c r="AQ54" i="3"/>
  <c r="AR54" i="3"/>
  <c r="AS54" i="3"/>
  <c r="AT54" i="3"/>
  <c r="AU54" i="3"/>
  <c r="AV54" i="3"/>
  <c r="AW54" i="3"/>
  <c r="AX54" i="3"/>
  <c r="AY54" i="3"/>
  <c r="AZ54" i="3"/>
  <c r="BA54" i="3"/>
  <c r="BB54" i="3"/>
  <c r="BC54" i="3"/>
  <c r="BD54" i="3"/>
  <c r="BE54" i="3"/>
  <c r="BF54" i="3"/>
  <c r="BG54" i="3"/>
  <c r="BH54" i="3"/>
  <c r="BI54" i="3"/>
  <c r="BJ54" i="3"/>
  <c r="BK54" i="3"/>
  <c r="BL54" i="3"/>
  <c r="BM54" i="3"/>
  <c r="BN54" i="3"/>
  <c r="BO54" i="3"/>
  <c r="BP54" i="3"/>
  <c r="AC19" i="3"/>
  <c r="Z23" i="3"/>
  <c r="Z19" i="3"/>
  <c r="Z24" i="3"/>
  <c r="Z22" i="3"/>
  <c r="Z20" i="3"/>
  <c r="Z17" i="3"/>
  <c r="Z25" i="3"/>
  <c r="E60" i="3" a="1"/>
  <c r="E60" i="3"/>
  <c r="F60" i="3" a="1"/>
  <c r="F60" i="3"/>
  <c r="G60" i="3" a="1"/>
  <c r="H60" i="3" a="1"/>
  <c r="I60" i="3" a="1"/>
  <c r="J60" i="3" a="1"/>
  <c r="K60" i="3" a="1"/>
  <c r="L60" i="3" a="1"/>
  <c r="M60" i="3" a="1"/>
  <c r="N60" i="3" a="1"/>
  <c r="O60" i="3" a="1"/>
  <c r="P60" i="3" a="1"/>
  <c r="Q60" i="3" a="1"/>
  <c r="R60" i="3" a="1"/>
  <c r="S60" i="3" a="1"/>
  <c r="T60" i="3" a="1"/>
  <c r="U60" i="3" a="1"/>
  <c r="V60" i="3" a="1"/>
  <c r="W60" i="3" a="1"/>
  <c r="X60" i="3" a="1"/>
  <c r="Y60" i="3" a="1"/>
  <c r="Z60" i="3" a="1"/>
  <c r="AA60" i="3" a="1"/>
  <c r="AB60" i="3" a="1"/>
  <c r="AC60" i="3" a="1"/>
  <c r="AD60" i="3" a="1"/>
  <c r="AE60" i="3" a="1"/>
  <c r="AF60" i="3" a="1"/>
  <c r="AG60" i="3" a="1"/>
  <c r="AH60" i="3" a="1"/>
  <c r="AI60" i="3" a="1"/>
  <c r="AJ60" i="3" a="1"/>
  <c r="AK60" i="3" a="1"/>
  <c r="AL60" i="3" a="1"/>
  <c r="AM60" i="3" a="1"/>
  <c r="AN60" i="3" a="1"/>
  <c r="AO60" i="3" a="1"/>
  <c r="AP60" i="3" a="1"/>
  <c r="AQ60" i="3" a="1"/>
  <c r="AR60" i="3" a="1"/>
  <c r="AS60" i="3" a="1"/>
  <c r="AT60" i="3" a="1"/>
  <c r="AU60" i="3" a="1"/>
  <c r="AV60" i="3" a="1"/>
  <c r="AW60" i="3" a="1"/>
  <c r="AX60" i="3" a="1"/>
  <c r="AY60" i="3" a="1"/>
  <c r="AZ60" i="3" a="1"/>
  <c r="BA60" i="3" a="1"/>
  <c r="BB60" i="3" a="1"/>
  <c r="BC60" i="3" a="1"/>
  <c r="BD60" i="3" a="1"/>
  <c r="BE60" i="3" a="1"/>
  <c r="BF60" i="3" a="1"/>
  <c r="BG60" i="3" a="1"/>
  <c r="BH60" i="3" a="1"/>
  <c r="BI60" i="3" a="1"/>
  <c r="BJ60" i="3" a="1"/>
  <c r="BK60" i="3" a="1"/>
  <c r="BL60" i="3" a="1"/>
  <c r="BM60" i="3" a="1"/>
  <c r="BN60" i="3" a="1"/>
  <c r="BO60" i="3" a="1"/>
  <c r="BP60" i="3" a="1"/>
  <c r="G60" i="3"/>
  <c r="H60" i="3"/>
  <c r="I60" i="3"/>
  <c r="J60" i="3"/>
  <c r="K60" i="3"/>
  <c r="L60" i="3"/>
  <c r="M60" i="3"/>
  <c r="N60" i="3"/>
  <c r="O60" i="3"/>
  <c r="P60" i="3"/>
  <c r="Q60" i="3"/>
  <c r="R60" i="3"/>
  <c r="S60" i="3"/>
  <c r="T60" i="3"/>
  <c r="U60" i="3"/>
  <c r="V60" i="3"/>
  <c r="W60" i="3"/>
  <c r="X60" i="3"/>
  <c r="Y60" i="3"/>
  <c r="Z60" i="3"/>
  <c r="AA60" i="3"/>
  <c r="AB60" i="3"/>
  <c r="AC60" i="3"/>
  <c r="AD60" i="3"/>
  <c r="AE60" i="3"/>
  <c r="AF60" i="3"/>
  <c r="AG60" i="3"/>
  <c r="AH60" i="3"/>
  <c r="AI60" i="3"/>
  <c r="AJ60" i="3"/>
  <c r="AK60" i="3"/>
  <c r="AL60" i="3"/>
  <c r="AM60" i="3"/>
  <c r="AN60" i="3"/>
  <c r="AO60" i="3"/>
  <c r="AP60" i="3"/>
  <c r="AQ60" i="3"/>
  <c r="AR60" i="3"/>
  <c r="AS60" i="3"/>
  <c r="AT60" i="3"/>
  <c r="AU60" i="3"/>
  <c r="AV60" i="3"/>
  <c r="AW60" i="3"/>
  <c r="AX60" i="3"/>
  <c r="AY60" i="3"/>
  <c r="AZ60" i="3"/>
  <c r="BA60" i="3"/>
  <c r="BB60" i="3"/>
  <c r="BC60" i="3"/>
  <c r="BD60" i="3"/>
  <c r="BE60" i="3"/>
  <c r="BF60" i="3"/>
  <c r="BG60" i="3"/>
  <c r="BH60" i="3"/>
  <c r="BI60" i="3"/>
  <c r="BJ60" i="3"/>
  <c r="BK60" i="3"/>
  <c r="BL60" i="3"/>
  <c r="BM60" i="3"/>
  <c r="BN60" i="3"/>
  <c r="BO60" i="3"/>
  <c r="BP60" i="3"/>
  <c r="AC25" i="3"/>
  <c r="O3" i="17"/>
  <c r="P3" i="17"/>
  <c r="Q3" i="17"/>
  <c r="R3" i="17"/>
  <c r="S3" i="17"/>
  <c r="T3" i="17"/>
  <c r="U3" i="17"/>
  <c r="V3" i="17"/>
  <c r="R4" i="17"/>
  <c r="AL3" i="17"/>
  <c r="AL4" i="17"/>
  <c r="AN4" i="17"/>
  <c r="AL5" i="17"/>
  <c r="AN5" i="17"/>
  <c r="AL6" i="17"/>
  <c r="AN6" i="17"/>
  <c r="AL7" i="17"/>
  <c r="AN7" i="17"/>
  <c r="AL8" i="17"/>
  <c r="AN8" i="17"/>
  <c r="AL9" i="17"/>
  <c r="AN9" i="17"/>
  <c r="AL10" i="17"/>
  <c r="AN10" i="17"/>
  <c r="AL11" i="17"/>
  <c r="AN11" i="17"/>
  <c r="AL12" i="17"/>
  <c r="AN12" i="17"/>
  <c r="AO4" i="17"/>
  <c r="AO5" i="17"/>
  <c r="AO6" i="17"/>
  <c r="AO7" i="17"/>
  <c r="AO8" i="17"/>
  <c r="AO9" i="17"/>
  <c r="AO10" i="17"/>
  <c r="AO11" i="17"/>
  <c r="AO12" i="17"/>
  <c r="AP4" i="17"/>
  <c r="AP5" i="17"/>
  <c r="AP6" i="17"/>
  <c r="AP7" i="17"/>
  <c r="AP8" i="17"/>
  <c r="AP9" i="17"/>
  <c r="AP10" i="17"/>
  <c r="AP11" i="17"/>
  <c r="AP12" i="17"/>
  <c r="AM12" i="17"/>
  <c r="AM11" i="17"/>
  <c r="AM10" i="17"/>
  <c r="AM9" i="17"/>
  <c r="AM8" i="17"/>
  <c r="AM7" i="17"/>
  <c r="AM6" i="17"/>
  <c r="AM5" i="17"/>
  <c r="AM4" i="17"/>
  <c r="Q4" i="17"/>
  <c r="AG3" i="17"/>
  <c r="AG4" i="17"/>
  <c r="AI4" i="17"/>
  <c r="AG5" i="17"/>
  <c r="AI5" i="17"/>
  <c r="AG6" i="17"/>
  <c r="AI6" i="17"/>
  <c r="AG7" i="17"/>
  <c r="AI7" i="17"/>
  <c r="AG8" i="17"/>
  <c r="AI8" i="17"/>
  <c r="AG9" i="17"/>
  <c r="AI9" i="17"/>
  <c r="AG10" i="17"/>
  <c r="AI10" i="17"/>
  <c r="AG11" i="17"/>
  <c r="AI11" i="17"/>
  <c r="AG12" i="17"/>
  <c r="AI12" i="17"/>
  <c r="AJ4" i="17"/>
  <c r="AJ5" i="17"/>
  <c r="AJ6" i="17"/>
  <c r="AJ7" i="17"/>
  <c r="AJ8" i="17"/>
  <c r="AJ9" i="17"/>
  <c r="AJ10" i="17"/>
  <c r="AJ11" i="17"/>
  <c r="AJ12" i="17"/>
  <c r="AK4" i="17"/>
  <c r="AK5" i="17"/>
  <c r="AK6" i="17"/>
  <c r="AK7" i="17"/>
  <c r="AK8" i="17"/>
  <c r="AK9" i="17"/>
  <c r="AK10" i="17"/>
  <c r="AK11" i="17"/>
  <c r="AK12" i="17"/>
  <c r="AH12" i="17"/>
  <c r="AH11" i="17"/>
  <c r="AH10" i="17"/>
  <c r="AH9" i="17"/>
  <c r="AH8" i="17"/>
  <c r="AH7" i="17"/>
  <c r="AH6" i="17"/>
  <c r="AH5" i="17"/>
  <c r="AH4" i="17"/>
  <c r="P4" i="17"/>
  <c r="AB3" i="17"/>
  <c r="AB4" i="17"/>
  <c r="AD4" i="17"/>
  <c r="AB5" i="17"/>
  <c r="AD5" i="17"/>
  <c r="AB6" i="17"/>
  <c r="AD6" i="17"/>
  <c r="AB7" i="17"/>
  <c r="AD7" i="17"/>
  <c r="AB8" i="17"/>
  <c r="AD8" i="17"/>
  <c r="AB9" i="17"/>
  <c r="AD9" i="17"/>
  <c r="AB10" i="17"/>
  <c r="AD10" i="17"/>
  <c r="AB11" i="17"/>
  <c r="AD11" i="17"/>
  <c r="AB12" i="17"/>
  <c r="AD12" i="17"/>
  <c r="AE4" i="17"/>
  <c r="AE5" i="17"/>
  <c r="AE6" i="17"/>
  <c r="AE7" i="17"/>
  <c r="AE8" i="17"/>
  <c r="AE9" i="17"/>
  <c r="AE10" i="17"/>
  <c r="AE11" i="17"/>
  <c r="AE12" i="17"/>
  <c r="AF4" i="17"/>
  <c r="AF5" i="17"/>
  <c r="AF6" i="17"/>
  <c r="AF7" i="17"/>
  <c r="AF8" i="17"/>
  <c r="AF9" i="17"/>
  <c r="AF10" i="17"/>
  <c r="AF11" i="17"/>
  <c r="AF12" i="17"/>
  <c r="AC12" i="17"/>
  <c r="AC11" i="17"/>
  <c r="AC10" i="17"/>
  <c r="AC9" i="17"/>
  <c r="AC8" i="17"/>
  <c r="AC7" i="17"/>
  <c r="AC6" i="17"/>
  <c r="AC5" i="17"/>
  <c r="AC4" i="17"/>
  <c r="O4" i="17"/>
  <c r="W3" i="17"/>
  <c r="W4" i="17"/>
  <c r="Y4" i="17"/>
  <c r="W5" i="17"/>
  <c r="Y5" i="17"/>
  <c r="W6" i="17"/>
  <c r="Y6" i="17"/>
  <c r="W7" i="17"/>
  <c r="Y7" i="17"/>
  <c r="W8" i="17"/>
  <c r="Y8" i="17"/>
  <c r="W9" i="17"/>
  <c r="Y9" i="17"/>
  <c r="W10" i="17"/>
  <c r="Y10" i="17"/>
  <c r="W11" i="17"/>
  <c r="Y11" i="17"/>
  <c r="W12" i="17"/>
  <c r="Y12" i="17"/>
  <c r="Z4" i="17"/>
  <c r="Z5" i="17"/>
  <c r="Z6" i="17"/>
  <c r="Z7" i="17"/>
  <c r="Z8" i="17"/>
  <c r="Z9" i="17"/>
  <c r="Z10" i="17"/>
  <c r="Z11" i="17"/>
  <c r="Z12" i="17"/>
  <c r="AA4" i="17"/>
  <c r="AA5" i="17"/>
  <c r="AA6" i="17"/>
  <c r="AA7" i="17"/>
  <c r="AA8" i="17"/>
  <c r="AA9" i="17"/>
  <c r="AA10" i="17"/>
  <c r="AA11" i="17"/>
  <c r="AA12" i="17"/>
  <c r="X12" i="17"/>
  <c r="X11" i="17"/>
  <c r="X10" i="17"/>
  <c r="X9" i="17"/>
  <c r="X8" i="17"/>
  <c r="X7" i="17"/>
  <c r="X6" i="17"/>
  <c r="X5" i="17"/>
  <c r="X4" i="17"/>
  <c r="E56" i="17" a="1"/>
  <c r="E56" i="17"/>
  <c r="F56" i="17" a="1"/>
  <c r="F56" i="17"/>
  <c r="G56" i="17" a="1"/>
  <c r="H56" i="17" a="1"/>
  <c r="I56" i="17" a="1"/>
  <c r="J56" i="17" a="1"/>
  <c r="K56" i="17" a="1"/>
  <c r="L56" i="17" a="1"/>
  <c r="M56" i="17" a="1"/>
  <c r="N56" i="17" a="1"/>
  <c r="O56" i="17" a="1"/>
  <c r="P56" i="17" a="1"/>
  <c r="Q56" i="17" a="1"/>
  <c r="R56" i="17" a="1"/>
  <c r="S56" i="17" a="1"/>
  <c r="T56" i="17" a="1"/>
  <c r="U56" i="17" a="1"/>
  <c r="V56" i="17" a="1"/>
  <c r="W56" i="17" a="1"/>
  <c r="X56" i="17" a="1"/>
  <c r="Y56" i="17" a="1"/>
  <c r="Z56" i="17" a="1"/>
  <c r="AA56" i="17" a="1"/>
  <c r="AB56" i="17" a="1"/>
  <c r="AC56" i="17" a="1"/>
  <c r="AD56" i="17" a="1"/>
  <c r="AE56" i="17" a="1"/>
  <c r="AF56" i="17" a="1"/>
  <c r="AG56" i="17" a="1"/>
  <c r="AH56" i="17" a="1"/>
  <c r="AI56" i="17" a="1"/>
  <c r="AJ56" i="17" a="1"/>
  <c r="AK56" i="17" a="1"/>
  <c r="AL56" i="17" a="1"/>
  <c r="AM56" i="17" a="1"/>
  <c r="AN56" i="17" a="1"/>
  <c r="AO56" i="17" a="1"/>
  <c r="AP56" i="17" a="1"/>
  <c r="AQ56" i="17" a="1"/>
  <c r="AR56" i="17" a="1"/>
  <c r="AS56" i="17" a="1"/>
  <c r="AT56" i="17" a="1"/>
  <c r="AU56" i="17" a="1"/>
  <c r="AV56" i="17" a="1"/>
  <c r="AW56" i="17" a="1"/>
  <c r="AX56" i="17" a="1"/>
  <c r="AY56" i="17" a="1"/>
  <c r="AZ56" i="17" a="1"/>
  <c r="BA56" i="17" a="1"/>
  <c r="BB56" i="17" a="1"/>
  <c r="BC56" i="17" a="1"/>
  <c r="BD56" i="17" a="1"/>
  <c r="BE56" i="17" a="1"/>
  <c r="BF56" i="17" a="1"/>
  <c r="BG56" i="17" a="1"/>
  <c r="BH56" i="17" a="1"/>
  <c r="BI56" i="17" a="1"/>
  <c r="BJ56" i="17" a="1"/>
  <c r="BK56" i="17" a="1"/>
  <c r="BL56" i="17" a="1"/>
  <c r="BM56" i="17" a="1"/>
  <c r="BN56" i="17" a="1"/>
  <c r="BO56" i="17" a="1"/>
  <c r="BP56" i="17" a="1"/>
  <c r="G56" i="17"/>
  <c r="H56" i="17"/>
  <c r="I56" i="17"/>
  <c r="J56" i="17"/>
  <c r="K56" i="17"/>
  <c r="L56" i="17"/>
  <c r="M56" i="17"/>
  <c r="N56" i="17"/>
  <c r="O56" i="17"/>
  <c r="P56" i="17"/>
  <c r="Q56" i="17"/>
  <c r="R56" i="17"/>
  <c r="S56" i="17"/>
  <c r="T56" i="17"/>
  <c r="U56" i="17"/>
  <c r="V56" i="17"/>
  <c r="W56" i="17"/>
  <c r="X56" i="17"/>
  <c r="Y56" i="17"/>
  <c r="Z56" i="17"/>
  <c r="AA56" i="17"/>
  <c r="AB56" i="17"/>
  <c r="AC56" i="17"/>
  <c r="AD56" i="17"/>
  <c r="AE56" i="17"/>
  <c r="AF56" i="17"/>
  <c r="AG56" i="17"/>
  <c r="AH56" i="17"/>
  <c r="AI56" i="17"/>
  <c r="AJ56" i="17"/>
  <c r="AK56" i="17"/>
  <c r="AL56" i="17"/>
  <c r="AM56" i="17"/>
  <c r="AN56" i="17"/>
  <c r="AO56" i="17"/>
  <c r="AP56" i="17"/>
  <c r="AQ56" i="17"/>
  <c r="AR56" i="17"/>
  <c r="AS56" i="17"/>
  <c r="AT56" i="17"/>
  <c r="AU56" i="17"/>
  <c r="AV56" i="17"/>
  <c r="AW56" i="17"/>
  <c r="AX56" i="17"/>
  <c r="AY56" i="17"/>
  <c r="AZ56" i="17"/>
  <c r="BA56" i="17"/>
  <c r="BB56" i="17"/>
  <c r="BC56" i="17"/>
  <c r="BD56" i="17"/>
  <c r="BE56" i="17"/>
  <c r="BF56" i="17"/>
  <c r="BG56" i="17"/>
  <c r="BH56" i="17"/>
  <c r="BI56" i="17"/>
  <c r="BJ56" i="17"/>
  <c r="BK56" i="17"/>
  <c r="BL56" i="17"/>
  <c r="BM56" i="17"/>
  <c r="BN56" i="17"/>
  <c r="BO56" i="17"/>
  <c r="BP56" i="17"/>
  <c r="AC21" i="17"/>
  <c r="E59" i="17" a="1"/>
  <c r="E59" i="17"/>
  <c r="F59" i="17" a="1"/>
  <c r="F59" i="17"/>
  <c r="G59" i="17" a="1"/>
  <c r="H59" i="17" a="1"/>
  <c r="I59" i="17" a="1"/>
  <c r="J59" i="17" a="1"/>
  <c r="K59" i="17" a="1"/>
  <c r="L59" i="17" a="1"/>
  <c r="M59" i="17" a="1"/>
  <c r="N59" i="17" a="1"/>
  <c r="O59" i="17" a="1"/>
  <c r="P59" i="17" a="1"/>
  <c r="Q59" i="17" a="1"/>
  <c r="R59" i="17" a="1"/>
  <c r="S59" i="17" a="1"/>
  <c r="T59" i="17" a="1"/>
  <c r="U59" i="17" a="1"/>
  <c r="V59" i="17" a="1"/>
  <c r="W59" i="17" a="1"/>
  <c r="X59" i="17" a="1"/>
  <c r="Y59" i="17" a="1"/>
  <c r="Z59" i="17" a="1"/>
  <c r="AA59" i="17" a="1"/>
  <c r="AB59" i="17" a="1"/>
  <c r="AC59" i="17" a="1"/>
  <c r="AD59" i="17" a="1"/>
  <c r="AE59" i="17" a="1"/>
  <c r="AF59" i="17" a="1"/>
  <c r="AG59" i="17" a="1"/>
  <c r="AH59" i="17" a="1"/>
  <c r="AI59" i="17" a="1"/>
  <c r="AJ59" i="17" a="1"/>
  <c r="AK59" i="17" a="1"/>
  <c r="AL59" i="17" a="1"/>
  <c r="AM59" i="17" a="1"/>
  <c r="AN59" i="17" a="1"/>
  <c r="AO59" i="17" a="1"/>
  <c r="AP59" i="17" a="1"/>
  <c r="AQ59" i="17" a="1"/>
  <c r="AR59" i="17" a="1"/>
  <c r="AS59" i="17" a="1"/>
  <c r="AT59" i="17" a="1"/>
  <c r="AU59" i="17" a="1"/>
  <c r="AV59" i="17" a="1"/>
  <c r="AW59" i="17" a="1"/>
  <c r="AX59" i="17" a="1"/>
  <c r="AY59" i="17" a="1"/>
  <c r="AZ59" i="17" a="1"/>
  <c r="BA59" i="17" a="1"/>
  <c r="BB59" i="17" a="1"/>
  <c r="BC59" i="17" a="1"/>
  <c r="BD59" i="17" a="1"/>
  <c r="BE59" i="17" a="1"/>
  <c r="BF59" i="17" a="1"/>
  <c r="BG59" i="17" a="1"/>
  <c r="BH59" i="17" a="1"/>
  <c r="BI59" i="17" a="1"/>
  <c r="BJ59" i="17" a="1"/>
  <c r="BK59" i="17" a="1"/>
  <c r="BL59" i="17" a="1"/>
  <c r="BM59" i="17" a="1"/>
  <c r="BN59" i="17" a="1"/>
  <c r="BO59" i="17" a="1"/>
  <c r="BP59" i="17" a="1"/>
  <c r="G59" i="17"/>
  <c r="H59" i="17"/>
  <c r="I59" i="17"/>
  <c r="J59" i="17"/>
  <c r="K59" i="17"/>
  <c r="L59" i="17"/>
  <c r="M59" i="17"/>
  <c r="N59" i="17"/>
  <c r="O59" i="17"/>
  <c r="P59" i="17"/>
  <c r="Q59" i="17"/>
  <c r="R59" i="17"/>
  <c r="S59" i="17"/>
  <c r="T59" i="17"/>
  <c r="U59" i="17"/>
  <c r="V59" i="17"/>
  <c r="W59" i="17"/>
  <c r="X59" i="17"/>
  <c r="Y59" i="17"/>
  <c r="Z59" i="17"/>
  <c r="AA59" i="17"/>
  <c r="AB59" i="17"/>
  <c r="AC59" i="17"/>
  <c r="AD59" i="17"/>
  <c r="AE59" i="17"/>
  <c r="AF59" i="17"/>
  <c r="AG59" i="17"/>
  <c r="AH59" i="17"/>
  <c r="AI59" i="17"/>
  <c r="AJ59" i="17"/>
  <c r="AK59" i="17"/>
  <c r="AL59" i="17"/>
  <c r="AM59" i="17"/>
  <c r="AN59" i="17"/>
  <c r="AO59" i="17"/>
  <c r="AP59" i="17"/>
  <c r="AQ59" i="17"/>
  <c r="AR59" i="17"/>
  <c r="AS59" i="17"/>
  <c r="AT59" i="17"/>
  <c r="AU59" i="17"/>
  <c r="AV59" i="17"/>
  <c r="AW59" i="17"/>
  <c r="AX59" i="17"/>
  <c r="AY59" i="17"/>
  <c r="AZ59" i="17"/>
  <c r="BA59" i="17"/>
  <c r="BB59" i="17"/>
  <c r="BC59" i="17"/>
  <c r="BD59" i="17"/>
  <c r="BE59" i="17"/>
  <c r="BF59" i="17"/>
  <c r="BG59" i="17"/>
  <c r="BH59" i="17"/>
  <c r="BI59" i="17"/>
  <c r="BJ59" i="17"/>
  <c r="BK59" i="17"/>
  <c r="BL59" i="17"/>
  <c r="BM59" i="17"/>
  <c r="BN59" i="17"/>
  <c r="BO59" i="17"/>
  <c r="BP59" i="17"/>
  <c r="AC24" i="17"/>
  <c r="E58" i="17" a="1"/>
  <c r="E58" i="17"/>
  <c r="F58" i="17" a="1"/>
  <c r="F58" i="17"/>
  <c r="G58" i="17" a="1"/>
  <c r="H58" i="17" a="1"/>
  <c r="I58" i="17" a="1"/>
  <c r="J58" i="17" a="1"/>
  <c r="K58" i="17" a="1"/>
  <c r="L58" i="17" a="1"/>
  <c r="M58" i="17" a="1"/>
  <c r="N58" i="17" a="1"/>
  <c r="O58" i="17" a="1"/>
  <c r="P58" i="17" a="1"/>
  <c r="Q58" i="17" a="1"/>
  <c r="R58" i="17" a="1"/>
  <c r="S58" i="17" a="1"/>
  <c r="T58" i="17" a="1"/>
  <c r="U58" i="17" a="1"/>
  <c r="V58" i="17" a="1"/>
  <c r="W58" i="17" a="1"/>
  <c r="X58" i="17" a="1"/>
  <c r="Y58" i="17" a="1"/>
  <c r="Z58" i="17" a="1"/>
  <c r="AA58" i="17" a="1"/>
  <c r="AB58" i="17" a="1"/>
  <c r="AC58" i="17" a="1"/>
  <c r="AD58" i="17" a="1"/>
  <c r="AE58" i="17" a="1"/>
  <c r="AF58" i="17" a="1"/>
  <c r="AG58" i="17" a="1"/>
  <c r="AH58" i="17" a="1"/>
  <c r="AI58" i="17" a="1"/>
  <c r="AJ58" i="17" a="1"/>
  <c r="AK58" i="17" a="1"/>
  <c r="AL58" i="17" a="1"/>
  <c r="AM58" i="17" a="1"/>
  <c r="AN58" i="17" a="1"/>
  <c r="AO58" i="17" a="1"/>
  <c r="AP58" i="17" a="1"/>
  <c r="AQ58" i="17" a="1"/>
  <c r="AR58" i="17" a="1"/>
  <c r="AS58" i="17" a="1"/>
  <c r="AT58" i="17" a="1"/>
  <c r="AU58" i="17" a="1"/>
  <c r="AV58" i="17" a="1"/>
  <c r="AW58" i="17" a="1"/>
  <c r="AX58" i="17" a="1"/>
  <c r="AY58" i="17" a="1"/>
  <c r="AZ58" i="17" a="1"/>
  <c r="BA58" i="17" a="1"/>
  <c r="BB58" i="17" a="1"/>
  <c r="BC58" i="17" a="1"/>
  <c r="BD58" i="17" a="1"/>
  <c r="BE58" i="17" a="1"/>
  <c r="BF58" i="17" a="1"/>
  <c r="BG58" i="17" a="1"/>
  <c r="BH58" i="17" a="1"/>
  <c r="BI58" i="17" a="1"/>
  <c r="BJ58" i="17" a="1"/>
  <c r="BK58" i="17" a="1"/>
  <c r="BL58" i="17" a="1"/>
  <c r="BM58" i="17" a="1"/>
  <c r="BN58" i="17" a="1"/>
  <c r="BO58" i="17" a="1"/>
  <c r="BP58" i="17" a="1"/>
  <c r="G58" i="17"/>
  <c r="H58" i="17"/>
  <c r="I58" i="17"/>
  <c r="J58" i="17"/>
  <c r="K58" i="17"/>
  <c r="L58" i="17"/>
  <c r="M58" i="17"/>
  <c r="N58" i="17"/>
  <c r="O58" i="17"/>
  <c r="P58" i="17"/>
  <c r="Q58" i="17"/>
  <c r="R58" i="17"/>
  <c r="S58" i="17"/>
  <c r="T58" i="17"/>
  <c r="U58" i="17"/>
  <c r="V58" i="17"/>
  <c r="W58" i="17"/>
  <c r="X58" i="17"/>
  <c r="Y58" i="17"/>
  <c r="Z58" i="17"/>
  <c r="AA58" i="17"/>
  <c r="AB58" i="17"/>
  <c r="AC58" i="17"/>
  <c r="AD58" i="17"/>
  <c r="AE58" i="17"/>
  <c r="AF58" i="17"/>
  <c r="AG58" i="17"/>
  <c r="AH58" i="17"/>
  <c r="AI58" i="17"/>
  <c r="AJ58" i="17"/>
  <c r="AK58" i="17"/>
  <c r="AL58" i="17"/>
  <c r="AM58" i="17"/>
  <c r="AN58" i="17"/>
  <c r="AO58" i="17"/>
  <c r="AP58" i="17"/>
  <c r="AQ58" i="17"/>
  <c r="AR58" i="17"/>
  <c r="AS58" i="17"/>
  <c r="AT58" i="17"/>
  <c r="AU58" i="17"/>
  <c r="AV58" i="17"/>
  <c r="AW58" i="17"/>
  <c r="AX58" i="17"/>
  <c r="AY58" i="17"/>
  <c r="AZ58" i="17"/>
  <c r="BA58" i="17"/>
  <c r="BB58" i="17"/>
  <c r="BC58" i="17"/>
  <c r="BD58" i="17"/>
  <c r="BE58" i="17"/>
  <c r="BF58" i="17"/>
  <c r="BG58" i="17"/>
  <c r="BH58" i="17"/>
  <c r="BI58" i="17"/>
  <c r="BJ58" i="17"/>
  <c r="BK58" i="17"/>
  <c r="BL58" i="17"/>
  <c r="BM58" i="17"/>
  <c r="BN58" i="17"/>
  <c r="BO58" i="17"/>
  <c r="BP58" i="17"/>
  <c r="AC23" i="17"/>
  <c r="E54" i="17" a="1"/>
  <c r="E54" i="17"/>
  <c r="F54" i="17" a="1"/>
  <c r="F54" i="17"/>
  <c r="G54" i="17" a="1"/>
  <c r="H54" i="17" a="1"/>
  <c r="I54" i="17" a="1"/>
  <c r="J54" i="17" a="1"/>
  <c r="K54" i="17" a="1"/>
  <c r="L54" i="17" a="1"/>
  <c r="M54" i="17" a="1"/>
  <c r="N54" i="17" a="1"/>
  <c r="O54" i="17" a="1"/>
  <c r="P54" i="17" a="1"/>
  <c r="Q54" i="17" a="1"/>
  <c r="R54" i="17" a="1"/>
  <c r="S54" i="17" a="1"/>
  <c r="T54" i="17" a="1"/>
  <c r="U54" i="17" a="1"/>
  <c r="V54" i="17" a="1"/>
  <c r="W54" i="17" a="1"/>
  <c r="X54" i="17" a="1"/>
  <c r="Y54" i="17" a="1"/>
  <c r="Z54" i="17" a="1"/>
  <c r="AA54" i="17" a="1"/>
  <c r="AB54" i="17" a="1"/>
  <c r="AC54" i="17" a="1"/>
  <c r="AD54" i="17" a="1"/>
  <c r="AE54" i="17" a="1"/>
  <c r="AF54" i="17" a="1"/>
  <c r="AG54" i="17" a="1"/>
  <c r="AH54" i="17" a="1"/>
  <c r="AI54" i="17" a="1"/>
  <c r="AJ54" i="17" a="1"/>
  <c r="AK54" i="17" a="1"/>
  <c r="AL54" i="17" a="1"/>
  <c r="AM54" i="17" a="1"/>
  <c r="AN54" i="17" a="1"/>
  <c r="AO54" i="17" a="1"/>
  <c r="AP54" i="17" a="1"/>
  <c r="AQ54" i="17" a="1"/>
  <c r="AR54" i="17" a="1"/>
  <c r="AS54" i="17" a="1"/>
  <c r="AT54" i="17" a="1"/>
  <c r="AU54" i="17" a="1"/>
  <c r="AV54" i="17" a="1"/>
  <c r="AW54" i="17" a="1"/>
  <c r="AX54" i="17" a="1"/>
  <c r="AY54" i="17" a="1"/>
  <c r="AZ54" i="17" a="1"/>
  <c r="BA54" i="17" a="1"/>
  <c r="BB54" i="17" a="1"/>
  <c r="BC54" i="17" a="1"/>
  <c r="BD54" i="17" a="1"/>
  <c r="BE54" i="17" a="1"/>
  <c r="BF54" i="17" a="1"/>
  <c r="BG54" i="17" a="1"/>
  <c r="BH54" i="17" a="1"/>
  <c r="BI54" i="17" a="1"/>
  <c r="BJ54" i="17" a="1"/>
  <c r="BK54" i="17" a="1"/>
  <c r="BL54" i="17" a="1"/>
  <c r="BM54" i="17" a="1"/>
  <c r="BN54" i="17" a="1"/>
  <c r="BO54" i="17" a="1"/>
  <c r="BP54" i="17" a="1"/>
  <c r="G54" i="17"/>
  <c r="H54" i="17"/>
  <c r="I54" i="17"/>
  <c r="J54" i="17"/>
  <c r="K54" i="17"/>
  <c r="L54" i="17"/>
  <c r="M54" i="17"/>
  <c r="N54" i="17"/>
  <c r="O54" i="17"/>
  <c r="P54" i="17"/>
  <c r="Q54" i="17"/>
  <c r="R54" i="17"/>
  <c r="S54" i="17"/>
  <c r="T54" i="17"/>
  <c r="U54" i="17"/>
  <c r="V54" i="17"/>
  <c r="W54" i="17"/>
  <c r="X54" i="17"/>
  <c r="Y54" i="17"/>
  <c r="Z54" i="17"/>
  <c r="AA54" i="17"/>
  <c r="AB54" i="17"/>
  <c r="AC54" i="17"/>
  <c r="AD54" i="17"/>
  <c r="AE54" i="17"/>
  <c r="AF54" i="17"/>
  <c r="AG54" i="17"/>
  <c r="AH54" i="17"/>
  <c r="AI54" i="17"/>
  <c r="AJ54" i="17"/>
  <c r="AK54" i="17"/>
  <c r="AL54" i="17"/>
  <c r="AM54" i="17"/>
  <c r="AN54" i="17"/>
  <c r="AO54" i="17"/>
  <c r="AP54" i="17"/>
  <c r="AQ54" i="17"/>
  <c r="AR54" i="17"/>
  <c r="AS54" i="17"/>
  <c r="AT54" i="17"/>
  <c r="AU54" i="17"/>
  <c r="AV54" i="17"/>
  <c r="AW54" i="17"/>
  <c r="AX54" i="17"/>
  <c r="AY54" i="17"/>
  <c r="AZ54" i="17"/>
  <c r="BA54" i="17"/>
  <c r="BB54" i="17"/>
  <c r="BC54" i="17"/>
  <c r="BD54" i="17"/>
  <c r="BE54" i="17"/>
  <c r="BF54" i="17"/>
  <c r="BG54" i="17"/>
  <c r="BH54" i="17"/>
  <c r="BI54" i="17"/>
  <c r="BJ54" i="17"/>
  <c r="BK54" i="17"/>
  <c r="BL54" i="17"/>
  <c r="BM54" i="17"/>
  <c r="BN54" i="17"/>
  <c r="BO54" i="17"/>
  <c r="BP54" i="17"/>
  <c r="AC19" i="17"/>
  <c r="E53" i="17" a="1"/>
  <c r="E53" i="17"/>
  <c r="F53" i="17" a="1"/>
  <c r="F53" i="17"/>
  <c r="G53" i="17" a="1"/>
  <c r="H53" i="17" a="1"/>
  <c r="I53" i="17" a="1"/>
  <c r="J53" i="17" a="1"/>
  <c r="K53" i="17" a="1"/>
  <c r="L53" i="17" a="1"/>
  <c r="M53" i="17" a="1"/>
  <c r="N53" i="17" a="1"/>
  <c r="O53" i="17" a="1"/>
  <c r="P53" i="17" a="1"/>
  <c r="Q53" i="17" a="1"/>
  <c r="R53" i="17" a="1"/>
  <c r="S53" i="17" a="1"/>
  <c r="T53" i="17" a="1"/>
  <c r="U53" i="17" a="1"/>
  <c r="V53" i="17" a="1"/>
  <c r="W53" i="17" a="1"/>
  <c r="X53" i="17" a="1"/>
  <c r="Y53" i="17" a="1"/>
  <c r="Z53" i="17" a="1"/>
  <c r="AA53" i="17" a="1"/>
  <c r="AB53" i="17" a="1"/>
  <c r="AC53" i="17" a="1"/>
  <c r="AD53" i="17" a="1"/>
  <c r="AE53" i="17" a="1"/>
  <c r="AF53" i="17" a="1"/>
  <c r="AG53" i="17" a="1"/>
  <c r="AH53" i="17" a="1"/>
  <c r="AI53" i="17" a="1"/>
  <c r="AJ53" i="17" a="1"/>
  <c r="AK53" i="17" a="1"/>
  <c r="AL53" i="17" a="1"/>
  <c r="AM53" i="17" a="1"/>
  <c r="AN53" i="17" a="1"/>
  <c r="AO53" i="17" a="1"/>
  <c r="AP53" i="17" a="1"/>
  <c r="AQ53" i="17" a="1"/>
  <c r="AR53" i="17" a="1"/>
  <c r="AS53" i="17" a="1"/>
  <c r="AT53" i="17" a="1"/>
  <c r="AU53" i="17" a="1"/>
  <c r="AV53" i="17" a="1"/>
  <c r="AW53" i="17" a="1"/>
  <c r="AX53" i="17" a="1"/>
  <c r="AY53" i="17" a="1"/>
  <c r="AZ53" i="17" a="1"/>
  <c r="BA53" i="17" a="1"/>
  <c r="BB53" i="17" a="1"/>
  <c r="BC53" i="17" a="1"/>
  <c r="BD53" i="17" a="1"/>
  <c r="BE53" i="17" a="1"/>
  <c r="BF53" i="17" a="1"/>
  <c r="BG53" i="17" a="1"/>
  <c r="BH53" i="17" a="1"/>
  <c r="BI53" i="17" a="1"/>
  <c r="BJ53" i="17" a="1"/>
  <c r="BK53" i="17" a="1"/>
  <c r="BL53" i="17" a="1"/>
  <c r="BM53" i="17" a="1"/>
  <c r="BN53" i="17" a="1"/>
  <c r="BO53" i="17" a="1"/>
  <c r="BP53" i="17" a="1"/>
  <c r="G53" i="17"/>
  <c r="H53" i="17"/>
  <c r="I53" i="17"/>
  <c r="J53" i="17"/>
  <c r="K53" i="17"/>
  <c r="L53" i="17"/>
  <c r="M53" i="17"/>
  <c r="N53" i="17"/>
  <c r="O53" i="17"/>
  <c r="P53" i="17"/>
  <c r="Q53" i="17"/>
  <c r="R53" i="17"/>
  <c r="S53" i="17"/>
  <c r="T53" i="17"/>
  <c r="U53" i="17"/>
  <c r="V53" i="17"/>
  <c r="W53" i="17"/>
  <c r="X53" i="17"/>
  <c r="Y53" i="17"/>
  <c r="Z53" i="17"/>
  <c r="AA53" i="17"/>
  <c r="AB53" i="17"/>
  <c r="AC53" i="17"/>
  <c r="AD53" i="17"/>
  <c r="AE53" i="17"/>
  <c r="AF53" i="17"/>
  <c r="AG53" i="17"/>
  <c r="AH53" i="17"/>
  <c r="AI53" i="17"/>
  <c r="AJ53" i="17"/>
  <c r="AK53" i="17"/>
  <c r="AL53" i="17"/>
  <c r="AM53" i="17"/>
  <c r="AN53" i="17"/>
  <c r="AO53" i="17"/>
  <c r="AP53" i="17"/>
  <c r="AQ53" i="17"/>
  <c r="AR53" i="17"/>
  <c r="AS53" i="17"/>
  <c r="AT53" i="17"/>
  <c r="AU53" i="17"/>
  <c r="AV53" i="17"/>
  <c r="AW53" i="17"/>
  <c r="AX53" i="17"/>
  <c r="AY53" i="17"/>
  <c r="AZ53" i="17"/>
  <c r="BA53" i="17"/>
  <c r="BB53" i="17"/>
  <c r="BC53" i="17"/>
  <c r="BD53" i="17"/>
  <c r="BE53" i="17"/>
  <c r="BF53" i="17"/>
  <c r="BG53" i="17"/>
  <c r="BH53" i="17"/>
  <c r="BI53" i="17"/>
  <c r="BJ53" i="17"/>
  <c r="BK53" i="17"/>
  <c r="BL53" i="17"/>
  <c r="BM53" i="17"/>
  <c r="BN53" i="17"/>
  <c r="BO53" i="17"/>
  <c r="BP53" i="17"/>
  <c r="AC18" i="17"/>
  <c r="Z22" i="17"/>
  <c r="Z18" i="17"/>
  <c r="Z24" i="17"/>
  <c r="Z23" i="17"/>
  <c r="Z25" i="17"/>
  <c r="E60" i="17" a="1"/>
  <c r="E60" i="17"/>
  <c r="F60" i="17" a="1"/>
  <c r="F60" i="17"/>
  <c r="G60" i="17" a="1"/>
  <c r="H60" i="17" a="1"/>
  <c r="I60" i="17" a="1"/>
  <c r="J60" i="17" a="1"/>
  <c r="K60" i="17" a="1"/>
  <c r="L60" i="17" a="1"/>
  <c r="M60" i="17" a="1"/>
  <c r="N60" i="17" a="1"/>
  <c r="O60" i="17" a="1"/>
  <c r="P60" i="17" a="1"/>
  <c r="Q60" i="17" a="1"/>
  <c r="R60" i="17" a="1"/>
  <c r="S60" i="17" a="1"/>
  <c r="T60" i="17" a="1"/>
  <c r="U60" i="17" a="1"/>
  <c r="V60" i="17" a="1"/>
  <c r="W60" i="17" a="1"/>
  <c r="X60" i="17" a="1"/>
  <c r="Y60" i="17" a="1"/>
  <c r="Z60" i="17" a="1"/>
  <c r="AA60" i="17" a="1"/>
  <c r="AB60" i="17" a="1"/>
  <c r="AC60" i="17" a="1"/>
  <c r="AD60" i="17" a="1"/>
  <c r="AE60" i="17" a="1"/>
  <c r="AF60" i="17" a="1"/>
  <c r="AG60" i="17" a="1"/>
  <c r="AH60" i="17" a="1"/>
  <c r="AI60" i="17" a="1"/>
  <c r="AJ60" i="17" a="1"/>
  <c r="AK60" i="17" a="1"/>
  <c r="AL60" i="17" a="1"/>
  <c r="AM60" i="17" a="1"/>
  <c r="AN60" i="17" a="1"/>
  <c r="AO60" i="17" a="1"/>
  <c r="AP60" i="17" a="1"/>
  <c r="AQ60" i="17" a="1"/>
  <c r="AR60" i="17" a="1"/>
  <c r="AS60" i="17" a="1"/>
  <c r="AT60" i="17" a="1"/>
  <c r="AU60" i="17" a="1"/>
  <c r="AV60" i="17" a="1"/>
  <c r="AW60" i="17" a="1"/>
  <c r="AX60" i="17" a="1"/>
  <c r="AY60" i="17" a="1"/>
  <c r="AZ60" i="17" a="1"/>
  <c r="BA60" i="17" a="1"/>
  <c r="BB60" i="17" a="1"/>
  <c r="BC60" i="17" a="1"/>
  <c r="BD60" i="17" a="1"/>
  <c r="BE60" i="17" a="1"/>
  <c r="BF60" i="17" a="1"/>
  <c r="BG60" i="17" a="1"/>
  <c r="BH60" i="17" a="1"/>
  <c r="BI60" i="17" a="1"/>
  <c r="BJ60" i="17" a="1"/>
  <c r="BK60" i="17" a="1"/>
  <c r="BL60" i="17" a="1"/>
  <c r="BM60" i="17" a="1"/>
  <c r="BN60" i="17" a="1"/>
  <c r="BO60" i="17" a="1"/>
  <c r="BP60" i="17" a="1"/>
  <c r="G60" i="17"/>
  <c r="H60" i="17"/>
  <c r="I60" i="17"/>
  <c r="J60" i="17"/>
  <c r="K60" i="17"/>
  <c r="L60" i="17"/>
  <c r="M60" i="17"/>
  <c r="N60" i="17"/>
  <c r="O60" i="17"/>
  <c r="P60" i="17"/>
  <c r="Q60" i="17"/>
  <c r="R60" i="17"/>
  <c r="S60" i="17"/>
  <c r="T60" i="17"/>
  <c r="U60" i="17"/>
  <c r="V60" i="17"/>
  <c r="W60" i="17"/>
  <c r="X60" i="17"/>
  <c r="Y60" i="17"/>
  <c r="Z60" i="17"/>
  <c r="AA60" i="17"/>
  <c r="AB60" i="17"/>
  <c r="AC60" i="17"/>
  <c r="AD60" i="17"/>
  <c r="AE60" i="17"/>
  <c r="AF60" i="17"/>
  <c r="AG60" i="17"/>
  <c r="AH60" i="17"/>
  <c r="AI60" i="17"/>
  <c r="AJ60" i="17"/>
  <c r="AK60" i="17"/>
  <c r="AL60" i="17"/>
  <c r="AM60" i="17"/>
  <c r="AN60" i="17"/>
  <c r="AO60" i="17"/>
  <c r="AP60" i="17"/>
  <c r="AQ60" i="17"/>
  <c r="AR60" i="17"/>
  <c r="AS60" i="17"/>
  <c r="AT60" i="17"/>
  <c r="AU60" i="17"/>
  <c r="AV60" i="17"/>
  <c r="AW60" i="17"/>
  <c r="AX60" i="17"/>
  <c r="AY60" i="17"/>
  <c r="AZ60" i="17"/>
  <c r="BA60" i="17"/>
  <c r="BB60" i="17"/>
  <c r="BC60" i="17"/>
  <c r="BD60" i="17"/>
  <c r="BE60" i="17"/>
  <c r="BF60" i="17"/>
  <c r="BG60" i="17"/>
  <c r="BH60" i="17"/>
  <c r="BI60" i="17"/>
  <c r="BJ60" i="17"/>
  <c r="BK60" i="17"/>
  <c r="BL60" i="17"/>
  <c r="BM60" i="17"/>
  <c r="BN60" i="17"/>
  <c r="BO60" i="17"/>
  <c r="BP60" i="17"/>
  <c r="AC25" i="17"/>
  <c r="E57" i="17" a="1"/>
  <c r="E57" i="17"/>
  <c r="F57" i="17" a="1"/>
  <c r="F57" i="17"/>
  <c r="G57" i="17" a="1"/>
  <c r="H57" i="17" a="1"/>
  <c r="I57" i="17" a="1"/>
  <c r="J57" i="17" a="1"/>
  <c r="K57" i="17" a="1"/>
  <c r="L57" i="17" a="1"/>
  <c r="M57" i="17" a="1"/>
  <c r="N57" i="17" a="1"/>
  <c r="O57" i="17" a="1"/>
  <c r="P57" i="17" a="1"/>
  <c r="Q57" i="17" a="1"/>
  <c r="R57" i="17" a="1"/>
  <c r="S57" i="17" a="1"/>
  <c r="T57" i="17" a="1"/>
  <c r="U57" i="17" a="1"/>
  <c r="V57" i="17" a="1"/>
  <c r="W57" i="17" a="1"/>
  <c r="X57" i="17" a="1"/>
  <c r="Y57" i="17" a="1"/>
  <c r="Z57" i="17" a="1"/>
  <c r="AA57" i="17" a="1"/>
  <c r="AB57" i="17" a="1"/>
  <c r="AC57" i="17" a="1"/>
  <c r="AD57" i="17" a="1"/>
  <c r="AE57" i="17" a="1"/>
  <c r="AF57" i="17" a="1"/>
  <c r="AG57" i="17" a="1"/>
  <c r="AH57" i="17" a="1"/>
  <c r="AI57" i="17" a="1"/>
  <c r="AJ57" i="17" a="1"/>
  <c r="AK57" i="17" a="1"/>
  <c r="AL57" i="17" a="1"/>
  <c r="AM57" i="17" a="1"/>
  <c r="AN57" i="17" a="1"/>
  <c r="AO57" i="17" a="1"/>
  <c r="AP57" i="17" a="1"/>
  <c r="AQ57" i="17" a="1"/>
  <c r="AR57" i="17" a="1"/>
  <c r="AS57" i="17" a="1"/>
  <c r="AT57" i="17" a="1"/>
  <c r="AU57" i="17" a="1"/>
  <c r="AV57" i="17" a="1"/>
  <c r="AW57" i="17" a="1"/>
  <c r="AX57" i="17" a="1"/>
  <c r="AY57" i="17" a="1"/>
  <c r="AZ57" i="17" a="1"/>
  <c r="BA57" i="17" a="1"/>
  <c r="BB57" i="17" a="1"/>
  <c r="BC57" i="17" a="1"/>
  <c r="BD57" i="17" a="1"/>
  <c r="BE57" i="17" a="1"/>
  <c r="BF57" i="17" a="1"/>
  <c r="BG57" i="17" a="1"/>
  <c r="BH57" i="17" a="1"/>
  <c r="BI57" i="17" a="1"/>
  <c r="BJ57" i="17" a="1"/>
  <c r="BK57" i="17" a="1"/>
  <c r="BL57" i="17" a="1"/>
  <c r="BM57" i="17" a="1"/>
  <c r="BN57" i="17" a="1"/>
  <c r="BO57" i="17" a="1"/>
  <c r="BP57" i="17" a="1"/>
  <c r="G57" i="17"/>
  <c r="H57" i="17"/>
  <c r="I57" i="17"/>
  <c r="J57" i="17"/>
  <c r="K57" i="17"/>
  <c r="L57" i="17"/>
  <c r="M57" i="17"/>
  <c r="N57" i="17"/>
  <c r="O57" i="17"/>
  <c r="P57" i="17"/>
  <c r="Q57" i="17"/>
  <c r="R57" i="17"/>
  <c r="S57" i="17"/>
  <c r="T57" i="17"/>
  <c r="U57" i="17"/>
  <c r="V57" i="17"/>
  <c r="W57" i="17"/>
  <c r="X57" i="17"/>
  <c r="Y57" i="17"/>
  <c r="Z57" i="17"/>
  <c r="AA57" i="17"/>
  <c r="AB57" i="17"/>
  <c r="AC57" i="17"/>
  <c r="AD57" i="17"/>
  <c r="AE57" i="17"/>
  <c r="AF57" i="17"/>
  <c r="AG57" i="17"/>
  <c r="AH57" i="17"/>
  <c r="AI57" i="17"/>
  <c r="AJ57" i="17"/>
  <c r="AK57" i="17"/>
  <c r="AL57" i="17"/>
  <c r="AM57" i="17"/>
  <c r="AN57" i="17"/>
  <c r="AO57" i="17"/>
  <c r="AP57" i="17"/>
  <c r="AQ57" i="17"/>
  <c r="AR57" i="17"/>
  <c r="AS57" i="17"/>
  <c r="AT57" i="17"/>
  <c r="AU57" i="17"/>
  <c r="AV57" i="17"/>
  <c r="AW57" i="17"/>
  <c r="AX57" i="17"/>
  <c r="AY57" i="17"/>
  <c r="AZ57" i="17"/>
  <c r="BA57" i="17"/>
  <c r="BB57" i="17"/>
  <c r="BC57" i="17"/>
  <c r="BD57" i="17"/>
  <c r="BE57" i="17"/>
  <c r="BF57" i="17"/>
  <c r="BG57" i="17"/>
  <c r="BH57" i="17"/>
  <c r="BI57" i="17"/>
  <c r="BJ57" i="17"/>
  <c r="BK57" i="17"/>
  <c r="BL57" i="17"/>
  <c r="BM57" i="17"/>
  <c r="BN57" i="17"/>
  <c r="BO57" i="17"/>
  <c r="BP57" i="17"/>
  <c r="AC22" i="17"/>
  <c r="E52" i="17" a="1"/>
  <c r="E52" i="17"/>
  <c r="F52" i="17" a="1"/>
  <c r="F52" i="17"/>
  <c r="G52" i="17" a="1"/>
  <c r="H52" i="17" a="1"/>
  <c r="I52" i="17" a="1"/>
  <c r="J52" i="17" a="1"/>
  <c r="K52" i="17" a="1"/>
  <c r="L52" i="17" a="1"/>
  <c r="M52" i="17" a="1"/>
  <c r="N52" i="17" a="1"/>
  <c r="O52" i="17" a="1"/>
  <c r="P52" i="17" a="1"/>
  <c r="Q52" i="17" a="1"/>
  <c r="R52" i="17" a="1"/>
  <c r="S52" i="17" a="1"/>
  <c r="T52" i="17" a="1"/>
  <c r="U52" i="17" a="1"/>
  <c r="V52" i="17" a="1"/>
  <c r="W52" i="17" a="1"/>
  <c r="X52" i="17" a="1"/>
  <c r="Y52" i="17" a="1"/>
  <c r="Z52" i="17" a="1"/>
  <c r="AA52" i="17" a="1"/>
  <c r="AB52" i="17" a="1"/>
  <c r="AC52" i="17" a="1"/>
  <c r="AD52" i="17" a="1"/>
  <c r="AE52" i="17" a="1"/>
  <c r="AF52" i="17" a="1"/>
  <c r="AG52" i="17" a="1"/>
  <c r="AH52" i="17" a="1"/>
  <c r="AI52" i="17" a="1"/>
  <c r="AJ52" i="17" a="1"/>
  <c r="AK52" i="17" a="1"/>
  <c r="AL52" i="17" a="1"/>
  <c r="AM52" i="17" a="1"/>
  <c r="AN52" i="17" a="1"/>
  <c r="AO52" i="17" a="1"/>
  <c r="AP52" i="17" a="1"/>
  <c r="AQ52" i="17" a="1"/>
  <c r="AR52" i="17" a="1"/>
  <c r="AS52" i="17" a="1"/>
  <c r="AT52" i="17" a="1"/>
  <c r="AU52" i="17" a="1"/>
  <c r="AV52" i="17" a="1"/>
  <c r="AW52" i="17" a="1"/>
  <c r="AX52" i="17" a="1"/>
  <c r="AY52" i="17" a="1"/>
  <c r="AZ52" i="17" a="1"/>
  <c r="BA52" i="17" a="1"/>
  <c r="BB52" i="17" a="1"/>
  <c r="BC52" i="17" a="1"/>
  <c r="BD52" i="17" a="1"/>
  <c r="BE52" i="17" a="1"/>
  <c r="BF52" i="17" a="1"/>
  <c r="BG52" i="17" a="1"/>
  <c r="BH52" i="17" a="1"/>
  <c r="BI52" i="17" a="1"/>
  <c r="BJ52" i="17" a="1"/>
  <c r="BK52" i="17" a="1"/>
  <c r="BL52" i="17" a="1"/>
  <c r="BM52" i="17" a="1"/>
  <c r="BN52" i="17" a="1"/>
  <c r="BO52" i="17" a="1"/>
  <c r="BP52" i="17" a="1"/>
  <c r="G52" i="17"/>
  <c r="H52" i="17"/>
  <c r="I52" i="17"/>
  <c r="J52" i="17"/>
  <c r="K52" i="17"/>
  <c r="L52" i="17"/>
  <c r="M52" i="17"/>
  <c r="N52" i="17"/>
  <c r="O52" i="17"/>
  <c r="P52" i="17"/>
  <c r="Q52" i="17"/>
  <c r="R52" i="17"/>
  <c r="S52" i="17"/>
  <c r="T52" i="17"/>
  <c r="U52" i="17"/>
  <c r="V52" i="17"/>
  <c r="W52" i="17"/>
  <c r="X52" i="17"/>
  <c r="Y52" i="17"/>
  <c r="Z52" i="17"/>
  <c r="AA52" i="17"/>
  <c r="AB52" i="17"/>
  <c r="AC52" i="17"/>
  <c r="AD52" i="17"/>
  <c r="AE52" i="17"/>
  <c r="AF52" i="17"/>
  <c r="AG52" i="17"/>
  <c r="AH52" i="17"/>
  <c r="AI52" i="17"/>
  <c r="AJ52" i="17"/>
  <c r="AK52" i="17"/>
  <c r="AL52" i="17"/>
  <c r="AM52" i="17"/>
  <c r="AN52" i="17"/>
  <c r="AO52" i="17"/>
  <c r="AP52" i="17"/>
  <c r="AQ52" i="17"/>
  <c r="AR52" i="17"/>
  <c r="AS52" i="17"/>
  <c r="AT52" i="17"/>
  <c r="AU52" i="17"/>
  <c r="AV52" i="17"/>
  <c r="AW52" i="17"/>
  <c r="AX52" i="17"/>
  <c r="AY52" i="17"/>
  <c r="AZ52" i="17"/>
  <c r="BA52" i="17"/>
  <c r="BB52" i="17"/>
  <c r="BC52" i="17"/>
  <c r="BD52" i="17"/>
  <c r="BE52" i="17"/>
  <c r="BF52" i="17"/>
  <c r="BG52" i="17"/>
  <c r="BH52" i="17"/>
  <c r="BI52" i="17"/>
  <c r="BJ52" i="17"/>
  <c r="BK52" i="17"/>
  <c r="BL52" i="17"/>
  <c r="BM52" i="17"/>
  <c r="BN52" i="17"/>
  <c r="BO52" i="17"/>
  <c r="BP52" i="17"/>
  <c r="AC17" i="17"/>
  <c r="E55" i="17" a="1"/>
  <c r="E55" i="17"/>
  <c r="F55" i="17" a="1"/>
  <c r="F55" i="17"/>
  <c r="G55" i="17" a="1"/>
  <c r="H55" i="17" a="1"/>
  <c r="I55" i="17" a="1"/>
  <c r="J55" i="17" a="1"/>
  <c r="K55" i="17" a="1"/>
  <c r="L55" i="17" a="1"/>
  <c r="M55" i="17" a="1"/>
  <c r="N55" i="17" a="1"/>
  <c r="O55" i="17" a="1"/>
  <c r="P55" i="17" a="1"/>
  <c r="Q55" i="17" a="1"/>
  <c r="R55" i="17" a="1"/>
  <c r="S55" i="17" a="1"/>
  <c r="T55" i="17" a="1"/>
  <c r="U55" i="17" a="1"/>
  <c r="V55" i="17" a="1"/>
  <c r="W55" i="17" a="1"/>
  <c r="X55" i="17" a="1"/>
  <c r="Y55" i="17" a="1"/>
  <c r="Z55" i="17" a="1"/>
  <c r="AA55" i="17" a="1"/>
  <c r="AB55" i="17" a="1"/>
  <c r="AC55" i="17" a="1"/>
  <c r="AD55" i="17" a="1"/>
  <c r="AE55" i="17" a="1"/>
  <c r="AF55" i="17" a="1"/>
  <c r="AG55" i="17" a="1"/>
  <c r="AH55" i="17" a="1"/>
  <c r="AI55" i="17" a="1"/>
  <c r="AJ55" i="17" a="1"/>
  <c r="AK55" i="17" a="1"/>
  <c r="AL55" i="17" a="1"/>
  <c r="AM55" i="17" a="1"/>
  <c r="AN55" i="17" a="1"/>
  <c r="AO55" i="17" a="1"/>
  <c r="AP55" i="17" a="1"/>
  <c r="AQ55" i="17" a="1"/>
  <c r="AR55" i="17" a="1"/>
  <c r="AS55" i="17" a="1"/>
  <c r="AT55" i="17" a="1"/>
  <c r="AU55" i="17" a="1"/>
  <c r="AV55" i="17" a="1"/>
  <c r="AW55" i="17" a="1"/>
  <c r="AX55" i="17" a="1"/>
  <c r="AY55" i="17" a="1"/>
  <c r="AZ55" i="17" a="1"/>
  <c r="BA55" i="17" a="1"/>
  <c r="BB55" i="17" a="1"/>
  <c r="BC55" i="17" a="1"/>
  <c r="BD55" i="17" a="1"/>
  <c r="BE55" i="17" a="1"/>
  <c r="BF55" i="17" a="1"/>
  <c r="BG55" i="17" a="1"/>
  <c r="BH55" i="17" a="1"/>
  <c r="BI55" i="17" a="1"/>
  <c r="BJ55" i="17" a="1"/>
  <c r="BK55" i="17" a="1"/>
  <c r="BL55" i="17" a="1"/>
  <c r="BM55" i="17" a="1"/>
  <c r="BN55" i="17" a="1"/>
  <c r="BO55" i="17" a="1"/>
  <c r="BP55" i="17" a="1"/>
  <c r="G55" i="17"/>
  <c r="H55" i="17"/>
  <c r="I55" i="17"/>
  <c r="J55" i="17"/>
  <c r="K55" i="17"/>
  <c r="L55" i="17"/>
  <c r="M55" i="17"/>
  <c r="N55" i="17"/>
  <c r="O55" i="17"/>
  <c r="P55" i="17"/>
  <c r="Q55" i="17"/>
  <c r="R55" i="17"/>
  <c r="S55" i="17"/>
  <c r="T55" i="17"/>
  <c r="U55" i="17"/>
  <c r="V55" i="17"/>
  <c r="W55" i="17"/>
  <c r="X55" i="17"/>
  <c r="Y55" i="17"/>
  <c r="Z55" i="17"/>
  <c r="AA55" i="17"/>
  <c r="AB55" i="17"/>
  <c r="AC55" i="17"/>
  <c r="AD55" i="17"/>
  <c r="AE55" i="17"/>
  <c r="AF55" i="17"/>
  <c r="AG55" i="17"/>
  <c r="AH55" i="17"/>
  <c r="AI55" i="17"/>
  <c r="AJ55" i="17"/>
  <c r="AK55" i="17"/>
  <c r="AL55" i="17"/>
  <c r="AM55" i="17"/>
  <c r="AN55" i="17"/>
  <c r="AO55" i="17"/>
  <c r="AP55" i="17"/>
  <c r="AQ55" i="17"/>
  <c r="AR55" i="17"/>
  <c r="AS55" i="17"/>
  <c r="AT55" i="17"/>
  <c r="AU55" i="17"/>
  <c r="AV55" i="17"/>
  <c r="AW55" i="17"/>
  <c r="AX55" i="17"/>
  <c r="AY55" i="17"/>
  <c r="AZ55" i="17"/>
  <c r="BA55" i="17"/>
  <c r="BB55" i="17"/>
  <c r="BC55" i="17"/>
  <c r="BD55" i="17"/>
  <c r="BE55" i="17"/>
  <c r="BF55" i="17"/>
  <c r="BG55" i="17"/>
  <c r="BH55" i="17"/>
  <c r="BI55" i="17"/>
  <c r="BJ55" i="17"/>
  <c r="BK55" i="17"/>
  <c r="BL55" i="17"/>
  <c r="BM55" i="17"/>
  <c r="BN55" i="17"/>
  <c r="BO55" i="17"/>
  <c r="BP55" i="17"/>
  <c r="AC20" i="17"/>
  <c r="Z20" i="17"/>
  <c r="Z17" i="17"/>
  <c r="Z21" i="17"/>
  <c r="Z19" i="17"/>
  <c r="C33" i="34"/>
  <c r="C32" i="34"/>
  <c r="F6" i="34"/>
  <c r="F7" i="34"/>
  <c r="BU29" i="34"/>
  <c r="BV29" i="34"/>
  <c r="BR32" i="34"/>
  <c r="BR33" i="34"/>
  <c r="BU51" i="34"/>
  <c r="BV51" i="34"/>
  <c r="BR54" i="34"/>
  <c r="BR55" i="34"/>
  <c r="BU40" i="34"/>
  <c r="BV40" i="34"/>
  <c r="BR43" i="34"/>
  <c r="BR44" i="34"/>
  <c r="C19" i="34"/>
  <c r="C20" i="34"/>
  <c r="K4" i="3"/>
  <c r="K13" i="3"/>
  <c r="X12" i="6"/>
  <c r="G12" i="26"/>
  <c r="K4" i="17"/>
  <c r="K13" i="17"/>
  <c r="X26" i="6"/>
  <c r="I12" i="26"/>
  <c r="AH12" i="26"/>
  <c r="AI12" i="26"/>
  <c r="AJ12" i="26"/>
  <c r="AL12" i="26"/>
  <c r="AK12" i="26"/>
  <c r="X20" i="6"/>
  <c r="G12" i="36"/>
  <c r="X33" i="6"/>
  <c r="I12" i="36"/>
  <c r="AH12" i="36"/>
  <c r="AI12" i="36"/>
  <c r="AJ12" i="36"/>
  <c r="AL12" i="36"/>
  <c r="AK12" i="36"/>
  <c r="G12" i="32"/>
  <c r="I12" i="32"/>
  <c r="AH12" i="32"/>
  <c r="AI12" i="32"/>
  <c r="AJ12" i="32"/>
  <c r="AL12" i="32"/>
  <c r="AK12" i="32"/>
  <c r="G12" i="21"/>
  <c r="I12" i="21"/>
  <c r="AH12" i="21"/>
  <c r="AI12" i="21"/>
  <c r="AJ12" i="21"/>
  <c r="AL12" i="21"/>
  <c r="AK12" i="21"/>
  <c r="X19" i="6"/>
  <c r="G13" i="36"/>
  <c r="X32" i="6"/>
  <c r="I13" i="36"/>
  <c r="Z13" i="36"/>
  <c r="AB13" i="36"/>
  <c r="AN13" i="36"/>
  <c r="AC13" i="36"/>
  <c r="AO13" i="36"/>
  <c r="X13" i="36"/>
  <c r="G49" i="36"/>
  <c r="X18" i="6"/>
  <c r="G14" i="36"/>
  <c r="X31" i="6"/>
  <c r="I14" i="36"/>
  <c r="Z14" i="36"/>
  <c r="AB14" i="36"/>
  <c r="AN14" i="36"/>
  <c r="AC14" i="36"/>
  <c r="AO14" i="36"/>
  <c r="X14" i="36"/>
  <c r="G47" i="36"/>
  <c r="X17" i="6"/>
  <c r="G15" i="36"/>
  <c r="X30" i="6"/>
  <c r="I15" i="36"/>
  <c r="Z15" i="36"/>
  <c r="AB15" i="36"/>
  <c r="AN15" i="36"/>
  <c r="AC15" i="36"/>
  <c r="AO15" i="36"/>
  <c r="X15" i="36"/>
  <c r="G45" i="36"/>
  <c r="W15" i="36"/>
  <c r="G44" i="36"/>
  <c r="W14" i="36"/>
  <c r="G46" i="36"/>
  <c r="W13" i="36"/>
  <c r="G48" i="36"/>
  <c r="Z12" i="36"/>
  <c r="AB12" i="36"/>
  <c r="AN12" i="36"/>
  <c r="AC12" i="36"/>
  <c r="AO12" i="36"/>
  <c r="W12" i="36"/>
  <c r="G50" i="36"/>
  <c r="Z12" i="32"/>
  <c r="AB12" i="32"/>
  <c r="AN12" i="32"/>
  <c r="AC12" i="32"/>
  <c r="AO12" i="32"/>
  <c r="W12" i="32"/>
  <c r="G46" i="32"/>
  <c r="G13" i="32"/>
  <c r="I13" i="32"/>
  <c r="Z13" i="32"/>
  <c r="AB13" i="32"/>
  <c r="AN13" i="32"/>
  <c r="AC13" i="32"/>
  <c r="AO13" i="32"/>
  <c r="W13" i="32"/>
  <c r="G44" i="32"/>
  <c r="G14" i="32"/>
  <c r="I14" i="32"/>
  <c r="Z14" i="32"/>
  <c r="AB14" i="32"/>
  <c r="AN14" i="32"/>
  <c r="AC14" i="32"/>
  <c r="AO14" i="32"/>
  <c r="W14" i="32"/>
  <c r="G42" i="32"/>
  <c r="G15" i="32"/>
  <c r="I15" i="32"/>
  <c r="Z15" i="32"/>
  <c r="AB15" i="32"/>
  <c r="AN15" i="32"/>
  <c r="AC15" i="32"/>
  <c r="AO15" i="32"/>
  <c r="W15" i="32"/>
  <c r="G40" i="32"/>
  <c r="Z12" i="21"/>
  <c r="AB12" i="21"/>
  <c r="AN12" i="21"/>
  <c r="AC12" i="21"/>
  <c r="AO12" i="21"/>
  <c r="W12" i="21"/>
  <c r="G42" i="21"/>
  <c r="G13" i="21"/>
  <c r="I13" i="21"/>
  <c r="Z13" i="21"/>
  <c r="AB13" i="21"/>
  <c r="AN13" i="21"/>
  <c r="AC13" i="21"/>
  <c r="AO13" i="21"/>
  <c r="W13" i="21"/>
  <c r="G40" i="21"/>
  <c r="G14" i="21"/>
  <c r="I14" i="21"/>
  <c r="Z14" i="21"/>
  <c r="AB14" i="21"/>
  <c r="AN14" i="21"/>
  <c r="AC14" i="21"/>
  <c r="AO14" i="21"/>
  <c r="W14" i="21"/>
  <c r="G38" i="21"/>
  <c r="G15" i="21"/>
  <c r="I15" i="21"/>
  <c r="Z15" i="21"/>
  <c r="AB15" i="21"/>
  <c r="AN15" i="21"/>
  <c r="AC15" i="21"/>
  <c r="AO15" i="21"/>
  <c r="W15" i="21"/>
  <c r="G36" i="21"/>
  <c r="X15" i="21"/>
  <c r="G37" i="21"/>
  <c r="X14" i="21"/>
  <c r="G39" i="21"/>
  <c r="X13" i="21"/>
  <c r="G41" i="21"/>
  <c r="X12" i="21"/>
  <c r="G43" i="21"/>
  <c r="X15" i="32"/>
  <c r="G41" i="32"/>
  <c r="X14" i="32"/>
  <c r="G43" i="32"/>
  <c r="X13" i="32"/>
  <c r="G45" i="32"/>
  <c r="X12" i="32"/>
  <c r="G47" i="32"/>
  <c r="X12" i="36"/>
  <c r="G51" i="36"/>
  <c r="X16" i="6"/>
  <c r="G16" i="32"/>
  <c r="X29" i="6"/>
  <c r="I16" i="32"/>
  <c r="Z16" i="32"/>
  <c r="AB16" i="32"/>
  <c r="AN16" i="32"/>
  <c r="AC16" i="32"/>
  <c r="AO16" i="32"/>
  <c r="X16" i="32"/>
  <c r="G39" i="32"/>
  <c r="X14" i="6"/>
  <c r="G18" i="32"/>
  <c r="X27" i="6"/>
  <c r="I18" i="32"/>
  <c r="Z18" i="32"/>
  <c r="AB18" i="32"/>
  <c r="AN18" i="32"/>
  <c r="AC18" i="32"/>
  <c r="AO18" i="32"/>
  <c r="X18" i="32"/>
  <c r="G35" i="32"/>
  <c r="G16" i="21"/>
  <c r="I16" i="21"/>
  <c r="Z16" i="21"/>
  <c r="AB16" i="21"/>
  <c r="AN16" i="21"/>
  <c r="AC16" i="21"/>
  <c r="AO16" i="21"/>
  <c r="X16" i="21"/>
  <c r="G35" i="21"/>
  <c r="G18" i="21"/>
  <c r="I18" i="21"/>
  <c r="Z18" i="21"/>
  <c r="AB18" i="21"/>
  <c r="AN18" i="21"/>
  <c r="AC18" i="21"/>
  <c r="AO18" i="21"/>
  <c r="X18" i="21"/>
  <c r="G31" i="21"/>
  <c r="X13" i="6"/>
  <c r="G19" i="21"/>
  <c r="I19" i="21"/>
  <c r="Z19" i="21"/>
  <c r="AB19" i="21"/>
  <c r="AN19" i="21"/>
  <c r="AC19" i="21"/>
  <c r="AO19" i="21"/>
  <c r="X19" i="21"/>
  <c r="G29" i="21"/>
  <c r="G20" i="21"/>
  <c r="X25" i="6"/>
  <c r="I20" i="21"/>
  <c r="Z20" i="21"/>
  <c r="AB20" i="21"/>
  <c r="AN20" i="21"/>
  <c r="AC20" i="21"/>
  <c r="AO20" i="21"/>
  <c r="W20" i="21"/>
  <c r="G26" i="21"/>
  <c r="X15" i="6"/>
  <c r="G17" i="21"/>
  <c r="X28" i="6"/>
  <c r="I17" i="21"/>
  <c r="Z17" i="21"/>
  <c r="AB17" i="21"/>
  <c r="AN17" i="21"/>
  <c r="AC17" i="21"/>
  <c r="AO17" i="21"/>
  <c r="W17" i="21"/>
  <c r="G32" i="21"/>
  <c r="G20" i="32"/>
  <c r="I20" i="32"/>
  <c r="Z20" i="32"/>
  <c r="AB20" i="32"/>
  <c r="AN20" i="32"/>
  <c r="AC20" i="32"/>
  <c r="AO20" i="32"/>
  <c r="W20" i="32"/>
  <c r="G24" i="32"/>
  <c r="G21" i="32"/>
  <c r="I21" i="32"/>
  <c r="Z21" i="32"/>
  <c r="AB21" i="32"/>
  <c r="AN21" i="32"/>
  <c r="AC21" i="32"/>
  <c r="AO21" i="32"/>
  <c r="W21" i="32"/>
  <c r="I24" i="32"/>
  <c r="Z24" i="32"/>
  <c r="AB24" i="32"/>
  <c r="AN24" i="32"/>
  <c r="AC24" i="32"/>
  <c r="AO24" i="32"/>
  <c r="W24" i="32"/>
  <c r="G30" i="32"/>
  <c r="X24" i="32"/>
  <c r="G31" i="32"/>
  <c r="G17" i="32"/>
  <c r="I17" i="32"/>
  <c r="Z17" i="32"/>
  <c r="AB17" i="32"/>
  <c r="AN17" i="32"/>
  <c r="AC17" i="32"/>
  <c r="AO17" i="32"/>
  <c r="W17" i="32"/>
  <c r="G36" i="32"/>
  <c r="AS33" i="27"/>
  <c r="Q64" i="33"/>
  <c r="F4" i="33"/>
  <c r="AS40" i="27"/>
  <c r="I12" i="27"/>
  <c r="V64" i="33"/>
  <c r="AS41" i="27"/>
  <c r="K12" i="27"/>
  <c r="AW12" i="27"/>
  <c r="U12" i="27"/>
  <c r="AJ64" i="33"/>
  <c r="W64" i="33"/>
  <c r="W12" i="27"/>
  <c r="AA64" i="33"/>
  <c r="I13" i="27"/>
  <c r="V65" i="33"/>
  <c r="AS26" i="27"/>
  <c r="I14" i="27"/>
  <c r="V66" i="33"/>
  <c r="AS19" i="27"/>
  <c r="I15" i="27"/>
  <c r="V67" i="33"/>
  <c r="AS12" i="27"/>
  <c r="I16" i="27"/>
  <c r="V68" i="33"/>
  <c r="AS34" i="27"/>
  <c r="I17" i="27"/>
  <c r="V69" i="33"/>
  <c r="AS27" i="27"/>
  <c r="I18" i="27"/>
  <c r="V70" i="33"/>
  <c r="AS20" i="27"/>
  <c r="I19" i="27"/>
  <c r="V71" i="33"/>
  <c r="AS13" i="27"/>
  <c r="I20" i="27"/>
  <c r="V72" i="33"/>
  <c r="I21" i="27"/>
  <c r="V73" i="33"/>
  <c r="I22" i="27"/>
  <c r="V74" i="33"/>
  <c r="I23" i="27"/>
  <c r="V75" i="33"/>
  <c r="I24" i="27"/>
  <c r="V76" i="33"/>
  <c r="I25" i="27"/>
  <c r="V77" i="33"/>
  <c r="I26" i="27"/>
  <c r="V78" i="33"/>
  <c r="I27" i="27"/>
  <c r="V79" i="33"/>
  <c r="I28" i="27"/>
  <c r="V80" i="33"/>
  <c r="AS35" i="27"/>
  <c r="I29" i="27"/>
  <c r="V81" i="33"/>
  <c r="AS28" i="27"/>
  <c r="I30" i="27"/>
  <c r="V82" i="33"/>
  <c r="AS21" i="27"/>
  <c r="I31" i="27"/>
  <c r="V83" i="33"/>
  <c r="AS14" i="27"/>
  <c r="I32" i="27"/>
  <c r="V84" i="33"/>
  <c r="I33" i="27"/>
  <c r="V85" i="33"/>
  <c r="I34" i="27"/>
  <c r="V86" i="33"/>
  <c r="I35" i="27"/>
  <c r="V87" i="33"/>
  <c r="I36" i="27"/>
  <c r="V88" i="33"/>
  <c r="AS36" i="27"/>
  <c r="K13" i="27"/>
  <c r="AW13" i="27"/>
  <c r="U13" i="27"/>
  <c r="AJ65" i="33"/>
  <c r="AS29" i="27"/>
  <c r="K14" i="27"/>
  <c r="AW14" i="27"/>
  <c r="U14" i="27"/>
  <c r="AJ66" i="33"/>
  <c r="AS22" i="27"/>
  <c r="K15" i="27"/>
  <c r="AW15" i="27"/>
  <c r="U15" i="27"/>
  <c r="AJ67" i="33"/>
  <c r="AS15" i="27"/>
  <c r="K16" i="27"/>
  <c r="AW16" i="27"/>
  <c r="U16" i="27"/>
  <c r="AJ68" i="33"/>
  <c r="K17" i="27"/>
  <c r="AW17" i="27"/>
  <c r="U17" i="27"/>
  <c r="AJ69" i="33"/>
  <c r="K18" i="27"/>
  <c r="AW18" i="27"/>
  <c r="U18" i="27"/>
  <c r="AJ70" i="33"/>
  <c r="K19" i="27"/>
  <c r="AW19" i="27"/>
  <c r="U19" i="27"/>
  <c r="AJ71" i="33"/>
  <c r="K20" i="27"/>
  <c r="AW20" i="27"/>
  <c r="U20" i="27"/>
  <c r="AJ72" i="33"/>
  <c r="K21" i="27"/>
  <c r="AW21" i="27"/>
  <c r="U21" i="27"/>
  <c r="AJ73" i="33"/>
  <c r="K22" i="27"/>
  <c r="AW22" i="27"/>
  <c r="U22" i="27"/>
  <c r="AJ74" i="33"/>
  <c r="K23" i="27"/>
  <c r="AW23" i="27"/>
  <c r="U23" i="27"/>
  <c r="AJ75" i="33"/>
  <c r="K24" i="27"/>
  <c r="AW24" i="27"/>
  <c r="U24" i="27"/>
  <c r="AJ76" i="33"/>
  <c r="K25" i="27"/>
  <c r="AW25" i="27"/>
  <c r="U25" i="27"/>
  <c r="AJ77" i="33"/>
  <c r="K26" i="27"/>
  <c r="AW26" i="27"/>
  <c r="U26" i="27"/>
  <c r="AJ78" i="33"/>
  <c r="K27" i="27"/>
  <c r="AW27" i="27"/>
  <c r="U27" i="27"/>
  <c r="AJ79" i="33"/>
  <c r="K28" i="27"/>
  <c r="AW28" i="27"/>
  <c r="U28" i="27"/>
  <c r="AJ80" i="33"/>
  <c r="K29" i="27"/>
  <c r="AW29" i="27"/>
  <c r="U29" i="27"/>
  <c r="AJ81" i="33"/>
  <c r="K30" i="27"/>
  <c r="AW30" i="27"/>
  <c r="U30" i="27"/>
  <c r="AJ82" i="33"/>
  <c r="K31" i="27"/>
  <c r="AW31" i="27"/>
  <c r="U31" i="27"/>
  <c r="AJ83" i="33"/>
  <c r="K32" i="27"/>
  <c r="AW32" i="27"/>
  <c r="U32" i="27"/>
  <c r="AJ84" i="33"/>
  <c r="K33" i="27"/>
  <c r="AW33" i="27"/>
  <c r="U33" i="27"/>
  <c r="AJ85" i="33"/>
  <c r="K34" i="27"/>
  <c r="AW34" i="27"/>
  <c r="U34" i="27"/>
  <c r="AJ86" i="33"/>
  <c r="K35" i="27"/>
  <c r="AW35" i="27"/>
  <c r="U35" i="27"/>
  <c r="AJ87" i="33"/>
  <c r="K36" i="27"/>
  <c r="AW36" i="27"/>
  <c r="U36" i="27"/>
  <c r="AJ88" i="33"/>
  <c r="W65" i="33"/>
  <c r="W13" i="27"/>
  <c r="AA65" i="33"/>
  <c r="W66" i="33"/>
  <c r="W14" i="27"/>
  <c r="AA66" i="33"/>
  <c r="W67" i="33"/>
  <c r="W15" i="27"/>
  <c r="AA67" i="33"/>
  <c r="W68" i="33"/>
  <c r="W16" i="27"/>
  <c r="AA68" i="33"/>
  <c r="W69" i="33"/>
  <c r="W17" i="27"/>
  <c r="AA69" i="33"/>
  <c r="W70" i="33"/>
  <c r="W18" i="27"/>
  <c r="AA70" i="33"/>
  <c r="W71" i="33"/>
  <c r="W19" i="27"/>
  <c r="AA71" i="33"/>
  <c r="W72" i="33"/>
  <c r="W20" i="27"/>
  <c r="AA72" i="33"/>
  <c r="W73" i="33"/>
  <c r="W21" i="27"/>
  <c r="AA73" i="33"/>
  <c r="W74" i="33"/>
  <c r="W22" i="27"/>
  <c r="AA74" i="33"/>
  <c r="W75" i="33"/>
  <c r="W23" i="27"/>
  <c r="AA75" i="33"/>
  <c r="W76" i="33"/>
  <c r="W24" i="27"/>
  <c r="AA76" i="33"/>
  <c r="W77" i="33"/>
  <c r="W25" i="27"/>
  <c r="AA77" i="33"/>
  <c r="W78" i="33"/>
  <c r="W26" i="27"/>
  <c r="AA78" i="33"/>
  <c r="W79" i="33"/>
  <c r="W27" i="27"/>
  <c r="AA79" i="33"/>
  <c r="W80" i="33"/>
  <c r="W28" i="27"/>
  <c r="AA80" i="33"/>
  <c r="W81" i="33"/>
  <c r="W29" i="27"/>
  <c r="AA81" i="33"/>
  <c r="W82" i="33"/>
  <c r="W30" i="27"/>
  <c r="AA82" i="33"/>
  <c r="W83" i="33"/>
  <c r="W31" i="27"/>
  <c r="AA83" i="33"/>
  <c r="W84" i="33"/>
  <c r="W32" i="27"/>
  <c r="AA84" i="33"/>
  <c r="W85" i="33"/>
  <c r="W33" i="27"/>
  <c r="AA85" i="33"/>
  <c r="W86" i="33"/>
  <c r="W34" i="27"/>
  <c r="AA86" i="33"/>
  <c r="W87" i="33"/>
  <c r="W35" i="27"/>
  <c r="AA87" i="33"/>
  <c r="W88" i="33"/>
  <c r="W36" i="27"/>
  <c r="AA88" i="33"/>
  <c r="AK64" i="33"/>
  <c r="AK65" i="33"/>
  <c r="AK66" i="33"/>
  <c r="AK67" i="33"/>
  <c r="AK68" i="33"/>
  <c r="AK69" i="33"/>
  <c r="AK70" i="33"/>
  <c r="AK71" i="33"/>
  <c r="AK72" i="33"/>
  <c r="AK73" i="33"/>
  <c r="AK74" i="33"/>
  <c r="AK75" i="33"/>
  <c r="AK76" i="33"/>
  <c r="AK77" i="33"/>
  <c r="AK78" i="33"/>
  <c r="AK79" i="33"/>
  <c r="AK80" i="33"/>
  <c r="AK81" i="33"/>
  <c r="AK82" i="33"/>
  <c r="AK83" i="33"/>
  <c r="AK84" i="33"/>
  <c r="AK85" i="33"/>
  <c r="AK86" i="33"/>
  <c r="AK87" i="33"/>
  <c r="AK88" i="33"/>
  <c r="K4" i="33"/>
  <c r="Q65" i="33"/>
  <c r="F5" i="33"/>
  <c r="K5" i="33"/>
  <c r="Q66" i="33"/>
  <c r="F6" i="33"/>
  <c r="K6" i="33"/>
  <c r="Q67" i="33"/>
  <c r="F7" i="33"/>
  <c r="K7" i="33"/>
  <c r="K8" i="33"/>
  <c r="K9" i="33"/>
  <c r="K10" i="33"/>
  <c r="K11" i="33"/>
  <c r="K12" i="33"/>
  <c r="K13" i="33"/>
  <c r="AO36" i="27"/>
  <c r="AN36" i="27"/>
  <c r="AM36" i="27"/>
  <c r="AK36" i="27"/>
  <c r="AJ36" i="27"/>
  <c r="AI36" i="27"/>
  <c r="AG36" i="27"/>
  <c r="AO35" i="27"/>
  <c r="AN35" i="27"/>
  <c r="AM35" i="27"/>
  <c r="AK35" i="27"/>
  <c r="AJ35" i="27"/>
  <c r="AI35" i="27"/>
  <c r="AG35" i="27"/>
  <c r="AO34" i="27"/>
  <c r="AN34" i="27"/>
  <c r="AM34" i="27"/>
  <c r="AK34" i="27"/>
  <c r="AJ34" i="27"/>
  <c r="AI34" i="27"/>
  <c r="AG34" i="27"/>
  <c r="AO33" i="27"/>
  <c r="AN33" i="27"/>
  <c r="AM33" i="27"/>
  <c r="AK33" i="27"/>
  <c r="AJ33" i="27"/>
  <c r="AI33" i="27"/>
  <c r="AG33" i="27"/>
  <c r="Q64" i="29"/>
  <c r="F4" i="29"/>
  <c r="V64" i="29"/>
  <c r="AJ64" i="29"/>
  <c r="W64" i="29"/>
  <c r="AA64" i="29"/>
  <c r="V65" i="29"/>
  <c r="V66" i="29"/>
  <c r="V67" i="29"/>
  <c r="V68" i="29"/>
  <c r="V69" i="29"/>
  <c r="V70" i="29"/>
  <c r="V71" i="29"/>
  <c r="V72" i="29"/>
  <c r="V73" i="29"/>
  <c r="V74" i="29"/>
  <c r="V75" i="29"/>
  <c r="V76" i="29"/>
  <c r="V77" i="29"/>
  <c r="V78" i="29"/>
  <c r="V79" i="29"/>
  <c r="V80" i="29"/>
  <c r="V81" i="29"/>
  <c r="V82" i="29"/>
  <c r="V83" i="29"/>
  <c r="V84" i="29"/>
  <c r="V85" i="29"/>
  <c r="V86" i="29"/>
  <c r="V87" i="29"/>
  <c r="V88" i="29"/>
  <c r="AJ65" i="29"/>
  <c r="AJ66" i="29"/>
  <c r="AJ67" i="29"/>
  <c r="AJ68" i="29"/>
  <c r="AJ69" i="29"/>
  <c r="AJ70" i="29"/>
  <c r="AJ71" i="29"/>
  <c r="AJ72" i="29"/>
  <c r="AJ73" i="29"/>
  <c r="AJ74" i="29"/>
  <c r="AJ75" i="29"/>
  <c r="AJ76" i="29"/>
  <c r="AJ77" i="29"/>
  <c r="AJ78" i="29"/>
  <c r="AJ79" i="29"/>
  <c r="AJ80" i="29"/>
  <c r="AJ81" i="29"/>
  <c r="AJ82" i="29"/>
  <c r="AJ83" i="29"/>
  <c r="AJ84" i="29"/>
  <c r="AJ85" i="29"/>
  <c r="AJ86" i="29"/>
  <c r="AJ87" i="29"/>
  <c r="AJ88" i="29"/>
  <c r="W65" i="29"/>
  <c r="AA65" i="29"/>
  <c r="W66" i="29"/>
  <c r="AA66" i="29"/>
  <c r="W67" i="29"/>
  <c r="AA67" i="29"/>
  <c r="W68" i="29"/>
  <c r="AA68" i="29"/>
  <c r="W69" i="29"/>
  <c r="AA69" i="29"/>
  <c r="W70" i="29"/>
  <c r="AA70" i="29"/>
  <c r="W71" i="29"/>
  <c r="AA71" i="29"/>
  <c r="W72" i="29"/>
  <c r="AA72" i="29"/>
  <c r="W73" i="29"/>
  <c r="AA73" i="29"/>
  <c r="W74" i="29"/>
  <c r="AA74" i="29"/>
  <c r="W75" i="29"/>
  <c r="AA75" i="29"/>
  <c r="W76" i="29"/>
  <c r="AA76" i="29"/>
  <c r="W77" i="29"/>
  <c r="AA77" i="29"/>
  <c r="W78" i="29"/>
  <c r="AA78" i="29"/>
  <c r="W79" i="29"/>
  <c r="AA79" i="29"/>
  <c r="W80" i="29"/>
  <c r="AA80" i="29"/>
  <c r="W81" i="29"/>
  <c r="AA81" i="29"/>
  <c r="W82" i="29"/>
  <c r="AA82" i="29"/>
  <c r="W83" i="29"/>
  <c r="AA83" i="29"/>
  <c r="W84" i="29"/>
  <c r="AA84" i="29"/>
  <c r="W85" i="29"/>
  <c r="AA85" i="29"/>
  <c r="W86" i="29"/>
  <c r="AA86" i="29"/>
  <c r="W87" i="29"/>
  <c r="AA87" i="29"/>
  <c r="W88" i="29"/>
  <c r="AA88" i="29"/>
  <c r="AK64" i="29"/>
  <c r="AK65" i="29"/>
  <c r="AK66" i="29"/>
  <c r="AK67" i="29"/>
  <c r="AK68" i="29"/>
  <c r="AK69" i="29"/>
  <c r="AK70" i="29"/>
  <c r="AK71" i="29"/>
  <c r="AK72" i="29"/>
  <c r="AK73" i="29"/>
  <c r="AK74" i="29"/>
  <c r="AK75" i="29"/>
  <c r="AK76" i="29"/>
  <c r="AK77" i="29"/>
  <c r="AK78" i="29"/>
  <c r="AK79" i="29"/>
  <c r="AK80" i="29"/>
  <c r="AK81" i="29"/>
  <c r="AK82" i="29"/>
  <c r="AK83" i="29"/>
  <c r="AK84" i="29"/>
  <c r="AK85" i="29"/>
  <c r="AK86" i="29"/>
  <c r="AK87" i="29"/>
  <c r="AK88" i="29"/>
  <c r="K4" i="29"/>
  <c r="Q65" i="29"/>
  <c r="F5" i="29"/>
  <c r="K5" i="29"/>
  <c r="Q66" i="29"/>
  <c r="F6" i="29"/>
  <c r="K6" i="29"/>
  <c r="Q67" i="29"/>
  <c r="F7" i="29"/>
  <c r="K7" i="29"/>
  <c r="K8" i="29"/>
  <c r="K9" i="29"/>
  <c r="K10" i="29"/>
  <c r="K11" i="29"/>
  <c r="K12" i="29"/>
  <c r="K13" i="29"/>
  <c r="L4" i="29"/>
  <c r="M4" i="29"/>
  <c r="J4" i="29"/>
  <c r="K17" i="29"/>
  <c r="AT4" i="29"/>
  <c r="AS4" i="29"/>
  <c r="AU4" i="29"/>
  <c r="X67" i="29"/>
  <c r="AD67" i="29"/>
  <c r="AF67" i="29"/>
  <c r="AH67" i="29"/>
  <c r="X75" i="29"/>
  <c r="AD75" i="29"/>
  <c r="AF75" i="29"/>
  <c r="AH75" i="29"/>
  <c r="X87" i="29"/>
  <c r="AD87" i="29"/>
  <c r="AF87" i="29"/>
  <c r="AH87" i="29"/>
  <c r="G4" i="29"/>
  <c r="Y67" i="29"/>
  <c r="AE67" i="29"/>
  <c r="AG67" i="29"/>
  <c r="AI67" i="29"/>
  <c r="Y75" i="29"/>
  <c r="AE75" i="29"/>
  <c r="AG75" i="29"/>
  <c r="AI75" i="29"/>
  <c r="Y87" i="29"/>
  <c r="AE87" i="29"/>
  <c r="AG87" i="29"/>
  <c r="AI87" i="29"/>
  <c r="H4" i="29"/>
  <c r="I4" i="29"/>
  <c r="AW4" i="29"/>
  <c r="X71" i="29"/>
  <c r="AD71" i="29"/>
  <c r="AF71" i="29"/>
  <c r="AH71" i="29"/>
  <c r="X79" i="29"/>
  <c r="AD79" i="29"/>
  <c r="AF79" i="29"/>
  <c r="AH79" i="29"/>
  <c r="G5" i="29"/>
  <c r="Y71" i="29"/>
  <c r="AE71" i="29"/>
  <c r="AG71" i="29"/>
  <c r="AI71" i="29"/>
  <c r="Y79" i="29"/>
  <c r="AE79" i="29"/>
  <c r="AG79" i="29"/>
  <c r="AI79" i="29"/>
  <c r="H5" i="29"/>
  <c r="I5" i="29"/>
  <c r="AW5" i="29"/>
  <c r="X83" i="29"/>
  <c r="AD83" i="29"/>
  <c r="AF83" i="29"/>
  <c r="AH83" i="29"/>
  <c r="G6" i="29"/>
  <c r="Y83" i="29"/>
  <c r="AE83" i="29"/>
  <c r="AG83" i="29"/>
  <c r="AI83" i="29"/>
  <c r="H6" i="29"/>
  <c r="I6" i="29"/>
  <c r="AW6" i="29"/>
  <c r="G7" i="29"/>
  <c r="H7" i="29"/>
  <c r="I7" i="29"/>
  <c r="AW7" i="29"/>
  <c r="AH64" i="29"/>
  <c r="AH65" i="29"/>
  <c r="AH69" i="29"/>
  <c r="AH73" i="29"/>
  <c r="AH66" i="29"/>
  <c r="X68" i="29"/>
  <c r="AD68" i="29"/>
  <c r="AF68" i="29"/>
  <c r="AH68" i="29"/>
  <c r="AH70" i="29"/>
  <c r="X72" i="29"/>
  <c r="AD72" i="29"/>
  <c r="AF72" i="29"/>
  <c r="AH72" i="29"/>
  <c r="AH74" i="29"/>
  <c r="X76" i="29"/>
  <c r="AD76" i="29"/>
  <c r="AF76" i="29"/>
  <c r="AH76" i="29"/>
  <c r="AH77" i="29"/>
  <c r="AH78" i="29"/>
  <c r="X80" i="29"/>
  <c r="AD80" i="29"/>
  <c r="AF80" i="29"/>
  <c r="AH80" i="29"/>
  <c r="AH81" i="29"/>
  <c r="AH82" i="29"/>
  <c r="X84" i="29"/>
  <c r="AD84" i="29"/>
  <c r="AF84" i="29"/>
  <c r="AH84" i="29"/>
  <c r="AH85" i="29"/>
  <c r="X86" i="29"/>
  <c r="AD86" i="29"/>
  <c r="AF86" i="29"/>
  <c r="AH86" i="29"/>
  <c r="X88" i="29"/>
  <c r="AD88" i="29"/>
  <c r="AF88" i="29"/>
  <c r="AH88" i="29"/>
  <c r="AI64" i="29"/>
  <c r="AI65" i="29"/>
  <c r="AI66" i="29"/>
  <c r="Y68" i="29"/>
  <c r="AE68" i="29"/>
  <c r="AG68" i="29"/>
  <c r="AI68" i="29"/>
  <c r="AI69" i="29"/>
  <c r="AI70" i="29"/>
  <c r="Y72" i="29"/>
  <c r="AE72" i="29"/>
  <c r="AG72" i="29"/>
  <c r="AI72" i="29"/>
  <c r="AI73" i="29"/>
  <c r="AI74" i="29"/>
  <c r="Y76" i="29"/>
  <c r="AE76" i="29"/>
  <c r="AG76" i="29"/>
  <c r="AI76" i="29"/>
  <c r="AI77" i="29"/>
  <c r="AI78" i="29"/>
  <c r="Y80" i="29"/>
  <c r="AE80" i="29"/>
  <c r="AG80" i="29"/>
  <c r="AI80" i="29"/>
  <c r="AI81" i="29"/>
  <c r="AI82" i="29"/>
  <c r="Y84" i="29"/>
  <c r="AE84" i="29"/>
  <c r="AG84" i="29"/>
  <c r="AI84" i="29"/>
  <c r="AI85" i="29"/>
  <c r="Y86" i="29"/>
  <c r="AE86" i="29"/>
  <c r="AG86" i="29"/>
  <c r="AI86" i="29"/>
  <c r="Y88" i="29"/>
  <c r="AE88" i="29"/>
  <c r="AG88" i="29"/>
  <c r="AI88" i="29"/>
  <c r="G8" i="29"/>
  <c r="H8" i="29"/>
  <c r="I8" i="29"/>
  <c r="AW8" i="29"/>
  <c r="G9" i="29"/>
  <c r="H9" i="29"/>
  <c r="I9" i="29"/>
  <c r="AW9" i="29"/>
  <c r="G10" i="29"/>
  <c r="H10" i="29"/>
  <c r="I10" i="29"/>
  <c r="AW10" i="29"/>
  <c r="G11" i="29"/>
  <c r="H11" i="29"/>
  <c r="I11" i="29"/>
  <c r="AW11" i="29"/>
  <c r="G12" i="29"/>
  <c r="H12" i="29"/>
  <c r="I12" i="29"/>
  <c r="AW12" i="29"/>
  <c r="AX4" i="29"/>
  <c r="L17" i="29"/>
  <c r="L5" i="29"/>
  <c r="M5" i="29"/>
  <c r="J5" i="29"/>
  <c r="K18" i="29"/>
  <c r="AT5" i="29"/>
  <c r="AS5" i="29"/>
  <c r="AU5" i="29"/>
  <c r="AX5" i="29"/>
  <c r="L18" i="29"/>
  <c r="L6" i="29"/>
  <c r="M6" i="29"/>
  <c r="J6" i="29"/>
  <c r="K19" i="29"/>
  <c r="AT6" i="29"/>
  <c r="AS6" i="29"/>
  <c r="AU6" i="29"/>
  <c r="AX6" i="29"/>
  <c r="L19" i="29"/>
  <c r="L7" i="29"/>
  <c r="M7" i="29"/>
  <c r="J7" i="29"/>
  <c r="K20" i="29"/>
  <c r="AT7" i="29"/>
  <c r="AS7" i="29"/>
  <c r="AU7" i="29"/>
  <c r="AX7" i="29"/>
  <c r="L20" i="29"/>
  <c r="L8" i="29"/>
  <c r="M8" i="29"/>
  <c r="J8" i="29"/>
  <c r="K21" i="29"/>
  <c r="AT8" i="29"/>
  <c r="AS8" i="29"/>
  <c r="AU8" i="29"/>
  <c r="AX8" i="29"/>
  <c r="L21" i="29"/>
  <c r="L9" i="29"/>
  <c r="M9" i="29"/>
  <c r="J9" i="29"/>
  <c r="K22" i="29"/>
  <c r="AT9" i="29"/>
  <c r="AS9" i="29"/>
  <c r="AU9" i="29"/>
  <c r="AX9" i="29"/>
  <c r="L22" i="29"/>
  <c r="L10" i="29"/>
  <c r="M10" i="29"/>
  <c r="J10" i="29"/>
  <c r="K23" i="29"/>
  <c r="AT10" i="29"/>
  <c r="AS10" i="29"/>
  <c r="AU10" i="29"/>
  <c r="AX10" i="29"/>
  <c r="L23" i="29"/>
  <c r="L11" i="29"/>
  <c r="M11" i="29"/>
  <c r="J11" i="29"/>
  <c r="K24" i="29"/>
  <c r="AT11" i="29"/>
  <c r="AS11" i="29"/>
  <c r="AU11" i="29"/>
  <c r="AX11" i="29"/>
  <c r="L24" i="29"/>
  <c r="L12" i="29"/>
  <c r="M12" i="29"/>
  <c r="J12" i="29"/>
  <c r="K25" i="29"/>
  <c r="AT12" i="29"/>
  <c r="AS12" i="29"/>
  <c r="AU12" i="29"/>
  <c r="AX12" i="29"/>
  <c r="L25" i="29"/>
  <c r="M17" i="29"/>
  <c r="N17" i="29" a="1"/>
  <c r="N17" i="29"/>
  <c r="O17" i="29"/>
  <c r="C17" i="29"/>
  <c r="E30" i="29" a="1"/>
  <c r="E30" i="29"/>
  <c r="F30" i="29" a="1"/>
  <c r="F30" i="29"/>
  <c r="G30" i="29" a="1"/>
  <c r="H30" i="29" a="1"/>
  <c r="I30" i="29" a="1"/>
  <c r="J30" i="29" a="1"/>
  <c r="K30" i="29" a="1"/>
  <c r="L30" i="29" a="1"/>
  <c r="P17" i="29"/>
  <c r="M30" i="29" a="1"/>
  <c r="N30" i="29" a="1"/>
  <c r="O30" i="29" a="1"/>
  <c r="P30" i="29" a="1"/>
  <c r="Q30" i="29" a="1"/>
  <c r="R30" i="29" a="1"/>
  <c r="S30" i="29" a="1"/>
  <c r="T30" i="29" a="1"/>
  <c r="Q17" i="29"/>
  <c r="U30" i="29" a="1"/>
  <c r="V30" i="29" a="1"/>
  <c r="W30" i="29" a="1"/>
  <c r="X30" i="29" a="1"/>
  <c r="Y30" i="29" a="1"/>
  <c r="Z30" i="29" a="1"/>
  <c r="AA30" i="29" a="1"/>
  <c r="AB30" i="29" a="1"/>
  <c r="R17" i="29"/>
  <c r="AC30" i="29" a="1"/>
  <c r="AD30" i="29" a="1"/>
  <c r="AE30" i="29" a="1"/>
  <c r="AF30" i="29" a="1"/>
  <c r="AG30" i="29" a="1"/>
  <c r="AH30" i="29" a="1"/>
  <c r="AI30" i="29" a="1"/>
  <c r="AJ30" i="29" a="1"/>
  <c r="S17" i="29"/>
  <c r="AK30" i="29" a="1"/>
  <c r="AL30" i="29" a="1"/>
  <c r="AM30" i="29" a="1"/>
  <c r="AN30" i="29" a="1"/>
  <c r="AO30" i="29" a="1"/>
  <c r="AP30" i="29" a="1"/>
  <c r="AQ30" i="29" a="1"/>
  <c r="AR30" i="29" a="1"/>
  <c r="T17" i="29"/>
  <c r="AS30" i="29" a="1"/>
  <c r="AT30" i="29" a="1"/>
  <c r="AU30" i="29" a="1"/>
  <c r="AV30" i="29" a="1"/>
  <c r="AW30" i="29" a="1"/>
  <c r="AX30" i="29" a="1"/>
  <c r="AY30" i="29" a="1"/>
  <c r="AZ30" i="29" a="1"/>
  <c r="U17" i="29"/>
  <c r="BA30" i="29" a="1"/>
  <c r="BB30" i="29" a="1"/>
  <c r="BC30" i="29" a="1"/>
  <c r="BD30" i="29" a="1"/>
  <c r="BE30" i="29" a="1"/>
  <c r="BF30" i="29" a="1"/>
  <c r="BG30" i="29" a="1"/>
  <c r="BH30" i="29" a="1"/>
  <c r="V17" i="29"/>
  <c r="BI30" i="29" a="1"/>
  <c r="BJ30" i="29" a="1"/>
  <c r="BK30" i="29" a="1"/>
  <c r="BL30" i="29" a="1"/>
  <c r="BM30" i="29" a="1"/>
  <c r="BN30" i="29" a="1"/>
  <c r="BO30" i="29" a="1"/>
  <c r="BP30" i="29" a="1"/>
  <c r="G30" i="29"/>
  <c r="H30" i="29"/>
  <c r="I30" i="29"/>
  <c r="J30" i="29"/>
  <c r="K30" i="29"/>
  <c r="L30" i="29"/>
  <c r="M30" i="29"/>
  <c r="N30" i="29"/>
  <c r="O30" i="29"/>
  <c r="P30" i="29"/>
  <c r="Q30" i="29"/>
  <c r="R30" i="29"/>
  <c r="S30" i="29"/>
  <c r="T30" i="29"/>
  <c r="U30" i="29"/>
  <c r="V30" i="29"/>
  <c r="W30" i="29"/>
  <c r="X30" i="29"/>
  <c r="Y30" i="29"/>
  <c r="Z30" i="29"/>
  <c r="AA30" i="29"/>
  <c r="AB30" i="29"/>
  <c r="AC30" i="29"/>
  <c r="AD30" i="29"/>
  <c r="AE30" i="29"/>
  <c r="AF30" i="29"/>
  <c r="AG30" i="29"/>
  <c r="AH30" i="29"/>
  <c r="AI30" i="29"/>
  <c r="AJ30" i="29"/>
  <c r="AK30" i="29"/>
  <c r="AL30" i="29"/>
  <c r="AM30" i="29"/>
  <c r="AN30" i="29"/>
  <c r="AO30" i="29"/>
  <c r="AP30" i="29"/>
  <c r="AQ30" i="29"/>
  <c r="AR30" i="29"/>
  <c r="AS30" i="29"/>
  <c r="AT30" i="29"/>
  <c r="AU30" i="29"/>
  <c r="AV30" i="29"/>
  <c r="AW30" i="29"/>
  <c r="AX30" i="29"/>
  <c r="AY30" i="29"/>
  <c r="AZ30" i="29"/>
  <c r="BA30" i="29"/>
  <c r="BB30" i="29"/>
  <c r="BC30" i="29"/>
  <c r="BD30" i="29"/>
  <c r="BE30" i="29"/>
  <c r="BF30" i="29"/>
  <c r="BG30" i="29"/>
  <c r="BH30" i="29"/>
  <c r="BI30" i="29"/>
  <c r="BJ30" i="29"/>
  <c r="BK30" i="29"/>
  <c r="BL30" i="29"/>
  <c r="BM30" i="29"/>
  <c r="BN30" i="29"/>
  <c r="BO30" i="29"/>
  <c r="BP30" i="29"/>
  <c r="AA17" i="29"/>
  <c r="E41" i="29" a="1"/>
  <c r="E41" i="29"/>
  <c r="F41" i="29" a="1"/>
  <c r="F41" i="29"/>
  <c r="G41" i="29" a="1"/>
  <c r="H41" i="29" a="1"/>
  <c r="I41" i="29" a="1"/>
  <c r="J41" i="29" a="1"/>
  <c r="K41" i="29" a="1"/>
  <c r="L41" i="29" a="1"/>
  <c r="M41" i="29" a="1"/>
  <c r="N41" i="29" a="1"/>
  <c r="O41" i="29" a="1"/>
  <c r="P41" i="29" a="1"/>
  <c r="Q41" i="29" a="1"/>
  <c r="R41" i="29" a="1"/>
  <c r="S41" i="29" a="1"/>
  <c r="T41" i="29" a="1"/>
  <c r="U41" i="29" a="1"/>
  <c r="V41" i="29" a="1"/>
  <c r="W41" i="29" a="1"/>
  <c r="X41" i="29" a="1"/>
  <c r="Y41" i="29" a="1"/>
  <c r="Z41" i="29" a="1"/>
  <c r="AA41" i="29" a="1"/>
  <c r="AB41" i="29" a="1"/>
  <c r="AC41" i="29" a="1"/>
  <c r="AD41" i="29" a="1"/>
  <c r="AE41" i="29" a="1"/>
  <c r="AF41" i="29" a="1"/>
  <c r="AG41" i="29" a="1"/>
  <c r="AH41" i="29" a="1"/>
  <c r="AI41" i="29" a="1"/>
  <c r="AJ41" i="29" a="1"/>
  <c r="AK41" i="29" a="1"/>
  <c r="AL41" i="29" a="1"/>
  <c r="AM41" i="29" a="1"/>
  <c r="AN41" i="29" a="1"/>
  <c r="AO41" i="29" a="1"/>
  <c r="AP41" i="29" a="1"/>
  <c r="AQ41" i="29" a="1"/>
  <c r="AR41" i="29" a="1"/>
  <c r="AS41" i="29" a="1"/>
  <c r="AT41" i="29" a="1"/>
  <c r="AU41" i="29" a="1"/>
  <c r="AV41" i="29" a="1"/>
  <c r="AW41" i="29" a="1"/>
  <c r="AX41" i="29" a="1"/>
  <c r="AY41" i="29" a="1"/>
  <c r="AZ41" i="29" a="1"/>
  <c r="BA41" i="29" a="1"/>
  <c r="BB41" i="29" a="1"/>
  <c r="BC41" i="29" a="1"/>
  <c r="BD41" i="29" a="1"/>
  <c r="BE41" i="29" a="1"/>
  <c r="BF41" i="29" a="1"/>
  <c r="BG41" i="29" a="1"/>
  <c r="BH41" i="29" a="1"/>
  <c r="BI41" i="29" a="1"/>
  <c r="BJ41" i="29" a="1"/>
  <c r="BK41" i="29" a="1"/>
  <c r="BL41" i="29" a="1"/>
  <c r="BM41" i="29" a="1"/>
  <c r="BN41" i="29" a="1"/>
  <c r="BO41" i="29" a="1"/>
  <c r="BP41" i="29" a="1"/>
  <c r="G41" i="29"/>
  <c r="H41" i="29"/>
  <c r="I41" i="29"/>
  <c r="J41" i="29"/>
  <c r="K41" i="29"/>
  <c r="L41" i="29"/>
  <c r="M41" i="29"/>
  <c r="N41" i="29"/>
  <c r="O41" i="29"/>
  <c r="P41" i="29"/>
  <c r="Q41" i="29"/>
  <c r="R41" i="29"/>
  <c r="S41" i="29"/>
  <c r="T41" i="29"/>
  <c r="U41" i="29"/>
  <c r="V41" i="29"/>
  <c r="W41" i="29"/>
  <c r="X41" i="29"/>
  <c r="Y41" i="29"/>
  <c r="Z41" i="29"/>
  <c r="AA41" i="29"/>
  <c r="AB41" i="29"/>
  <c r="AC41" i="29"/>
  <c r="AD41" i="29"/>
  <c r="AE41" i="29"/>
  <c r="AF41" i="29"/>
  <c r="AG41" i="29"/>
  <c r="AH41" i="29"/>
  <c r="AI41" i="29"/>
  <c r="AJ41" i="29"/>
  <c r="AK41" i="29"/>
  <c r="AL41" i="29"/>
  <c r="AM41" i="29"/>
  <c r="AN41" i="29"/>
  <c r="AO41" i="29"/>
  <c r="AP41" i="29"/>
  <c r="AQ41" i="29"/>
  <c r="AR41" i="29"/>
  <c r="AS41" i="29"/>
  <c r="AT41" i="29"/>
  <c r="AU41" i="29"/>
  <c r="AV41" i="29"/>
  <c r="AW41" i="29"/>
  <c r="AX41" i="29"/>
  <c r="AY41" i="29"/>
  <c r="AZ41" i="29"/>
  <c r="BA41" i="29"/>
  <c r="BB41" i="29"/>
  <c r="BC41" i="29"/>
  <c r="BD41" i="29"/>
  <c r="BE41" i="29"/>
  <c r="BF41" i="29"/>
  <c r="BG41" i="29"/>
  <c r="BH41" i="29"/>
  <c r="BI41" i="29"/>
  <c r="BJ41" i="29"/>
  <c r="BK41" i="29"/>
  <c r="BL41" i="29"/>
  <c r="BM41" i="29"/>
  <c r="BN41" i="29"/>
  <c r="BO41" i="29"/>
  <c r="BP41" i="29"/>
  <c r="AB17" i="29"/>
  <c r="W17" i="29"/>
  <c r="M18" i="29"/>
  <c r="N18" i="29" a="1"/>
  <c r="N18" i="29"/>
  <c r="O18" i="29"/>
  <c r="C18" i="29"/>
  <c r="E31" i="29" a="1"/>
  <c r="E31" i="29"/>
  <c r="F31" i="29" a="1"/>
  <c r="F31" i="29"/>
  <c r="G31" i="29" a="1"/>
  <c r="H31" i="29" a="1"/>
  <c r="I31" i="29" a="1"/>
  <c r="J31" i="29" a="1"/>
  <c r="K31" i="29" a="1"/>
  <c r="L31" i="29" a="1"/>
  <c r="P18" i="29"/>
  <c r="M31" i="29" a="1"/>
  <c r="N31" i="29" a="1"/>
  <c r="O31" i="29" a="1"/>
  <c r="P31" i="29" a="1"/>
  <c r="Q31" i="29" a="1"/>
  <c r="R31" i="29" a="1"/>
  <c r="S31" i="29" a="1"/>
  <c r="T31" i="29" a="1"/>
  <c r="Q18" i="29"/>
  <c r="U31" i="29" a="1"/>
  <c r="V31" i="29" a="1"/>
  <c r="W31" i="29" a="1"/>
  <c r="X31" i="29" a="1"/>
  <c r="Y31" i="29" a="1"/>
  <c r="Z31" i="29" a="1"/>
  <c r="AA31" i="29" a="1"/>
  <c r="AB31" i="29" a="1"/>
  <c r="R18" i="29"/>
  <c r="AC31" i="29" a="1"/>
  <c r="AD31" i="29" a="1"/>
  <c r="AE31" i="29" a="1"/>
  <c r="AF31" i="29" a="1"/>
  <c r="AG31" i="29" a="1"/>
  <c r="AH31" i="29" a="1"/>
  <c r="AI31" i="29" a="1"/>
  <c r="AJ31" i="29" a="1"/>
  <c r="S18" i="29"/>
  <c r="AK31" i="29" a="1"/>
  <c r="AL31" i="29" a="1"/>
  <c r="AM31" i="29" a="1"/>
  <c r="AN31" i="29" a="1"/>
  <c r="AO31" i="29" a="1"/>
  <c r="AP31" i="29" a="1"/>
  <c r="AQ31" i="29" a="1"/>
  <c r="AR31" i="29" a="1"/>
  <c r="T18" i="29"/>
  <c r="AS31" i="29" a="1"/>
  <c r="AT31" i="29" a="1"/>
  <c r="AU31" i="29" a="1"/>
  <c r="AV31" i="29" a="1"/>
  <c r="AW31" i="29" a="1"/>
  <c r="AX31" i="29" a="1"/>
  <c r="AY31" i="29" a="1"/>
  <c r="AZ31" i="29" a="1"/>
  <c r="U18" i="29"/>
  <c r="BA31" i="29" a="1"/>
  <c r="BB31" i="29" a="1"/>
  <c r="BC31" i="29" a="1"/>
  <c r="BD31" i="29" a="1"/>
  <c r="BE31" i="29" a="1"/>
  <c r="BF31" i="29" a="1"/>
  <c r="BG31" i="29" a="1"/>
  <c r="BH31" i="29" a="1"/>
  <c r="V18" i="29"/>
  <c r="BI31" i="29" a="1"/>
  <c r="BJ31" i="29" a="1"/>
  <c r="BK31" i="29" a="1"/>
  <c r="BL31" i="29" a="1"/>
  <c r="BM31" i="29" a="1"/>
  <c r="BN31" i="29" a="1"/>
  <c r="BO31" i="29" a="1"/>
  <c r="BP31" i="29" a="1"/>
  <c r="G31" i="29"/>
  <c r="H31" i="29"/>
  <c r="I31" i="29"/>
  <c r="J31" i="29"/>
  <c r="K31" i="29"/>
  <c r="L31" i="29"/>
  <c r="M31" i="29"/>
  <c r="N31" i="29"/>
  <c r="O31" i="29"/>
  <c r="P31" i="29"/>
  <c r="Q31" i="29"/>
  <c r="R31" i="29"/>
  <c r="S31" i="29"/>
  <c r="T31" i="29"/>
  <c r="U31" i="29"/>
  <c r="V31" i="29"/>
  <c r="W31" i="29"/>
  <c r="X31" i="29"/>
  <c r="Y31" i="29"/>
  <c r="Z31" i="29"/>
  <c r="AA31" i="29"/>
  <c r="AB31" i="29"/>
  <c r="AC31" i="29"/>
  <c r="AD31" i="29"/>
  <c r="AE31" i="29"/>
  <c r="AF31" i="29"/>
  <c r="AG31" i="29"/>
  <c r="AH31" i="29"/>
  <c r="AI31" i="29"/>
  <c r="AJ31" i="29"/>
  <c r="AK31" i="29"/>
  <c r="AL31" i="29"/>
  <c r="AM31" i="29"/>
  <c r="AN31" i="29"/>
  <c r="AO31" i="29"/>
  <c r="AP31" i="29"/>
  <c r="AQ31" i="29"/>
  <c r="AR31" i="29"/>
  <c r="AS31" i="29"/>
  <c r="AT31" i="29"/>
  <c r="AU31" i="29"/>
  <c r="AV31" i="29"/>
  <c r="AW31" i="29"/>
  <c r="AX31" i="29"/>
  <c r="AY31" i="29"/>
  <c r="AZ31" i="29"/>
  <c r="BA31" i="29"/>
  <c r="BB31" i="29"/>
  <c r="BC31" i="29"/>
  <c r="BD31" i="29"/>
  <c r="BE31" i="29"/>
  <c r="BF31" i="29"/>
  <c r="BG31" i="29"/>
  <c r="BH31" i="29"/>
  <c r="BI31" i="29"/>
  <c r="BJ31" i="29"/>
  <c r="BK31" i="29"/>
  <c r="BL31" i="29"/>
  <c r="BM31" i="29"/>
  <c r="BN31" i="29"/>
  <c r="BO31" i="29"/>
  <c r="BP31" i="29"/>
  <c r="AA18" i="29"/>
  <c r="E42" i="29" a="1"/>
  <c r="E42" i="29"/>
  <c r="F42" i="29" a="1"/>
  <c r="F42" i="29"/>
  <c r="G42" i="29" a="1"/>
  <c r="H42" i="29" a="1"/>
  <c r="I42" i="29" a="1"/>
  <c r="J42" i="29" a="1"/>
  <c r="K42" i="29" a="1"/>
  <c r="L42" i="29" a="1"/>
  <c r="M42" i="29" a="1"/>
  <c r="N42" i="29" a="1"/>
  <c r="O42" i="29" a="1"/>
  <c r="P42" i="29" a="1"/>
  <c r="Q42" i="29" a="1"/>
  <c r="R42" i="29" a="1"/>
  <c r="S42" i="29" a="1"/>
  <c r="T42" i="29" a="1"/>
  <c r="U42" i="29" a="1"/>
  <c r="V42" i="29" a="1"/>
  <c r="W42" i="29" a="1"/>
  <c r="X42" i="29" a="1"/>
  <c r="Y42" i="29" a="1"/>
  <c r="Z42" i="29" a="1"/>
  <c r="AA42" i="29" a="1"/>
  <c r="AB42" i="29" a="1"/>
  <c r="AC42" i="29" a="1"/>
  <c r="AD42" i="29" a="1"/>
  <c r="AE42" i="29" a="1"/>
  <c r="AF42" i="29" a="1"/>
  <c r="AG42" i="29" a="1"/>
  <c r="AH42" i="29" a="1"/>
  <c r="AI42" i="29" a="1"/>
  <c r="AJ42" i="29" a="1"/>
  <c r="AK42" i="29" a="1"/>
  <c r="AL42" i="29" a="1"/>
  <c r="AM42" i="29" a="1"/>
  <c r="AN42" i="29" a="1"/>
  <c r="AO42" i="29" a="1"/>
  <c r="AP42" i="29" a="1"/>
  <c r="AQ42" i="29" a="1"/>
  <c r="AR42" i="29" a="1"/>
  <c r="AS42" i="29" a="1"/>
  <c r="AT42" i="29" a="1"/>
  <c r="AU42" i="29" a="1"/>
  <c r="AV42" i="29" a="1"/>
  <c r="AW42" i="29" a="1"/>
  <c r="AX42" i="29" a="1"/>
  <c r="AY42" i="29" a="1"/>
  <c r="AZ42" i="29" a="1"/>
  <c r="BA42" i="29" a="1"/>
  <c r="BB42" i="29" a="1"/>
  <c r="BC42" i="29" a="1"/>
  <c r="BD42" i="29" a="1"/>
  <c r="BE42" i="29" a="1"/>
  <c r="BF42" i="29" a="1"/>
  <c r="BG42" i="29" a="1"/>
  <c r="BH42" i="29" a="1"/>
  <c r="BI42" i="29" a="1"/>
  <c r="BJ42" i="29" a="1"/>
  <c r="BK42" i="29" a="1"/>
  <c r="BL42" i="29" a="1"/>
  <c r="BM42" i="29" a="1"/>
  <c r="BN42" i="29" a="1"/>
  <c r="BO42" i="29" a="1"/>
  <c r="BP42" i="29" a="1"/>
  <c r="G42" i="29"/>
  <c r="H42" i="29"/>
  <c r="I42" i="29"/>
  <c r="J42" i="29"/>
  <c r="K42" i="29"/>
  <c r="L42" i="29"/>
  <c r="M42" i="29"/>
  <c r="N42" i="29"/>
  <c r="O42" i="29"/>
  <c r="P42" i="29"/>
  <c r="Q42" i="29"/>
  <c r="R42" i="29"/>
  <c r="S42" i="29"/>
  <c r="T42" i="29"/>
  <c r="U42" i="29"/>
  <c r="V42" i="29"/>
  <c r="W42" i="29"/>
  <c r="X42" i="29"/>
  <c r="Y42" i="29"/>
  <c r="Z42" i="29"/>
  <c r="AA42" i="29"/>
  <c r="AB42" i="29"/>
  <c r="AC42" i="29"/>
  <c r="AD42" i="29"/>
  <c r="AE42" i="29"/>
  <c r="AF42" i="29"/>
  <c r="AG42" i="29"/>
  <c r="AH42" i="29"/>
  <c r="AI42" i="29"/>
  <c r="AJ42" i="29"/>
  <c r="AK42" i="29"/>
  <c r="AL42" i="29"/>
  <c r="AM42" i="29"/>
  <c r="AN42" i="29"/>
  <c r="AO42" i="29"/>
  <c r="AP42" i="29"/>
  <c r="AQ42" i="29"/>
  <c r="AR42" i="29"/>
  <c r="AS42" i="29"/>
  <c r="AT42" i="29"/>
  <c r="AU42" i="29"/>
  <c r="AV42" i="29"/>
  <c r="AW42" i="29"/>
  <c r="AX42" i="29"/>
  <c r="AY42" i="29"/>
  <c r="AZ42" i="29"/>
  <c r="BA42" i="29"/>
  <c r="BB42" i="29"/>
  <c r="BC42" i="29"/>
  <c r="BD42" i="29"/>
  <c r="BE42" i="29"/>
  <c r="BF42" i="29"/>
  <c r="BG42" i="29"/>
  <c r="BH42" i="29"/>
  <c r="BI42" i="29"/>
  <c r="BJ42" i="29"/>
  <c r="BK42" i="29"/>
  <c r="BL42" i="29"/>
  <c r="BM42" i="29"/>
  <c r="BN42" i="29"/>
  <c r="BO42" i="29"/>
  <c r="BP42" i="29"/>
  <c r="AB18" i="29"/>
  <c r="W18" i="29"/>
  <c r="M19" i="29"/>
  <c r="N19" i="29" a="1"/>
  <c r="N19" i="29"/>
  <c r="O19" i="29"/>
  <c r="C19" i="29"/>
  <c r="E32" i="29" a="1"/>
  <c r="E32" i="29"/>
  <c r="F32" i="29" a="1"/>
  <c r="F32" i="29"/>
  <c r="G32" i="29" a="1"/>
  <c r="H32" i="29" a="1"/>
  <c r="I32" i="29" a="1"/>
  <c r="J32" i="29" a="1"/>
  <c r="K32" i="29" a="1"/>
  <c r="L32" i="29" a="1"/>
  <c r="P19" i="29"/>
  <c r="M32" i="29" a="1"/>
  <c r="N32" i="29" a="1"/>
  <c r="O32" i="29" a="1"/>
  <c r="P32" i="29" a="1"/>
  <c r="Q32" i="29" a="1"/>
  <c r="R32" i="29" a="1"/>
  <c r="S32" i="29" a="1"/>
  <c r="T32" i="29" a="1"/>
  <c r="Q19" i="29"/>
  <c r="U32" i="29" a="1"/>
  <c r="V32" i="29" a="1"/>
  <c r="W32" i="29" a="1"/>
  <c r="X32" i="29" a="1"/>
  <c r="Y32" i="29" a="1"/>
  <c r="Z32" i="29" a="1"/>
  <c r="AA32" i="29" a="1"/>
  <c r="AB32" i="29" a="1"/>
  <c r="R19" i="29"/>
  <c r="AC32" i="29" a="1"/>
  <c r="AD32" i="29" a="1"/>
  <c r="AE32" i="29" a="1"/>
  <c r="AF32" i="29" a="1"/>
  <c r="AG32" i="29" a="1"/>
  <c r="AH32" i="29" a="1"/>
  <c r="AI32" i="29" a="1"/>
  <c r="AJ32" i="29" a="1"/>
  <c r="S19" i="29"/>
  <c r="AK32" i="29" a="1"/>
  <c r="AL32" i="29" a="1"/>
  <c r="AM32" i="29" a="1"/>
  <c r="AN32" i="29" a="1"/>
  <c r="AO32" i="29" a="1"/>
  <c r="AP32" i="29" a="1"/>
  <c r="AQ32" i="29" a="1"/>
  <c r="AR32" i="29" a="1"/>
  <c r="T19" i="29"/>
  <c r="AS32" i="29" a="1"/>
  <c r="AT32" i="29" a="1"/>
  <c r="AU32" i="29" a="1"/>
  <c r="AV32" i="29" a="1"/>
  <c r="AW32" i="29" a="1"/>
  <c r="AX32" i="29" a="1"/>
  <c r="AY32" i="29" a="1"/>
  <c r="AZ32" i="29" a="1"/>
  <c r="U19" i="29"/>
  <c r="BA32" i="29" a="1"/>
  <c r="BB32" i="29" a="1"/>
  <c r="BC32" i="29" a="1"/>
  <c r="BD32" i="29" a="1"/>
  <c r="BE32" i="29" a="1"/>
  <c r="BF32" i="29" a="1"/>
  <c r="BG32" i="29" a="1"/>
  <c r="BH32" i="29" a="1"/>
  <c r="V19" i="29"/>
  <c r="BI32" i="29" a="1"/>
  <c r="BJ32" i="29" a="1"/>
  <c r="BK32" i="29" a="1"/>
  <c r="BL32" i="29" a="1"/>
  <c r="BM32" i="29" a="1"/>
  <c r="BN32" i="29" a="1"/>
  <c r="BO32" i="29" a="1"/>
  <c r="BP32" i="29" a="1"/>
  <c r="G32" i="29"/>
  <c r="H32" i="29"/>
  <c r="I32" i="29"/>
  <c r="J32" i="29"/>
  <c r="K32" i="29"/>
  <c r="L32" i="29"/>
  <c r="M32" i="29"/>
  <c r="N32" i="29"/>
  <c r="O32" i="29"/>
  <c r="P32" i="29"/>
  <c r="Q32" i="29"/>
  <c r="R32" i="29"/>
  <c r="S32" i="29"/>
  <c r="T32" i="29"/>
  <c r="U32" i="29"/>
  <c r="V32" i="29"/>
  <c r="W32" i="29"/>
  <c r="X32" i="29"/>
  <c r="Y32" i="29"/>
  <c r="Z32" i="29"/>
  <c r="AA32" i="29"/>
  <c r="AB32" i="29"/>
  <c r="AC32" i="29"/>
  <c r="AD32" i="29"/>
  <c r="AE32" i="29"/>
  <c r="AF32" i="29"/>
  <c r="AG32" i="29"/>
  <c r="AH32" i="29"/>
  <c r="AI32" i="29"/>
  <c r="AJ32" i="29"/>
  <c r="AK32" i="29"/>
  <c r="AL32" i="29"/>
  <c r="AM32" i="29"/>
  <c r="AN32" i="29"/>
  <c r="AO32" i="29"/>
  <c r="AP32" i="29"/>
  <c r="AQ32" i="29"/>
  <c r="AR32" i="29"/>
  <c r="AS32" i="29"/>
  <c r="AT32" i="29"/>
  <c r="AU32" i="29"/>
  <c r="AV32" i="29"/>
  <c r="AW32" i="29"/>
  <c r="AX32" i="29"/>
  <c r="AY32" i="29"/>
  <c r="AZ32" i="29"/>
  <c r="BA32" i="29"/>
  <c r="BB32" i="29"/>
  <c r="BC32" i="29"/>
  <c r="BD32" i="29"/>
  <c r="BE32" i="29"/>
  <c r="BF32" i="29"/>
  <c r="BG32" i="29"/>
  <c r="BH32" i="29"/>
  <c r="BI32" i="29"/>
  <c r="BJ32" i="29"/>
  <c r="BK32" i="29"/>
  <c r="BL32" i="29"/>
  <c r="BM32" i="29"/>
  <c r="BN32" i="29"/>
  <c r="BO32" i="29"/>
  <c r="BP32" i="29"/>
  <c r="AA19" i="29"/>
  <c r="E43" i="29" a="1"/>
  <c r="E43" i="29"/>
  <c r="F43" i="29" a="1"/>
  <c r="F43" i="29"/>
  <c r="G43" i="29" a="1"/>
  <c r="H43" i="29" a="1"/>
  <c r="I43" i="29" a="1"/>
  <c r="J43" i="29" a="1"/>
  <c r="K43" i="29" a="1"/>
  <c r="L43" i="29" a="1"/>
  <c r="M43" i="29" a="1"/>
  <c r="N43" i="29" a="1"/>
  <c r="O43" i="29" a="1"/>
  <c r="P43" i="29" a="1"/>
  <c r="Q43" i="29" a="1"/>
  <c r="R43" i="29" a="1"/>
  <c r="S43" i="29" a="1"/>
  <c r="T43" i="29" a="1"/>
  <c r="U43" i="29" a="1"/>
  <c r="V43" i="29" a="1"/>
  <c r="W43" i="29" a="1"/>
  <c r="X43" i="29" a="1"/>
  <c r="Y43" i="29" a="1"/>
  <c r="Z43" i="29" a="1"/>
  <c r="AA43" i="29" a="1"/>
  <c r="AB43" i="29" a="1"/>
  <c r="AC43" i="29" a="1"/>
  <c r="AD43" i="29" a="1"/>
  <c r="AE43" i="29" a="1"/>
  <c r="AF43" i="29" a="1"/>
  <c r="AG43" i="29" a="1"/>
  <c r="AH43" i="29" a="1"/>
  <c r="AI43" i="29" a="1"/>
  <c r="AJ43" i="29" a="1"/>
  <c r="AK43" i="29" a="1"/>
  <c r="AL43" i="29" a="1"/>
  <c r="AM43" i="29" a="1"/>
  <c r="AN43" i="29" a="1"/>
  <c r="AO43" i="29" a="1"/>
  <c r="AP43" i="29" a="1"/>
  <c r="AQ43" i="29" a="1"/>
  <c r="AR43" i="29" a="1"/>
  <c r="AS43" i="29" a="1"/>
  <c r="AT43" i="29" a="1"/>
  <c r="AU43" i="29" a="1"/>
  <c r="AV43" i="29" a="1"/>
  <c r="AW43" i="29" a="1"/>
  <c r="AX43" i="29" a="1"/>
  <c r="AY43" i="29" a="1"/>
  <c r="AZ43" i="29" a="1"/>
  <c r="BA43" i="29" a="1"/>
  <c r="BB43" i="29" a="1"/>
  <c r="BC43" i="29" a="1"/>
  <c r="BD43" i="29" a="1"/>
  <c r="BE43" i="29" a="1"/>
  <c r="BF43" i="29" a="1"/>
  <c r="BG43" i="29" a="1"/>
  <c r="BH43" i="29" a="1"/>
  <c r="BI43" i="29" a="1"/>
  <c r="BJ43" i="29" a="1"/>
  <c r="BK43" i="29" a="1"/>
  <c r="BL43" i="29" a="1"/>
  <c r="BM43" i="29" a="1"/>
  <c r="BN43" i="29" a="1"/>
  <c r="BO43" i="29" a="1"/>
  <c r="BP43" i="29" a="1"/>
  <c r="G43" i="29"/>
  <c r="H43" i="29"/>
  <c r="I43" i="29"/>
  <c r="J43" i="29"/>
  <c r="K43" i="29"/>
  <c r="L43" i="29"/>
  <c r="M43" i="29"/>
  <c r="N43" i="29"/>
  <c r="O43" i="29"/>
  <c r="P43" i="29"/>
  <c r="Q43" i="29"/>
  <c r="R43" i="29"/>
  <c r="S43" i="29"/>
  <c r="T43" i="29"/>
  <c r="U43" i="29"/>
  <c r="V43" i="29"/>
  <c r="W43" i="29"/>
  <c r="X43" i="29"/>
  <c r="Y43" i="29"/>
  <c r="Z43" i="29"/>
  <c r="AA43" i="29"/>
  <c r="AB43" i="29"/>
  <c r="AC43" i="29"/>
  <c r="AD43" i="29"/>
  <c r="AE43" i="29"/>
  <c r="AF43" i="29"/>
  <c r="AG43" i="29"/>
  <c r="AH43" i="29"/>
  <c r="AI43" i="29"/>
  <c r="AJ43" i="29"/>
  <c r="AK43" i="29"/>
  <c r="AL43" i="29"/>
  <c r="AM43" i="29"/>
  <c r="AN43" i="29"/>
  <c r="AO43" i="29"/>
  <c r="AP43" i="29"/>
  <c r="AQ43" i="29"/>
  <c r="AR43" i="29"/>
  <c r="AS43" i="29"/>
  <c r="AT43" i="29"/>
  <c r="AU43" i="29"/>
  <c r="AV43" i="29"/>
  <c r="AW43" i="29"/>
  <c r="AX43" i="29"/>
  <c r="AY43" i="29"/>
  <c r="AZ43" i="29"/>
  <c r="BA43" i="29"/>
  <c r="BB43" i="29"/>
  <c r="BC43" i="29"/>
  <c r="BD43" i="29"/>
  <c r="BE43" i="29"/>
  <c r="BF43" i="29"/>
  <c r="BG43" i="29"/>
  <c r="BH43" i="29"/>
  <c r="BI43" i="29"/>
  <c r="BJ43" i="29"/>
  <c r="BK43" i="29"/>
  <c r="BL43" i="29"/>
  <c r="BM43" i="29"/>
  <c r="BN43" i="29"/>
  <c r="BO43" i="29"/>
  <c r="BP43" i="29"/>
  <c r="AB19" i="29"/>
  <c r="W19" i="29"/>
  <c r="M20" i="29"/>
  <c r="N20" i="29" a="1"/>
  <c r="N20" i="29"/>
  <c r="O20" i="29"/>
  <c r="C20" i="29"/>
  <c r="E33" i="29" a="1"/>
  <c r="E33" i="29"/>
  <c r="F33" i="29" a="1"/>
  <c r="F33" i="29"/>
  <c r="G33" i="29" a="1"/>
  <c r="H33" i="29" a="1"/>
  <c r="I33" i="29" a="1"/>
  <c r="J33" i="29" a="1"/>
  <c r="K33" i="29" a="1"/>
  <c r="L33" i="29" a="1"/>
  <c r="P20" i="29"/>
  <c r="M33" i="29" a="1"/>
  <c r="N33" i="29" a="1"/>
  <c r="O33" i="29" a="1"/>
  <c r="P33" i="29" a="1"/>
  <c r="Q33" i="29" a="1"/>
  <c r="R33" i="29" a="1"/>
  <c r="S33" i="29" a="1"/>
  <c r="T33" i="29" a="1"/>
  <c r="Q20" i="29"/>
  <c r="U33" i="29" a="1"/>
  <c r="V33" i="29" a="1"/>
  <c r="W33" i="29" a="1"/>
  <c r="X33" i="29" a="1"/>
  <c r="Y33" i="29" a="1"/>
  <c r="Z33" i="29" a="1"/>
  <c r="AA33" i="29" a="1"/>
  <c r="AB33" i="29" a="1"/>
  <c r="R20" i="29"/>
  <c r="AC33" i="29" a="1"/>
  <c r="AD33" i="29" a="1"/>
  <c r="AE33" i="29" a="1"/>
  <c r="AF33" i="29" a="1"/>
  <c r="AG33" i="29" a="1"/>
  <c r="AH33" i="29" a="1"/>
  <c r="AI33" i="29" a="1"/>
  <c r="AJ33" i="29" a="1"/>
  <c r="S20" i="29"/>
  <c r="AK33" i="29" a="1"/>
  <c r="AL33" i="29" a="1"/>
  <c r="AM33" i="29" a="1"/>
  <c r="AN33" i="29" a="1"/>
  <c r="AO33" i="29" a="1"/>
  <c r="AP33" i="29" a="1"/>
  <c r="AQ33" i="29" a="1"/>
  <c r="AR33" i="29" a="1"/>
  <c r="T20" i="29"/>
  <c r="AS33" i="29" a="1"/>
  <c r="AT33" i="29" a="1"/>
  <c r="AU33" i="29" a="1"/>
  <c r="AV33" i="29" a="1"/>
  <c r="AW33" i="29" a="1"/>
  <c r="AX33" i="29" a="1"/>
  <c r="AY33" i="29" a="1"/>
  <c r="AZ33" i="29" a="1"/>
  <c r="U20" i="29"/>
  <c r="BA33" i="29" a="1"/>
  <c r="BB33" i="29" a="1"/>
  <c r="BC33" i="29" a="1"/>
  <c r="BD33" i="29" a="1"/>
  <c r="BE33" i="29" a="1"/>
  <c r="BF33" i="29" a="1"/>
  <c r="BG33" i="29" a="1"/>
  <c r="BH33" i="29" a="1"/>
  <c r="V20" i="29"/>
  <c r="BI33" i="29" a="1"/>
  <c r="BJ33" i="29" a="1"/>
  <c r="BK33" i="29" a="1"/>
  <c r="BL33" i="29" a="1"/>
  <c r="BM33" i="29" a="1"/>
  <c r="BN33" i="29" a="1"/>
  <c r="BO33" i="29" a="1"/>
  <c r="BP33" i="29" a="1"/>
  <c r="G33" i="29"/>
  <c r="H33" i="29"/>
  <c r="I33" i="29"/>
  <c r="J33" i="29"/>
  <c r="K33" i="29"/>
  <c r="L33" i="29"/>
  <c r="M33" i="29"/>
  <c r="N33" i="29"/>
  <c r="O33" i="29"/>
  <c r="P33" i="29"/>
  <c r="Q33" i="29"/>
  <c r="R33" i="29"/>
  <c r="S33" i="29"/>
  <c r="T33" i="29"/>
  <c r="U33" i="29"/>
  <c r="V33" i="29"/>
  <c r="W33" i="29"/>
  <c r="X33" i="29"/>
  <c r="Y33" i="29"/>
  <c r="Z33" i="29"/>
  <c r="AA33" i="29"/>
  <c r="AB33" i="29"/>
  <c r="AC33" i="29"/>
  <c r="AD33" i="29"/>
  <c r="AE33" i="29"/>
  <c r="AF33" i="29"/>
  <c r="AG33" i="29"/>
  <c r="AH33" i="29"/>
  <c r="AI33" i="29"/>
  <c r="AJ33" i="29"/>
  <c r="AK33" i="29"/>
  <c r="AL33" i="29"/>
  <c r="AM33" i="29"/>
  <c r="AN33" i="29"/>
  <c r="AO33" i="29"/>
  <c r="AP33" i="29"/>
  <c r="AQ33" i="29"/>
  <c r="AR33" i="29"/>
  <c r="AS33" i="29"/>
  <c r="AT33" i="29"/>
  <c r="AU33" i="29"/>
  <c r="AV33" i="29"/>
  <c r="AW33" i="29"/>
  <c r="AX33" i="29"/>
  <c r="AY33" i="29"/>
  <c r="AZ33" i="29"/>
  <c r="BA33" i="29"/>
  <c r="BB33" i="29"/>
  <c r="BC33" i="29"/>
  <c r="BD33" i="29"/>
  <c r="BE33" i="29"/>
  <c r="BF33" i="29"/>
  <c r="BG33" i="29"/>
  <c r="BH33" i="29"/>
  <c r="BI33" i="29"/>
  <c r="BJ33" i="29"/>
  <c r="BK33" i="29"/>
  <c r="BL33" i="29"/>
  <c r="BM33" i="29"/>
  <c r="BN33" i="29"/>
  <c r="BO33" i="29"/>
  <c r="BP33" i="29"/>
  <c r="AA20" i="29"/>
  <c r="E44" i="29" a="1"/>
  <c r="E44" i="29"/>
  <c r="F44" i="29" a="1"/>
  <c r="F44" i="29"/>
  <c r="G44" i="29" a="1"/>
  <c r="H44" i="29" a="1"/>
  <c r="I44" i="29" a="1"/>
  <c r="J44" i="29" a="1"/>
  <c r="K44" i="29" a="1"/>
  <c r="L44" i="29" a="1"/>
  <c r="M44" i="29" a="1"/>
  <c r="N44" i="29" a="1"/>
  <c r="O44" i="29" a="1"/>
  <c r="P44" i="29" a="1"/>
  <c r="Q44" i="29" a="1"/>
  <c r="R44" i="29" a="1"/>
  <c r="S44" i="29" a="1"/>
  <c r="T44" i="29" a="1"/>
  <c r="U44" i="29" a="1"/>
  <c r="V44" i="29" a="1"/>
  <c r="W44" i="29" a="1"/>
  <c r="X44" i="29" a="1"/>
  <c r="Y44" i="29" a="1"/>
  <c r="Z44" i="29" a="1"/>
  <c r="AA44" i="29" a="1"/>
  <c r="AB44" i="29" a="1"/>
  <c r="AC44" i="29" a="1"/>
  <c r="AD44" i="29" a="1"/>
  <c r="AE44" i="29" a="1"/>
  <c r="AF44" i="29" a="1"/>
  <c r="AG44" i="29" a="1"/>
  <c r="AH44" i="29" a="1"/>
  <c r="AI44" i="29" a="1"/>
  <c r="AJ44" i="29" a="1"/>
  <c r="AK44" i="29" a="1"/>
  <c r="AL44" i="29" a="1"/>
  <c r="AM44" i="29" a="1"/>
  <c r="AN44" i="29" a="1"/>
  <c r="AO44" i="29" a="1"/>
  <c r="AP44" i="29" a="1"/>
  <c r="AQ44" i="29" a="1"/>
  <c r="AR44" i="29" a="1"/>
  <c r="AS44" i="29" a="1"/>
  <c r="AT44" i="29" a="1"/>
  <c r="AU44" i="29" a="1"/>
  <c r="AV44" i="29" a="1"/>
  <c r="AW44" i="29" a="1"/>
  <c r="AX44" i="29" a="1"/>
  <c r="AY44" i="29" a="1"/>
  <c r="AZ44" i="29" a="1"/>
  <c r="BA44" i="29" a="1"/>
  <c r="BB44" i="29" a="1"/>
  <c r="BC44" i="29" a="1"/>
  <c r="BD44" i="29" a="1"/>
  <c r="BE44" i="29" a="1"/>
  <c r="BF44" i="29" a="1"/>
  <c r="BG44" i="29" a="1"/>
  <c r="BH44" i="29" a="1"/>
  <c r="BI44" i="29" a="1"/>
  <c r="BJ44" i="29" a="1"/>
  <c r="BK44" i="29" a="1"/>
  <c r="BL44" i="29" a="1"/>
  <c r="BM44" i="29" a="1"/>
  <c r="BN44" i="29" a="1"/>
  <c r="BO44" i="29" a="1"/>
  <c r="BP44" i="29" a="1"/>
  <c r="G44" i="29"/>
  <c r="H44" i="29"/>
  <c r="I44" i="29"/>
  <c r="J44" i="29"/>
  <c r="K44" i="29"/>
  <c r="L44" i="29"/>
  <c r="M44" i="29"/>
  <c r="N44" i="29"/>
  <c r="O44" i="29"/>
  <c r="P44" i="29"/>
  <c r="Q44" i="29"/>
  <c r="R44" i="29"/>
  <c r="S44" i="29"/>
  <c r="T44" i="29"/>
  <c r="U44" i="29"/>
  <c r="V44" i="29"/>
  <c r="W44" i="29"/>
  <c r="X44" i="29"/>
  <c r="Y44" i="29"/>
  <c r="Z44" i="29"/>
  <c r="AA44" i="29"/>
  <c r="AB44" i="29"/>
  <c r="AC44" i="29"/>
  <c r="AD44" i="29"/>
  <c r="AE44" i="29"/>
  <c r="AF44" i="29"/>
  <c r="AG44" i="29"/>
  <c r="AH44" i="29"/>
  <c r="AI44" i="29"/>
  <c r="AJ44" i="29"/>
  <c r="AK44" i="29"/>
  <c r="AL44" i="29"/>
  <c r="AM44" i="29"/>
  <c r="AN44" i="29"/>
  <c r="AO44" i="29"/>
  <c r="AP44" i="29"/>
  <c r="AQ44" i="29"/>
  <c r="AR44" i="29"/>
  <c r="AS44" i="29"/>
  <c r="AT44" i="29"/>
  <c r="AU44" i="29"/>
  <c r="AV44" i="29"/>
  <c r="AW44" i="29"/>
  <c r="AX44" i="29"/>
  <c r="AY44" i="29"/>
  <c r="AZ44" i="29"/>
  <c r="BA44" i="29"/>
  <c r="BB44" i="29"/>
  <c r="BC44" i="29"/>
  <c r="BD44" i="29"/>
  <c r="BE44" i="29"/>
  <c r="BF44" i="29"/>
  <c r="BG44" i="29"/>
  <c r="BH44" i="29"/>
  <c r="BI44" i="29"/>
  <c r="BJ44" i="29"/>
  <c r="BK44" i="29"/>
  <c r="BL44" i="29"/>
  <c r="BM44" i="29"/>
  <c r="BN44" i="29"/>
  <c r="BO44" i="29"/>
  <c r="BP44" i="29"/>
  <c r="AB20" i="29"/>
  <c r="W20" i="29"/>
  <c r="M21" i="29"/>
  <c r="N21" i="29" a="1"/>
  <c r="N21" i="29"/>
  <c r="O21" i="29"/>
  <c r="BR52" i="29"/>
  <c r="BS51" i="29"/>
  <c r="BT51" i="29"/>
  <c r="BT52" i="29"/>
  <c r="BU51" i="29"/>
  <c r="BU52" i="29"/>
  <c r="BV51" i="29"/>
  <c r="BV52" i="29"/>
  <c r="BW52" i="29"/>
  <c r="BX52" i="29"/>
  <c r="BY52" i="29"/>
  <c r="BZ52" i="29"/>
  <c r="CA52" i="29"/>
  <c r="BR53" i="29"/>
  <c r="BS53" i="29"/>
  <c r="BU53" i="29"/>
  <c r="BV53" i="29"/>
  <c r="BW53" i="29"/>
  <c r="BX53" i="29"/>
  <c r="BY53" i="29"/>
  <c r="BZ53" i="29"/>
  <c r="CA53" i="29"/>
  <c r="BR54" i="29"/>
  <c r="BS54" i="29"/>
  <c r="BT54" i="29"/>
  <c r="BV54" i="29"/>
  <c r="BW54" i="29"/>
  <c r="BX54" i="29"/>
  <c r="BY54" i="29"/>
  <c r="BZ54" i="29"/>
  <c r="CA54" i="29"/>
  <c r="BR55" i="29"/>
  <c r="BS55" i="29"/>
  <c r="BT55" i="29"/>
  <c r="BU55" i="29"/>
  <c r="BW55" i="29"/>
  <c r="BX55" i="29"/>
  <c r="BY55" i="29"/>
  <c r="BZ55" i="29"/>
  <c r="CA55" i="29"/>
  <c r="BS56" i="29"/>
  <c r="BT56" i="29"/>
  <c r="BU56" i="29"/>
  <c r="BV56" i="29"/>
  <c r="BX56" i="29"/>
  <c r="BY56" i="29"/>
  <c r="BZ56" i="29"/>
  <c r="CA56" i="29"/>
  <c r="BS57" i="29"/>
  <c r="BT57" i="29"/>
  <c r="BU57" i="29"/>
  <c r="BV57" i="29"/>
  <c r="BW57" i="29"/>
  <c r="BY57" i="29"/>
  <c r="BZ57" i="29"/>
  <c r="CA57" i="29"/>
  <c r="BS58" i="29"/>
  <c r="BT58" i="29"/>
  <c r="BU58" i="29"/>
  <c r="BV58" i="29"/>
  <c r="BW58" i="29"/>
  <c r="BX58" i="29"/>
  <c r="BZ58" i="29"/>
  <c r="CA58" i="29"/>
  <c r="BS59" i="29"/>
  <c r="BT59" i="29"/>
  <c r="BU59" i="29"/>
  <c r="BV59" i="29"/>
  <c r="BW59" i="29"/>
  <c r="BX59" i="29"/>
  <c r="BY59" i="29"/>
  <c r="CA59" i="29"/>
  <c r="BS60" i="29"/>
  <c r="BT60" i="29"/>
  <c r="BU60" i="29"/>
  <c r="BV60" i="29"/>
  <c r="BW60" i="29"/>
  <c r="BX60" i="29"/>
  <c r="BY60" i="29"/>
  <c r="BZ60" i="29"/>
  <c r="E34" i="29" a="1"/>
  <c r="E34" i="29"/>
  <c r="F34" i="29" a="1"/>
  <c r="F34" i="29"/>
  <c r="G34" i="29" a="1"/>
  <c r="H34" i="29" a="1"/>
  <c r="M22" i="29"/>
  <c r="N22" i="29" a="1"/>
  <c r="N22" i="29"/>
  <c r="O22" i="29"/>
  <c r="I34" i="29" a="1"/>
  <c r="M23" i="29"/>
  <c r="N23" i="29" a="1"/>
  <c r="N23" i="29"/>
  <c r="O23" i="29"/>
  <c r="J34" i="29" a="1"/>
  <c r="M24" i="29"/>
  <c r="N24" i="29" a="1"/>
  <c r="N24" i="29"/>
  <c r="O24" i="29"/>
  <c r="K34" i="29" a="1"/>
  <c r="M25" i="29"/>
  <c r="N25" i="29" a="1"/>
  <c r="N25" i="29"/>
  <c r="O25" i="29"/>
  <c r="L34" i="29" a="1"/>
  <c r="P21" i="29"/>
  <c r="M34" i="29" a="1"/>
  <c r="N34" i="29" a="1"/>
  <c r="O34" i="29" a="1"/>
  <c r="P34" i="29" a="1"/>
  <c r="P22" i="29"/>
  <c r="Q34" i="29" a="1"/>
  <c r="P23" i="29"/>
  <c r="R34" i="29" a="1"/>
  <c r="P24" i="29"/>
  <c r="S34" i="29" a="1"/>
  <c r="P25" i="29"/>
  <c r="T34" i="29" a="1"/>
  <c r="Q21" i="29"/>
  <c r="U34" i="29" a="1"/>
  <c r="V34" i="29" a="1"/>
  <c r="W34" i="29" a="1"/>
  <c r="X34" i="29" a="1"/>
  <c r="Q22" i="29"/>
  <c r="Y34" i="29" a="1"/>
  <c r="Q23" i="29"/>
  <c r="Z34" i="29" a="1"/>
  <c r="Q24" i="29"/>
  <c r="AA34" i="29" a="1"/>
  <c r="Q25" i="29"/>
  <c r="AB34" i="29" a="1"/>
  <c r="R21" i="29"/>
  <c r="AC34" i="29" a="1"/>
  <c r="AD34" i="29" a="1"/>
  <c r="AE34" i="29" a="1"/>
  <c r="AF34" i="29" a="1"/>
  <c r="R22" i="29"/>
  <c r="AG34" i="29" a="1"/>
  <c r="R23" i="29"/>
  <c r="AH34" i="29" a="1"/>
  <c r="R24" i="29"/>
  <c r="AI34" i="29" a="1"/>
  <c r="R25" i="29"/>
  <c r="AJ34" i="29" a="1"/>
  <c r="S21" i="29"/>
  <c r="AK34" i="29" a="1"/>
  <c r="AL34" i="29" a="1"/>
  <c r="AM34" i="29" a="1"/>
  <c r="AN34" i="29" a="1"/>
  <c r="S22" i="29"/>
  <c r="AO34" i="29" a="1"/>
  <c r="S23" i="29"/>
  <c r="AP34" i="29" a="1"/>
  <c r="S24" i="29"/>
  <c r="AQ34" i="29" a="1"/>
  <c r="S25" i="29"/>
  <c r="AR34" i="29" a="1"/>
  <c r="T21" i="29"/>
  <c r="AS34" i="29" a="1"/>
  <c r="AT34" i="29" a="1"/>
  <c r="AU34" i="29" a="1"/>
  <c r="AV34" i="29" a="1"/>
  <c r="T22" i="29"/>
  <c r="AW34" i="29" a="1"/>
  <c r="T23" i="29"/>
  <c r="AX34" i="29" a="1"/>
  <c r="T24" i="29"/>
  <c r="AY34" i="29" a="1"/>
  <c r="T25" i="29"/>
  <c r="AZ34" i="29" a="1"/>
  <c r="U21" i="29"/>
  <c r="BA34" i="29" a="1"/>
  <c r="BB34" i="29" a="1"/>
  <c r="BC34" i="29" a="1"/>
  <c r="BD34" i="29" a="1"/>
  <c r="U22" i="29"/>
  <c r="BE34" i="29" a="1"/>
  <c r="U23" i="29"/>
  <c r="BF34" i="29" a="1"/>
  <c r="U24" i="29"/>
  <c r="BG34" i="29" a="1"/>
  <c r="U25" i="29"/>
  <c r="BH34" i="29" a="1"/>
  <c r="V21" i="29"/>
  <c r="BI34" i="29" a="1"/>
  <c r="BJ34" i="29" a="1"/>
  <c r="BK34" i="29" a="1"/>
  <c r="BL34" i="29" a="1"/>
  <c r="V22" i="29"/>
  <c r="BM34" i="29" a="1"/>
  <c r="V23" i="29"/>
  <c r="BN34" i="29" a="1"/>
  <c r="V24" i="29"/>
  <c r="BO34" i="29" a="1"/>
  <c r="V25" i="29"/>
  <c r="BP34" i="29" a="1"/>
  <c r="G34" i="29"/>
  <c r="H34" i="29"/>
  <c r="I34" i="29"/>
  <c r="J34" i="29"/>
  <c r="K34" i="29"/>
  <c r="L34" i="29"/>
  <c r="M34" i="29"/>
  <c r="N34" i="29"/>
  <c r="O34" i="29"/>
  <c r="P34" i="29"/>
  <c r="Q34" i="29"/>
  <c r="R34" i="29"/>
  <c r="S34" i="29"/>
  <c r="T34" i="29"/>
  <c r="U34" i="29"/>
  <c r="V34" i="29"/>
  <c r="W34" i="29"/>
  <c r="X34" i="29"/>
  <c r="Y34" i="29"/>
  <c r="Z34" i="29"/>
  <c r="AA34" i="29"/>
  <c r="AB34" i="29"/>
  <c r="AC34" i="29"/>
  <c r="AD34" i="29"/>
  <c r="AE34" i="29"/>
  <c r="AF34" i="29"/>
  <c r="AG34" i="29"/>
  <c r="AH34" i="29"/>
  <c r="AI34" i="29"/>
  <c r="AJ34" i="29"/>
  <c r="AK34" i="29"/>
  <c r="AL34" i="29"/>
  <c r="AM34" i="29"/>
  <c r="AN34" i="29"/>
  <c r="AO34" i="29"/>
  <c r="AP34" i="29"/>
  <c r="AQ34" i="29"/>
  <c r="AR34" i="29"/>
  <c r="AS34" i="29"/>
  <c r="AT34" i="29"/>
  <c r="AU34" i="29"/>
  <c r="AV34" i="29"/>
  <c r="AW34" i="29"/>
  <c r="AX34" i="29"/>
  <c r="AY34" i="29"/>
  <c r="AZ34" i="29"/>
  <c r="BA34" i="29"/>
  <c r="BB34" i="29"/>
  <c r="BC34" i="29"/>
  <c r="BD34" i="29"/>
  <c r="BE34" i="29"/>
  <c r="BF34" i="29"/>
  <c r="BG34" i="29"/>
  <c r="BH34" i="29"/>
  <c r="BI34" i="29"/>
  <c r="BJ34" i="29"/>
  <c r="BK34" i="29"/>
  <c r="BL34" i="29"/>
  <c r="BM34" i="29"/>
  <c r="BN34" i="29"/>
  <c r="BO34" i="29"/>
  <c r="BP34" i="29"/>
  <c r="AA21" i="29"/>
  <c r="BR41" i="29"/>
  <c r="BS40" i="29"/>
  <c r="BT40" i="29"/>
  <c r="BR30" i="29"/>
  <c r="BT29" i="29"/>
  <c r="BT30" i="29"/>
  <c r="BR31" i="29"/>
  <c r="BS29" i="29"/>
  <c r="BS31" i="29"/>
  <c r="BT41" i="29"/>
  <c r="BU40" i="29"/>
  <c r="BU29" i="29"/>
  <c r="BU30" i="29"/>
  <c r="BR32" i="29"/>
  <c r="BS32" i="29"/>
  <c r="BU41" i="29"/>
  <c r="BV40" i="29"/>
  <c r="BV29" i="29"/>
  <c r="BV30" i="29"/>
  <c r="BR33" i="29"/>
  <c r="BS33" i="29"/>
  <c r="BV41" i="29"/>
  <c r="BW30" i="29"/>
  <c r="BS34" i="29"/>
  <c r="BW41" i="29"/>
  <c r="BX30" i="29"/>
  <c r="BS35" i="29"/>
  <c r="BX41" i="29"/>
  <c r="BY30" i="29"/>
  <c r="BS36" i="29"/>
  <c r="BY41" i="29"/>
  <c r="BZ30" i="29"/>
  <c r="BS37" i="29"/>
  <c r="BZ41" i="29"/>
  <c r="CA30" i="29"/>
  <c r="BS38" i="29"/>
  <c r="CA41" i="29"/>
  <c r="BR42" i="29"/>
  <c r="BS42" i="29"/>
  <c r="BU31" i="29"/>
  <c r="BT32" i="29"/>
  <c r="BU42" i="29"/>
  <c r="BV31" i="29"/>
  <c r="BT33" i="29"/>
  <c r="BV42" i="29"/>
  <c r="BW31" i="29"/>
  <c r="BT34" i="29"/>
  <c r="BW42" i="29"/>
  <c r="BX31" i="29"/>
  <c r="BT35" i="29"/>
  <c r="BX42" i="29"/>
  <c r="BY31" i="29"/>
  <c r="BT36" i="29"/>
  <c r="BY42" i="29"/>
  <c r="BZ31" i="29"/>
  <c r="BT37" i="29"/>
  <c r="BZ42" i="29"/>
  <c r="CA31" i="29"/>
  <c r="BT38" i="29"/>
  <c r="CA42" i="29"/>
  <c r="BR43" i="29"/>
  <c r="BS43" i="29"/>
  <c r="BT43" i="29"/>
  <c r="BV32" i="29"/>
  <c r="BU33" i="29"/>
  <c r="BV43" i="29"/>
  <c r="BW32" i="29"/>
  <c r="BU34" i="29"/>
  <c r="BW43" i="29"/>
  <c r="BX32" i="29"/>
  <c r="BU35" i="29"/>
  <c r="BX43" i="29"/>
  <c r="BY32" i="29"/>
  <c r="BU36" i="29"/>
  <c r="BY43" i="29"/>
  <c r="BZ32" i="29"/>
  <c r="BU37" i="29"/>
  <c r="BZ43" i="29"/>
  <c r="CA32" i="29"/>
  <c r="BU38" i="29"/>
  <c r="CA43" i="29"/>
  <c r="BR44" i="29"/>
  <c r="BS44" i="29"/>
  <c r="BT44" i="29"/>
  <c r="BU44" i="29"/>
  <c r="BW33" i="29"/>
  <c r="BV34" i="29"/>
  <c r="BW44" i="29"/>
  <c r="BX33" i="29"/>
  <c r="BV35" i="29"/>
  <c r="BX44" i="29"/>
  <c r="BY33" i="29"/>
  <c r="BV36" i="29"/>
  <c r="BY44" i="29"/>
  <c r="BZ33" i="29"/>
  <c r="BV37" i="29"/>
  <c r="BZ44" i="29"/>
  <c r="CA33" i="29"/>
  <c r="BV38" i="29"/>
  <c r="CA44" i="29"/>
  <c r="BS45" i="29"/>
  <c r="BT45" i="29"/>
  <c r="BU45" i="29"/>
  <c r="BV45" i="29"/>
  <c r="BX34" i="29"/>
  <c r="BW35" i="29"/>
  <c r="BX45" i="29"/>
  <c r="BY34" i="29"/>
  <c r="BW36" i="29"/>
  <c r="BY45" i="29"/>
  <c r="BZ34" i="29"/>
  <c r="BW37" i="29"/>
  <c r="BZ45" i="29"/>
  <c r="CA34" i="29"/>
  <c r="BW38" i="29"/>
  <c r="CA45" i="29"/>
  <c r="BS46" i="29"/>
  <c r="BT46" i="29"/>
  <c r="BU46" i="29"/>
  <c r="BV46" i="29"/>
  <c r="BW46" i="29"/>
  <c r="BY35" i="29"/>
  <c r="BX36" i="29"/>
  <c r="BY46" i="29"/>
  <c r="BZ35" i="29"/>
  <c r="BX37" i="29"/>
  <c r="BZ46" i="29"/>
  <c r="CA35" i="29"/>
  <c r="BX38" i="29"/>
  <c r="CA46" i="29"/>
  <c r="BS47" i="29"/>
  <c r="BT47" i="29"/>
  <c r="BU47" i="29"/>
  <c r="BV47" i="29"/>
  <c r="BW47" i="29"/>
  <c r="BX47" i="29"/>
  <c r="BZ36" i="29"/>
  <c r="BY37" i="29"/>
  <c r="BZ47" i="29"/>
  <c r="CA36" i="29"/>
  <c r="BY38" i="29"/>
  <c r="CA47" i="29"/>
  <c r="BS48" i="29"/>
  <c r="BT48" i="29"/>
  <c r="BU48" i="29"/>
  <c r="BV48" i="29"/>
  <c r="BW48" i="29"/>
  <c r="BX48" i="29"/>
  <c r="BY48" i="29"/>
  <c r="CA37" i="29"/>
  <c r="BZ38" i="29"/>
  <c r="CA48" i="29"/>
  <c r="BS49" i="29"/>
  <c r="BT49" i="29"/>
  <c r="BU49" i="29"/>
  <c r="BV49" i="29"/>
  <c r="BW49" i="29"/>
  <c r="BX49" i="29"/>
  <c r="BY49" i="29"/>
  <c r="BZ49" i="29"/>
  <c r="E45" i="29" a="1"/>
  <c r="E45" i="29"/>
  <c r="F45" i="29" a="1"/>
  <c r="F45" i="29"/>
  <c r="G45" i="29" a="1"/>
  <c r="H45" i="29" a="1"/>
  <c r="I45" i="29" a="1"/>
  <c r="J45" i="29" a="1"/>
  <c r="K45" i="29" a="1"/>
  <c r="L45" i="29" a="1"/>
  <c r="M45" i="29" a="1"/>
  <c r="N45" i="29" a="1"/>
  <c r="O45" i="29" a="1"/>
  <c r="P45" i="29" a="1"/>
  <c r="Q45" i="29" a="1"/>
  <c r="R45" i="29" a="1"/>
  <c r="S45" i="29" a="1"/>
  <c r="T45" i="29" a="1"/>
  <c r="U45" i="29" a="1"/>
  <c r="V45" i="29" a="1"/>
  <c r="W45" i="29" a="1"/>
  <c r="X45" i="29" a="1"/>
  <c r="Y45" i="29" a="1"/>
  <c r="Z45" i="29" a="1"/>
  <c r="AA45" i="29" a="1"/>
  <c r="AB45" i="29" a="1"/>
  <c r="AC45" i="29" a="1"/>
  <c r="AD45" i="29" a="1"/>
  <c r="AE45" i="29" a="1"/>
  <c r="AF45" i="29" a="1"/>
  <c r="AG45" i="29" a="1"/>
  <c r="AH45" i="29" a="1"/>
  <c r="AI45" i="29" a="1"/>
  <c r="AJ45" i="29" a="1"/>
  <c r="AK45" i="29" a="1"/>
  <c r="AL45" i="29" a="1"/>
  <c r="AM45" i="29" a="1"/>
  <c r="AN45" i="29" a="1"/>
  <c r="AO45" i="29" a="1"/>
  <c r="AP45" i="29" a="1"/>
  <c r="AQ45" i="29" a="1"/>
  <c r="AR45" i="29" a="1"/>
  <c r="AS45" i="29" a="1"/>
  <c r="AT45" i="29" a="1"/>
  <c r="AU45" i="29" a="1"/>
  <c r="AV45" i="29" a="1"/>
  <c r="AW45" i="29" a="1"/>
  <c r="AX45" i="29" a="1"/>
  <c r="AY45" i="29" a="1"/>
  <c r="AZ45" i="29" a="1"/>
  <c r="BA45" i="29" a="1"/>
  <c r="BB45" i="29" a="1"/>
  <c r="BC45" i="29" a="1"/>
  <c r="BD45" i="29" a="1"/>
  <c r="BE45" i="29" a="1"/>
  <c r="BF45" i="29" a="1"/>
  <c r="BG45" i="29" a="1"/>
  <c r="BH45" i="29" a="1"/>
  <c r="BI45" i="29" a="1"/>
  <c r="BJ45" i="29" a="1"/>
  <c r="BK45" i="29" a="1"/>
  <c r="BL45" i="29" a="1"/>
  <c r="BM45" i="29" a="1"/>
  <c r="BN45" i="29" a="1"/>
  <c r="BO45" i="29" a="1"/>
  <c r="BP45" i="29" a="1"/>
  <c r="G45" i="29"/>
  <c r="H45" i="29"/>
  <c r="I45" i="29"/>
  <c r="J45" i="29"/>
  <c r="K45" i="29"/>
  <c r="L45" i="29"/>
  <c r="M45" i="29"/>
  <c r="N45" i="29"/>
  <c r="O45" i="29"/>
  <c r="P45" i="29"/>
  <c r="Q45" i="29"/>
  <c r="R45" i="29"/>
  <c r="S45" i="29"/>
  <c r="T45" i="29"/>
  <c r="U45" i="29"/>
  <c r="V45" i="29"/>
  <c r="W45" i="29"/>
  <c r="X45" i="29"/>
  <c r="Y45" i="29"/>
  <c r="Z45" i="29"/>
  <c r="AA45" i="29"/>
  <c r="AB45" i="29"/>
  <c r="AC45" i="29"/>
  <c r="AD45" i="29"/>
  <c r="AE45" i="29"/>
  <c r="AF45" i="29"/>
  <c r="AG45" i="29"/>
  <c r="AH45" i="29"/>
  <c r="AI45" i="29"/>
  <c r="AJ45" i="29"/>
  <c r="AK45" i="29"/>
  <c r="AL45" i="29"/>
  <c r="AM45" i="29"/>
  <c r="AN45" i="29"/>
  <c r="AO45" i="29"/>
  <c r="AP45" i="29"/>
  <c r="AQ45" i="29"/>
  <c r="AR45" i="29"/>
  <c r="AS45" i="29"/>
  <c r="AT45" i="29"/>
  <c r="AU45" i="29"/>
  <c r="AV45" i="29"/>
  <c r="AW45" i="29"/>
  <c r="AX45" i="29"/>
  <c r="AY45" i="29"/>
  <c r="AZ45" i="29"/>
  <c r="BA45" i="29"/>
  <c r="BB45" i="29"/>
  <c r="BC45" i="29"/>
  <c r="BD45" i="29"/>
  <c r="BE45" i="29"/>
  <c r="BF45" i="29"/>
  <c r="BG45" i="29"/>
  <c r="BH45" i="29"/>
  <c r="BI45" i="29"/>
  <c r="BJ45" i="29"/>
  <c r="BK45" i="29"/>
  <c r="BL45" i="29"/>
  <c r="BM45" i="29"/>
  <c r="BN45" i="29"/>
  <c r="BO45" i="29"/>
  <c r="BP45" i="29"/>
  <c r="AB21" i="29"/>
  <c r="W21" i="29"/>
  <c r="E35" i="29" a="1"/>
  <c r="E35" i="29"/>
  <c r="F35" i="29" a="1"/>
  <c r="F35" i="29"/>
  <c r="G35" i="29" a="1"/>
  <c r="H35" i="29" a="1"/>
  <c r="I35" i="29" a="1"/>
  <c r="J35" i="29" a="1"/>
  <c r="K35" i="29" a="1"/>
  <c r="L35" i="29" a="1"/>
  <c r="M35" i="29" a="1"/>
  <c r="N35" i="29" a="1"/>
  <c r="O35" i="29" a="1"/>
  <c r="P35" i="29" a="1"/>
  <c r="Q35" i="29" a="1"/>
  <c r="R35" i="29" a="1"/>
  <c r="S35" i="29" a="1"/>
  <c r="T35" i="29" a="1"/>
  <c r="U35" i="29" a="1"/>
  <c r="V35" i="29" a="1"/>
  <c r="W35" i="29" a="1"/>
  <c r="X35" i="29" a="1"/>
  <c r="Y35" i="29" a="1"/>
  <c r="Z35" i="29" a="1"/>
  <c r="AA35" i="29" a="1"/>
  <c r="AB35" i="29" a="1"/>
  <c r="AC35" i="29" a="1"/>
  <c r="AD35" i="29" a="1"/>
  <c r="AE35" i="29" a="1"/>
  <c r="AF35" i="29" a="1"/>
  <c r="AG35" i="29" a="1"/>
  <c r="AH35" i="29" a="1"/>
  <c r="AI35" i="29" a="1"/>
  <c r="AJ35" i="29" a="1"/>
  <c r="AK35" i="29" a="1"/>
  <c r="AL35" i="29" a="1"/>
  <c r="AM35" i="29" a="1"/>
  <c r="AN35" i="29" a="1"/>
  <c r="AO35" i="29" a="1"/>
  <c r="AP35" i="29" a="1"/>
  <c r="AQ35" i="29" a="1"/>
  <c r="AR35" i="29" a="1"/>
  <c r="AS35" i="29" a="1"/>
  <c r="AT35" i="29" a="1"/>
  <c r="AU35" i="29" a="1"/>
  <c r="AV35" i="29" a="1"/>
  <c r="AW35" i="29" a="1"/>
  <c r="AX35" i="29" a="1"/>
  <c r="AY35" i="29" a="1"/>
  <c r="AZ35" i="29" a="1"/>
  <c r="BA35" i="29" a="1"/>
  <c r="BB35" i="29" a="1"/>
  <c r="BC35" i="29" a="1"/>
  <c r="BD35" i="29" a="1"/>
  <c r="BE35" i="29" a="1"/>
  <c r="BF35" i="29" a="1"/>
  <c r="BG35" i="29" a="1"/>
  <c r="BH35" i="29" a="1"/>
  <c r="BI35" i="29" a="1"/>
  <c r="BJ35" i="29" a="1"/>
  <c r="BK35" i="29" a="1"/>
  <c r="BL35" i="29" a="1"/>
  <c r="BM35" i="29" a="1"/>
  <c r="BN35" i="29" a="1"/>
  <c r="BO35" i="29" a="1"/>
  <c r="BP35" i="29" a="1"/>
  <c r="G35" i="29"/>
  <c r="H35" i="29"/>
  <c r="I35" i="29"/>
  <c r="J35" i="29"/>
  <c r="K35" i="29"/>
  <c r="L35" i="29"/>
  <c r="M35" i="29"/>
  <c r="N35" i="29"/>
  <c r="O35" i="29"/>
  <c r="P35" i="29"/>
  <c r="Q35" i="29"/>
  <c r="R35" i="29"/>
  <c r="S35" i="29"/>
  <c r="T35" i="29"/>
  <c r="U35" i="29"/>
  <c r="V35" i="29"/>
  <c r="W35" i="29"/>
  <c r="X35" i="29"/>
  <c r="Y35" i="29"/>
  <c r="Z35" i="29"/>
  <c r="AA35" i="29"/>
  <c r="AB35" i="29"/>
  <c r="AC35" i="29"/>
  <c r="AD35" i="29"/>
  <c r="AE35" i="29"/>
  <c r="AF35" i="29"/>
  <c r="AG35" i="29"/>
  <c r="AH35" i="29"/>
  <c r="AI35" i="29"/>
  <c r="AJ35" i="29"/>
  <c r="AK35" i="29"/>
  <c r="AL35" i="29"/>
  <c r="AM35" i="29"/>
  <c r="AN35" i="29"/>
  <c r="AO35" i="29"/>
  <c r="AP35" i="29"/>
  <c r="AQ35" i="29"/>
  <c r="AR35" i="29"/>
  <c r="AS35" i="29"/>
  <c r="AT35" i="29"/>
  <c r="AU35" i="29"/>
  <c r="AV35" i="29"/>
  <c r="AW35" i="29"/>
  <c r="AX35" i="29"/>
  <c r="AY35" i="29"/>
  <c r="AZ35" i="29"/>
  <c r="BA35" i="29"/>
  <c r="BB35" i="29"/>
  <c r="BC35" i="29"/>
  <c r="BD35" i="29"/>
  <c r="BE35" i="29"/>
  <c r="BF35" i="29"/>
  <c r="BG35" i="29"/>
  <c r="BH35" i="29"/>
  <c r="BI35" i="29"/>
  <c r="BJ35" i="29"/>
  <c r="BK35" i="29"/>
  <c r="BL35" i="29"/>
  <c r="BM35" i="29"/>
  <c r="BN35" i="29"/>
  <c r="BO35" i="29"/>
  <c r="BP35" i="29"/>
  <c r="AA22" i="29"/>
  <c r="E46" i="29" a="1"/>
  <c r="E46" i="29"/>
  <c r="F46" i="29" a="1"/>
  <c r="F46" i="29"/>
  <c r="G46" i="29" a="1"/>
  <c r="H46" i="29" a="1"/>
  <c r="I46" i="29" a="1"/>
  <c r="J46" i="29" a="1"/>
  <c r="K46" i="29" a="1"/>
  <c r="L46" i="29" a="1"/>
  <c r="M46" i="29" a="1"/>
  <c r="N46" i="29" a="1"/>
  <c r="O46" i="29" a="1"/>
  <c r="P46" i="29" a="1"/>
  <c r="Q46" i="29" a="1"/>
  <c r="R46" i="29" a="1"/>
  <c r="S46" i="29" a="1"/>
  <c r="T46" i="29" a="1"/>
  <c r="U46" i="29" a="1"/>
  <c r="V46" i="29" a="1"/>
  <c r="W46" i="29" a="1"/>
  <c r="X46" i="29" a="1"/>
  <c r="Y46" i="29" a="1"/>
  <c r="Z46" i="29" a="1"/>
  <c r="AA46" i="29" a="1"/>
  <c r="AB46" i="29" a="1"/>
  <c r="AC46" i="29" a="1"/>
  <c r="AD46" i="29" a="1"/>
  <c r="AE46" i="29" a="1"/>
  <c r="AF46" i="29" a="1"/>
  <c r="AG46" i="29" a="1"/>
  <c r="AH46" i="29" a="1"/>
  <c r="AI46" i="29" a="1"/>
  <c r="AJ46" i="29" a="1"/>
  <c r="AK46" i="29" a="1"/>
  <c r="AL46" i="29" a="1"/>
  <c r="AM46" i="29" a="1"/>
  <c r="AN46" i="29" a="1"/>
  <c r="AO46" i="29" a="1"/>
  <c r="AP46" i="29" a="1"/>
  <c r="AQ46" i="29" a="1"/>
  <c r="AR46" i="29" a="1"/>
  <c r="AS46" i="29" a="1"/>
  <c r="AT46" i="29" a="1"/>
  <c r="AU46" i="29" a="1"/>
  <c r="AV46" i="29" a="1"/>
  <c r="AW46" i="29" a="1"/>
  <c r="AX46" i="29" a="1"/>
  <c r="AY46" i="29" a="1"/>
  <c r="AZ46" i="29" a="1"/>
  <c r="BA46" i="29" a="1"/>
  <c r="BB46" i="29" a="1"/>
  <c r="BC46" i="29" a="1"/>
  <c r="BD46" i="29" a="1"/>
  <c r="BE46" i="29" a="1"/>
  <c r="BF46" i="29" a="1"/>
  <c r="BG46" i="29" a="1"/>
  <c r="BH46" i="29" a="1"/>
  <c r="BI46" i="29" a="1"/>
  <c r="BJ46" i="29" a="1"/>
  <c r="BK46" i="29" a="1"/>
  <c r="BL46" i="29" a="1"/>
  <c r="BM46" i="29" a="1"/>
  <c r="BN46" i="29" a="1"/>
  <c r="BO46" i="29" a="1"/>
  <c r="BP46" i="29" a="1"/>
  <c r="G46" i="29"/>
  <c r="H46" i="29"/>
  <c r="I46" i="29"/>
  <c r="J46" i="29"/>
  <c r="K46" i="29"/>
  <c r="L46" i="29"/>
  <c r="M46" i="29"/>
  <c r="N46" i="29"/>
  <c r="O46" i="29"/>
  <c r="P46" i="29"/>
  <c r="Q46" i="29"/>
  <c r="R46" i="29"/>
  <c r="S46" i="29"/>
  <c r="T46" i="29"/>
  <c r="U46" i="29"/>
  <c r="V46" i="29"/>
  <c r="W46" i="29"/>
  <c r="X46" i="29"/>
  <c r="Y46" i="29"/>
  <c r="Z46" i="29"/>
  <c r="AA46" i="29"/>
  <c r="AB46" i="29"/>
  <c r="AC46" i="29"/>
  <c r="AD46" i="29"/>
  <c r="AE46" i="29"/>
  <c r="AF46" i="29"/>
  <c r="AG46" i="29"/>
  <c r="AH46" i="29"/>
  <c r="AI46" i="29"/>
  <c r="AJ46" i="29"/>
  <c r="AK46" i="29"/>
  <c r="AL46" i="29"/>
  <c r="AM46" i="29"/>
  <c r="AN46" i="29"/>
  <c r="AO46" i="29"/>
  <c r="AP46" i="29"/>
  <c r="AQ46" i="29"/>
  <c r="AR46" i="29"/>
  <c r="AS46" i="29"/>
  <c r="AT46" i="29"/>
  <c r="AU46" i="29"/>
  <c r="AV46" i="29"/>
  <c r="AW46" i="29"/>
  <c r="AX46" i="29"/>
  <c r="AY46" i="29"/>
  <c r="AZ46" i="29"/>
  <c r="BA46" i="29"/>
  <c r="BB46" i="29"/>
  <c r="BC46" i="29"/>
  <c r="BD46" i="29"/>
  <c r="BE46" i="29"/>
  <c r="BF46" i="29"/>
  <c r="BG46" i="29"/>
  <c r="BH46" i="29"/>
  <c r="BI46" i="29"/>
  <c r="BJ46" i="29"/>
  <c r="BK46" i="29"/>
  <c r="BL46" i="29"/>
  <c r="BM46" i="29"/>
  <c r="BN46" i="29"/>
  <c r="BO46" i="29"/>
  <c r="BP46" i="29"/>
  <c r="AB22" i="29"/>
  <c r="W22" i="29"/>
  <c r="E36" i="29" a="1"/>
  <c r="E36" i="29"/>
  <c r="F36" i="29" a="1"/>
  <c r="F36" i="29"/>
  <c r="G36" i="29" a="1"/>
  <c r="H36" i="29" a="1"/>
  <c r="I36" i="29" a="1"/>
  <c r="J36" i="29" a="1"/>
  <c r="K36" i="29" a="1"/>
  <c r="L36" i="29" a="1"/>
  <c r="M36" i="29" a="1"/>
  <c r="N36" i="29" a="1"/>
  <c r="O36" i="29" a="1"/>
  <c r="P36" i="29" a="1"/>
  <c r="Q36" i="29" a="1"/>
  <c r="R36" i="29" a="1"/>
  <c r="S36" i="29" a="1"/>
  <c r="T36" i="29" a="1"/>
  <c r="U36" i="29" a="1"/>
  <c r="V36" i="29" a="1"/>
  <c r="W36" i="29" a="1"/>
  <c r="X36" i="29" a="1"/>
  <c r="Y36" i="29" a="1"/>
  <c r="Z36" i="29" a="1"/>
  <c r="AA36" i="29" a="1"/>
  <c r="AB36" i="29" a="1"/>
  <c r="AC36" i="29" a="1"/>
  <c r="AD36" i="29" a="1"/>
  <c r="AE36" i="29" a="1"/>
  <c r="AF36" i="29" a="1"/>
  <c r="AG36" i="29" a="1"/>
  <c r="AH36" i="29" a="1"/>
  <c r="AI36" i="29" a="1"/>
  <c r="AJ36" i="29" a="1"/>
  <c r="AK36" i="29" a="1"/>
  <c r="AL36" i="29" a="1"/>
  <c r="AM36" i="29" a="1"/>
  <c r="AN36" i="29" a="1"/>
  <c r="AO36" i="29" a="1"/>
  <c r="AP36" i="29" a="1"/>
  <c r="AQ36" i="29" a="1"/>
  <c r="AR36" i="29" a="1"/>
  <c r="AS36" i="29" a="1"/>
  <c r="AT36" i="29" a="1"/>
  <c r="AU36" i="29" a="1"/>
  <c r="AV36" i="29" a="1"/>
  <c r="AW36" i="29" a="1"/>
  <c r="AX36" i="29" a="1"/>
  <c r="AY36" i="29" a="1"/>
  <c r="AZ36" i="29" a="1"/>
  <c r="BA36" i="29" a="1"/>
  <c r="BB36" i="29" a="1"/>
  <c r="BC36" i="29" a="1"/>
  <c r="BD36" i="29" a="1"/>
  <c r="BE36" i="29" a="1"/>
  <c r="BF36" i="29" a="1"/>
  <c r="BG36" i="29" a="1"/>
  <c r="BH36" i="29" a="1"/>
  <c r="BI36" i="29" a="1"/>
  <c r="BJ36" i="29" a="1"/>
  <c r="BK36" i="29" a="1"/>
  <c r="BL36" i="29" a="1"/>
  <c r="BM36" i="29" a="1"/>
  <c r="BN36" i="29" a="1"/>
  <c r="BO36" i="29" a="1"/>
  <c r="BP36" i="29" a="1"/>
  <c r="G36" i="29"/>
  <c r="H36" i="29"/>
  <c r="I36" i="29"/>
  <c r="J36" i="29"/>
  <c r="K36" i="29"/>
  <c r="L36" i="29"/>
  <c r="M36" i="29"/>
  <c r="N36" i="29"/>
  <c r="O36" i="29"/>
  <c r="P36" i="29"/>
  <c r="Q36" i="29"/>
  <c r="R36" i="29"/>
  <c r="S36" i="29"/>
  <c r="T36" i="29"/>
  <c r="U36" i="29"/>
  <c r="V36" i="29"/>
  <c r="W36" i="29"/>
  <c r="X36" i="29"/>
  <c r="Y36" i="29"/>
  <c r="Z36" i="29"/>
  <c r="AA36" i="29"/>
  <c r="AB36" i="29"/>
  <c r="AC36" i="29"/>
  <c r="AD36" i="29"/>
  <c r="AE36" i="29"/>
  <c r="AF36" i="29"/>
  <c r="AG36" i="29"/>
  <c r="AH36" i="29"/>
  <c r="AI36" i="29"/>
  <c r="AJ36" i="29"/>
  <c r="AK36" i="29"/>
  <c r="AL36" i="29"/>
  <c r="AM36" i="29"/>
  <c r="AN36" i="29"/>
  <c r="AO36" i="29"/>
  <c r="AP36" i="29"/>
  <c r="AQ36" i="29"/>
  <c r="AR36" i="29"/>
  <c r="AS36" i="29"/>
  <c r="AT36" i="29"/>
  <c r="AU36" i="29"/>
  <c r="AV36" i="29"/>
  <c r="AW36" i="29"/>
  <c r="AX36" i="29"/>
  <c r="AY36" i="29"/>
  <c r="AZ36" i="29"/>
  <c r="BA36" i="29"/>
  <c r="BB36" i="29"/>
  <c r="BC36" i="29"/>
  <c r="BD36" i="29"/>
  <c r="BE36" i="29"/>
  <c r="BF36" i="29"/>
  <c r="BG36" i="29"/>
  <c r="BH36" i="29"/>
  <c r="BI36" i="29"/>
  <c r="BJ36" i="29"/>
  <c r="BK36" i="29"/>
  <c r="BL36" i="29"/>
  <c r="BM36" i="29"/>
  <c r="BN36" i="29"/>
  <c r="BO36" i="29"/>
  <c r="BP36" i="29"/>
  <c r="AA23" i="29"/>
  <c r="E47" i="29" a="1"/>
  <c r="E47" i="29"/>
  <c r="F47" i="29" a="1"/>
  <c r="F47" i="29"/>
  <c r="G47" i="29" a="1"/>
  <c r="H47" i="29" a="1"/>
  <c r="I47" i="29" a="1"/>
  <c r="J47" i="29" a="1"/>
  <c r="K47" i="29" a="1"/>
  <c r="L47" i="29" a="1"/>
  <c r="M47" i="29" a="1"/>
  <c r="N47" i="29" a="1"/>
  <c r="O47" i="29" a="1"/>
  <c r="P47" i="29" a="1"/>
  <c r="Q47" i="29" a="1"/>
  <c r="R47" i="29" a="1"/>
  <c r="S47" i="29" a="1"/>
  <c r="T47" i="29" a="1"/>
  <c r="U47" i="29" a="1"/>
  <c r="V47" i="29" a="1"/>
  <c r="W47" i="29" a="1"/>
  <c r="X47" i="29" a="1"/>
  <c r="Y47" i="29" a="1"/>
  <c r="Z47" i="29" a="1"/>
  <c r="AA47" i="29" a="1"/>
  <c r="AB47" i="29" a="1"/>
  <c r="AC47" i="29" a="1"/>
  <c r="AD47" i="29" a="1"/>
  <c r="AE47" i="29" a="1"/>
  <c r="AF47" i="29" a="1"/>
  <c r="AG47" i="29" a="1"/>
  <c r="AH47" i="29" a="1"/>
  <c r="AI47" i="29" a="1"/>
  <c r="AJ47" i="29" a="1"/>
  <c r="AK47" i="29" a="1"/>
  <c r="AL47" i="29" a="1"/>
  <c r="AM47" i="29" a="1"/>
  <c r="AN47" i="29" a="1"/>
  <c r="AO47" i="29" a="1"/>
  <c r="AP47" i="29" a="1"/>
  <c r="AQ47" i="29" a="1"/>
  <c r="AR47" i="29" a="1"/>
  <c r="AS47" i="29" a="1"/>
  <c r="AT47" i="29" a="1"/>
  <c r="AU47" i="29" a="1"/>
  <c r="AV47" i="29" a="1"/>
  <c r="AW47" i="29" a="1"/>
  <c r="AX47" i="29" a="1"/>
  <c r="AY47" i="29" a="1"/>
  <c r="AZ47" i="29" a="1"/>
  <c r="BA47" i="29" a="1"/>
  <c r="BB47" i="29" a="1"/>
  <c r="BC47" i="29" a="1"/>
  <c r="BD47" i="29" a="1"/>
  <c r="BE47" i="29" a="1"/>
  <c r="BF47" i="29" a="1"/>
  <c r="BG47" i="29" a="1"/>
  <c r="BH47" i="29" a="1"/>
  <c r="BI47" i="29" a="1"/>
  <c r="BJ47" i="29" a="1"/>
  <c r="BK47" i="29" a="1"/>
  <c r="BL47" i="29" a="1"/>
  <c r="BM47" i="29" a="1"/>
  <c r="BN47" i="29" a="1"/>
  <c r="BO47" i="29" a="1"/>
  <c r="BP47" i="29" a="1"/>
  <c r="G47" i="29"/>
  <c r="H47" i="29"/>
  <c r="I47" i="29"/>
  <c r="J47" i="29"/>
  <c r="K47" i="29"/>
  <c r="L47" i="29"/>
  <c r="M47" i="29"/>
  <c r="N47" i="29"/>
  <c r="O47" i="29"/>
  <c r="P47" i="29"/>
  <c r="Q47" i="29"/>
  <c r="R47" i="29"/>
  <c r="S47" i="29"/>
  <c r="T47" i="29"/>
  <c r="U47" i="29"/>
  <c r="V47" i="29"/>
  <c r="W47" i="29"/>
  <c r="X47" i="29"/>
  <c r="Y47" i="29"/>
  <c r="Z47" i="29"/>
  <c r="AA47" i="29"/>
  <c r="AB47" i="29"/>
  <c r="AC47" i="29"/>
  <c r="AD47" i="29"/>
  <c r="AE47" i="29"/>
  <c r="AF47" i="29"/>
  <c r="AG47" i="29"/>
  <c r="AH47" i="29"/>
  <c r="AI47" i="29"/>
  <c r="AJ47" i="29"/>
  <c r="AK47" i="29"/>
  <c r="AL47" i="29"/>
  <c r="AM47" i="29"/>
  <c r="AN47" i="29"/>
  <c r="AO47" i="29"/>
  <c r="AP47" i="29"/>
  <c r="AQ47" i="29"/>
  <c r="AR47" i="29"/>
  <c r="AS47" i="29"/>
  <c r="AT47" i="29"/>
  <c r="AU47" i="29"/>
  <c r="AV47" i="29"/>
  <c r="AW47" i="29"/>
  <c r="AX47" i="29"/>
  <c r="AY47" i="29"/>
  <c r="AZ47" i="29"/>
  <c r="BA47" i="29"/>
  <c r="BB47" i="29"/>
  <c r="BC47" i="29"/>
  <c r="BD47" i="29"/>
  <c r="BE47" i="29"/>
  <c r="BF47" i="29"/>
  <c r="BG47" i="29"/>
  <c r="BH47" i="29"/>
  <c r="BI47" i="29"/>
  <c r="BJ47" i="29"/>
  <c r="BK47" i="29"/>
  <c r="BL47" i="29"/>
  <c r="BM47" i="29"/>
  <c r="BN47" i="29"/>
  <c r="BO47" i="29"/>
  <c r="BP47" i="29"/>
  <c r="AB23" i="29"/>
  <c r="W23" i="29"/>
  <c r="E37" i="29" a="1"/>
  <c r="E37" i="29"/>
  <c r="F37" i="29" a="1"/>
  <c r="F37" i="29"/>
  <c r="G37" i="29" a="1"/>
  <c r="H37" i="29" a="1"/>
  <c r="I37" i="29" a="1"/>
  <c r="J37" i="29" a="1"/>
  <c r="K37" i="29" a="1"/>
  <c r="L37" i="29" a="1"/>
  <c r="M37" i="29" a="1"/>
  <c r="N37" i="29" a="1"/>
  <c r="O37" i="29" a="1"/>
  <c r="P37" i="29" a="1"/>
  <c r="Q37" i="29" a="1"/>
  <c r="R37" i="29" a="1"/>
  <c r="S37" i="29" a="1"/>
  <c r="T37" i="29" a="1"/>
  <c r="U37" i="29" a="1"/>
  <c r="V37" i="29" a="1"/>
  <c r="W37" i="29" a="1"/>
  <c r="X37" i="29" a="1"/>
  <c r="Y37" i="29" a="1"/>
  <c r="Z37" i="29" a="1"/>
  <c r="AA37" i="29" a="1"/>
  <c r="AB37" i="29" a="1"/>
  <c r="AC37" i="29" a="1"/>
  <c r="AD37" i="29" a="1"/>
  <c r="AE37" i="29" a="1"/>
  <c r="AF37" i="29" a="1"/>
  <c r="AG37" i="29" a="1"/>
  <c r="AH37" i="29" a="1"/>
  <c r="AI37" i="29" a="1"/>
  <c r="AJ37" i="29" a="1"/>
  <c r="AK37" i="29" a="1"/>
  <c r="AL37" i="29" a="1"/>
  <c r="AM37" i="29" a="1"/>
  <c r="AN37" i="29" a="1"/>
  <c r="AO37" i="29" a="1"/>
  <c r="AP37" i="29" a="1"/>
  <c r="AQ37" i="29" a="1"/>
  <c r="AR37" i="29" a="1"/>
  <c r="AS37" i="29" a="1"/>
  <c r="AT37" i="29" a="1"/>
  <c r="AU37" i="29" a="1"/>
  <c r="AV37" i="29" a="1"/>
  <c r="AW37" i="29" a="1"/>
  <c r="AX37" i="29" a="1"/>
  <c r="AY37" i="29" a="1"/>
  <c r="AZ37" i="29" a="1"/>
  <c r="BA37" i="29" a="1"/>
  <c r="BB37" i="29" a="1"/>
  <c r="BC37" i="29" a="1"/>
  <c r="BD37" i="29" a="1"/>
  <c r="BE37" i="29" a="1"/>
  <c r="BF37" i="29" a="1"/>
  <c r="BG37" i="29" a="1"/>
  <c r="BH37" i="29" a="1"/>
  <c r="BI37" i="29" a="1"/>
  <c r="BJ37" i="29" a="1"/>
  <c r="BK37" i="29" a="1"/>
  <c r="BL37" i="29" a="1"/>
  <c r="BM37" i="29" a="1"/>
  <c r="BN37" i="29" a="1"/>
  <c r="BO37" i="29" a="1"/>
  <c r="BP37" i="29" a="1"/>
  <c r="G37" i="29"/>
  <c r="H37" i="29"/>
  <c r="I37" i="29"/>
  <c r="J37" i="29"/>
  <c r="K37" i="29"/>
  <c r="L37" i="29"/>
  <c r="M37" i="29"/>
  <c r="N37" i="29"/>
  <c r="O37" i="29"/>
  <c r="P37" i="29"/>
  <c r="Q37" i="29"/>
  <c r="R37" i="29"/>
  <c r="S37" i="29"/>
  <c r="T37" i="29"/>
  <c r="U37" i="29"/>
  <c r="V37" i="29"/>
  <c r="W37" i="29"/>
  <c r="X37" i="29"/>
  <c r="Y37" i="29"/>
  <c r="Z37" i="29"/>
  <c r="AA37" i="29"/>
  <c r="AB37" i="29"/>
  <c r="AC37" i="29"/>
  <c r="AD37" i="29"/>
  <c r="AE37" i="29"/>
  <c r="AF37" i="29"/>
  <c r="AG37" i="29"/>
  <c r="AH37" i="29"/>
  <c r="AI37" i="29"/>
  <c r="AJ37" i="29"/>
  <c r="AK37" i="29"/>
  <c r="AL37" i="29"/>
  <c r="AM37" i="29"/>
  <c r="AN37" i="29"/>
  <c r="AO37" i="29"/>
  <c r="AP37" i="29"/>
  <c r="AQ37" i="29"/>
  <c r="AR37" i="29"/>
  <c r="AS37" i="29"/>
  <c r="AT37" i="29"/>
  <c r="AU37" i="29"/>
  <c r="AV37" i="29"/>
  <c r="AW37" i="29"/>
  <c r="AX37" i="29"/>
  <c r="AY37" i="29"/>
  <c r="AZ37" i="29"/>
  <c r="BA37" i="29"/>
  <c r="BB37" i="29"/>
  <c r="BC37" i="29"/>
  <c r="BD37" i="29"/>
  <c r="BE37" i="29"/>
  <c r="BF37" i="29"/>
  <c r="BG37" i="29"/>
  <c r="BH37" i="29"/>
  <c r="BI37" i="29"/>
  <c r="BJ37" i="29"/>
  <c r="BK37" i="29"/>
  <c r="BL37" i="29"/>
  <c r="BM37" i="29"/>
  <c r="BN37" i="29"/>
  <c r="BO37" i="29"/>
  <c r="BP37" i="29"/>
  <c r="AA24" i="29"/>
  <c r="E48" i="29" a="1"/>
  <c r="E48" i="29"/>
  <c r="F48" i="29" a="1"/>
  <c r="F48" i="29"/>
  <c r="G48" i="29" a="1"/>
  <c r="H48" i="29" a="1"/>
  <c r="I48" i="29" a="1"/>
  <c r="J48" i="29" a="1"/>
  <c r="K48" i="29" a="1"/>
  <c r="L48" i="29" a="1"/>
  <c r="M48" i="29" a="1"/>
  <c r="N48" i="29" a="1"/>
  <c r="O48" i="29" a="1"/>
  <c r="P48" i="29" a="1"/>
  <c r="Q48" i="29" a="1"/>
  <c r="R48" i="29" a="1"/>
  <c r="S48" i="29" a="1"/>
  <c r="T48" i="29" a="1"/>
  <c r="U48" i="29" a="1"/>
  <c r="V48" i="29" a="1"/>
  <c r="W48" i="29" a="1"/>
  <c r="X48" i="29" a="1"/>
  <c r="Y48" i="29" a="1"/>
  <c r="Z48" i="29" a="1"/>
  <c r="AA48" i="29" a="1"/>
  <c r="AB48" i="29" a="1"/>
  <c r="AC48" i="29" a="1"/>
  <c r="AD48" i="29" a="1"/>
  <c r="AE48" i="29" a="1"/>
  <c r="AF48" i="29" a="1"/>
  <c r="AG48" i="29" a="1"/>
  <c r="AH48" i="29" a="1"/>
  <c r="AI48" i="29" a="1"/>
  <c r="AJ48" i="29" a="1"/>
  <c r="AK48" i="29" a="1"/>
  <c r="AL48" i="29" a="1"/>
  <c r="AM48" i="29" a="1"/>
  <c r="AN48" i="29" a="1"/>
  <c r="AO48" i="29" a="1"/>
  <c r="AP48" i="29" a="1"/>
  <c r="AQ48" i="29" a="1"/>
  <c r="AR48" i="29" a="1"/>
  <c r="AS48" i="29" a="1"/>
  <c r="AT48" i="29" a="1"/>
  <c r="AU48" i="29" a="1"/>
  <c r="AV48" i="29" a="1"/>
  <c r="AW48" i="29" a="1"/>
  <c r="AX48" i="29" a="1"/>
  <c r="AY48" i="29" a="1"/>
  <c r="AZ48" i="29" a="1"/>
  <c r="BA48" i="29" a="1"/>
  <c r="BB48" i="29" a="1"/>
  <c r="BC48" i="29" a="1"/>
  <c r="BD48" i="29" a="1"/>
  <c r="BE48" i="29" a="1"/>
  <c r="BF48" i="29" a="1"/>
  <c r="BG48" i="29" a="1"/>
  <c r="BH48" i="29" a="1"/>
  <c r="BI48" i="29" a="1"/>
  <c r="BJ48" i="29" a="1"/>
  <c r="BK48" i="29" a="1"/>
  <c r="BL48" i="29" a="1"/>
  <c r="BM48" i="29" a="1"/>
  <c r="BN48" i="29" a="1"/>
  <c r="BO48" i="29" a="1"/>
  <c r="BP48" i="29" a="1"/>
  <c r="G48" i="29"/>
  <c r="H48" i="29"/>
  <c r="I48" i="29"/>
  <c r="J48" i="29"/>
  <c r="K48" i="29"/>
  <c r="L48" i="29"/>
  <c r="M48" i="29"/>
  <c r="N48" i="29"/>
  <c r="O48" i="29"/>
  <c r="P48" i="29"/>
  <c r="Q48" i="29"/>
  <c r="R48" i="29"/>
  <c r="S48" i="29"/>
  <c r="T48" i="29"/>
  <c r="U48" i="29"/>
  <c r="V48" i="29"/>
  <c r="W48" i="29"/>
  <c r="X48" i="29"/>
  <c r="Y48" i="29"/>
  <c r="Z48" i="29"/>
  <c r="AA48" i="29"/>
  <c r="AB48" i="29"/>
  <c r="AC48" i="29"/>
  <c r="AD48" i="29"/>
  <c r="AE48" i="29"/>
  <c r="AF48" i="29"/>
  <c r="AG48" i="29"/>
  <c r="AH48" i="29"/>
  <c r="AI48" i="29"/>
  <c r="AJ48" i="29"/>
  <c r="AK48" i="29"/>
  <c r="AL48" i="29"/>
  <c r="AM48" i="29"/>
  <c r="AN48" i="29"/>
  <c r="AO48" i="29"/>
  <c r="AP48" i="29"/>
  <c r="AQ48" i="29"/>
  <c r="AR48" i="29"/>
  <c r="AS48" i="29"/>
  <c r="AT48" i="29"/>
  <c r="AU48" i="29"/>
  <c r="AV48" i="29"/>
  <c r="AW48" i="29"/>
  <c r="AX48" i="29"/>
  <c r="AY48" i="29"/>
  <c r="AZ48" i="29"/>
  <c r="BA48" i="29"/>
  <c r="BB48" i="29"/>
  <c r="BC48" i="29"/>
  <c r="BD48" i="29"/>
  <c r="BE48" i="29"/>
  <c r="BF48" i="29"/>
  <c r="BG48" i="29"/>
  <c r="BH48" i="29"/>
  <c r="BI48" i="29"/>
  <c r="BJ48" i="29"/>
  <c r="BK48" i="29"/>
  <c r="BL48" i="29"/>
  <c r="BM48" i="29"/>
  <c r="BN48" i="29"/>
  <c r="BO48" i="29"/>
  <c r="BP48" i="29"/>
  <c r="AB24" i="29"/>
  <c r="W24" i="29"/>
  <c r="E38" i="29" a="1"/>
  <c r="E38" i="29"/>
  <c r="F38" i="29" a="1"/>
  <c r="F38" i="29"/>
  <c r="G38" i="29" a="1"/>
  <c r="H38" i="29" a="1"/>
  <c r="I38" i="29" a="1"/>
  <c r="J38" i="29" a="1"/>
  <c r="K38" i="29" a="1"/>
  <c r="L38" i="29" a="1"/>
  <c r="M38" i="29" a="1"/>
  <c r="N38" i="29" a="1"/>
  <c r="O38" i="29" a="1"/>
  <c r="P38" i="29" a="1"/>
  <c r="Q38" i="29" a="1"/>
  <c r="R38" i="29" a="1"/>
  <c r="S38" i="29" a="1"/>
  <c r="T38" i="29" a="1"/>
  <c r="U38" i="29" a="1"/>
  <c r="V38" i="29" a="1"/>
  <c r="W38" i="29" a="1"/>
  <c r="X38" i="29" a="1"/>
  <c r="Y38" i="29" a="1"/>
  <c r="Z38" i="29" a="1"/>
  <c r="AA38" i="29" a="1"/>
  <c r="AB38" i="29" a="1"/>
  <c r="AC38" i="29" a="1"/>
  <c r="AD38" i="29" a="1"/>
  <c r="AE38" i="29" a="1"/>
  <c r="AF38" i="29" a="1"/>
  <c r="AG38" i="29" a="1"/>
  <c r="AH38" i="29" a="1"/>
  <c r="AI38" i="29" a="1"/>
  <c r="AJ38" i="29" a="1"/>
  <c r="AK38" i="29" a="1"/>
  <c r="AL38" i="29" a="1"/>
  <c r="AM38" i="29" a="1"/>
  <c r="AN38" i="29" a="1"/>
  <c r="AO38" i="29" a="1"/>
  <c r="AP38" i="29" a="1"/>
  <c r="AQ38" i="29" a="1"/>
  <c r="AR38" i="29" a="1"/>
  <c r="AS38" i="29" a="1"/>
  <c r="AT38" i="29" a="1"/>
  <c r="AU38" i="29" a="1"/>
  <c r="AV38" i="29" a="1"/>
  <c r="AW38" i="29" a="1"/>
  <c r="AX38" i="29" a="1"/>
  <c r="AY38" i="29" a="1"/>
  <c r="AZ38" i="29" a="1"/>
  <c r="BA38" i="29" a="1"/>
  <c r="BB38" i="29" a="1"/>
  <c r="BC38" i="29" a="1"/>
  <c r="BD38" i="29" a="1"/>
  <c r="BE38" i="29" a="1"/>
  <c r="BF38" i="29" a="1"/>
  <c r="BG38" i="29" a="1"/>
  <c r="BH38" i="29" a="1"/>
  <c r="BI38" i="29" a="1"/>
  <c r="BJ38" i="29" a="1"/>
  <c r="BK38" i="29" a="1"/>
  <c r="BL38" i="29" a="1"/>
  <c r="BM38" i="29" a="1"/>
  <c r="BN38" i="29" a="1"/>
  <c r="BO38" i="29" a="1"/>
  <c r="BP38" i="29" a="1"/>
  <c r="G38" i="29"/>
  <c r="H38" i="29"/>
  <c r="I38" i="29"/>
  <c r="J38" i="29"/>
  <c r="K38" i="29"/>
  <c r="L38" i="29"/>
  <c r="M38" i="29"/>
  <c r="N38" i="29"/>
  <c r="O38" i="29"/>
  <c r="P38" i="29"/>
  <c r="Q38" i="29"/>
  <c r="R38" i="29"/>
  <c r="S38" i="29"/>
  <c r="T38" i="29"/>
  <c r="U38" i="29"/>
  <c r="V38" i="29"/>
  <c r="W38" i="29"/>
  <c r="X38" i="29"/>
  <c r="Y38" i="29"/>
  <c r="Z38" i="29"/>
  <c r="AA38" i="29"/>
  <c r="AB38" i="29"/>
  <c r="AC38" i="29"/>
  <c r="AD38" i="29"/>
  <c r="AE38" i="29"/>
  <c r="AF38" i="29"/>
  <c r="AG38" i="29"/>
  <c r="AH38" i="29"/>
  <c r="AI38" i="29"/>
  <c r="AJ38" i="29"/>
  <c r="AK38" i="29"/>
  <c r="AL38" i="29"/>
  <c r="AM38" i="29"/>
  <c r="AN38" i="29"/>
  <c r="AO38" i="29"/>
  <c r="AP38" i="29"/>
  <c r="AQ38" i="29"/>
  <c r="AR38" i="29"/>
  <c r="AS38" i="29"/>
  <c r="AT38" i="29"/>
  <c r="AU38" i="29"/>
  <c r="AV38" i="29"/>
  <c r="AW38" i="29"/>
  <c r="AX38" i="29"/>
  <c r="AY38" i="29"/>
  <c r="AZ38" i="29"/>
  <c r="BA38" i="29"/>
  <c r="BB38" i="29"/>
  <c r="BC38" i="29"/>
  <c r="BD38" i="29"/>
  <c r="BE38" i="29"/>
  <c r="BF38" i="29"/>
  <c r="BG38" i="29"/>
  <c r="BH38" i="29"/>
  <c r="BI38" i="29"/>
  <c r="BJ38" i="29"/>
  <c r="BK38" i="29"/>
  <c r="BL38" i="29"/>
  <c r="BM38" i="29"/>
  <c r="BN38" i="29"/>
  <c r="BO38" i="29"/>
  <c r="BP38" i="29"/>
  <c r="AA25" i="29"/>
  <c r="E49" i="29" a="1"/>
  <c r="E49" i="29"/>
  <c r="F49" i="29" a="1"/>
  <c r="F49" i="29"/>
  <c r="G49" i="29" a="1"/>
  <c r="H49" i="29" a="1"/>
  <c r="I49" i="29" a="1"/>
  <c r="J49" i="29" a="1"/>
  <c r="K49" i="29" a="1"/>
  <c r="L49" i="29" a="1"/>
  <c r="M49" i="29" a="1"/>
  <c r="N49" i="29" a="1"/>
  <c r="O49" i="29" a="1"/>
  <c r="P49" i="29" a="1"/>
  <c r="Q49" i="29" a="1"/>
  <c r="R49" i="29" a="1"/>
  <c r="S49" i="29" a="1"/>
  <c r="T49" i="29" a="1"/>
  <c r="U49" i="29" a="1"/>
  <c r="V49" i="29" a="1"/>
  <c r="W49" i="29" a="1"/>
  <c r="X49" i="29" a="1"/>
  <c r="Y49" i="29" a="1"/>
  <c r="Z49" i="29" a="1"/>
  <c r="AA49" i="29" a="1"/>
  <c r="AB49" i="29" a="1"/>
  <c r="AC49" i="29" a="1"/>
  <c r="AD49" i="29" a="1"/>
  <c r="AE49" i="29" a="1"/>
  <c r="AF49" i="29" a="1"/>
  <c r="AG49" i="29" a="1"/>
  <c r="AH49" i="29" a="1"/>
  <c r="AI49" i="29" a="1"/>
  <c r="AJ49" i="29" a="1"/>
  <c r="AK49" i="29" a="1"/>
  <c r="AL49" i="29" a="1"/>
  <c r="AM49" i="29" a="1"/>
  <c r="AN49" i="29" a="1"/>
  <c r="AO49" i="29" a="1"/>
  <c r="AP49" i="29" a="1"/>
  <c r="AQ49" i="29" a="1"/>
  <c r="AR49" i="29" a="1"/>
  <c r="AS49" i="29" a="1"/>
  <c r="AT49" i="29" a="1"/>
  <c r="AU49" i="29" a="1"/>
  <c r="AV49" i="29" a="1"/>
  <c r="AW49" i="29" a="1"/>
  <c r="AX49" i="29" a="1"/>
  <c r="AY49" i="29" a="1"/>
  <c r="AZ49" i="29" a="1"/>
  <c r="BA49" i="29" a="1"/>
  <c r="BB49" i="29" a="1"/>
  <c r="BC49" i="29" a="1"/>
  <c r="BD49" i="29" a="1"/>
  <c r="BE49" i="29" a="1"/>
  <c r="BF49" i="29" a="1"/>
  <c r="BG49" i="29" a="1"/>
  <c r="BH49" i="29" a="1"/>
  <c r="BI49" i="29" a="1"/>
  <c r="BJ49" i="29" a="1"/>
  <c r="BK49" i="29" a="1"/>
  <c r="BL49" i="29" a="1"/>
  <c r="BM49" i="29" a="1"/>
  <c r="BN49" i="29" a="1"/>
  <c r="BO49" i="29" a="1"/>
  <c r="BP49" i="29" a="1"/>
  <c r="G49" i="29"/>
  <c r="H49" i="29"/>
  <c r="I49" i="29"/>
  <c r="J49" i="29"/>
  <c r="K49" i="29"/>
  <c r="L49" i="29"/>
  <c r="M49" i="29"/>
  <c r="N49" i="29"/>
  <c r="O49" i="29"/>
  <c r="P49" i="29"/>
  <c r="Q49" i="29"/>
  <c r="R49" i="29"/>
  <c r="S49" i="29"/>
  <c r="T49" i="29"/>
  <c r="U49" i="29"/>
  <c r="V49" i="29"/>
  <c r="W49" i="29"/>
  <c r="X49" i="29"/>
  <c r="Y49" i="29"/>
  <c r="Z49" i="29"/>
  <c r="AA49" i="29"/>
  <c r="AB49" i="29"/>
  <c r="AC49" i="29"/>
  <c r="AD49" i="29"/>
  <c r="AE49" i="29"/>
  <c r="AF49" i="29"/>
  <c r="AG49" i="29"/>
  <c r="AH49" i="29"/>
  <c r="AI49" i="29"/>
  <c r="AJ49" i="29"/>
  <c r="AK49" i="29"/>
  <c r="AL49" i="29"/>
  <c r="AM49" i="29"/>
  <c r="AN49" i="29"/>
  <c r="AO49" i="29"/>
  <c r="AP49" i="29"/>
  <c r="AQ49" i="29"/>
  <c r="AR49" i="29"/>
  <c r="AS49" i="29"/>
  <c r="AT49" i="29"/>
  <c r="AU49" i="29"/>
  <c r="AV49" i="29"/>
  <c r="AW49" i="29"/>
  <c r="AX49" i="29"/>
  <c r="AY49" i="29"/>
  <c r="AZ49" i="29"/>
  <c r="BA49" i="29"/>
  <c r="BB49" i="29"/>
  <c r="BC49" i="29"/>
  <c r="BD49" i="29"/>
  <c r="BE49" i="29"/>
  <c r="BF49" i="29"/>
  <c r="BG49" i="29"/>
  <c r="BH49" i="29"/>
  <c r="BI49" i="29"/>
  <c r="BJ49" i="29"/>
  <c r="BK49" i="29"/>
  <c r="BL49" i="29"/>
  <c r="BM49" i="29"/>
  <c r="BN49" i="29"/>
  <c r="BO49" i="29"/>
  <c r="BP49" i="29"/>
  <c r="AB25" i="29"/>
  <c r="W25" i="29"/>
  <c r="AD17" i="29"/>
  <c r="Y17" i="29"/>
  <c r="X17" i="29"/>
  <c r="AD18" i="29"/>
  <c r="Y18" i="29"/>
  <c r="X18" i="29"/>
  <c r="AD19" i="29"/>
  <c r="Y19" i="29"/>
  <c r="X19" i="29"/>
  <c r="AD20" i="29"/>
  <c r="Y20" i="29"/>
  <c r="X20" i="29"/>
  <c r="X21" i="29"/>
  <c r="X22" i="29"/>
  <c r="X23" i="29"/>
  <c r="X24" i="29"/>
  <c r="X25" i="29"/>
  <c r="E4" i="29"/>
  <c r="D4" i="29"/>
  <c r="E5" i="29"/>
  <c r="D5" i="29"/>
  <c r="E6" i="29"/>
  <c r="D6" i="29"/>
  <c r="E7" i="29"/>
  <c r="D7" i="29"/>
  <c r="E8" i="29"/>
  <c r="D8" i="29"/>
  <c r="E9" i="29"/>
  <c r="D9" i="29"/>
  <c r="E10" i="29"/>
  <c r="D10" i="29"/>
  <c r="E11" i="29"/>
  <c r="D11" i="29"/>
  <c r="E12" i="29"/>
  <c r="D12" i="29"/>
  <c r="C4" i="29"/>
  <c r="C5" i="29"/>
  <c r="C6" i="29"/>
  <c r="AO22" i="27"/>
  <c r="AV6" i="29"/>
  <c r="AN22" i="27"/>
  <c r="AM22" i="27"/>
  <c r="AK22" i="27"/>
  <c r="AG22" i="27"/>
  <c r="AI22" i="27"/>
  <c r="AJ22" i="27"/>
  <c r="C7" i="29"/>
  <c r="AO21" i="27"/>
  <c r="AV7" i="29"/>
  <c r="AN21" i="27"/>
  <c r="AM21" i="27"/>
  <c r="AK21" i="27"/>
  <c r="AG21" i="27"/>
  <c r="AI21" i="27"/>
  <c r="AJ21" i="27"/>
  <c r="AO20" i="27"/>
  <c r="AV5" i="29"/>
  <c r="AN20" i="27"/>
  <c r="AM20" i="27"/>
  <c r="AK20" i="27"/>
  <c r="AG20" i="27"/>
  <c r="AI20" i="27"/>
  <c r="AJ20" i="27"/>
  <c r="AO19" i="27"/>
  <c r="AV4" i="29"/>
  <c r="AN19" i="27"/>
  <c r="AM19" i="27"/>
  <c r="AK19" i="27"/>
  <c r="AG19" i="27"/>
  <c r="AI19" i="27"/>
  <c r="AJ19" i="27"/>
  <c r="V64" i="28"/>
  <c r="AJ64" i="28"/>
  <c r="AK64" i="28"/>
  <c r="W64" i="28"/>
  <c r="AA64" i="28"/>
  <c r="V65" i="28"/>
  <c r="V66" i="28"/>
  <c r="V67" i="28"/>
  <c r="V68" i="28"/>
  <c r="V69" i="28"/>
  <c r="V70" i="28"/>
  <c r="V71" i="28"/>
  <c r="V72" i="28"/>
  <c r="V73" i="28"/>
  <c r="V74" i="28"/>
  <c r="V75" i="28"/>
  <c r="V76" i="28"/>
  <c r="V77" i="28"/>
  <c r="V78" i="28"/>
  <c r="V79" i="28"/>
  <c r="V80" i="28"/>
  <c r="V81" i="28"/>
  <c r="V82" i="28"/>
  <c r="V83" i="28"/>
  <c r="V84" i="28"/>
  <c r="V85" i="28"/>
  <c r="V86" i="28"/>
  <c r="V87" i="28"/>
  <c r="V88" i="28"/>
  <c r="AJ65" i="28"/>
  <c r="AJ66" i="28"/>
  <c r="AJ67" i="28"/>
  <c r="AJ68" i="28"/>
  <c r="AJ69" i="28"/>
  <c r="AJ70" i="28"/>
  <c r="AJ71" i="28"/>
  <c r="AJ72" i="28"/>
  <c r="AJ73" i="28"/>
  <c r="AJ74" i="28"/>
  <c r="AJ75" i="28"/>
  <c r="AJ76" i="28"/>
  <c r="AJ77" i="28"/>
  <c r="AJ78" i="28"/>
  <c r="AJ79" i="28"/>
  <c r="AJ80" i="28"/>
  <c r="AJ81" i="28"/>
  <c r="AJ82" i="28"/>
  <c r="AJ83" i="28"/>
  <c r="AJ84" i="28"/>
  <c r="AJ85" i="28"/>
  <c r="AJ86" i="28"/>
  <c r="AJ87" i="28"/>
  <c r="AJ88" i="28"/>
  <c r="AK65" i="28"/>
  <c r="AK66" i="28"/>
  <c r="AK67" i="28"/>
  <c r="AK68" i="28"/>
  <c r="AK69" i="28"/>
  <c r="AK70" i="28"/>
  <c r="AK71" i="28"/>
  <c r="AK72" i="28"/>
  <c r="AK73" i="28"/>
  <c r="AK74" i="28"/>
  <c r="AK75" i="28"/>
  <c r="AK76" i="28"/>
  <c r="AK77" i="28"/>
  <c r="AK78" i="28"/>
  <c r="AK79" i="28"/>
  <c r="AK80" i="28"/>
  <c r="AK81" i="28"/>
  <c r="AK82" i="28"/>
  <c r="AK83" i="28"/>
  <c r="AK84" i="28"/>
  <c r="AK85" i="28"/>
  <c r="AK86" i="28"/>
  <c r="AK87" i="28"/>
  <c r="AK88" i="28"/>
  <c r="W65" i="28"/>
  <c r="AA65" i="28"/>
  <c r="W66" i="28"/>
  <c r="AA66" i="28"/>
  <c r="W67" i="28"/>
  <c r="AA67" i="28"/>
  <c r="W68" i="28"/>
  <c r="AA68" i="28"/>
  <c r="W69" i="28"/>
  <c r="AA69" i="28"/>
  <c r="W70" i="28"/>
  <c r="AA70" i="28"/>
  <c r="W71" i="28"/>
  <c r="AA71" i="28"/>
  <c r="W72" i="28"/>
  <c r="AA72" i="28"/>
  <c r="W73" i="28"/>
  <c r="AA73" i="28"/>
  <c r="W74" i="28"/>
  <c r="AA74" i="28"/>
  <c r="W75" i="28"/>
  <c r="AA75" i="28"/>
  <c r="W76" i="28"/>
  <c r="AA76" i="28"/>
  <c r="W77" i="28"/>
  <c r="AA77" i="28"/>
  <c r="W78" i="28"/>
  <c r="AA78" i="28"/>
  <c r="W79" i="28"/>
  <c r="AA79" i="28"/>
  <c r="W80" i="28"/>
  <c r="AA80" i="28"/>
  <c r="W81" i="28"/>
  <c r="AA81" i="28"/>
  <c r="W82" i="28"/>
  <c r="AA82" i="28"/>
  <c r="W83" i="28"/>
  <c r="AA83" i="28"/>
  <c r="W84" i="28"/>
  <c r="AA84" i="28"/>
  <c r="W85" i="28"/>
  <c r="AA85" i="28"/>
  <c r="W86" i="28"/>
  <c r="AA86" i="28"/>
  <c r="W87" i="28"/>
  <c r="AA87" i="28"/>
  <c r="W88" i="28"/>
  <c r="AA88" i="28"/>
  <c r="L8" i="28"/>
  <c r="M8" i="28"/>
  <c r="J8" i="28"/>
  <c r="K21" i="28"/>
  <c r="AT8" i="28"/>
  <c r="AS8" i="28"/>
  <c r="AU8" i="28"/>
  <c r="AH64" i="28"/>
  <c r="AH65" i="28"/>
  <c r="AH69" i="28"/>
  <c r="AH73" i="28"/>
  <c r="AH66" i="28"/>
  <c r="X67" i="28"/>
  <c r="AD67" i="28"/>
  <c r="AF67" i="28"/>
  <c r="AH67" i="28"/>
  <c r="X68" i="28"/>
  <c r="AD68" i="28"/>
  <c r="AF68" i="28"/>
  <c r="AH68" i="28"/>
  <c r="AH70" i="28"/>
  <c r="X71" i="28"/>
  <c r="AD71" i="28"/>
  <c r="AF71" i="28"/>
  <c r="AH71" i="28"/>
  <c r="X72" i="28"/>
  <c r="AD72" i="28"/>
  <c r="AF72" i="28"/>
  <c r="AH72" i="28"/>
  <c r="AH74" i="28"/>
  <c r="X75" i="28"/>
  <c r="AD75" i="28"/>
  <c r="AF75" i="28"/>
  <c r="AH75" i="28"/>
  <c r="X76" i="28"/>
  <c r="AD76" i="28"/>
  <c r="AF76" i="28"/>
  <c r="AH76" i="28"/>
  <c r="AH77" i="28"/>
  <c r="AH78" i="28"/>
  <c r="X79" i="28"/>
  <c r="AD79" i="28"/>
  <c r="AF79" i="28"/>
  <c r="AH79" i="28"/>
  <c r="X80" i="28"/>
  <c r="AD80" i="28"/>
  <c r="AF80" i="28"/>
  <c r="AH80" i="28"/>
  <c r="AH81" i="28"/>
  <c r="AH82" i="28"/>
  <c r="X83" i="28"/>
  <c r="AD83" i="28"/>
  <c r="AF83" i="28"/>
  <c r="AH83" i="28"/>
  <c r="X84" i="28"/>
  <c r="AD84" i="28"/>
  <c r="AF84" i="28"/>
  <c r="AH84" i="28"/>
  <c r="AH85" i="28"/>
  <c r="X86" i="28"/>
  <c r="AD86" i="28"/>
  <c r="AF86" i="28"/>
  <c r="AH86" i="28"/>
  <c r="X87" i="28"/>
  <c r="AD87" i="28"/>
  <c r="AF87" i="28"/>
  <c r="AH87" i="28"/>
  <c r="X88" i="28"/>
  <c r="AD88" i="28"/>
  <c r="AF88" i="28"/>
  <c r="AH88" i="28"/>
  <c r="AI64" i="28"/>
  <c r="AI65" i="28"/>
  <c r="AI66" i="28"/>
  <c r="Y67" i="28"/>
  <c r="AE67" i="28"/>
  <c r="AG67" i="28"/>
  <c r="AI67" i="28"/>
  <c r="Y68" i="28"/>
  <c r="AE68" i="28"/>
  <c r="AG68" i="28"/>
  <c r="AI68" i="28"/>
  <c r="AI69" i="28"/>
  <c r="AI70" i="28"/>
  <c r="Y71" i="28"/>
  <c r="AE71" i="28"/>
  <c r="AG71" i="28"/>
  <c r="AI71" i="28"/>
  <c r="Y72" i="28"/>
  <c r="AE72" i="28"/>
  <c r="AG72" i="28"/>
  <c r="AI72" i="28"/>
  <c r="AI73" i="28"/>
  <c r="AI74" i="28"/>
  <c r="Y75" i="28"/>
  <c r="AE75" i="28"/>
  <c r="AG75" i="28"/>
  <c r="AI75" i="28"/>
  <c r="Y76" i="28"/>
  <c r="AE76" i="28"/>
  <c r="AG76" i="28"/>
  <c r="AI76" i="28"/>
  <c r="AI77" i="28"/>
  <c r="AI78" i="28"/>
  <c r="Y79" i="28"/>
  <c r="AE79" i="28"/>
  <c r="AG79" i="28"/>
  <c r="AI79" i="28"/>
  <c r="Y80" i="28"/>
  <c r="AE80" i="28"/>
  <c r="AG80" i="28"/>
  <c r="AI80" i="28"/>
  <c r="AI81" i="28"/>
  <c r="AI82" i="28"/>
  <c r="Y83" i="28"/>
  <c r="AE83" i="28"/>
  <c r="AG83" i="28"/>
  <c r="AI83" i="28"/>
  <c r="Y84" i="28"/>
  <c r="AE84" i="28"/>
  <c r="AG84" i="28"/>
  <c r="AI84" i="28"/>
  <c r="AI85" i="28"/>
  <c r="Y86" i="28"/>
  <c r="AE86" i="28"/>
  <c r="AG86" i="28"/>
  <c r="AI86" i="28"/>
  <c r="Y87" i="28"/>
  <c r="AE87" i="28"/>
  <c r="AG87" i="28"/>
  <c r="AI87" i="28"/>
  <c r="Y88" i="28"/>
  <c r="AE88" i="28"/>
  <c r="AG88" i="28"/>
  <c r="AI88" i="28"/>
  <c r="G8" i="28"/>
  <c r="H8" i="28"/>
  <c r="I8" i="28"/>
  <c r="AW8" i="28"/>
  <c r="Q64" i="28"/>
  <c r="F4" i="28"/>
  <c r="G4" i="28"/>
  <c r="H4" i="28"/>
  <c r="I4" i="28"/>
  <c r="AW4" i="28"/>
  <c r="Q65" i="28"/>
  <c r="F5" i="28"/>
  <c r="G5" i="28"/>
  <c r="H5" i="28"/>
  <c r="I5" i="28"/>
  <c r="AW5" i="28"/>
  <c r="Q66" i="28"/>
  <c r="F6" i="28"/>
  <c r="G6" i="28"/>
  <c r="H6" i="28"/>
  <c r="I6" i="28"/>
  <c r="AW6" i="28"/>
  <c r="Q67" i="28"/>
  <c r="F7" i="28"/>
  <c r="G7" i="28"/>
  <c r="H7" i="28"/>
  <c r="I7" i="28"/>
  <c r="AW7" i="28"/>
  <c r="G9" i="28"/>
  <c r="H9" i="28"/>
  <c r="I9" i="28"/>
  <c r="AW9" i="28"/>
  <c r="G10" i="28"/>
  <c r="H10" i="28"/>
  <c r="I10" i="28"/>
  <c r="AW10" i="28"/>
  <c r="G11" i="28"/>
  <c r="H11" i="28"/>
  <c r="I11" i="28"/>
  <c r="AW11" i="28"/>
  <c r="G12" i="28"/>
  <c r="H12" i="28"/>
  <c r="I12" i="28"/>
  <c r="AW12" i="28"/>
  <c r="AX8" i="28"/>
  <c r="L21" i="28"/>
  <c r="L4" i="28"/>
  <c r="M4" i="28"/>
  <c r="J4" i="28"/>
  <c r="K17" i="28"/>
  <c r="AT4" i="28"/>
  <c r="AS4" i="28"/>
  <c r="AU4" i="28"/>
  <c r="AX4" i="28"/>
  <c r="L17" i="28"/>
  <c r="L5" i="28"/>
  <c r="M5" i="28"/>
  <c r="J5" i="28"/>
  <c r="K18" i="28"/>
  <c r="AT5" i="28"/>
  <c r="AS5" i="28"/>
  <c r="AU5" i="28"/>
  <c r="AX5" i="28"/>
  <c r="L18" i="28"/>
  <c r="L6" i="28"/>
  <c r="M6" i="28"/>
  <c r="J6" i="28"/>
  <c r="K19" i="28"/>
  <c r="AT6" i="28"/>
  <c r="AS6" i="28"/>
  <c r="AU6" i="28"/>
  <c r="AX6" i="28"/>
  <c r="L19" i="28"/>
  <c r="L7" i="28"/>
  <c r="M7" i="28"/>
  <c r="J7" i="28"/>
  <c r="K20" i="28"/>
  <c r="AT7" i="28"/>
  <c r="AS7" i="28"/>
  <c r="AU7" i="28"/>
  <c r="AX7" i="28"/>
  <c r="L20" i="28"/>
  <c r="L9" i="28"/>
  <c r="M9" i="28"/>
  <c r="J9" i="28"/>
  <c r="K22" i="28"/>
  <c r="AT9" i="28"/>
  <c r="AS9" i="28"/>
  <c r="AU9" i="28"/>
  <c r="AX9" i="28"/>
  <c r="L22" i="28"/>
  <c r="L10" i="28"/>
  <c r="M10" i="28"/>
  <c r="J10" i="28"/>
  <c r="K23" i="28"/>
  <c r="AT10" i="28"/>
  <c r="AS10" i="28"/>
  <c r="AU10" i="28"/>
  <c r="AX10" i="28"/>
  <c r="L23" i="28"/>
  <c r="L11" i="28"/>
  <c r="M11" i="28"/>
  <c r="J11" i="28"/>
  <c r="K24" i="28"/>
  <c r="AT11" i="28"/>
  <c r="AS11" i="28"/>
  <c r="AU11" i="28"/>
  <c r="AX11" i="28"/>
  <c r="L24" i="28"/>
  <c r="L12" i="28"/>
  <c r="M12" i="28"/>
  <c r="J12" i="28"/>
  <c r="K25" i="28"/>
  <c r="AT12" i="28"/>
  <c r="AS12" i="28"/>
  <c r="AU12" i="28"/>
  <c r="AX12" i="28"/>
  <c r="L25" i="28"/>
  <c r="M21" i="28"/>
  <c r="N21" i="28" a="1"/>
  <c r="N21" i="28"/>
  <c r="O21" i="28"/>
  <c r="M17" i="28"/>
  <c r="N17" i="28" a="1"/>
  <c r="N17" i="28"/>
  <c r="O17" i="28"/>
  <c r="BR52" i="28"/>
  <c r="BS51" i="28"/>
  <c r="BT51" i="28"/>
  <c r="BT52" i="28"/>
  <c r="BU51" i="28"/>
  <c r="BU52" i="28"/>
  <c r="BV51" i="28"/>
  <c r="BV52" i="28"/>
  <c r="BW52" i="28"/>
  <c r="BX52" i="28"/>
  <c r="BY52" i="28"/>
  <c r="BZ52" i="28"/>
  <c r="CA52" i="28"/>
  <c r="BR53" i="28"/>
  <c r="BS53" i="28"/>
  <c r="BU53" i="28"/>
  <c r="BV53" i="28"/>
  <c r="BW53" i="28"/>
  <c r="BX53" i="28"/>
  <c r="BY53" i="28"/>
  <c r="BZ53" i="28"/>
  <c r="CA53" i="28"/>
  <c r="BR54" i="28"/>
  <c r="BS54" i="28"/>
  <c r="BT54" i="28"/>
  <c r="BV54" i="28"/>
  <c r="BW54" i="28"/>
  <c r="BX54" i="28"/>
  <c r="BY54" i="28"/>
  <c r="BZ54" i="28"/>
  <c r="CA54" i="28"/>
  <c r="BR55" i="28"/>
  <c r="BS55" i="28"/>
  <c r="BT55" i="28"/>
  <c r="BU55" i="28"/>
  <c r="BW55" i="28"/>
  <c r="BX55" i="28"/>
  <c r="BY55" i="28"/>
  <c r="BZ55" i="28"/>
  <c r="CA55" i="28"/>
  <c r="BS56" i="28"/>
  <c r="BT56" i="28"/>
  <c r="BU56" i="28"/>
  <c r="BV56" i="28"/>
  <c r="BX56" i="28"/>
  <c r="BY56" i="28"/>
  <c r="BZ56" i="28"/>
  <c r="CA56" i="28"/>
  <c r="BS57" i="28"/>
  <c r="BT57" i="28"/>
  <c r="BU57" i="28"/>
  <c r="BV57" i="28"/>
  <c r="BW57" i="28"/>
  <c r="BY57" i="28"/>
  <c r="BZ57" i="28"/>
  <c r="CA57" i="28"/>
  <c r="BS58" i="28"/>
  <c r="BT58" i="28"/>
  <c r="BU58" i="28"/>
  <c r="BV58" i="28"/>
  <c r="BW58" i="28"/>
  <c r="BX58" i="28"/>
  <c r="BZ58" i="28"/>
  <c r="CA58" i="28"/>
  <c r="BS59" i="28"/>
  <c r="BT59" i="28"/>
  <c r="BU59" i="28"/>
  <c r="BV59" i="28"/>
  <c r="BW59" i="28"/>
  <c r="BX59" i="28"/>
  <c r="BY59" i="28"/>
  <c r="CA59" i="28"/>
  <c r="BS60" i="28"/>
  <c r="BT60" i="28"/>
  <c r="BU60" i="28"/>
  <c r="BV60" i="28"/>
  <c r="BW60" i="28"/>
  <c r="BX60" i="28"/>
  <c r="BY60" i="28"/>
  <c r="BZ60" i="28"/>
  <c r="E34" i="28" a="1"/>
  <c r="E34" i="28"/>
  <c r="M18" i="28"/>
  <c r="N18" i="28" a="1"/>
  <c r="N18" i="28"/>
  <c r="O18" i="28"/>
  <c r="F34" i="28" a="1"/>
  <c r="F34" i="28"/>
  <c r="M19" i="28"/>
  <c r="N19" i="28" a="1"/>
  <c r="N19" i="28"/>
  <c r="O19" i="28"/>
  <c r="G34" i="28" a="1"/>
  <c r="M20" i="28"/>
  <c r="N20" i="28" a="1"/>
  <c r="N20" i="28"/>
  <c r="O20" i="28"/>
  <c r="H34" i="28" a="1"/>
  <c r="M22" i="28"/>
  <c r="N22" i="28" a="1"/>
  <c r="N22" i="28"/>
  <c r="O22" i="28"/>
  <c r="I34" i="28" a="1"/>
  <c r="M23" i="28"/>
  <c r="N23" i="28" a="1"/>
  <c r="N23" i="28"/>
  <c r="O23" i="28"/>
  <c r="J34" i="28" a="1"/>
  <c r="M24" i="28"/>
  <c r="N24" i="28" a="1"/>
  <c r="N24" i="28"/>
  <c r="O24" i="28"/>
  <c r="K34" i="28" a="1"/>
  <c r="M25" i="28"/>
  <c r="N25" i="28" a="1"/>
  <c r="N25" i="28"/>
  <c r="O25" i="28"/>
  <c r="L34" i="28" a="1"/>
  <c r="P21" i="28"/>
  <c r="P17" i="28"/>
  <c r="M34" i="28" a="1"/>
  <c r="P18" i="28"/>
  <c r="N34" i="28" a="1"/>
  <c r="P19" i="28"/>
  <c r="O34" i="28" a="1"/>
  <c r="P20" i="28"/>
  <c r="P34" i="28" a="1"/>
  <c r="P22" i="28"/>
  <c r="Q34" i="28" a="1"/>
  <c r="P23" i="28"/>
  <c r="R34" i="28" a="1"/>
  <c r="P24" i="28"/>
  <c r="S34" i="28" a="1"/>
  <c r="P25" i="28"/>
  <c r="T34" i="28" a="1"/>
  <c r="Q21" i="28"/>
  <c r="Q17" i="28"/>
  <c r="U34" i="28" a="1"/>
  <c r="Q18" i="28"/>
  <c r="V34" i="28" a="1"/>
  <c r="Q19" i="28"/>
  <c r="W34" i="28" a="1"/>
  <c r="Q20" i="28"/>
  <c r="X34" i="28" a="1"/>
  <c r="Q22" i="28"/>
  <c r="Y34" i="28" a="1"/>
  <c r="Q23" i="28"/>
  <c r="Z34" i="28" a="1"/>
  <c r="Q24" i="28"/>
  <c r="AA34" i="28" a="1"/>
  <c r="Q25" i="28"/>
  <c r="AB34" i="28" a="1"/>
  <c r="R21" i="28"/>
  <c r="R17" i="28"/>
  <c r="AC34" i="28" a="1"/>
  <c r="R18" i="28"/>
  <c r="AD34" i="28" a="1"/>
  <c r="R19" i="28"/>
  <c r="AE34" i="28" a="1"/>
  <c r="R20" i="28"/>
  <c r="AF34" i="28" a="1"/>
  <c r="R22" i="28"/>
  <c r="AG34" i="28" a="1"/>
  <c r="R23" i="28"/>
  <c r="AH34" i="28" a="1"/>
  <c r="R24" i="28"/>
  <c r="AI34" i="28" a="1"/>
  <c r="R25" i="28"/>
  <c r="AJ34" i="28" a="1"/>
  <c r="S21" i="28"/>
  <c r="S17" i="28"/>
  <c r="AK34" i="28" a="1"/>
  <c r="S18" i="28"/>
  <c r="AL34" i="28" a="1"/>
  <c r="S19" i="28"/>
  <c r="AM34" i="28" a="1"/>
  <c r="S20" i="28"/>
  <c r="AN34" i="28" a="1"/>
  <c r="S22" i="28"/>
  <c r="AO34" i="28" a="1"/>
  <c r="S23" i="28"/>
  <c r="AP34" i="28" a="1"/>
  <c r="S24" i="28"/>
  <c r="AQ34" i="28" a="1"/>
  <c r="S25" i="28"/>
  <c r="AR34" i="28" a="1"/>
  <c r="T21" i="28"/>
  <c r="T17" i="28"/>
  <c r="AS34" i="28" a="1"/>
  <c r="T18" i="28"/>
  <c r="AT34" i="28" a="1"/>
  <c r="T19" i="28"/>
  <c r="AU34" i="28" a="1"/>
  <c r="T20" i="28"/>
  <c r="AV34" i="28" a="1"/>
  <c r="T22" i="28"/>
  <c r="AW34" i="28" a="1"/>
  <c r="T23" i="28"/>
  <c r="AX34" i="28" a="1"/>
  <c r="T24" i="28"/>
  <c r="AY34" i="28" a="1"/>
  <c r="T25" i="28"/>
  <c r="AZ34" i="28" a="1"/>
  <c r="U21" i="28"/>
  <c r="U17" i="28"/>
  <c r="BA34" i="28" a="1"/>
  <c r="U18" i="28"/>
  <c r="BB34" i="28" a="1"/>
  <c r="U19" i="28"/>
  <c r="BC34" i="28" a="1"/>
  <c r="U20" i="28"/>
  <c r="BD34" i="28" a="1"/>
  <c r="U22" i="28"/>
  <c r="BE34" i="28" a="1"/>
  <c r="U23" i="28"/>
  <c r="BF34" i="28" a="1"/>
  <c r="U24" i="28"/>
  <c r="BG34" i="28" a="1"/>
  <c r="U25" i="28"/>
  <c r="BH34" i="28" a="1"/>
  <c r="V21" i="28"/>
  <c r="V17" i="28"/>
  <c r="BI34" i="28" a="1"/>
  <c r="V18" i="28"/>
  <c r="BJ34" i="28" a="1"/>
  <c r="V19" i="28"/>
  <c r="BK34" i="28" a="1"/>
  <c r="V20" i="28"/>
  <c r="BL34" i="28" a="1"/>
  <c r="V22" i="28"/>
  <c r="BM34" i="28" a="1"/>
  <c r="V23" i="28"/>
  <c r="BN34" i="28" a="1"/>
  <c r="V24" i="28"/>
  <c r="BO34" i="28" a="1"/>
  <c r="V25" i="28"/>
  <c r="BP34" i="28" a="1"/>
  <c r="G34" i="28"/>
  <c r="H34" i="28"/>
  <c r="I34" i="28"/>
  <c r="J34" i="28"/>
  <c r="K34" i="28"/>
  <c r="L34" i="28"/>
  <c r="M34" i="28"/>
  <c r="N34" i="28"/>
  <c r="O34" i="28"/>
  <c r="P34" i="28"/>
  <c r="Q34" i="28"/>
  <c r="R34" i="28"/>
  <c r="S34" i="28"/>
  <c r="T34" i="28"/>
  <c r="U34" i="28"/>
  <c r="V34" i="28"/>
  <c r="W34" i="28"/>
  <c r="X34" i="28"/>
  <c r="Y34" i="28"/>
  <c r="Z34" i="28"/>
  <c r="AA34" i="28"/>
  <c r="AB34" i="28"/>
  <c r="AC34" i="28"/>
  <c r="AD34" i="28"/>
  <c r="AE34" i="28"/>
  <c r="AF34" i="28"/>
  <c r="AG34" i="28"/>
  <c r="AH34" i="28"/>
  <c r="AI34" i="28"/>
  <c r="AJ34" i="28"/>
  <c r="AK34" i="28"/>
  <c r="AL34" i="28"/>
  <c r="AM34" i="28"/>
  <c r="AN34" i="28"/>
  <c r="AO34" i="28"/>
  <c r="AP34" i="28"/>
  <c r="AQ34" i="28"/>
  <c r="AR34" i="28"/>
  <c r="AS34" i="28"/>
  <c r="AT34" i="28"/>
  <c r="AU34" i="28"/>
  <c r="AV34" i="28"/>
  <c r="AW34" i="28"/>
  <c r="AX34" i="28"/>
  <c r="AY34" i="28"/>
  <c r="AZ34" i="28"/>
  <c r="BA34" i="28"/>
  <c r="BB34" i="28"/>
  <c r="BC34" i="28"/>
  <c r="BD34" i="28"/>
  <c r="BE34" i="28"/>
  <c r="BF34" i="28"/>
  <c r="BG34" i="28"/>
  <c r="BH34" i="28"/>
  <c r="BI34" i="28"/>
  <c r="BJ34" i="28"/>
  <c r="BK34" i="28"/>
  <c r="BL34" i="28"/>
  <c r="BM34" i="28"/>
  <c r="BN34" i="28"/>
  <c r="BO34" i="28"/>
  <c r="BP34" i="28"/>
  <c r="AA21" i="28"/>
  <c r="BR41" i="28"/>
  <c r="BS40" i="28"/>
  <c r="BT40" i="28"/>
  <c r="BR30" i="28"/>
  <c r="BT29" i="28"/>
  <c r="BT30" i="28"/>
  <c r="BR31" i="28"/>
  <c r="BS29" i="28"/>
  <c r="BS31" i="28"/>
  <c r="BT41" i="28"/>
  <c r="BU40" i="28"/>
  <c r="BU29" i="28"/>
  <c r="BU30" i="28"/>
  <c r="BR32" i="28"/>
  <c r="BS32" i="28"/>
  <c r="BU41" i="28"/>
  <c r="BV40" i="28"/>
  <c r="BV29" i="28"/>
  <c r="BV30" i="28"/>
  <c r="BR33" i="28"/>
  <c r="BS33" i="28"/>
  <c r="BV41" i="28"/>
  <c r="BW30" i="28"/>
  <c r="BS34" i="28"/>
  <c r="BW41" i="28"/>
  <c r="BX30" i="28"/>
  <c r="BS35" i="28"/>
  <c r="BX41" i="28"/>
  <c r="BY30" i="28"/>
  <c r="BS36" i="28"/>
  <c r="BY41" i="28"/>
  <c r="BZ30" i="28"/>
  <c r="BS37" i="28"/>
  <c r="BZ41" i="28"/>
  <c r="CA30" i="28"/>
  <c r="BS38" i="28"/>
  <c r="CA41" i="28"/>
  <c r="BR42" i="28"/>
  <c r="BS42" i="28"/>
  <c r="BU31" i="28"/>
  <c r="BT32" i="28"/>
  <c r="BU42" i="28"/>
  <c r="BV31" i="28"/>
  <c r="BT33" i="28"/>
  <c r="BV42" i="28"/>
  <c r="BW31" i="28"/>
  <c r="BT34" i="28"/>
  <c r="BW42" i="28"/>
  <c r="BX31" i="28"/>
  <c r="BT35" i="28"/>
  <c r="BX42" i="28"/>
  <c r="BY31" i="28"/>
  <c r="BT36" i="28"/>
  <c r="BY42" i="28"/>
  <c r="BZ31" i="28"/>
  <c r="BT37" i="28"/>
  <c r="BZ42" i="28"/>
  <c r="CA31" i="28"/>
  <c r="BT38" i="28"/>
  <c r="CA42" i="28"/>
  <c r="BR43" i="28"/>
  <c r="BS43" i="28"/>
  <c r="BT43" i="28"/>
  <c r="BV32" i="28"/>
  <c r="BU33" i="28"/>
  <c r="BV43" i="28"/>
  <c r="BW32" i="28"/>
  <c r="BU34" i="28"/>
  <c r="BW43" i="28"/>
  <c r="BX32" i="28"/>
  <c r="BU35" i="28"/>
  <c r="BX43" i="28"/>
  <c r="BY32" i="28"/>
  <c r="BU36" i="28"/>
  <c r="BY43" i="28"/>
  <c r="BZ32" i="28"/>
  <c r="BU37" i="28"/>
  <c r="BZ43" i="28"/>
  <c r="CA32" i="28"/>
  <c r="BU38" i="28"/>
  <c r="CA43" i="28"/>
  <c r="BR44" i="28"/>
  <c r="BS44" i="28"/>
  <c r="BT44" i="28"/>
  <c r="BU44" i="28"/>
  <c r="BW33" i="28"/>
  <c r="BV34" i="28"/>
  <c r="BW44" i="28"/>
  <c r="BX33" i="28"/>
  <c r="BV35" i="28"/>
  <c r="BX44" i="28"/>
  <c r="BY33" i="28"/>
  <c r="BV36" i="28"/>
  <c r="BY44" i="28"/>
  <c r="BZ33" i="28"/>
  <c r="BV37" i="28"/>
  <c r="BZ44" i="28"/>
  <c r="CA33" i="28"/>
  <c r="BV38" i="28"/>
  <c r="CA44" i="28"/>
  <c r="BS45" i="28"/>
  <c r="BT45" i="28"/>
  <c r="BU45" i="28"/>
  <c r="BV45" i="28"/>
  <c r="BX34" i="28"/>
  <c r="BW35" i="28"/>
  <c r="BX45" i="28"/>
  <c r="BY34" i="28"/>
  <c r="BW36" i="28"/>
  <c r="BY45" i="28"/>
  <c r="BZ34" i="28"/>
  <c r="BW37" i="28"/>
  <c r="BZ45" i="28"/>
  <c r="CA34" i="28"/>
  <c r="BW38" i="28"/>
  <c r="CA45" i="28"/>
  <c r="BS46" i="28"/>
  <c r="BT46" i="28"/>
  <c r="BU46" i="28"/>
  <c r="BV46" i="28"/>
  <c r="BW46" i="28"/>
  <c r="BY35" i="28"/>
  <c r="BX36" i="28"/>
  <c r="BY46" i="28"/>
  <c r="BZ35" i="28"/>
  <c r="BX37" i="28"/>
  <c r="BZ46" i="28"/>
  <c r="CA35" i="28"/>
  <c r="BX38" i="28"/>
  <c r="CA46" i="28"/>
  <c r="BS47" i="28"/>
  <c r="BT47" i="28"/>
  <c r="BU47" i="28"/>
  <c r="BV47" i="28"/>
  <c r="BW47" i="28"/>
  <c r="BX47" i="28"/>
  <c r="BZ36" i="28"/>
  <c r="BY37" i="28"/>
  <c r="BZ47" i="28"/>
  <c r="CA36" i="28"/>
  <c r="BY38" i="28"/>
  <c r="CA47" i="28"/>
  <c r="BS48" i="28"/>
  <c r="BT48" i="28"/>
  <c r="BU48" i="28"/>
  <c r="BV48" i="28"/>
  <c r="BW48" i="28"/>
  <c r="BX48" i="28"/>
  <c r="BY48" i="28"/>
  <c r="CA37" i="28"/>
  <c r="BZ38" i="28"/>
  <c r="CA48" i="28"/>
  <c r="BS49" i="28"/>
  <c r="BT49" i="28"/>
  <c r="BU49" i="28"/>
  <c r="BV49" i="28"/>
  <c r="BW49" i="28"/>
  <c r="BX49" i="28"/>
  <c r="BY49" i="28"/>
  <c r="BZ49" i="28"/>
  <c r="E45" i="28" a="1"/>
  <c r="E45" i="28"/>
  <c r="F45" i="28" a="1"/>
  <c r="F45" i="28"/>
  <c r="G45" i="28" a="1"/>
  <c r="H45" i="28" a="1"/>
  <c r="I45" i="28" a="1"/>
  <c r="J45" i="28" a="1"/>
  <c r="K45" i="28" a="1"/>
  <c r="L45" i="28" a="1"/>
  <c r="M45" i="28" a="1"/>
  <c r="N45" i="28" a="1"/>
  <c r="O45" i="28" a="1"/>
  <c r="P45" i="28" a="1"/>
  <c r="Q45" i="28" a="1"/>
  <c r="R45" i="28" a="1"/>
  <c r="S45" i="28" a="1"/>
  <c r="T45" i="28" a="1"/>
  <c r="U45" i="28" a="1"/>
  <c r="V45" i="28" a="1"/>
  <c r="W45" i="28" a="1"/>
  <c r="X45" i="28" a="1"/>
  <c r="Y45" i="28" a="1"/>
  <c r="Z45" i="28" a="1"/>
  <c r="AA45" i="28" a="1"/>
  <c r="AB45" i="28" a="1"/>
  <c r="AC45" i="28" a="1"/>
  <c r="AD45" i="28" a="1"/>
  <c r="AE45" i="28" a="1"/>
  <c r="AF45" i="28" a="1"/>
  <c r="AG45" i="28" a="1"/>
  <c r="AH45" i="28" a="1"/>
  <c r="AI45" i="28" a="1"/>
  <c r="AJ45" i="28" a="1"/>
  <c r="AK45" i="28" a="1"/>
  <c r="AL45" i="28" a="1"/>
  <c r="AM45" i="28" a="1"/>
  <c r="AN45" i="28" a="1"/>
  <c r="AO45" i="28" a="1"/>
  <c r="AP45" i="28" a="1"/>
  <c r="AQ45" i="28" a="1"/>
  <c r="AR45" i="28" a="1"/>
  <c r="AS45" i="28" a="1"/>
  <c r="AT45" i="28" a="1"/>
  <c r="AU45" i="28" a="1"/>
  <c r="AV45" i="28" a="1"/>
  <c r="AW45" i="28" a="1"/>
  <c r="AX45" i="28" a="1"/>
  <c r="AY45" i="28" a="1"/>
  <c r="AZ45" i="28" a="1"/>
  <c r="BA45" i="28" a="1"/>
  <c r="BB45" i="28" a="1"/>
  <c r="BC45" i="28" a="1"/>
  <c r="BD45" i="28" a="1"/>
  <c r="BE45" i="28" a="1"/>
  <c r="BF45" i="28" a="1"/>
  <c r="BG45" i="28" a="1"/>
  <c r="BH45" i="28" a="1"/>
  <c r="BI45" i="28" a="1"/>
  <c r="BJ45" i="28" a="1"/>
  <c r="BK45" i="28" a="1"/>
  <c r="BL45" i="28" a="1"/>
  <c r="BM45" i="28" a="1"/>
  <c r="BN45" i="28" a="1"/>
  <c r="BO45" i="28" a="1"/>
  <c r="BP45" i="28" a="1"/>
  <c r="G45" i="28"/>
  <c r="H45" i="28"/>
  <c r="I45" i="28"/>
  <c r="J45" i="28"/>
  <c r="K45" i="28"/>
  <c r="L45" i="28"/>
  <c r="M45" i="28"/>
  <c r="N45" i="28"/>
  <c r="O45" i="28"/>
  <c r="P45" i="28"/>
  <c r="Q45" i="28"/>
  <c r="R45" i="28"/>
  <c r="S45" i="28"/>
  <c r="T45" i="28"/>
  <c r="U45" i="28"/>
  <c r="V45" i="28"/>
  <c r="W45" i="28"/>
  <c r="X45" i="28"/>
  <c r="Y45" i="28"/>
  <c r="Z45" i="28"/>
  <c r="AA45" i="28"/>
  <c r="AB45" i="28"/>
  <c r="AC45" i="28"/>
  <c r="AD45" i="28"/>
  <c r="AE45" i="28"/>
  <c r="AF45" i="28"/>
  <c r="AG45" i="28"/>
  <c r="AH45" i="28"/>
  <c r="AI45" i="28"/>
  <c r="AJ45" i="28"/>
  <c r="AK45" i="28"/>
  <c r="AL45" i="28"/>
  <c r="AM45" i="28"/>
  <c r="AN45" i="28"/>
  <c r="AO45" i="28"/>
  <c r="AP45" i="28"/>
  <c r="AQ45" i="28"/>
  <c r="AR45" i="28"/>
  <c r="AS45" i="28"/>
  <c r="AT45" i="28"/>
  <c r="AU45" i="28"/>
  <c r="AV45" i="28"/>
  <c r="AW45" i="28"/>
  <c r="AX45" i="28"/>
  <c r="AY45" i="28"/>
  <c r="AZ45" i="28"/>
  <c r="BA45" i="28"/>
  <c r="BB45" i="28"/>
  <c r="BC45" i="28"/>
  <c r="BD45" i="28"/>
  <c r="BE45" i="28"/>
  <c r="BF45" i="28"/>
  <c r="BG45" i="28"/>
  <c r="BH45" i="28"/>
  <c r="BI45" i="28"/>
  <c r="BJ45" i="28"/>
  <c r="BK45" i="28"/>
  <c r="BL45" i="28"/>
  <c r="BM45" i="28"/>
  <c r="BN45" i="28"/>
  <c r="BO45" i="28"/>
  <c r="BP45" i="28"/>
  <c r="AB21" i="28"/>
  <c r="W21" i="28"/>
  <c r="C17" i="28"/>
  <c r="E30" i="28" a="1"/>
  <c r="E30" i="28"/>
  <c r="F30" i="28" a="1"/>
  <c r="F30" i="28"/>
  <c r="G30" i="28" a="1"/>
  <c r="H30" i="28" a="1"/>
  <c r="I30" i="28" a="1"/>
  <c r="J30" i="28" a="1"/>
  <c r="K30" i="28" a="1"/>
  <c r="L30" i="28" a="1"/>
  <c r="M30" i="28" a="1"/>
  <c r="N30" i="28" a="1"/>
  <c r="O30" i="28" a="1"/>
  <c r="P30" i="28" a="1"/>
  <c r="Q30" i="28" a="1"/>
  <c r="R30" i="28" a="1"/>
  <c r="S30" i="28" a="1"/>
  <c r="T30" i="28" a="1"/>
  <c r="U30" i="28" a="1"/>
  <c r="V30" i="28" a="1"/>
  <c r="W30" i="28" a="1"/>
  <c r="X30" i="28" a="1"/>
  <c r="Y30" i="28" a="1"/>
  <c r="Z30" i="28" a="1"/>
  <c r="AA30" i="28" a="1"/>
  <c r="AB30" i="28" a="1"/>
  <c r="AC30" i="28" a="1"/>
  <c r="AD30" i="28" a="1"/>
  <c r="AE30" i="28" a="1"/>
  <c r="AF30" i="28" a="1"/>
  <c r="AG30" i="28" a="1"/>
  <c r="AH30" i="28" a="1"/>
  <c r="AI30" i="28" a="1"/>
  <c r="AJ30" i="28" a="1"/>
  <c r="AK30" i="28" a="1"/>
  <c r="AL30" i="28" a="1"/>
  <c r="AM30" i="28" a="1"/>
  <c r="AN30" i="28" a="1"/>
  <c r="AO30" i="28" a="1"/>
  <c r="AP30" i="28" a="1"/>
  <c r="AQ30" i="28" a="1"/>
  <c r="AR30" i="28" a="1"/>
  <c r="AS30" i="28" a="1"/>
  <c r="AT30" i="28" a="1"/>
  <c r="AU30" i="28" a="1"/>
  <c r="AV30" i="28" a="1"/>
  <c r="AW30" i="28" a="1"/>
  <c r="AX30" i="28" a="1"/>
  <c r="AY30" i="28" a="1"/>
  <c r="AZ30" i="28" a="1"/>
  <c r="BA30" i="28" a="1"/>
  <c r="BB30" i="28" a="1"/>
  <c r="BC30" i="28" a="1"/>
  <c r="BD30" i="28" a="1"/>
  <c r="BE30" i="28" a="1"/>
  <c r="BF30" i="28" a="1"/>
  <c r="BG30" i="28" a="1"/>
  <c r="BH30" i="28" a="1"/>
  <c r="BI30" i="28" a="1"/>
  <c r="BJ30" i="28" a="1"/>
  <c r="BK30" i="28" a="1"/>
  <c r="BL30" i="28" a="1"/>
  <c r="BM30" i="28" a="1"/>
  <c r="BN30" i="28" a="1"/>
  <c r="BO30" i="28" a="1"/>
  <c r="BP30" i="28" a="1"/>
  <c r="G30" i="28"/>
  <c r="H30" i="28"/>
  <c r="I30" i="28"/>
  <c r="J30" i="28"/>
  <c r="K30" i="28"/>
  <c r="L30" i="28"/>
  <c r="M30" i="28"/>
  <c r="N30" i="28"/>
  <c r="O30" i="28"/>
  <c r="P30" i="28"/>
  <c r="Q30" i="28"/>
  <c r="R30" i="28"/>
  <c r="S30" i="28"/>
  <c r="T30" i="28"/>
  <c r="U30" i="28"/>
  <c r="V30" i="28"/>
  <c r="W30" i="28"/>
  <c r="X30" i="28"/>
  <c r="Y30" i="28"/>
  <c r="Z30" i="28"/>
  <c r="AA30" i="28"/>
  <c r="AB30" i="28"/>
  <c r="AC30" i="28"/>
  <c r="AD30" i="28"/>
  <c r="AE30" i="28"/>
  <c r="AF30" i="28"/>
  <c r="AG30" i="28"/>
  <c r="AH30" i="28"/>
  <c r="AI30" i="28"/>
  <c r="AJ30" i="28"/>
  <c r="AK30" i="28"/>
  <c r="AL30" i="28"/>
  <c r="AM30" i="28"/>
  <c r="AN30" i="28"/>
  <c r="AO30" i="28"/>
  <c r="AP30" i="28"/>
  <c r="AQ30" i="28"/>
  <c r="AR30" i="28"/>
  <c r="AS30" i="28"/>
  <c r="AT30" i="28"/>
  <c r="AU30" i="28"/>
  <c r="AV30" i="28"/>
  <c r="AW30" i="28"/>
  <c r="AX30" i="28"/>
  <c r="AY30" i="28"/>
  <c r="AZ30" i="28"/>
  <c r="BA30" i="28"/>
  <c r="BB30" i="28"/>
  <c r="BC30" i="28"/>
  <c r="BD30" i="28"/>
  <c r="BE30" i="28"/>
  <c r="BF30" i="28"/>
  <c r="BG30" i="28"/>
  <c r="BH30" i="28"/>
  <c r="BI30" i="28"/>
  <c r="BJ30" i="28"/>
  <c r="BK30" i="28"/>
  <c r="BL30" i="28"/>
  <c r="BM30" i="28"/>
  <c r="BN30" i="28"/>
  <c r="BO30" i="28"/>
  <c r="BP30" i="28"/>
  <c r="AA17" i="28"/>
  <c r="E41" i="28" a="1"/>
  <c r="E41" i="28"/>
  <c r="F41" i="28" a="1"/>
  <c r="F41" i="28"/>
  <c r="G41" i="28" a="1"/>
  <c r="H41" i="28" a="1"/>
  <c r="I41" i="28" a="1"/>
  <c r="J41" i="28" a="1"/>
  <c r="K41" i="28" a="1"/>
  <c r="L41" i="28" a="1"/>
  <c r="M41" i="28" a="1"/>
  <c r="N41" i="28" a="1"/>
  <c r="O41" i="28" a="1"/>
  <c r="P41" i="28" a="1"/>
  <c r="Q41" i="28" a="1"/>
  <c r="R41" i="28" a="1"/>
  <c r="S41" i="28" a="1"/>
  <c r="T41" i="28" a="1"/>
  <c r="U41" i="28" a="1"/>
  <c r="V41" i="28" a="1"/>
  <c r="W41" i="28" a="1"/>
  <c r="X41" i="28" a="1"/>
  <c r="Y41" i="28" a="1"/>
  <c r="Z41" i="28" a="1"/>
  <c r="AA41" i="28" a="1"/>
  <c r="AB41" i="28" a="1"/>
  <c r="AC41" i="28" a="1"/>
  <c r="AD41" i="28" a="1"/>
  <c r="AE41" i="28" a="1"/>
  <c r="AF41" i="28" a="1"/>
  <c r="AG41" i="28" a="1"/>
  <c r="AH41" i="28" a="1"/>
  <c r="AI41" i="28" a="1"/>
  <c r="AJ41" i="28" a="1"/>
  <c r="AK41" i="28" a="1"/>
  <c r="AL41" i="28" a="1"/>
  <c r="AM41" i="28" a="1"/>
  <c r="AN41" i="28" a="1"/>
  <c r="AO41" i="28" a="1"/>
  <c r="AP41" i="28" a="1"/>
  <c r="AQ41" i="28" a="1"/>
  <c r="AR41" i="28" a="1"/>
  <c r="AS41" i="28" a="1"/>
  <c r="AT41" i="28" a="1"/>
  <c r="AU41" i="28" a="1"/>
  <c r="AV41" i="28" a="1"/>
  <c r="AW41" i="28" a="1"/>
  <c r="AX41" i="28" a="1"/>
  <c r="AY41" i="28" a="1"/>
  <c r="AZ41" i="28" a="1"/>
  <c r="BA41" i="28" a="1"/>
  <c r="BB41" i="28" a="1"/>
  <c r="BC41" i="28" a="1"/>
  <c r="BD41" i="28" a="1"/>
  <c r="BE41" i="28" a="1"/>
  <c r="BF41" i="28" a="1"/>
  <c r="BG41" i="28" a="1"/>
  <c r="BH41" i="28" a="1"/>
  <c r="BI41" i="28" a="1"/>
  <c r="BJ41" i="28" a="1"/>
  <c r="BK41" i="28" a="1"/>
  <c r="BL41" i="28" a="1"/>
  <c r="BM41" i="28" a="1"/>
  <c r="BN41" i="28" a="1"/>
  <c r="BO41" i="28" a="1"/>
  <c r="BP41" i="28" a="1"/>
  <c r="G41" i="28"/>
  <c r="H41" i="28"/>
  <c r="I41" i="28"/>
  <c r="J41" i="28"/>
  <c r="K41" i="28"/>
  <c r="L41" i="28"/>
  <c r="M41" i="28"/>
  <c r="N41" i="28"/>
  <c r="O41" i="28"/>
  <c r="P41" i="28"/>
  <c r="Q41" i="28"/>
  <c r="R41" i="28"/>
  <c r="S41" i="28"/>
  <c r="T41" i="28"/>
  <c r="U41" i="28"/>
  <c r="V41" i="28"/>
  <c r="W41" i="28"/>
  <c r="X41" i="28"/>
  <c r="Y41" i="28"/>
  <c r="Z41" i="28"/>
  <c r="AA41" i="28"/>
  <c r="AB41" i="28"/>
  <c r="AC41" i="28"/>
  <c r="AD41" i="28"/>
  <c r="AE41" i="28"/>
  <c r="AF41" i="28"/>
  <c r="AG41" i="28"/>
  <c r="AH41" i="28"/>
  <c r="AI41" i="28"/>
  <c r="AJ41" i="28"/>
  <c r="AK41" i="28"/>
  <c r="AL41" i="28"/>
  <c r="AM41" i="28"/>
  <c r="AN41" i="28"/>
  <c r="AO41" i="28"/>
  <c r="AP41" i="28"/>
  <c r="AQ41" i="28"/>
  <c r="AR41" i="28"/>
  <c r="AS41" i="28"/>
  <c r="AT41" i="28"/>
  <c r="AU41" i="28"/>
  <c r="AV41" i="28"/>
  <c r="AW41" i="28"/>
  <c r="AX41" i="28"/>
  <c r="AY41" i="28"/>
  <c r="AZ41" i="28"/>
  <c r="BA41" i="28"/>
  <c r="BB41" i="28"/>
  <c r="BC41" i="28"/>
  <c r="BD41" i="28"/>
  <c r="BE41" i="28"/>
  <c r="BF41" i="28"/>
  <c r="BG41" i="28"/>
  <c r="BH41" i="28"/>
  <c r="BI41" i="28"/>
  <c r="BJ41" i="28"/>
  <c r="BK41" i="28"/>
  <c r="BL41" i="28"/>
  <c r="BM41" i="28"/>
  <c r="BN41" i="28"/>
  <c r="BO41" i="28"/>
  <c r="BP41" i="28"/>
  <c r="AB17" i="28"/>
  <c r="W17" i="28"/>
  <c r="C18" i="28"/>
  <c r="E31" i="28" a="1"/>
  <c r="E31" i="28"/>
  <c r="F31" i="28" a="1"/>
  <c r="F31" i="28"/>
  <c r="G31" i="28" a="1"/>
  <c r="H31" i="28" a="1"/>
  <c r="I31" i="28" a="1"/>
  <c r="J31" i="28" a="1"/>
  <c r="K31" i="28" a="1"/>
  <c r="L31" i="28" a="1"/>
  <c r="M31" i="28" a="1"/>
  <c r="N31" i="28" a="1"/>
  <c r="O31" i="28" a="1"/>
  <c r="P31" i="28" a="1"/>
  <c r="Q31" i="28" a="1"/>
  <c r="R31" i="28" a="1"/>
  <c r="S31" i="28" a="1"/>
  <c r="T31" i="28" a="1"/>
  <c r="U31" i="28" a="1"/>
  <c r="V31" i="28" a="1"/>
  <c r="W31" i="28" a="1"/>
  <c r="X31" i="28" a="1"/>
  <c r="Y31" i="28" a="1"/>
  <c r="Z31" i="28" a="1"/>
  <c r="AA31" i="28" a="1"/>
  <c r="AB31" i="28" a="1"/>
  <c r="AC31" i="28" a="1"/>
  <c r="AD31" i="28" a="1"/>
  <c r="AE31" i="28" a="1"/>
  <c r="AF31" i="28" a="1"/>
  <c r="AG31" i="28" a="1"/>
  <c r="AH31" i="28" a="1"/>
  <c r="AI31" i="28" a="1"/>
  <c r="AJ31" i="28" a="1"/>
  <c r="AK31" i="28" a="1"/>
  <c r="AL31" i="28" a="1"/>
  <c r="AM31" i="28" a="1"/>
  <c r="AN31" i="28" a="1"/>
  <c r="AO31" i="28" a="1"/>
  <c r="AP31" i="28" a="1"/>
  <c r="AQ31" i="28" a="1"/>
  <c r="AR31" i="28" a="1"/>
  <c r="AS31" i="28" a="1"/>
  <c r="AT31" i="28" a="1"/>
  <c r="AU31" i="28" a="1"/>
  <c r="AV31" i="28" a="1"/>
  <c r="AW31" i="28" a="1"/>
  <c r="AX31" i="28" a="1"/>
  <c r="AY31" i="28" a="1"/>
  <c r="AZ31" i="28" a="1"/>
  <c r="BA31" i="28" a="1"/>
  <c r="BB31" i="28" a="1"/>
  <c r="BC31" i="28" a="1"/>
  <c r="BD31" i="28" a="1"/>
  <c r="BE31" i="28" a="1"/>
  <c r="BF31" i="28" a="1"/>
  <c r="BG31" i="28" a="1"/>
  <c r="BH31" i="28" a="1"/>
  <c r="BI31" i="28" a="1"/>
  <c r="BJ31" i="28" a="1"/>
  <c r="BK31" i="28" a="1"/>
  <c r="BL31" i="28" a="1"/>
  <c r="BM31" i="28" a="1"/>
  <c r="BN31" i="28" a="1"/>
  <c r="BO31" i="28" a="1"/>
  <c r="BP31" i="28" a="1"/>
  <c r="G31" i="28"/>
  <c r="H31" i="28"/>
  <c r="I31" i="28"/>
  <c r="J31" i="28"/>
  <c r="K31" i="28"/>
  <c r="L31" i="28"/>
  <c r="M31" i="28"/>
  <c r="N31" i="28"/>
  <c r="O31" i="28"/>
  <c r="P31" i="28"/>
  <c r="Q31" i="28"/>
  <c r="R31" i="28"/>
  <c r="S31" i="28"/>
  <c r="T31" i="28"/>
  <c r="U31" i="28"/>
  <c r="V31" i="28"/>
  <c r="W31" i="28"/>
  <c r="X31" i="28"/>
  <c r="Y31" i="28"/>
  <c r="Z31" i="28"/>
  <c r="AA31" i="28"/>
  <c r="AB31" i="28"/>
  <c r="AC31" i="28"/>
  <c r="AD31" i="28"/>
  <c r="AE31" i="28"/>
  <c r="AF31" i="28"/>
  <c r="AG31" i="28"/>
  <c r="AH31" i="28"/>
  <c r="AI31" i="28"/>
  <c r="AJ31" i="28"/>
  <c r="AK31" i="28"/>
  <c r="AL31" i="28"/>
  <c r="AM31" i="28"/>
  <c r="AN31" i="28"/>
  <c r="AO31" i="28"/>
  <c r="AP31" i="28"/>
  <c r="AQ31" i="28"/>
  <c r="AR31" i="28"/>
  <c r="AS31" i="28"/>
  <c r="AT31" i="28"/>
  <c r="AU31" i="28"/>
  <c r="AV31" i="28"/>
  <c r="AW31" i="28"/>
  <c r="AX31" i="28"/>
  <c r="AY31" i="28"/>
  <c r="AZ31" i="28"/>
  <c r="BA31" i="28"/>
  <c r="BB31" i="28"/>
  <c r="BC31" i="28"/>
  <c r="BD31" i="28"/>
  <c r="BE31" i="28"/>
  <c r="BF31" i="28"/>
  <c r="BG31" i="28"/>
  <c r="BH31" i="28"/>
  <c r="BI31" i="28"/>
  <c r="BJ31" i="28"/>
  <c r="BK31" i="28"/>
  <c r="BL31" i="28"/>
  <c r="BM31" i="28"/>
  <c r="BN31" i="28"/>
  <c r="BO31" i="28"/>
  <c r="BP31" i="28"/>
  <c r="AA18" i="28"/>
  <c r="E42" i="28" a="1"/>
  <c r="E42" i="28"/>
  <c r="F42" i="28" a="1"/>
  <c r="F42" i="28"/>
  <c r="G42" i="28" a="1"/>
  <c r="H42" i="28" a="1"/>
  <c r="I42" i="28" a="1"/>
  <c r="J42" i="28" a="1"/>
  <c r="K42" i="28" a="1"/>
  <c r="L42" i="28" a="1"/>
  <c r="M42" i="28" a="1"/>
  <c r="N42" i="28" a="1"/>
  <c r="O42" i="28" a="1"/>
  <c r="P42" i="28" a="1"/>
  <c r="Q42" i="28" a="1"/>
  <c r="R42" i="28" a="1"/>
  <c r="S42" i="28" a="1"/>
  <c r="T42" i="28" a="1"/>
  <c r="U42" i="28" a="1"/>
  <c r="V42" i="28" a="1"/>
  <c r="W42" i="28" a="1"/>
  <c r="X42" i="28" a="1"/>
  <c r="Y42" i="28" a="1"/>
  <c r="Z42" i="28" a="1"/>
  <c r="AA42" i="28" a="1"/>
  <c r="AB42" i="28" a="1"/>
  <c r="AC42" i="28" a="1"/>
  <c r="AD42" i="28" a="1"/>
  <c r="AE42" i="28" a="1"/>
  <c r="AF42" i="28" a="1"/>
  <c r="AG42" i="28" a="1"/>
  <c r="AH42" i="28" a="1"/>
  <c r="AI42" i="28" a="1"/>
  <c r="AJ42" i="28" a="1"/>
  <c r="AK42" i="28" a="1"/>
  <c r="AL42" i="28" a="1"/>
  <c r="AM42" i="28" a="1"/>
  <c r="AN42" i="28" a="1"/>
  <c r="AO42" i="28" a="1"/>
  <c r="AP42" i="28" a="1"/>
  <c r="AQ42" i="28" a="1"/>
  <c r="AR42" i="28" a="1"/>
  <c r="AS42" i="28" a="1"/>
  <c r="AT42" i="28" a="1"/>
  <c r="AU42" i="28" a="1"/>
  <c r="AV42" i="28" a="1"/>
  <c r="AW42" i="28" a="1"/>
  <c r="AX42" i="28" a="1"/>
  <c r="AY42" i="28" a="1"/>
  <c r="AZ42" i="28" a="1"/>
  <c r="BA42" i="28" a="1"/>
  <c r="BB42" i="28" a="1"/>
  <c r="BC42" i="28" a="1"/>
  <c r="BD42" i="28" a="1"/>
  <c r="BE42" i="28" a="1"/>
  <c r="BF42" i="28" a="1"/>
  <c r="BG42" i="28" a="1"/>
  <c r="BH42" i="28" a="1"/>
  <c r="BI42" i="28" a="1"/>
  <c r="BJ42" i="28" a="1"/>
  <c r="BK42" i="28" a="1"/>
  <c r="BL42" i="28" a="1"/>
  <c r="BM42" i="28" a="1"/>
  <c r="BN42" i="28" a="1"/>
  <c r="BO42" i="28" a="1"/>
  <c r="BP42" i="28" a="1"/>
  <c r="G42" i="28"/>
  <c r="H42" i="28"/>
  <c r="I42" i="28"/>
  <c r="J42" i="28"/>
  <c r="K42" i="28"/>
  <c r="L42" i="28"/>
  <c r="M42" i="28"/>
  <c r="N42" i="28"/>
  <c r="O42" i="28"/>
  <c r="P42" i="28"/>
  <c r="Q42" i="28"/>
  <c r="R42" i="28"/>
  <c r="S42" i="28"/>
  <c r="T42" i="28"/>
  <c r="U42" i="28"/>
  <c r="V42" i="28"/>
  <c r="W42" i="28"/>
  <c r="X42" i="28"/>
  <c r="Y42" i="28"/>
  <c r="Z42" i="28"/>
  <c r="AA42" i="28"/>
  <c r="AB42" i="28"/>
  <c r="AC42" i="28"/>
  <c r="AD42" i="28"/>
  <c r="AE42" i="28"/>
  <c r="AF42" i="28"/>
  <c r="AG42" i="28"/>
  <c r="AH42" i="28"/>
  <c r="AI42" i="28"/>
  <c r="AJ42" i="28"/>
  <c r="AK42" i="28"/>
  <c r="AL42" i="28"/>
  <c r="AM42" i="28"/>
  <c r="AN42" i="28"/>
  <c r="AO42" i="28"/>
  <c r="AP42" i="28"/>
  <c r="AQ42" i="28"/>
  <c r="AR42" i="28"/>
  <c r="AS42" i="28"/>
  <c r="AT42" i="28"/>
  <c r="AU42" i="28"/>
  <c r="AV42" i="28"/>
  <c r="AW42" i="28"/>
  <c r="AX42" i="28"/>
  <c r="AY42" i="28"/>
  <c r="AZ42" i="28"/>
  <c r="BA42" i="28"/>
  <c r="BB42" i="28"/>
  <c r="BC42" i="28"/>
  <c r="BD42" i="28"/>
  <c r="BE42" i="28"/>
  <c r="BF42" i="28"/>
  <c r="BG42" i="28"/>
  <c r="BH42" i="28"/>
  <c r="BI42" i="28"/>
  <c r="BJ42" i="28"/>
  <c r="BK42" i="28"/>
  <c r="BL42" i="28"/>
  <c r="BM42" i="28"/>
  <c r="BN42" i="28"/>
  <c r="BO42" i="28"/>
  <c r="BP42" i="28"/>
  <c r="AB18" i="28"/>
  <c r="W18" i="28"/>
  <c r="C19" i="28"/>
  <c r="E32" i="28" a="1"/>
  <c r="E32" i="28"/>
  <c r="F32" i="28" a="1"/>
  <c r="F32" i="28"/>
  <c r="G32" i="28" a="1"/>
  <c r="H32" i="28" a="1"/>
  <c r="I32" i="28" a="1"/>
  <c r="J32" i="28" a="1"/>
  <c r="K32" i="28" a="1"/>
  <c r="L32" i="28" a="1"/>
  <c r="M32" i="28" a="1"/>
  <c r="N32" i="28" a="1"/>
  <c r="O32" i="28" a="1"/>
  <c r="P32" i="28" a="1"/>
  <c r="Q32" i="28" a="1"/>
  <c r="R32" i="28" a="1"/>
  <c r="S32" i="28" a="1"/>
  <c r="T32" i="28" a="1"/>
  <c r="U32" i="28" a="1"/>
  <c r="V32" i="28" a="1"/>
  <c r="W32" i="28" a="1"/>
  <c r="X32" i="28" a="1"/>
  <c r="Y32" i="28" a="1"/>
  <c r="Z32" i="28" a="1"/>
  <c r="AA32" i="28" a="1"/>
  <c r="AB32" i="28" a="1"/>
  <c r="AC32" i="28" a="1"/>
  <c r="AD32" i="28" a="1"/>
  <c r="AE32" i="28" a="1"/>
  <c r="AF32" i="28" a="1"/>
  <c r="AG32" i="28" a="1"/>
  <c r="AH32" i="28" a="1"/>
  <c r="AI32" i="28" a="1"/>
  <c r="AJ32" i="28" a="1"/>
  <c r="AK32" i="28" a="1"/>
  <c r="AL32" i="28" a="1"/>
  <c r="AM32" i="28" a="1"/>
  <c r="AN32" i="28" a="1"/>
  <c r="AO32" i="28" a="1"/>
  <c r="AP32" i="28" a="1"/>
  <c r="AQ32" i="28" a="1"/>
  <c r="AR32" i="28" a="1"/>
  <c r="AS32" i="28" a="1"/>
  <c r="AT32" i="28" a="1"/>
  <c r="AU32" i="28" a="1"/>
  <c r="AV32" i="28" a="1"/>
  <c r="AW32" i="28" a="1"/>
  <c r="AX32" i="28" a="1"/>
  <c r="AY32" i="28" a="1"/>
  <c r="AZ32" i="28" a="1"/>
  <c r="BA32" i="28" a="1"/>
  <c r="BB32" i="28" a="1"/>
  <c r="BC32" i="28" a="1"/>
  <c r="BD32" i="28" a="1"/>
  <c r="BE32" i="28" a="1"/>
  <c r="BF32" i="28" a="1"/>
  <c r="BG32" i="28" a="1"/>
  <c r="BH32" i="28" a="1"/>
  <c r="BI32" i="28" a="1"/>
  <c r="BJ32" i="28" a="1"/>
  <c r="BK32" i="28" a="1"/>
  <c r="BL32" i="28" a="1"/>
  <c r="BM32" i="28" a="1"/>
  <c r="BN32" i="28" a="1"/>
  <c r="BO32" i="28" a="1"/>
  <c r="BP32" i="28" a="1"/>
  <c r="G32" i="28"/>
  <c r="H32" i="28"/>
  <c r="I32" i="28"/>
  <c r="J32" i="28"/>
  <c r="K32" i="28"/>
  <c r="L32" i="28"/>
  <c r="M32" i="28"/>
  <c r="N32" i="28"/>
  <c r="O32" i="28"/>
  <c r="P32" i="28"/>
  <c r="Q32" i="28"/>
  <c r="R32" i="28"/>
  <c r="S32" i="28"/>
  <c r="T32" i="28"/>
  <c r="U32" i="28"/>
  <c r="V32" i="28"/>
  <c r="W32" i="28"/>
  <c r="X32" i="28"/>
  <c r="Y32" i="28"/>
  <c r="Z32" i="28"/>
  <c r="AA32" i="28"/>
  <c r="AB32" i="28"/>
  <c r="AC32" i="28"/>
  <c r="AD32" i="28"/>
  <c r="AE32" i="28"/>
  <c r="AF32" i="28"/>
  <c r="AG32" i="28"/>
  <c r="AH32" i="28"/>
  <c r="AI32" i="28"/>
  <c r="AJ32" i="28"/>
  <c r="AK32" i="28"/>
  <c r="AL32" i="28"/>
  <c r="AM32" i="28"/>
  <c r="AN32" i="28"/>
  <c r="AO32" i="28"/>
  <c r="AP32" i="28"/>
  <c r="AQ32" i="28"/>
  <c r="AR32" i="28"/>
  <c r="AS32" i="28"/>
  <c r="AT32" i="28"/>
  <c r="AU32" i="28"/>
  <c r="AV32" i="28"/>
  <c r="AW32" i="28"/>
  <c r="AX32" i="28"/>
  <c r="AY32" i="28"/>
  <c r="AZ32" i="28"/>
  <c r="BA32" i="28"/>
  <c r="BB32" i="28"/>
  <c r="BC32" i="28"/>
  <c r="BD32" i="28"/>
  <c r="BE32" i="28"/>
  <c r="BF32" i="28"/>
  <c r="BG32" i="28"/>
  <c r="BH32" i="28"/>
  <c r="BI32" i="28"/>
  <c r="BJ32" i="28"/>
  <c r="BK32" i="28"/>
  <c r="BL32" i="28"/>
  <c r="BM32" i="28"/>
  <c r="BN32" i="28"/>
  <c r="BO32" i="28"/>
  <c r="BP32" i="28"/>
  <c r="AA19" i="28"/>
  <c r="E43" i="28" a="1"/>
  <c r="E43" i="28"/>
  <c r="F43" i="28" a="1"/>
  <c r="F43" i="28"/>
  <c r="G43" i="28" a="1"/>
  <c r="H43" i="28" a="1"/>
  <c r="I43" i="28" a="1"/>
  <c r="J43" i="28" a="1"/>
  <c r="K43" i="28" a="1"/>
  <c r="L43" i="28" a="1"/>
  <c r="M43" i="28" a="1"/>
  <c r="N43" i="28" a="1"/>
  <c r="O43" i="28" a="1"/>
  <c r="P43" i="28" a="1"/>
  <c r="Q43" i="28" a="1"/>
  <c r="R43" i="28" a="1"/>
  <c r="S43" i="28" a="1"/>
  <c r="T43" i="28" a="1"/>
  <c r="U43" i="28" a="1"/>
  <c r="V43" i="28" a="1"/>
  <c r="W43" i="28" a="1"/>
  <c r="X43" i="28" a="1"/>
  <c r="Y43" i="28" a="1"/>
  <c r="Z43" i="28" a="1"/>
  <c r="AA43" i="28" a="1"/>
  <c r="AB43" i="28" a="1"/>
  <c r="AC43" i="28" a="1"/>
  <c r="AD43" i="28" a="1"/>
  <c r="AE43" i="28" a="1"/>
  <c r="AF43" i="28" a="1"/>
  <c r="AG43" i="28" a="1"/>
  <c r="AH43" i="28" a="1"/>
  <c r="AI43" i="28" a="1"/>
  <c r="AJ43" i="28" a="1"/>
  <c r="AK43" i="28" a="1"/>
  <c r="AL43" i="28" a="1"/>
  <c r="AM43" i="28" a="1"/>
  <c r="AN43" i="28" a="1"/>
  <c r="AO43" i="28" a="1"/>
  <c r="AP43" i="28" a="1"/>
  <c r="AQ43" i="28" a="1"/>
  <c r="AR43" i="28" a="1"/>
  <c r="AS43" i="28" a="1"/>
  <c r="AT43" i="28" a="1"/>
  <c r="AU43" i="28" a="1"/>
  <c r="AV43" i="28" a="1"/>
  <c r="AW43" i="28" a="1"/>
  <c r="AX43" i="28" a="1"/>
  <c r="AY43" i="28" a="1"/>
  <c r="AZ43" i="28" a="1"/>
  <c r="BA43" i="28" a="1"/>
  <c r="BB43" i="28" a="1"/>
  <c r="BC43" i="28" a="1"/>
  <c r="BD43" i="28" a="1"/>
  <c r="BE43" i="28" a="1"/>
  <c r="BF43" i="28" a="1"/>
  <c r="BG43" i="28" a="1"/>
  <c r="BH43" i="28" a="1"/>
  <c r="BI43" i="28" a="1"/>
  <c r="BJ43" i="28" a="1"/>
  <c r="BK43" i="28" a="1"/>
  <c r="BL43" i="28" a="1"/>
  <c r="BM43" i="28" a="1"/>
  <c r="BN43" i="28" a="1"/>
  <c r="BO43" i="28" a="1"/>
  <c r="BP43" i="28" a="1"/>
  <c r="G43" i="28"/>
  <c r="H43" i="28"/>
  <c r="I43" i="28"/>
  <c r="J43" i="28"/>
  <c r="K43" i="28"/>
  <c r="L43" i="28"/>
  <c r="M43" i="28"/>
  <c r="N43" i="28"/>
  <c r="O43" i="28"/>
  <c r="P43" i="28"/>
  <c r="Q43" i="28"/>
  <c r="R43" i="28"/>
  <c r="S43" i="28"/>
  <c r="T43" i="28"/>
  <c r="U43" i="28"/>
  <c r="V43" i="28"/>
  <c r="W43" i="28"/>
  <c r="X43" i="28"/>
  <c r="Y43" i="28"/>
  <c r="Z43" i="28"/>
  <c r="AA43" i="28"/>
  <c r="AB43" i="28"/>
  <c r="AC43" i="28"/>
  <c r="AD43" i="28"/>
  <c r="AE43" i="28"/>
  <c r="AF43" i="28"/>
  <c r="AG43" i="28"/>
  <c r="AH43" i="28"/>
  <c r="AI43" i="28"/>
  <c r="AJ43" i="28"/>
  <c r="AK43" i="28"/>
  <c r="AL43" i="28"/>
  <c r="AM43" i="28"/>
  <c r="AN43" i="28"/>
  <c r="AO43" i="28"/>
  <c r="AP43" i="28"/>
  <c r="AQ43" i="28"/>
  <c r="AR43" i="28"/>
  <c r="AS43" i="28"/>
  <c r="AT43" i="28"/>
  <c r="AU43" i="28"/>
  <c r="AV43" i="28"/>
  <c r="AW43" i="28"/>
  <c r="AX43" i="28"/>
  <c r="AY43" i="28"/>
  <c r="AZ43" i="28"/>
  <c r="BA43" i="28"/>
  <c r="BB43" i="28"/>
  <c r="BC43" i="28"/>
  <c r="BD43" i="28"/>
  <c r="BE43" i="28"/>
  <c r="BF43" i="28"/>
  <c r="BG43" i="28"/>
  <c r="BH43" i="28"/>
  <c r="BI43" i="28"/>
  <c r="BJ43" i="28"/>
  <c r="BK43" i="28"/>
  <c r="BL43" i="28"/>
  <c r="BM43" i="28"/>
  <c r="BN43" i="28"/>
  <c r="BO43" i="28"/>
  <c r="BP43" i="28"/>
  <c r="AB19" i="28"/>
  <c r="W19" i="28"/>
  <c r="C20" i="28"/>
  <c r="E33" i="28" a="1"/>
  <c r="E33" i="28"/>
  <c r="F33" i="28" a="1"/>
  <c r="F33" i="28"/>
  <c r="G33" i="28" a="1"/>
  <c r="H33" i="28" a="1"/>
  <c r="I33" i="28" a="1"/>
  <c r="J33" i="28" a="1"/>
  <c r="K33" i="28" a="1"/>
  <c r="L33" i="28" a="1"/>
  <c r="M33" i="28" a="1"/>
  <c r="N33" i="28" a="1"/>
  <c r="O33" i="28" a="1"/>
  <c r="P33" i="28" a="1"/>
  <c r="Q33" i="28" a="1"/>
  <c r="R33" i="28" a="1"/>
  <c r="S33" i="28" a="1"/>
  <c r="T33" i="28" a="1"/>
  <c r="U33" i="28" a="1"/>
  <c r="V33" i="28" a="1"/>
  <c r="W33" i="28" a="1"/>
  <c r="X33" i="28" a="1"/>
  <c r="Y33" i="28" a="1"/>
  <c r="Z33" i="28" a="1"/>
  <c r="AA33" i="28" a="1"/>
  <c r="AB33" i="28" a="1"/>
  <c r="AC33" i="28" a="1"/>
  <c r="AD33" i="28" a="1"/>
  <c r="AE33" i="28" a="1"/>
  <c r="AF33" i="28" a="1"/>
  <c r="AG33" i="28" a="1"/>
  <c r="AH33" i="28" a="1"/>
  <c r="AI33" i="28" a="1"/>
  <c r="AJ33" i="28" a="1"/>
  <c r="AK33" i="28" a="1"/>
  <c r="AL33" i="28" a="1"/>
  <c r="AM33" i="28" a="1"/>
  <c r="AN33" i="28" a="1"/>
  <c r="AO33" i="28" a="1"/>
  <c r="AP33" i="28" a="1"/>
  <c r="AQ33" i="28" a="1"/>
  <c r="AR33" i="28" a="1"/>
  <c r="AS33" i="28" a="1"/>
  <c r="AT33" i="28" a="1"/>
  <c r="AU33" i="28" a="1"/>
  <c r="AV33" i="28" a="1"/>
  <c r="AW33" i="28" a="1"/>
  <c r="AX33" i="28" a="1"/>
  <c r="AY33" i="28" a="1"/>
  <c r="AZ33" i="28" a="1"/>
  <c r="BA33" i="28" a="1"/>
  <c r="BB33" i="28" a="1"/>
  <c r="BC33" i="28" a="1"/>
  <c r="BD33" i="28" a="1"/>
  <c r="BE33" i="28" a="1"/>
  <c r="BF33" i="28" a="1"/>
  <c r="BG33" i="28" a="1"/>
  <c r="BH33" i="28" a="1"/>
  <c r="BI33" i="28" a="1"/>
  <c r="BJ33" i="28" a="1"/>
  <c r="BK33" i="28" a="1"/>
  <c r="BL33" i="28" a="1"/>
  <c r="BM33" i="28" a="1"/>
  <c r="BN33" i="28" a="1"/>
  <c r="BO33" i="28" a="1"/>
  <c r="BP33" i="28" a="1"/>
  <c r="G33" i="28"/>
  <c r="H33" i="28"/>
  <c r="I33" i="28"/>
  <c r="J33" i="28"/>
  <c r="K33" i="28"/>
  <c r="L33" i="28"/>
  <c r="M33" i="28"/>
  <c r="N33" i="28"/>
  <c r="O33" i="28"/>
  <c r="P33" i="28"/>
  <c r="Q33" i="28"/>
  <c r="R33" i="28"/>
  <c r="S33" i="28"/>
  <c r="T33" i="28"/>
  <c r="U33" i="28"/>
  <c r="V33" i="28"/>
  <c r="W33" i="28"/>
  <c r="X33" i="28"/>
  <c r="Y33" i="28"/>
  <c r="Z33" i="28"/>
  <c r="AA33" i="28"/>
  <c r="AB33" i="28"/>
  <c r="AC33" i="28"/>
  <c r="AD33" i="28"/>
  <c r="AE33" i="28"/>
  <c r="AF33" i="28"/>
  <c r="AG33" i="28"/>
  <c r="AH33" i="28"/>
  <c r="AI33" i="28"/>
  <c r="AJ33" i="28"/>
  <c r="AK33" i="28"/>
  <c r="AL33" i="28"/>
  <c r="AM33" i="28"/>
  <c r="AN33" i="28"/>
  <c r="AO33" i="28"/>
  <c r="AP33" i="28"/>
  <c r="AQ33" i="28"/>
  <c r="AR33" i="28"/>
  <c r="AS33" i="28"/>
  <c r="AT33" i="28"/>
  <c r="AU33" i="28"/>
  <c r="AV33" i="28"/>
  <c r="AW33" i="28"/>
  <c r="AX33" i="28"/>
  <c r="AY33" i="28"/>
  <c r="AZ33" i="28"/>
  <c r="BA33" i="28"/>
  <c r="BB33" i="28"/>
  <c r="BC33" i="28"/>
  <c r="BD33" i="28"/>
  <c r="BE33" i="28"/>
  <c r="BF33" i="28"/>
  <c r="BG33" i="28"/>
  <c r="BH33" i="28"/>
  <c r="BI33" i="28"/>
  <c r="BJ33" i="28"/>
  <c r="BK33" i="28"/>
  <c r="BL33" i="28"/>
  <c r="BM33" i="28"/>
  <c r="BN33" i="28"/>
  <c r="BO33" i="28"/>
  <c r="BP33" i="28"/>
  <c r="AA20" i="28"/>
  <c r="E44" i="28" a="1"/>
  <c r="E44" i="28"/>
  <c r="F44" i="28" a="1"/>
  <c r="F44" i="28"/>
  <c r="G44" i="28" a="1"/>
  <c r="H44" i="28" a="1"/>
  <c r="I44" i="28" a="1"/>
  <c r="J44" i="28" a="1"/>
  <c r="K44" i="28" a="1"/>
  <c r="L44" i="28" a="1"/>
  <c r="M44" i="28" a="1"/>
  <c r="N44" i="28" a="1"/>
  <c r="O44" i="28" a="1"/>
  <c r="P44" i="28" a="1"/>
  <c r="Q44" i="28" a="1"/>
  <c r="R44" i="28" a="1"/>
  <c r="S44" i="28" a="1"/>
  <c r="T44" i="28" a="1"/>
  <c r="U44" i="28" a="1"/>
  <c r="V44" i="28" a="1"/>
  <c r="W44" i="28" a="1"/>
  <c r="X44" i="28" a="1"/>
  <c r="Y44" i="28" a="1"/>
  <c r="Z44" i="28" a="1"/>
  <c r="AA44" i="28" a="1"/>
  <c r="AB44" i="28" a="1"/>
  <c r="AC44" i="28" a="1"/>
  <c r="AD44" i="28" a="1"/>
  <c r="AE44" i="28" a="1"/>
  <c r="AF44" i="28" a="1"/>
  <c r="AG44" i="28" a="1"/>
  <c r="AH44" i="28" a="1"/>
  <c r="AI44" i="28" a="1"/>
  <c r="AJ44" i="28" a="1"/>
  <c r="AK44" i="28" a="1"/>
  <c r="AL44" i="28" a="1"/>
  <c r="AM44" i="28" a="1"/>
  <c r="AN44" i="28" a="1"/>
  <c r="AO44" i="28" a="1"/>
  <c r="AP44" i="28" a="1"/>
  <c r="AQ44" i="28" a="1"/>
  <c r="AR44" i="28" a="1"/>
  <c r="AS44" i="28" a="1"/>
  <c r="AT44" i="28" a="1"/>
  <c r="AU44" i="28" a="1"/>
  <c r="AV44" i="28" a="1"/>
  <c r="AW44" i="28" a="1"/>
  <c r="AX44" i="28" a="1"/>
  <c r="AY44" i="28" a="1"/>
  <c r="AZ44" i="28" a="1"/>
  <c r="BA44" i="28" a="1"/>
  <c r="BB44" i="28" a="1"/>
  <c r="BC44" i="28" a="1"/>
  <c r="BD44" i="28" a="1"/>
  <c r="BE44" i="28" a="1"/>
  <c r="BF44" i="28" a="1"/>
  <c r="BG44" i="28" a="1"/>
  <c r="BH44" i="28" a="1"/>
  <c r="BI44" i="28" a="1"/>
  <c r="BJ44" i="28" a="1"/>
  <c r="BK44" i="28" a="1"/>
  <c r="BL44" i="28" a="1"/>
  <c r="BM44" i="28" a="1"/>
  <c r="BN44" i="28" a="1"/>
  <c r="BO44" i="28" a="1"/>
  <c r="BP44" i="28" a="1"/>
  <c r="G44" i="28"/>
  <c r="H44" i="28"/>
  <c r="I44" i="28"/>
  <c r="J44" i="28"/>
  <c r="K44" i="28"/>
  <c r="L44" i="28"/>
  <c r="M44" i="28"/>
  <c r="N44" i="28"/>
  <c r="O44" i="28"/>
  <c r="P44" i="28"/>
  <c r="Q44" i="28"/>
  <c r="R44" i="28"/>
  <c r="S44" i="28"/>
  <c r="T44" i="28"/>
  <c r="U44" i="28"/>
  <c r="V44" i="28"/>
  <c r="W44" i="28"/>
  <c r="X44" i="28"/>
  <c r="Y44" i="28"/>
  <c r="Z44" i="28"/>
  <c r="AA44" i="28"/>
  <c r="AB44" i="28"/>
  <c r="AC44" i="28"/>
  <c r="AD44" i="28"/>
  <c r="AE44" i="28"/>
  <c r="AF44" i="28"/>
  <c r="AG44" i="28"/>
  <c r="AH44" i="28"/>
  <c r="AI44" i="28"/>
  <c r="AJ44" i="28"/>
  <c r="AK44" i="28"/>
  <c r="AL44" i="28"/>
  <c r="AM44" i="28"/>
  <c r="AN44" i="28"/>
  <c r="AO44" i="28"/>
  <c r="AP44" i="28"/>
  <c r="AQ44" i="28"/>
  <c r="AR44" i="28"/>
  <c r="AS44" i="28"/>
  <c r="AT44" i="28"/>
  <c r="AU44" i="28"/>
  <c r="AV44" i="28"/>
  <c r="AW44" i="28"/>
  <c r="AX44" i="28"/>
  <c r="AY44" i="28"/>
  <c r="AZ44" i="28"/>
  <c r="BA44" i="28"/>
  <c r="BB44" i="28"/>
  <c r="BC44" i="28"/>
  <c r="BD44" i="28"/>
  <c r="BE44" i="28"/>
  <c r="BF44" i="28"/>
  <c r="BG44" i="28"/>
  <c r="BH44" i="28"/>
  <c r="BI44" i="28"/>
  <c r="BJ44" i="28"/>
  <c r="BK44" i="28"/>
  <c r="BL44" i="28"/>
  <c r="BM44" i="28"/>
  <c r="BN44" i="28"/>
  <c r="BO44" i="28"/>
  <c r="BP44" i="28"/>
  <c r="AB20" i="28"/>
  <c r="W20" i="28"/>
  <c r="E35" i="28" a="1"/>
  <c r="E35" i="28"/>
  <c r="F35" i="28" a="1"/>
  <c r="F35" i="28"/>
  <c r="G35" i="28" a="1"/>
  <c r="H35" i="28" a="1"/>
  <c r="I35" i="28" a="1"/>
  <c r="J35" i="28" a="1"/>
  <c r="K35" i="28" a="1"/>
  <c r="L35" i="28" a="1"/>
  <c r="M35" i="28" a="1"/>
  <c r="N35" i="28" a="1"/>
  <c r="O35" i="28" a="1"/>
  <c r="P35" i="28" a="1"/>
  <c r="Q35" i="28" a="1"/>
  <c r="R35" i="28" a="1"/>
  <c r="S35" i="28" a="1"/>
  <c r="T35" i="28" a="1"/>
  <c r="U35" i="28" a="1"/>
  <c r="V35" i="28" a="1"/>
  <c r="W35" i="28" a="1"/>
  <c r="X35" i="28" a="1"/>
  <c r="Y35" i="28" a="1"/>
  <c r="Z35" i="28" a="1"/>
  <c r="AA35" i="28" a="1"/>
  <c r="AB35" i="28" a="1"/>
  <c r="AC35" i="28" a="1"/>
  <c r="AD35" i="28" a="1"/>
  <c r="AE35" i="28" a="1"/>
  <c r="AF35" i="28" a="1"/>
  <c r="AG35" i="28" a="1"/>
  <c r="AH35" i="28" a="1"/>
  <c r="AI35" i="28" a="1"/>
  <c r="AJ35" i="28" a="1"/>
  <c r="AK35" i="28" a="1"/>
  <c r="AL35" i="28" a="1"/>
  <c r="AM35" i="28" a="1"/>
  <c r="AN35" i="28" a="1"/>
  <c r="AO35" i="28" a="1"/>
  <c r="AP35" i="28" a="1"/>
  <c r="AQ35" i="28" a="1"/>
  <c r="AR35" i="28" a="1"/>
  <c r="AS35" i="28" a="1"/>
  <c r="AT35" i="28" a="1"/>
  <c r="AU35" i="28" a="1"/>
  <c r="AV35" i="28" a="1"/>
  <c r="AW35" i="28" a="1"/>
  <c r="AX35" i="28" a="1"/>
  <c r="AY35" i="28" a="1"/>
  <c r="AZ35" i="28" a="1"/>
  <c r="BA35" i="28" a="1"/>
  <c r="BB35" i="28" a="1"/>
  <c r="BC35" i="28" a="1"/>
  <c r="BD35" i="28" a="1"/>
  <c r="BE35" i="28" a="1"/>
  <c r="BF35" i="28" a="1"/>
  <c r="BG35" i="28" a="1"/>
  <c r="BH35" i="28" a="1"/>
  <c r="BI35" i="28" a="1"/>
  <c r="BJ35" i="28" a="1"/>
  <c r="BK35" i="28" a="1"/>
  <c r="BL35" i="28" a="1"/>
  <c r="BM35" i="28" a="1"/>
  <c r="BN35" i="28" a="1"/>
  <c r="BO35" i="28" a="1"/>
  <c r="BP35" i="28" a="1"/>
  <c r="G35" i="28"/>
  <c r="H35" i="28"/>
  <c r="I35" i="28"/>
  <c r="J35" i="28"/>
  <c r="K35" i="28"/>
  <c r="L35" i="28"/>
  <c r="M35" i="28"/>
  <c r="N35" i="28"/>
  <c r="O35" i="28"/>
  <c r="P35" i="28"/>
  <c r="Q35" i="28"/>
  <c r="R35" i="28"/>
  <c r="S35" i="28"/>
  <c r="T35" i="28"/>
  <c r="U35" i="28"/>
  <c r="V35" i="28"/>
  <c r="W35" i="28"/>
  <c r="X35" i="28"/>
  <c r="Y35" i="28"/>
  <c r="Z35" i="28"/>
  <c r="AA35" i="28"/>
  <c r="AB35" i="28"/>
  <c r="AC35" i="28"/>
  <c r="AD35" i="28"/>
  <c r="AE35" i="28"/>
  <c r="AF35" i="28"/>
  <c r="AG35" i="28"/>
  <c r="AH35" i="28"/>
  <c r="AI35" i="28"/>
  <c r="AJ35" i="28"/>
  <c r="AK35" i="28"/>
  <c r="AL35" i="28"/>
  <c r="AM35" i="28"/>
  <c r="AN35" i="28"/>
  <c r="AO35" i="28"/>
  <c r="AP35" i="28"/>
  <c r="AQ35" i="28"/>
  <c r="AR35" i="28"/>
  <c r="AS35" i="28"/>
  <c r="AT35" i="28"/>
  <c r="AU35" i="28"/>
  <c r="AV35" i="28"/>
  <c r="AW35" i="28"/>
  <c r="AX35" i="28"/>
  <c r="AY35" i="28"/>
  <c r="AZ35" i="28"/>
  <c r="BA35" i="28"/>
  <c r="BB35" i="28"/>
  <c r="BC35" i="28"/>
  <c r="BD35" i="28"/>
  <c r="BE35" i="28"/>
  <c r="BF35" i="28"/>
  <c r="BG35" i="28"/>
  <c r="BH35" i="28"/>
  <c r="BI35" i="28"/>
  <c r="BJ35" i="28"/>
  <c r="BK35" i="28"/>
  <c r="BL35" i="28"/>
  <c r="BM35" i="28"/>
  <c r="BN35" i="28"/>
  <c r="BO35" i="28"/>
  <c r="BP35" i="28"/>
  <c r="AA22" i="28"/>
  <c r="E46" i="28" a="1"/>
  <c r="E46" i="28"/>
  <c r="F46" i="28" a="1"/>
  <c r="F46" i="28"/>
  <c r="G46" i="28" a="1"/>
  <c r="H46" i="28" a="1"/>
  <c r="I46" i="28" a="1"/>
  <c r="J46" i="28" a="1"/>
  <c r="K46" i="28" a="1"/>
  <c r="L46" i="28" a="1"/>
  <c r="M46" i="28" a="1"/>
  <c r="N46" i="28" a="1"/>
  <c r="O46" i="28" a="1"/>
  <c r="P46" i="28" a="1"/>
  <c r="Q46" i="28" a="1"/>
  <c r="R46" i="28" a="1"/>
  <c r="S46" i="28" a="1"/>
  <c r="T46" i="28" a="1"/>
  <c r="U46" i="28" a="1"/>
  <c r="V46" i="28" a="1"/>
  <c r="W46" i="28" a="1"/>
  <c r="X46" i="28" a="1"/>
  <c r="Y46" i="28" a="1"/>
  <c r="Z46" i="28" a="1"/>
  <c r="AA46" i="28" a="1"/>
  <c r="AB46" i="28" a="1"/>
  <c r="AC46" i="28" a="1"/>
  <c r="AD46" i="28" a="1"/>
  <c r="AE46" i="28" a="1"/>
  <c r="AF46" i="28" a="1"/>
  <c r="AG46" i="28" a="1"/>
  <c r="AH46" i="28" a="1"/>
  <c r="AI46" i="28" a="1"/>
  <c r="AJ46" i="28" a="1"/>
  <c r="AK46" i="28" a="1"/>
  <c r="AL46" i="28" a="1"/>
  <c r="AM46" i="28" a="1"/>
  <c r="AN46" i="28" a="1"/>
  <c r="AO46" i="28" a="1"/>
  <c r="AP46" i="28" a="1"/>
  <c r="AQ46" i="28" a="1"/>
  <c r="AR46" i="28" a="1"/>
  <c r="AS46" i="28" a="1"/>
  <c r="AT46" i="28" a="1"/>
  <c r="AU46" i="28" a="1"/>
  <c r="AV46" i="28" a="1"/>
  <c r="AW46" i="28" a="1"/>
  <c r="AX46" i="28" a="1"/>
  <c r="AY46" i="28" a="1"/>
  <c r="AZ46" i="28" a="1"/>
  <c r="BA46" i="28" a="1"/>
  <c r="BB46" i="28" a="1"/>
  <c r="BC46" i="28" a="1"/>
  <c r="BD46" i="28" a="1"/>
  <c r="BE46" i="28" a="1"/>
  <c r="BF46" i="28" a="1"/>
  <c r="BG46" i="28" a="1"/>
  <c r="BH46" i="28" a="1"/>
  <c r="BI46" i="28" a="1"/>
  <c r="BJ46" i="28" a="1"/>
  <c r="BK46" i="28" a="1"/>
  <c r="BL46" i="28" a="1"/>
  <c r="BM46" i="28" a="1"/>
  <c r="BN46" i="28" a="1"/>
  <c r="BO46" i="28" a="1"/>
  <c r="BP46" i="28" a="1"/>
  <c r="G46" i="28"/>
  <c r="H46" i="28"/>
  <c r="I46" i="28"/>
  <c r="J46" i="28"/>
  <c r="K46" i="28"/>
  <c r="L46" i="28"/>
  <c r="M46" i="28"/>
  <c r="N46" i="28"/>
  <c r="O46" i="28"/>
  <c r="P46" i="28"/>
  <c r="Q46" i="28"/>
  <c r="R46" i="28"/>
  <c r="S46" i="28"/>
  <c r="T46" i="28"/>
  <c r="U46" i="28"/>
  <c r="V46" i="28"/>
  <c r="W46" i="28"/>
  <c r="X46" i="28"/>
  <c r="Y46" i="28"/>
  <c r="Z46" i="28"/>
  <c r="AA46" i="28"/>
  <c r="AB46" i="28"/>
  <c r="AC46" i="28"/>
  <c r="AD46" i="28"/>
  <c r="AE46" i="28"/>
  <c r="AF46" i="28"/>
  <c r="AG46" i="28"/>
  <c r="AH46" i="28"/>
  <c r="AI46" i="28"/>
  <c r="AJ46" i="28"/>
  <c r="AK46" i="28"/>
  <c r="AL46" i="28"/>
  <c r="AM46" i="28"/>
  <c r="AN46" i="28"/>
  <c r="AO46" i="28"/>
  <c r="AP46" i="28"/>
  <c r="AQ46" i="28"/>
  <c r="AR46" i="28"/>
  <c r="AS46" i="28"/>
  <c r="AT46" i="28"/>
  <c r="AU46" i="28"/>
  <c r="AV46" i="28"/>
  <c r="AW46" i="28"/>
  <c r="AX46" i="28"/>
  <c r="AY46" i="28"/>
  <c r="AZ46" i="28"/>
  <c r="BA46" i="28"/>
  <c r="BB46" i="28"/>
  <c r="BC46" i="28"/>
  <c r="BD46" i="28"/>
  <c r="BE46" i="28"/>
  <c r="BF46" i="28"/>
  <c r="BG46" i="28"/>
  <c r="BH46" i="28"/>
  <c r="BI46" i="28"/>
  <c r="BJ46" i="28"/>
  <c r="BK46" i="28"/>
  <c r="BL46" i="28"/>
  <c r="BM46" i="28"/>
  <c r="BN46" i="28"/>
  <c r="BO46" i="28"/>
  <c r="BP46" i="28"/>
  <c r="AB22" i="28"/>
  <c r="W22" i="28"/>
  <c r="E36" i="28" a="1"/>
  <c r="E36" i="28"/>
  <c r="F36" i="28" a="1"/>
  <c r="F36" i="28"/>
  <c r="G36" i="28" a="1"/>
  <c r="H36" i="28" a="1"/>
  <c r="I36" i="28" a="1"/>
  <c r="J36" i="28" a="1"/>
  <c r="K36" i="28" a="1"/>
  <c r="L36" i="28" a="1"/>
  <c r="M36" i="28" a="1"/>
  <c r="N36" i="28" a="1"/>
  <c r="O36" i="28" a="1"/>
  <c r="P36" i="28" a="1"/>
  <c r="Q36" i="28" a="1"/>
  <c r="R36" i="28" a="1"/>
  <c r="S36" i="28" a="1"/>
  <c r="T36" i="28" a="1"/>
  <c r="U36" i="28" a="1"/>
  <c r="V36" i="28" a="1"/>
  <c r="W36" i="28" a="1"/>
  <c r="X36" i="28" a="1"/>
  <c r="Y36" i="28" a="1"/>
  <c r="Z36" i="28" a="1"/>
  <c r="AA36" i="28" a="1"/>
  <c r="AB36" i="28" a="1"/>
  <c r="AC36" i="28" a="1"/>
  <c r="AD36" i="28" a="1"/>
  <c r="AE36" i="28" a="1"/>
  <c r="AF36" i="28" a="1"/>
  <c r="AG36" i="28" a="1"/>
  <c r="AH36" i="28" a="1"/>
  <c r="AI36" i="28" a="1"/>
  <c r="AJ36" i="28" a="1"/>
  <c r="AK36" i="28" a="1"/>
  <c r="AL36" i="28" a="1"/>
  <c r="AM36" i="28" a="1"/>
  <c r="AN36" i="28" a="1"/>
  <c r="AO36" i="28" a="1"/>
  <c r="AP36" i="28" a="1"/>
  <c r="AQ36" i="28" a="1"/>
  <c r="AR36" i="28" a="1"/>
  <c r="AS36" i="28" a="1"/>
  <c r="AT36" i="28" a="1"/>
  <c r="AU36" i="28" a="1"/>
  <c r="AV36" i="28" a="1"/>
  <c r="AW36" i="28" a="1"/>
  <c r="AX36" i="28" a="1"/>
  <c r="AY36" i="28" a="1"/>
  <c r="AZ36" i="28" a="1"/>
  <c r="BA36" i="28" a="1"/>
  <c r="BB36" i="28" a="1"/>
  <c r="BC36" i="28" a="1"/>
  <c r="BD36" i="28" a="1"/>
  <c r="BE36" i="28" a="1"/>
  <c r="BF36" i="28" a="1"/>
  <c r="BG36" i="28" a="1"/>
  <c r="BH36" i="28" a="1"/>
  <c r="BI36" i="28" a="1"/>
  <c r="BJ36" i="28" a="1"/>
  <c r="BK36" i="28" a="1"/>
  <c r="BL36" i="28" a="1"/>
  <c r="BM36" i="28" a="1"/>
  <c r="BN36" i="28" a="1"/>
  <c r="BO36" i="28" a="1"/>
  <c r="BP36" i="28" a="1"/>
  <c r="G36" i="28"/>
  <c r="H36" i="28"/>
  <c r="I36" i="28"/>
  <c r="J36" i="28"/>
  <c r="K36" i="28"/>
  <c r="L36" i="28"/>
  <c r="M36" i="28"/>
  <c r="N36" i="28"/>
  <c r="O36" i="28"/>
  <c r="P36" i="28"/>
  <c r="Q36" i="28"/>
  <c r="R36" i="28"/>
  <c r="S36" i="28"/>
  <c r="T36" i="28"/>
  <c r="U36" i="28"/>
  <c r="V36" i="28"/>
  <c r="W36" i="28"/>
  <c r="X36" i="28"/>
  <c r="Y36" i="28"/>
  <c r="Z36" i="28"/>
  <c r="AA36" i="28"/>
  <c r="AB36" i="28"/>
  <c r="AC36" i="28"/>
  <c r="AD36" i="28"/>
  <c r="AE36" i="28"/>
  <c r="AF36" i="28"/>
  <c r="AG36" i="28"/>
  <c r="AH36" i="28"/>
  <c r="AI36" i="28"/>
  <c r="AJ36" i="28"/>
  <c r="AK36" i="28"/>
  <c r="AL36" i="28"/>
  <c r="AM36" i="28"/>
  <c r="AN36" i="28"/>
  <c r="AO36" i="28"/>
  <c r="AP36" i="28"/>
  <c r="AQ36" i="28"/>
  <c r="AR36" i="28"/>
  <c r="AS36" i="28"/>
  <c r="AT36" i="28"/>
  <c r="AU36" i="28"/>
  <c r="AV36" i="28"/>
  <c r="AW36" i="28"/>
  <c r="AX36" i="28"/>
  <c r="AY36" i="28"/>
  <c r="AZ36" i="28"/>
  <c r="BA36" i="28"/>
  <c r="BB36" i="28"/>
  <c r="BC36" i="28"/>
  <c r="BD36" i="28"/>
  <c r="BE36" i="28"/>
  <c r="BF36" i="28"/>
  <c r="BG36" i="28"/>
  <c r="BH36" i="28"/>
  <c r="BI36" i="28"/>
  <c r="BJ36" i="28"/>
  <c r="BK36" i="28"/>
  <c r="BL36" i="28"/>
  <c r="BM36" i="28"/>
  <c r="BN36" i="28"/>
  <c r="BO36" i="28"/>
  <c r="BP36" i="28"/>
  <c r="AA23" i="28"/>
  <c r="E47" i="28" a="1"/>
  <c r="E47" i="28"/>
  <c r="F47" i="28" a="1"/>
  <c r="F47" i="28"/>
  <c r="G47" i="28" a="1"/>
  <c r="H47" i="28" a="1"/>
  <c r="I47" i="28" a="1"/>
  <c r="J47" i="28" a="1"/>
  <c r="K47" i="28" a="1"/>
  <c r="L47" i="28" a="1"/>
  <c r="M47" i="28" a="1"/>
  <c r="N47" i="28" a="1"/>
  <c r="O47" i="28" a="1"/>
  <c r="P47" i="28" a="1"/>
  <c r="Q47" i="28" a="1"/>
  <c r="R47" i="28" a="1"/>
  <c r="S47" i="28" a="1"/>
  <c r="T47" i="28" a="1"/>
  <c r="U47" i="28" a="1"/>
  <c r="V47" i="28" a="1"/>
  <c r="W47" i="28" a="1"/>
  <c r="X47" i="28" a="1"/>
  <c r="Y47" i="28" a="1"/>
  <c r="Z47" i="28" a="1"/>
  <c r="AA47" i="28" a="1"/>
  <c r="AB47" i="28" a="1"/>
  <c r="AC47" i="28" a="1"/>
  <c r="AD47" i="28" a="1"/>
  <c r="AE47" i="28" a="1"/>
  <c r="AF47" i="28" a="1"/>
  <c r="AG47" i="28" a="1"/>
  <c r="AH47" i="28" a="1"/>
  <c r="AI47" i="28" a="1"/>
  <c r="AJ47" i="28" a="1"/>
  <c r="AK47" i="28" a="1"/>
  <c r="AL47" i="28" a="1"/>
  <c r="AM47" i="28" a="1"/>
  <c r="AN47" i="28" a="1"/>
  <c r="AO47" i="28" a="1"/>
  <c r="AP47" i="28" a="1"/>
  <c r="AQ47" i="28" a="1"/>
  <c r="AR47" i="28" a="1"/>
  <c r="AS47" i="28" a="1"/>
  <c r="AT47" i="28" a="1"/>
  <c r="AU47" i="28" a="1"/>
  <c r="AV47" i="28" a="1"/>
  <c r="AW47" i="28" a="1"/>
  <c r="AX47" i="28" a="1"/>
  <c r="AY47" i="28" a="1"/>
  <c r="AZ47" i="28" a="1"/>
  <c r="BA47" i="28" a="1"/>
  <c r="BB47" i="28" a="1"/>
  <c r="BC47" i="28" a="1"/>
  <c r="BD47" i="28" a="1"/>
  <c r="BE47" i="28" a="1"/>
  <c r="BF47" i="28" a="1"/>
  <c r="BG47" i="28" a="1"/>
  <c r="BH47" i="28" a="1"/>
  <c r="BI47" i="28" a="1"/>
  <c r="BJ47" i="28" a="1"/>
  <c r="BK47" i="28" a="1"/>
  <c r="BL47" i="28" a="1"/>
  <c r="BM47" i="28" a="1"/>
  <c r="BN47" i="28" a="1"/>
  <c r="BO47" i="28" a="1"/>
  <c r="BP47" i="28" a="1"/>
  <c r="G47" i="28"/>
  <c r="H47" i="28"/>
  <c r="I47" i="28"/>
  <c r="J47" i="28"/>
  <c r="K47" i="28"/>
  <c r="L47" i="28"/>
  <c r="M47" i="28"/>
  <c r="N47" i="28"/>
  <c r="O47" i="28"/>
  <c r="P47" i="28"/>
  <c r="Q47" i="28"/>
  <c r="R47" i="28"/>
  <c r="S47" i="28"/>
  <c r="T47" i="28"/>
  <c r="U47" i="28"/>
  <c r="V47" i="28"/>
  <c r="W47" i="28"/>
  <c r="X47" i="28"/>
  <c r="Y47" i="28"/>
  <c r="Z47" i="28"/>
  <c r="AA47" i="28"/>
  <c r="AB47" i="28"/>
  <c r="AC47" i="28"/>
  <c r="AD47" i="28"/>
  <c r="AE47" i="28"/>
  <c r="AF47" i="28"/>
  <c r="AG47" i="28"/>
  <c r="AH47" i="28"/>
  <c r="AI47" i="28"/>
  <c r="AJ47" i="28"/>
  <c r="AK47" i="28"/>
  <c r="AL47" i="28"/>
  <c r="AM47" i="28"/>
  <c r="AN47" i="28"/>
  <c r="AO47" i="28"/>
  <c r="AP47" i="28"/>
  <c r="AQ47" i="28"/>
  <c r="AR47" i="28"/>
  <c r="AS47" i="28"/>
  <c r="AT47" i="28"/>
  <c r="AU47" i="28"/>
  <c r="AV47" i="28"/>
  <c r="AW47" i="28"/>
  <c r="AX47" i="28"/>
  <c r="AY47" i="28"/>
  <c r="AZ47" i="28"/>
  <c r="BA47" i="28"/>
  <c r="BB47" i="28"/>
  <c r="BC47" i="28"/>
  <c r="BD47" i="28"/>
  <c r="BE47" i="28"/>
  <c r="BF47" i="28"/>
  <c r="BG47" i="28"/>
  <c r="BH47" i="28"/>
  <c r="BI47" i="28"/>
  <c r="BJ47" i="28"/>
  <c r="BK47" i="28"/>
  <c r="BL47" i="28"/>
  <c r="BM47" i="28"/>
  <c r="BN47" i="28"/>
  <c r="BO47" i="28"/>
  <c r="BP47" i="28"/>
  <c r="AB23" i="28"/>
  <c r="W23" i="28"/>
  <c r="E37" i="28" a="1"/>
  <c r="E37" i="28"/>
  <c r="F37" i="28" a="1"/>
  <c r="F37" i="28"/>
  <c r="G37" i="28" a="1"/>
  <c r="H37" i="28" a="1"/>
  <c r="I37" i="28" a="1"/>
  <c r="J37" i="28" a="1"/>
  <c r="K37" i="28" a="1"/>
  <c r="L37" i="28" a="1"/>
  <c r="M37" i="28" a="1"/>
  <c r="N37" i="28" a="1"/>
  <c r="O37" i="28" a="1"/>
  <c r="P37" i="28" a="1"/>
  <c r="Q37" i="28" a="1"/>
  <c r="R37" i="28" a="1"/>
  <c r="S37" i="28" a="1"/>
  <c r="T37" i="28" a="1"/>
  <c r="U37" i="28" a="1"/>
  <c r="V37" i="28" a="1"/>
  <c r="W37" i="28" a="1"/>
  <c r="X37" i="28" a="1"/>
  <c r="Y37" i="28" a="1"/>
  <c r="Z37" i="28" a="1"/>
  <c r="AA37" i="28" a="1"/>
  <c r="AB37" i="28" a="1"/>
  <c r="AC37" i="28" a="1"/>
  <c r="AD37" i="28" a="1"/>
  <c r="AE37" i="28" a="1"/>
  <c r="AF37" i="28" a="1"/>
  <c r="AG37" i="28" a="1"/>
  <c r="AH37" i="28" a="1"/>
  <c r="AI37" i="28" a="1"/>
  <c r="AJ37" i="28" a="1"/>
  <c r="AK37" i="28" a="1"/>
  <c r="AL37" i="28" a="1"/>
  <c r="AM37" i="28" a="1"/>
  <c r="AN37" i="28" a="1"/>
  <c r="AO37" i="28" a="1"/>
  <c r="AP37" i="28" a="1"/>
  <c r="AQ37" i="28" a="1"/>
  <c r="AR37" i="28" a="1"/>
  <c r="AS37" i="28" a="1"/>
  <c r="AT37" i="28" a="1"/>
  <c r="AU37" i="28" a="1"/>
  <c r="AV37" i="28" a="1"/>
  <c r="AW37" i="28" a="1"/>
  <c r="AX37" i="28" a="1"/>
  <c r="AY37" i="28" a="1"/>
  <c r="AZ37" i="28" a="1"/>
  <c r="BA37" i="28" a="1"/>
  <c r="BB37" i="28" a="1"/>
  <c r="BC37" i="28" a="1"/>
  <c r="BD37" i="28" a="1"/>
  <c r="BE37" i="28" a="1"/>
  <c r="BF37" i="28" a="1"/>
  <c r="BG37" i="28" a="1"/>
  <c r="BH37" i="28" a="1"/>
  <c r="BI37" i="28" a="1"/>
  <c r="BJ37" i="28" a="1"/>
  <c r="BK37" i="28" a="1"/>
  <c r="BL37" i="28" a="1"/>
  <c r="BM37" i="28" a="1"/>
  <c r="BN37" i="28" a="1"/>
  <c r="BO37" i="28" a="1"/>
  <c r="BP37" i="28" a="1"/>
  <c r="G37" i="28"/>
  <c r="H37" i="28"/>
  <c r="I37" i="28"/>
  <c r="J37" i="28"/>
  <c r="K37" i="28"/>
  <c r="L37" i="28"/>
  <c r="M37" i="28"/>
  <c r="N37" i="28"/>
  <c r="O37" i="28"/>
  <c r="P37" i="28"/>
  <c r="Q37" i="28"/>
  <c r="R37" i="28"/>
  <c r="S37" i="28"/>
  <c r="T37" i="28"/>
  <c r="U37" i="28"/>
  <c r="V37" i="28"/>
  <c r="W37" i="28"/>
  <c r="X37" i="28"/>
  <c r="Y37" i="28"/>
  <c r="Z37" i="28"/>
  <c r="AA37" i="28"/>
  <c r="AB37" i="28"/>
  <c r="AC37" i="28"/>
  <c r="AD37" i="28"/>
  <c r="AE37" i="28"/>
  <c r="AF37" i="28"/>
  <c r="AG37" i="28"/>
  <c r="AH37" i="28"/>
  <c r="AI37" i="28"/>
  <c r="AJ37" i="28"/>
  <c r="AK37" i="28"/>
  <c r="AL37" i="28"/>
  <c r="AM37" i="28"/>
  <c r="AN37" i="28"/>
  <c r="AO37" i="28"/>
  <c r="AP37" i="28"/>
  <c r="AQ37" i="28"/>
  <c r="AR37" i="28"/>
  <c r="AS37" i="28"/>
  <c r="AT37" i="28"/>
  <c r="AU37" i="28"/>
  <c r="AV37" i="28"/>
  <c r="AW37" i="28"/>
  <c r="AX37" i="28"/>
  <c r="AY37" i="28"/>
  <c r="AZ37" i="28"/>
  <c r="BA37" i="28"/>
  <c r="BB37" i="28"/>
  <c r="BC37" i="28"/>
  <c r="BD37" i="28"/>
  <c r="BE37" i="28"/>
  <c r="BF37" i="28"/>
  <c r="BG37" i="28"/>
  <c r="BH37" i="28"/>
  <c r="BI37" i="28"/>
  <c r="BJ37" i="28"/>
  <c r="BK37" i="28"/>
  <c r="BL37" i="28"/>
  <c r="BM37" i="28"/>
  <c r="BN37" i="28"/>
  <c r="BO37" i="28"/>
  <c r="BP37" i="28"/>
  <c r="AA24" i="28"/>
  <c r="E48" i="28" a="1"/>
  <c r="E48" i="28"/>
  <c r="F48" i="28" a="1"/>
  <c r="F48" i="28"/>
  <c r="G48" i="28" a="1"/>
  <c r="H48" i="28" a="1"/>
  <c r="I48" i="28" a="1"/>
  <c r="J48" i="28" a="1"/>
  <c r="K48" i="28" a="1"/>
  <c r="L48" i="28" a="1"/>
  <c r="M48" i="28" a="1"/>
  <c r="N48" i="28" a="1"/>
  <c r="O48" i="28" a="1"/>
  <c r="P48" i="28" a="1"/>
  <c r="Q48" i="28" a="1"/>
  <c r="R48" i="28" a="1"/>
  <c r="S48" i="28" a="1"/>
  <c r="T48" i="28" a="1"/>
  <c r="U48" i="28" a="1"/>
  <c r="V48" i="28" a="1"/>
  <c r="W48" i="28" a="1"/>
  <c r="X48" i="28" a="1"/>
  <c r="Y48" i="28" a="1"/>
  <c r="Z48" i="28" a="1"/>
  <c r="AA48" i="28" a="1"/>
  <c r="AB48" i="28" a="1"/>
  <c r="AC48" i="28" a="1"/>
  <c r="AD48" i="28" a="1"/>
  <c r="AE48" i="28" a="1"/>
  <c r="AF48" i="28" a="1"/>
  <c r="AG48" i="28" a="1"/>
  <c r="AH48" i="28" a="1"/>
  <c r="AI48" i="28" a="1"/>
  <c r="AJ48" i="28" a="1"/>
  <c r="AK48" i="28" a="1"/>
  <c r="AL48" i="28" a="1"/>
  <c r="AM48" i="28" a="1"/>
  <c r="AN48" i="28" a="1"/>
  <c r="AO48" i="28" a="1"/>
  <c r="AP48" i="28" a="1"/>
  <c r="AQ48" i="28" a="1"/>
  <c r="AR48" i="28" a="1"/>
  <c r="AS48" i="28" a="1"/>
  <c r="AT48" i="28" a="1"/>
  <c r="AU48" i="28" a="1"/>
  <c r="AV48" i="28" a="1"/>
  <c r="AW48" i="28" a="1"/>
  <c r="AX48" i="28" a="1"/>
  <c r="AY48" i="28" a="1"/>
  <c r="AZ48" i="28" a="1"/>
  <c r="BA48" i="28" a="1"/>
  <c r="BB48" i="28" a="1"/>
  <c r="BC48" i="28" a="1"/>
  <c r="BD48" i="28" a="1"/>
  <c r="BE48" i="28" a="1"/>
  <c r="BF48" i="28" a="1"/>
  <c r="BG48" i="28" a="1"/>
  <c r="BH48" i="28" a="1"/>
  <c r="BI48" i="28" a="1"/>
  <c r="BJ48" i="28" a="1"/>
  <c r="BK48" i="28" a="1"/>
  <c r="BL48" i="28" a="1"/>
  <c r="BM48" i="28" a="1"/>
  <c r="BN48" i="28" a="1"/>
  <c r="BO48" i="28" a="1"/>
  <c r="BP48" i="28" a="1"/>
  <c r="G48" i="28"/>
  <c r="H48" i="28"/>
  <c r="I48" i="28"/>
  <c r="J48" i="28"/>
  <c r="K48" i="28"/>
  <c r="L48" i="28"/>
  <c r="M48" i="28"/>
  <c r="N48" i="28"/>
  <c r="O48" i="28"/>
  <c r="P48" i="28"/>
  <c r="Q48" i="28"/>
  <c r="R48" i="28"/>
  <c r="S48" i="28"/>
  <c r="T48" i="28"/>
  <c r="U48" i="28"/>
  <c r="V48" i="28"/>
  <c r="W48" i="28"/>
  <c r="X48" i="28"/>
  <c r="Y48" i="28"/>
  <c r="Z48" i="28"/>
  <c r="AA48" i="28"/>
  <c r="AB48" i="28"/>
  <c r="AC48" i="28"/>
  <c r="AD48" i="28"/>
  <c r="AE48" i="28"/>
  <c r="AF48" i="28"/>
  <c r="AG48" i="28"/>
  <c r="AH48" i="28"/>
  <c r="AI48" i="28"/>
  <c r="AJ48" i="28"/>
  <c r="AK48" i="28"/>
  <c r="AL48" i="28"/>
  <c r="AM48" i="28"/>
  <c r="AN48" i="28"/>
  <c r="AO48" i="28"/>
  <c r="AP48" i="28"/>
  <c r="AQ48" i="28"/>
  <c r="AR48" i="28"/>
  <c r="AS48" i="28"/>
  <c r="AT48" i="28"/>
  <c r="AU48" i="28"/>
  <c r="AV48" i="28"/>
  <c r="AW48" i="28"/>
  <c r="AX48" i="28"/>
  <c r="AY48" i="28"/>
  <c r="AZ48" i="28"/>
  <c r="BA48" i="28"/>
  <c r="BB48" i="28"/>
  <c r="BC48" i="28"/>
  <c r="BD48" i="28"/>
  <c r="BE48" i="28"/>
  <c r="BF48" i="28"/>
  <c r="BG48" i="28"/>
  <c r="BH48" i="28"/>
  <c r="BI48" i="28"/>
  <c r="BJ48" i="28"/>
  <c r="BK48" i="28"/>
  <c r="BL48" i="28"/>
  <c r="BM48" i="28"/>
  <c r="BN48" i="28"/>
  <c r="BO48" i="28"/>
  <c r="BP48" i="28"/>
  <c r="AB24" i="28"/>
  <c r="W24" i="28"/>
  <c r="E38" i="28" a="1"/>
  <c r="E38" i="28"/>
  <c r="F38" i="28" a="1"/>
  <c r="F38" i="28"/>
  <c r="G38" i="28" a="1"/>
  <c r="H38" i="28" a="1"/>
  <c r="I38" i="28" a="1"/>
  <c r="J38" i="28" a="1"/>
  <c r="K38" i="28" a="1"/>
  <c r="L38" i="28" a="1"/>
  <c r="M38" i="28" a="1"/>
  <c r="N38" i="28" a="1"/>
  <c r="O38" i="28" a="1"/>
  <c r="P38" i="28" a="1"/>
  <c r="Q38" i="28" a="1"/>
  <c r="R38" i="28" a="1"/>
  <c r="S38" i="28" a="1"/>
  <c r="T38" i="28" a="1"/>
  <c r="U38" i="28" a="1"/>
  <c r="V38" i="28" a="1"/>
  <c r="W38" i="28" a="1"/>
  <c r="X38" i="28" a="1"/>
  <c r="Y38" i="28" a="1"/>
  <c r="Z38" i="28" a="1"/>
  <c r="AA38" i="28" a="1"/>
  <c r="AB38" i="28" a="1"/>
  <c r="AC38" i="28" a="1"/>
  <c r="AD38" i="28" a="1"/>
  <c r="AE38" i="28" a="1"/>
  <c r="AF38" i="28" a="1"/>
  <c r="AG38" i="28" a="1"/>
  <c r="AH38" i="28" a="1"/>
  <c r="AI38" i="28" a="1"/>
  <c r="AJ38" i="28" a="1"/>
  <c r="AK38" i="28" a="1"/>
  <c r="AL38" i="28" a="1"/>
  <c r="AM38" i="28" a="1"/>
  <c r="AN38" i="28" a="1"/>
  <c r="AO38" i="28" a="1"/>
  <c r="AP38" i="28" a="1"/>
  <c r="AQ38" i="28" a="1"/>
  <c r="AR38" i="28" a="1"/>
  <c r="AS38" i="28" a="1"/>
  <c r="AT38" i="28" a="1"/>
  <c r="AU38" i="28" a="1"/>
  <c r="AV38" i="28" a="1"/>
  <c r="AW38" i="28" a="1"/>
  <c r="AX38" i="28" a="1"/>
  <c r="AY38" i="28" a="1"/>
  <c r="AZ38" i="28" a="1"/>
  <c r="BA38" i="28" a="1"/>
  <c r="BB38" i="28" a="1"/>
  <c r="BC38" i="28" a="1"/>
  <c r="BD38" i="28" a="1"/>
  <c r="BE38" i="28" a="1"/>
  <c r="BF38" i="28" a="1"/>
  <c r="BG38" i="28" a="1"/>
  <c r="BH38" i="28" a="1"/>
  <c r="BI38" i="28" a="1"/>
  <c r="BJ38" i="28" a="1"/>
  <c r="BK38" i="28" a="1"/>
  <c r="BL38" i="28" a="1"/>
  <c r="BM38" i="28" a="1"/>
  <c r="BN38" i="28" a="1"/>
  <c r="BO38" i="28" a="1"/>
  <c r="BP38" i="28" a="1"/>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AS38" i="28"/>
  <c r="AT38" i="28"/>
  <c r="AU38" i="28"/>
  <c r="AV38" i="28"/>
  <c r="AW38" i="28"/>
  <c r="AX38" i="28"/>
  <c r="AY38" i="28"/>
  <c r="AZ38" i="28"/>
  <c r="BA38" i="28"/>
  <c r="BB38" i="28"/>
  <c r="BC38" i="28"/>
  <c r="BD38" i="28"/>
  <c r="BE38" i="28"/>
  <c r="BF38" i="28"/>
  <c r="BG38" i="28"/>
  <c r="BH38" i="28"/>
  <c r="BI38" i="28"/>
  <c r="BJ38" i="28"/>
  <c r="BK38" i="28"/>
  <c r="BL38" i="28"/>
  <c r="BM38" i="28"/>
  <c r="BN38" i="28"/>
  <c r="BO38" i="28"/>
  <c r="BP38" i="28"/>
  <c r="AA25" i="28"/>
  <c r="E49" i="28" a="1"/>
  <c r="E49" i="28"/>
  <c r="F49" i="28" a="1"/>
  <c r="F49" i="28"/>
  <c r="G49" i="28" a="1"/>
  <c r="H49" i="28" a="1"/>
  <c r="I49" i="28" a="1"/>
  <c r="J49" i="28" a="1"/>
  <c r="K49" i="28" a="1"/>
  <c r="L49" i="28" a="1"/>
  <c r="M49" i="28" a="1"/>
  <c r="N49" i="28" a="1"/>
  <c r="O49" i="28" a="1"/>
  <c r="P49" i="28" a="1"/>
  <c r="Q49" i="28" a="1"/>
  <c r="R49" i="28" a="1"/>
  <c r="S49" i="28" a="1"/>
  <c r="T49" i="28" a="1"/>
  <c r="U49" i="28" a="1"/>
  <c r="V49" i="28" a="1"/>
  <c r="W49" i="28" a="1"/>
  <c r="X49" i="28" a="1"/>
  <c r="Y49" i="28" a="1"/>
  <c r="Z49" i="28" a="1"/>
  <c r="AA49" i="28" a="1"/>
  <c r="AB49" i="28" a="1"/>
  <c r="AC49" i="28" a="1"/>
  <c r="AD49" i="28" a="1"/>
  <c r="AE49" i="28" a="1"/>
  <c r="AF49" i="28" a="1"/>
  <c r="AG49" i="28" a="1"/>
  <c r="AH49" i="28" a="1"/>
  <c r="AI49" i="28" a="1"/>
  <c r="AJ49" i="28" a="1"/>
  <c r="AK49" i="28" a="1"/>
  <c r="AL49" i="28" a="1"/>
  <c r="AM49" i="28" a="1"/>
  <c r="AN49" i="28" a="1"/>
  <c r="AO49" i="28" a="1"/>
  <c r="AP49" i="28" a="1"/>
  <c r="AQ49" i="28" a="1"/>
  <c r="AR49" i="28" a="1"/>
  <c r="AS49" i="28" a="1"/>
  <c r="AT49" i="28" a="1"/>
  <c r="AU49" i="28" a="1"/>
  <c r="AV49" i="28" a="1"/>
  <c r="AW49" i="28" a="1"/>
  <c r="AX49" i="28" a="1"/>
  <c r="AY49" i="28" a="1"/>
  <c r="AZ49" i="28" a="1"/>
  <c r="BA49" i="28" a="1"/>
  <c r="BB49" i="28" a="1"/>
  <c r="BC49" i="28" a="1"/>
  <c r="BD49" i="28" a="1"/>
  <c r="BE49" i="28" a="1"/>
  <c r="BF49" i="28" a="1"/>
  <c r="BG49" i="28" a="1"/>
  <c r="BH49" i="28" a="1"/>
  <c r="BI49" i="28" a="1"/>
  <c r="BJ49" i="28" a="1"/>
  <c r="BK49" i="28" a="1"/>
  <c r="BL49" i="28" a="1"/>
  <c r="BM49" i="28" a="1"/>
  <c r="BN49" i="28" a="1"/>
  <c r="BO49" i="28" a="1"/>
  <c r="BP49" i="28" a="1"/>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BC49" i="28"/>
  <c r="BD49" i="28"/>
  <c r="BE49" i="28"/>
  <c r="BF49" i="28"/>
  <c r="BG49" i="28"/>
  <c r="BH49" i="28"/>
  <c r="BI49" i="28"/>
  <c r="BJ49" i="28"/>
  <c r="BK49" i="28"/>
  <c r="BL49" i="28"/>
  <c r="BM49" i="28"/>
  <c r="BN49" i="28"/>
  <c r="BO49" i="28"/>
  <c r="BP49" i="28"/>
  <c r="AB25" i="28"/>
  <c r="W25" i="28"/>
  <c r="X21" i="28"/>
  <c r="AD17" i="28"/>
  <c r="Y17" i="28"/>
  <c r="X17" i="28"/>
  <c r="AD18" i="28"/>
  <c r="Y18" i="28"/>
  <c r="X18" i="28"/>
  <c r="AD19" i="28"/>
  <c r="Y19" i="28"/>
  <c r="X19" i="28"/>
  <c r="AD20" i="28"/>
  <c r="Y20" i="28"/>
  <c r="X20" i="28"/>
  <c r="X22" i="28"/>
  <c r="X23" i="28"/>
  <c r="X24" i="28"/>
  <c r="X25" i="28"/>
  <c r="E8" i="28"/>
  <c r="D8" i="28"/>
  <c r="E4" i="28"/>
  <c r="D4" i="28"/>
  <c r="E5" i="28"/>
  <c r="D5" i="28"/>
  <c r="E6" i="28"/>
  <c r="D6" i="28"/>
  <c r="E7" i="28"/>
  <c r="D7" i="28"/>
  <c r="E9" i="28"/>
  <c r="D9" i="28"/>
  <c r="E10" i="28"/>
  <c r="D10" i="28"/>
  <c r="E11" i="28"/>
  <c r="D11" i="28"/>
  <c r="E12" i="28"/>
  <c r="D12" i="28"/>
  <c r="C8" i="28"/>
  <c r="C9" i="28"/>
  <c r="C10" i="28"/>
  <c r="C11" i="28"/>
  <c r="C12" i="28"/>
  <c r="K4" i="28"/>
  <c r="K5" i="28"/>
  <c r="K6" i="28"/>
  <c r="K7" i="28"/>
  <c r="K8" i="28"/>
  <c r="K9" i="28"/>
  <c r="K10" i="28"/>
  <c r="K11" i="28"/>
  <c r="K12" i="28"/>
  <c r="K13" i="28"/>
  <c r="C4" i="28"/>
  <c r="C5" i="28"/>
  <c r="C6" i="28"/>
  <c r="N4" i="28"/>
  <c r="N5" i="28"/>
  <c r="N6" i="28"/>
  <c r="C7" i="28"/>
  <c r="N7" i="28"/>
  <c r="N8" i="28"/>
  <c r="N9" i="28"/>
  <c r="N10" i="28"/>
  <c r="N11" i="28"/>
  <c r="N12" i="28"/>
  <c r="AM12" i="27"/>
  <c r="AO15" i="27"/>
  <c r="AV4" i="28"/>
  <c r="AN15" i="27"/>
  <c r="AG15" i="27"/>
  <c r="AI15" i="27"/>
  <c r="AJ15" i="27"/>
  <c r="AO14" i="27"/>
  <c r="AV5" i="28"/>
  <c r="AN14" i="27"/>
  <c r="AG14" i="27"/>
  <c r="AI14" i="27"/>
  <c r="AJ14" i="27"/>
  <c r="AO13" i="27"/>
  <c r="AV6" i="28"/>
  <c r="AN13" i="27"/>
  <c r="AG13" i="27"/>
  <c r="AI13" i="27"/>
  <c r="AJ13" i="27"/>
  <c r="AV7" i="28"/>
  <c r="AN12" i="27"/>
  <c r="AG12" i="27"/>
  <c r="AI12" i="27"/>
  <c r="AJ12" i="27"/>
  <c r="AC160" i="33"/>
  <c r="Y88" i="33"/>
  <c r="AE88" i="33"/>
  <c r="AG88" i="33"/>
  <c r="AI88" i="33"/>
  <c r="X88" i="33"/>
  <c r="AD88" i="33"/>
  <c r="AF88" i="33"/>
  <c r="AH88" i="33"/>
  <c r="AB160" i="33"/>
  <c r="AA160" i="33"/>
  <c r="Z160" i="33"/>
  <c r="AC159" i="33"/>
  <c r="Y87" i="33"/>
  <c r="AE87" i="33"/>
  <c r="AG87" i="33"/>
  <c r="AI87" i="33"/>
  <c r="X87" i="33"/>
  <c r="AD87" i="33"/>
  <c r="AF87" i="33"/>
  <c r="AH87" i="33"/>
  <c r="AB159" i="33"/>
  <c r="AA159" i="33"/>
  <c r="Z159" i="33"/>
  <c r="AC158" i="33"/>
  <c r="Y86" i="33"/>
  <c r="AE86" i="33"/>
  <c r="AG86" i="33"/>
  <c r="AI86" i="33"/>
  <c r="X86" i="33"/>
  <c r="AD86" i="33"/>
  <c r="AF86" i="33"/>
  <c r="AH86" i="33"/>
  <c r="AB158" i="33"/>
  <c r="AA158" i="33"/>
  <c r="Z158" i="33"/>
  <c r="AC157" i="33"/>
  <c r="AB157" i="33"/>
  <c r="AA157" i="33"/>
  <c r="Z157" i="33"/>
  <c r="AC156" i="33"/>
  <c r="Y84" i="33"/>
  <c r="AE84" i="33"/>
  <c r="AG84" i="33"/>
  <c r="AI84" i="33"/>
  <c r="X84" i="33"/>
  <c r="AD84" i="33"/>
  <c r="AF84" i="33"/>
  <c r="AH84" i="33"/>
  <c r="AB156" i="33"/>
  <c r="AA156" i="33"/>
  <c r="Z156" i="33"/>
  <c r="AC155" i="33"/>
  <c r="Y83" i="33"/>
  <c r="AE83" i="33"/>
  <c r="AG83" i="33"/>
  <c r="AI83" i="33"/>
  <c r="X83" i="33"/>
  <c r="AD83" i="33"/>
  <c r="AF83" i="33"/>
  <c r="AH83" i="33"/>
  <c r="AB155" i="33"/>
  <c r="AA155" i="33"/>
  <c r="Z155" i="33"/>
  <c r="AC154" i="33"/>
  <c r="AB154" i="33"/>
  <c r="AA154" i="33"/>
  <c r="Z154" i="33"/>
  <c r="AC153" i="33"/>
  <c r="AB153" i="33"/>
  <c r="AA153" i="33"/>
  <c r="Z153" i="33"/>
  <c r="AC144" i="33"/>
  <c r="Y72" i="33"/>
  <c r="AE72" i="33"/>
  <c r="AG72" i="33"/>
  <c r="AI72" i="33"/>
  <c r="X72" i="33"/>
  <c r="AD72" i="33"/>
  <c r="AF72" i="33"/>
  <c r="AH72" i="33"/>
  <c r="AB144" i="33"/>
  <c r="AA144" i="33"/>
  <c r="Z144" i="33"/>
  <c r="AC143" i="33"/>
  <c r="Y71" i="33"/>
  <c r="AE71" i="33"/>
  <c r="AG71" i="33"/>
  <c r="AI71" i="33"/>
  <c r="X71" i="33"/>
  <c r="AD71" i="33"/>
  <c r="AF71" i="33"/>
  <c r="AH71" i="33"/>
  <c r="AB143" i="33"/>
  <c r="AA143" i="33"/>
  <c r="Z143" i="33"/>
  <c r="AC142" i="33"/>
  <c r="AB142" i="33"/>
  <c r="AA142" i="33"/>
  <c r="Z142" i="33"/>
  <c r="AC141" i="33"/>
  <c r="AB141" i="33"/>
  <c r="AA141" i="33"/>
  <c r="Z141" i="33"/>
  <c r="AC140" i="33"/>
  <c r="Y68" i="33"/>
  <c r="AE68" i="33"/>
  <c r="AG68" i="33"/>
  <c r="AI68" i="33"/>
  <c r="X68" i="33"/>
  <c r="AD68" i="33"/>
  <c r="AF68" i="33"/>
  <c r="AH68" i="33"/>
  <c r="AB140" i="33"/>
  <c r="AA140" i="33"/>
  <c r="Z140" i="33"/>
  <c r="AC139" i="33"/>
  <c r="Y67" i="33"/>
  <c r="AE67" i="33"/>
  <c r="AG67" i="33"/>
  <c r="AI67" i="33"/>
  <c r="X67" i="33"/>
  <c r="AD67" i="33"/>
  <c r="AF67" i="33"/>
  <c r="AH67" i="33"/>
  <c r="AB139" i="33"/>
  <c r="AA139" i="33"/>
  <c r="Z139" i="33"/>
  <c r="AC138" i="33"/>
  <c r="AB138" i="33"/>
  <c r="AA138" i="33"/>
  <c r="Z138" i="33"/>
  <c r="AC137" i="33"/>
  <c r="AB137" i="33"/>
  <c r="AA137" i="33"/>
  <c r="Z137" i="33"/>
  <c r="AC136" i="33"/>
  <c r="AB136" i="33"/>
  <c r="AA136" i="33"/>
  <c r="Z136" i="33"/>
  <c r="AM88" i="33"/>
  <c r="AL88" i="33"/>
  <c r="AC88" i="33"/>
  <c r="AB88" i="33"/>
  <c r="Z88" i="33"/>
  <c r="AM87" i="33"/>
  <c r="AL87" i="33"/>
  <c r="AC87" i="33"/>
  <c r="AB87" i="33"/>
  <c r="Z87" i="33"/>
  <c r="AM86" i="33"/>
  <c r="AL86" i="33"/>
  <c r="AC86" i="33"/>
  <c r="AB86" i="33"/>
  <c r="Z86" i="33"/>
  <c r="AM85" i="33"/>
  <c r="AL85" i="33"/>
  <c r="AG85" i="33"/>
  <c r="AF85" i="33"/>
  <c r="AE85" i="33"/>
  <c r="AD85" i="33"/>
  <c r="AC85" i="33"/>
  <c r="AB85" i="33"/>
  <c r="Z85" i="33"/>
  <c r="Y85" i="33"/>
  <c r="X85" i="33"/>
  <c r="AM84" i="33"/>
  <c r="AL84" i="33"/>
  <c r="AC84" i="33"/>
  <c r="AB84" i="33"/>
  <c r="Z84" i="33"/>
  <c r="AM83" i="33"/>
  <c r="AL83" i="33"/>
  <c r="AC83" i="33"/>
  <c r="AB83" i="33"/>
  <c r="Z83" i="33"/>
  <c r="AM82" i="33"/>
  <c r="AL82" i="33"/>
  <c r="AG82" i="33"/>
  <c r="AF82" i="33"/>
  <c r="AE82" i="33"/>
  <c r="AD82" i="33"/>
  <c r="AC82" i="33"/>
  <c r="AB82" i="33"/>
  <c r="Z82" i="33"/>
  <c r="Y82" i="33"/>
  <c r="X82" i="33"/>
  <c r="AM81" i="33"/>
  <c r="AL81" i="33"/>
  <c r="AG81" i="33"/>
  <c r="AF81" i="33"/>
  <c r="AE81" i="33"/>
  <c r="AD81" i="33"/>
  <c r="AC81" i="33"/>
  <c r="AB81" i="33"/>
  <c r="Z81" i="33"/>
  <c r="Y81" i="33"/>
  <c r="X81" i="33"/>
  <c r="AM72" i="33"/>
  <c r="AL72" i="33"/>
  <c r="AC72" i="33"/>
  <c r="AB72" i="33"/>
  <c r="Z72" i="33"/>
  <c r="AM71" i="33"/>
  <c r="AL71" i="33"/>
  <c r="AC71" i="33"/>
  <c r="AB71" i="33"/>
  <c r="Z71" i="33"/>
  <c r="AM70" i="33"/>
  <c r="AL70" i="33"/>
  <c r="AG70" i="33"/>
  <c r="AF70" i="33"/>
  <c r="AE70" i="33"/>
  <c r="AD70" i="33"/>
  <c r="AC70" i="33"/>
  <c r="AB70" i="33"/>
  <c r="Z70" i="33"/>
  <c r="Y70" i="33"/>
  <c r="X70" i="33"/>
  <c r="AM69" i="33"/>
  <c r="AL69" i="33"/>
  <c r="AG69" i="33"/>
  <c r="AF69" i="33"/>
  <c r="AE69" i="33"/>
  <c r="AD69" i="33"/>
  <c r="AC69" i="33"/>
  <c r="AB69" i="33"/>
  <c r="Z69" i="33"/>
  <c r="Y69" i="33"/>
  <c r="X69" i="33"/>
  <c r="AM68" i="33"/>
  <c r="AL68" i="33"/>
  <c r="AC68" i="33"/>
  <c r="AB68" i="33"/>
  <c r="Z68" i="33"/>
  <c r="AM67" i="33"/>
  <c r="AL67" i="33"/>
  <c r="AC67" i="33"/>
  <c r="AB67" i="33"/>
  <c r="Z67" i="33"/>
  <c r="AM66" i="33"/>
  <c r="AL66" i="33"/>
  <c r="AG66" i="33"/>
  <c r="AF66" i="33"/>
  <c r="AE66" i="33"/>
  <c r="AD66" i="33"/>
  <c r="AC66" i="33"/>
  <c r="AB66" i="33"/>
  <c r="Z66" i="33"/>
  <c r="Y66" i="33"/>
  <c r="X66" i="33"/>
  <c r="AM65" i="33"/>
  <c r="AL65" i="33"/>
  <c r="AG65" i="33"/>
  <c r="AF65" i="33"/>
  <c r="AE65" i="33"/>
  <c r="AD65" i="33"/>
  <c r="AC65" i="33"/>
  <c r="AB65" i="33"/>
  <c r="Z65" i="33"/>
  <c r="Y65" i="33"/>
  <c r="X65" i="33"/>
  <c r="AM64" i="33"/>
  <c r="AL64" i="33"/>
  <c r="AG64" i="33"/>
  <c r="AF64" i="33"/>
  <c r="AE64" i="33"/>
  <c r="AD64" i="33"/>
  <c r="AC64" i="33"/>
  <c r="AB64" i="33"/>
  <c r="Z64" i="33"/>
  <c r="Y64" i="33"/>
  <c r="X64" i="33"/>
  <c r="L12" i="33"/>
  <c r="M12" i="33"/>
  <c r="J12" i="33"/>
  <c r="K25" i="33"/>
  <c r="AT12" i="33"/>
  <c r="AS12" i="33"/>
  <c r="AU12" i="33"/>
  <c r="AH64" i="33"/>
  <c r="AH65" i="33"/>
  <c r="AH69" i="33"/>
  <c r="AH73" i="33"/>
  <c r="AH66" i="33"/>
  <c r="AH70" i="33"/>
  <c r="AH74" i="33"/>
  <c r="X75" i="33"/>
  <c r="AD75" i="33"/>
  <c r="AF75" i="33"/>
  <c r="AH75" i="33"/>
  <c r="X76" i="33"/>
  <c r="AD76" i="33"/>
  <c r="AF76" i="33"/>
  <c r="AH76" i="33"/>
  <c r="AH77" i="33"/>
  <c r="AH78" i="33"/>
  <c r="X79" i="33"/>
  <c r="AD79" i="33"/>
  <c r="AF79" i="33"/>
  <c r="AH79" i="33"/>
  <c r="X80" i="33"/>
  <c r="AD80" i="33"/>
  <c r="AF80" i="33"/>
  <c r="AH80" i="33"/>
  <c r="AH81" i="33"/>
  <c r="AH82" i="33"/>
  <c r="AH85" i="33"/>
  <c r="AI64" i="33"/>
  <c r="AI65" i="33"/>
  <c r="AI66" i="33"/>
  <c r="AI69" i="33"/>
  <c r="AI70" i="33"/>
  <c r="AI73" i="33"/>
  <c r="AI74" i="33"/>
  <c r="Y75" i="33"/>
  <c r="AE75" i="33"/>
  <c r="AG75" i="33"/>
  <c r="AI75" i="33"/>
  <c r="Y76" i="33"/>
  <c r="AE76" i="33"/>
  <c r="AG76" i="33"/>
  <c r="AI76" i="33"/>
  <c r="AI77" i="33"/>
  <c r="AI78" i="33"/>
  <c r="Y79" i="33"/>
  <c r="AE79" i="33"/>
  <c r="AG79" i="33"/>
  <c r="AI79" i="33"/>
  <c r="Y80" i="33"/>
  <c r="AE80" i="33"/>
  <c r="AG80" i="33"/>
  <c r="AI80" i="33"/>
  <c r="AI81" i="33"/>
  <c r="AI82" i="33"/>
  <c r="AI85" i="33"/>
  <c r="G12" i="33"/>
  <c r="H12" i="33"/>
  <c r="I12" i="33"/>
  <c r="AW12" i="33"/>
  <c r="G4" i="33"/>
  <c r="H4" i="33"/>
  <c r="I4" i="33"/>
  <c r="AW4" i="33"/>
  <c r="G5" i="33"/>
  <c r="H5" i="33"/>
  <c r="I5" i="33"/>
  <c r="AW5" i="33"/>
  <c r="G6" i="33"/>
  <c r="H6" i="33"/>
  <c r="I6" i="33"/>
  <c r="AW6" i="33"/>
  <c r="G7" i="33"/>
  <c r="H7" i="33"/>
  <c r="I7" i="33"/>
  <c r="AW7" i="33"/>
  <c r="G8" i="33"/>
  <c r="H8" i="33"/>
  <c r="I8" i="33"/>
  <c r="AW8" i="33"/>
  <c r="G9" i="33"/>
  <c r="H9" i="33"/>
  <c r="I9" i="33"/>
  <c r="AW9" i="33"/>
  <c r="G10" i="33"/>
  <c r="H10" i="33"/>
  <c r="I10" i="33"/>
  <c r="AW10" i="33"/>
  <c r="G11" i="33"/>
  <c r="H11" i="33"/>
  <c r="I11" i="33"/>
  <c r="AW11" i="33"/>
  <c r="AX12" i="33"/>
  <c r="L25" i="33"/>
  <c r="L4" i="33"/>
  <c r="M4" i="33"/>
  <c r="J4" i="33"/>
  <c r="K17" i="33"/>
  <c r="AT4" i="33"/>
  <c r="AS4" i="33"/>
  <c r="AU4" i="33"/>
  <c r="AX4" i="33"/>
  <c r="L17" i="33"/>
  <c r="L5" i="33"/>
  <c r="M5" i="33"/>
  <c r="J5" i="33"/>
  <c r="K18" i="33"/>
  <c r="AT5" i="33"/>
  <c r="AS5" i="33"/>
  <c r="AU5" i="33"/>
  <c r="AX5" i="33"/>
  <c r="L18" i="33"/>
  <c r="L6" i="33"/>
  <c r="M6" i="33"/>
  <c r="J6" i="33"/>
  <c r="K19" i="33"/>
  <c r="AT6" i="33"/>
  <c r="AS6" i="33"/>
  <c r="AU6" i="33"/>
  <c r="AX6" i="33"/>
  <c r="L19" i="33"/>
  <c r="L7" i="33"/>
  <c r="M7" i="33"/>
  <c r="J7" i="33"/>
  <c r="K20" i="33"/>
  <c r="AT7" i="33"/>
  <c r="AS7" i="33"/>
  <c r="AU7" i="33"/>
  <c r="AX7" i="33"/>
  <c r="L20" i="33"/>
  <c r="L8" i="33"/>
  <c r="M8" i="33"/>
  <c r="J8" i="33"/>
  <c r="K21" i="33"/>
  <c r="AT8" i="33"/>
  <c r="AS8" i="33"/>
  <c r="AU8" i="33"/>
  <c r="AX8" i="33"/>
  <c r="L21" i="33"/>
  <c r="L9" i="33"/>
  <c r="M9" i="33"/>
  <c r="J9" i="33"/>
  <c r="K22" i="33"/>
  <c r="AT9" i="33"/>
  <c r="AS9" i="33"/>
  <c r="AU9" i="33"/>
  <c r="AX9" i="33"/>
  <c r="L22" i="33"/>
  <c r="L10" i="33"/>
  <c r="M10" i="33"/>
  <c r="J10" i="33"/>
  <c r="K23" i="33"/>
  <c r="AT10" i="33"/>
  <c r="AS10" i="33"/>
  <c r="AU10" i="33"/>
  <c r="AX10" i="33"/>
  <c r="L23" i="33"/>
  <c r="L11" i="33"/>
  <c r="M11" i="33"/>
  <c r="J11" i="33"/>
  <c r="K24" i="33"/>
  <c r="AT11" i="33"/>
  <c r="AS11" i="33"/>
  <c r="AU11" i="33"/>
  <c r="AX11" i="33"/>
  <c r="L24" i="33"/>
  <c r="M25" i="33"/>
  <c r="N25" i="33" a="1"/>
  <c r="N25" i="33"/>
  <c r="O25" i="33"/>
  <c r="M17" i="33"/>
  <c r="N17" i="33" a="1"/>
  <c r="N17" i="33"/>
  <c r="C17" i="33"/>
  <c r="O17" i="33"/>
  <c r="BR30" i="33"/>
  <c r="BS29" i="33"/>
  <c r="BT29" i="33"/>
  <c r="BT30" i="33"/>
  <c r="BU29" i="33"/>
  <c r="BU30" i="33"/>
  <c r="BV29" i="33"/>
  <c r="BV30" i="33"/>
  <c r="BW30" i="33"/>
  <c r="BX30" i="33"/>
  <c r="BY30" i="33"/>
  <c r="BZ30" i="33"/>
  <c r="CA30" i="33"/>
  <c r="BR31" i="33"/>
  <c r="BS31" i="33"/>
  <c r="BU31" i="33"/>
  <c r="BV31" i="33"/>
  <c r="BW31" i="33"/>
  <c r="BX31" i="33"/>
  <c r="BY31" i="33"/>
  <c r="BZ31" i="33"/>
  <c r="CA31" i="33"/>
  <c r="BR32" i="33"/>
  <c r="BS32" i="33"/>
  <c r="BT32" i="33"/>
  <c r="BV32" i="33"/>
  <c r="BW32" i="33"/>
  <c r="BX32" i="33"/>
  <c r="BY32" i="33"/>
  <c r="BZ32" i="33"/>
  <c r="CA32" i="33"/>
  <c r="BR33" i="33"/>
  <c r="BS33" i="33"/>
  <c r="BT33" i="33"/>
  <c r="BU33" i="33"/>
  <c r="BW33" i="33"/>
  <c r="BX33" i="33"/>
  <c r="BY33" i="33"/>
  <c r="BZ33" i="33"/>
  <c r="CA33" i="33"/>
  <c r="BS34" i="33"/>
  <c r="BT34" i="33"/>
  <c r="BU34" i="33"/>
  <c r="BV34" i="33"/>
  <c r="BX34" i="33"/>
  <c r="BY34" i="33"/>
  <c r="BZ34" i="33"/>
  <c r="CA34" i="33"/>
  <c r="BS35" i="33"/>
  <c r="BT35" i="33"/>
  <c r="BU35" i="33"/>
  <c r="BV35" i="33"/>
  <c r="BW35" i="33"/>
  <c r="BY35" i="33"/>
  <c r="BZ35" i="33"/>
  <c r="CA35" i="33"/>
  <c r="BS36" i="33"/>
  <c r="BT36" i="33"/>
  <c r="BU36" i="33"/>
  <c r="BV36" i="33"/>
  <c r="BW36" i="33"/>
  <c r="BX36" i="33"/>
  <c r="BZ36" i="33"/>
  <c r="CA36" i="33"/>
  <c r="BS37" i="33"/>
  <c r="BT37" i="33"/>
  <c r="BU37" i="33"/>
  <c r="BV37" i="33"/>
  <c r="BW37" i="33"/>
  <c r="BX37" i="33"/>
  <c r="BY37" i="33"/>
  <c r="CA37" i="33"/>
  <c r="BS38" i="33"/>
  <c r="BT38" i="33"/>
  <c r="BU38" i="33"/>
  <c r="BV38" i="33"/>
  <c r="BW38" i="33"/>
  <c r="BX38" i="33"/>
  <c r="BY38" i="33"/>
  <c r="BZ38" i="33"/>
  <c r="E60" i="33" a="1"/>
  <c r="E60" i="33"/>
  <c r="M18" i="33"/>
  <c r="N18" i="33" a="1"/>
  <c r="N18" i="33"/>
  <c r="C18" i="33"/>
  <c r="O18" i="33"/>
  <c r="F60" i="33" a="1"/>
  <c r="F60" i="33"/>
  <c r="M19" i="33"/>
  <c r="N19" i="33" a="1"/>
  <c r="N19" i="33"/>
  <c r="C19" i="33"/>
  <c r="O19" i="33"/>
  <c r="G60" i="33" a="1"/>
  <c r="M20" i="33"/>
  <c r="N20" i="33" a="1"/>
  <c r="N20" i="33"/>
  <c r="C20" i="33"/>
  <c r="O20" i="33"/>
  <c r="H60" i="33" a="1"/>
  <c r="M21" i="33"/>
  <c r="N21" i="33" a="1"/>
  <c r="N21" i="33"/>
  <c r="O21" i="33"/>
  <c r="I60" i="33" a="1"/>
  <c r="M22" i="33"/>
  <c r="N22" i="33" a="1"/>
  <c r="N22" i="33"/>
  <c r="O22" i="33"/>
  <c r="J60" i="33" a="1"/>
  <c r="M23" i="33"/>
  <c r="N23" i="33" a="1"/>
  <c r="N23" i="33"/>
  <c r="O23" i="33"/>
  <c r="K60" i="33" a="1"/>
  <c r="M24" i="33"/>
  <c r="N24" i="33" a="1"/>
  <c r="N24" i="33"/>
  <c r="O24" i="33"/>
  <c r="L60" i="33" a="1"/>
  <c r="P25" i="33"/>
  <c r="P17" i="33"/>
  <c r="M60" i="33" a="1"/>
  <c r="P18" i="33"/>
  <c r="N60" i="33" a="1"/>
  <c r="P19" i="33"/>
  <c r="O60" i="33" a="1"/>
  <c r="P20" i="33"/>
  <c r="P60" i="33" a="1"/>
  <c r="P21" i="33"/>
  <c r="Q60" i="33" a="1"/>
  <c r="P22" i="33"/>
  <c r="R60" i="33" a="1"/>
  <c r="P23" i="33"/>
  <c r="S60" i="33" a="1"/>
  <c r="P24" i="33"/>
  <c r="T60" i="33" a="1"/>
  <c r="Q25" i="33"/>
  <c r="Q17" i="33"/>
  <c r="U60" i="33" a="1"/>
  <c r="Q18" i="33"/>
  <c r="V60" i="33" a="1"/>
  <c r="Q19" i="33"/>
  <c r="W60" i="33" a="1"/>
  <c r="Q20" i="33"/>
  <c r="X60" i="33" a="1"/>
  <c r="Q21" i="33"/>
  <c r="Y60" i="33" a="1"/>
  <c r="Q22" i="33"/>
  <c r="Z60" i="33" a="1"/>
  <c r="Q23" i="33"/>
  <c r="AA60" i="33" a="1"/>
  <c r="Q24" i="33"/>
  <c r="AB60" i="33" a="1"/>
  <c r="R25" i="33"/>
  <c r="R17" i="33"/>
  <c r="AC60" i="33" a="1"/>
  <c r="R18" i="33"/>
  <c r="AD60" i="33" a="1"/>
  <c r="R19" i="33"/>
  <c r="AE60" i="33" a="1"/>
  <c r="R20" i="33"/>
  <c r="AF60" i="33" a="1"/>
  <c r="R21" i="33"/>
  <c r="AG60" i="33" a="1"/>
  <c r="R22" i="33"/>
  <c r="AH60" i="33" a="1"/>
  <c r="R23" i="33"/>
  <c r="AI60" i="33" a="1"/>
  <c r="R24" i="33"/>
  <c r="AJ60" i="33" a="1"/>
  <c r="S25" i="33"/>
  <c r="S17" i="33"/>
  <c r="AK60" i="33" a="1"/>
  <c r="S18" i="33"/>
  <c r="AL60" i="33" a="1"/>
  <c r="S19" i="33"/>
  <c r="AM60" i="33" a="1"/>
  <c r="S20" i="33"/>
  <c r="AN60" i="33" a="1"/>
  <c r="S21" i="33"/>
  <c r="AO60" i="33" a="1"/>
  <c r="S22" i="33"/>
  <c r="AP60" i="33" a="1"/>
  <c r="S23" i="33"/>
  <c r="AQ60" i="33" a="1"/>
  <c r="S24" i="33"/>
  <c r="AR60" i="33" a="1"/>
  <c r="T25" i="33"/>
  <c r="T17" i="33"/>
  <c r="AS60" i="33" a="1"/>
  <c r="T18" i="33"/>
  <c r="AT60" i="33" a="1"/>
  <c r="T19" i="33"/>
  <c r="AU60" i="33" a="1"/>
  <c r="T20" i="33"/>
  <c r="AV60" i="33" a="1"/>
  <c r="T21" i="33"/>
  <c r="AW60" i="33" a="1"/>
  <c r="T22" i="33"/>
  <c r="AX60" i="33" a="1"/>
  <c r="T23" i="33"/>
  <c r="AY60" i="33" a="1"/>
  <c r="T24" i="33"/>
  <c r="AZ60" i="33" a="1"/>
  <c r="U25" i="33"/>
  <c r="U17" i="33"/>
  <c r="BA60" i="33" a="1"/>
  <c r="U18" i="33"/>
  <c r="BB60" i="33" a="1"/>
  <c r="U19" i="33"/>
  <c r="BC60" i="33" a="1"/>
  <c r="U20" i="33"/>
  <c r="BD60" i="33" a="1"/>
  <c r="U21" i="33"/>
  <c r="BE60" i="33" a="1"/>
  <c r="U22" i="33"/>
  <c r="BF60" i="33" a="1"/>
  <c r="U23" i="33"/>
  <c r="BG60" i="33" a="1"/>
  <c r="U24" i="33"/>
  <c r="BH60" i="33" a="1"/>
  <c r="V25" i="33"/>
  <c r="V17" i="33"/>
  <c r="BI60" i="33" a="1"/>
  <c r="V18" i="33"/>
  <c r="BJ60" i="33" a="1"/>
  <c r="V19" i="33"/>
  <c r="BK60" i="33" a="1"/>
  <c r="V20" i="33"/>
  <c r="BL60" i="33" a="1"/>
  <c r="V21" i="33"/>
  <c r="BM60" i="33" a="1"/>
  <c r="V22" i="33"/>
  <c r="BN60" i="33" a="1"/>
  <c r="V23" i="33"/>
  <c r="BO60" i="33" a="1"/>
  <c r="V24" i="33"/>
  <c r="BP60" i="33" a="1"/>
  <c r="G60" i="33"/>
  <c r="H60" i="33"/>
  <c r="I60" i="33"/>
  <c r="J60" i="33"/>
  <c r="K60" i="33"/>
  <c r="L60" i="33"/>
  <c r="M60" i="33"/>
  <c r="N60" i="33"/>
  <c r="O60" i="33"/>
  <c r="P60" i="33"/>
  <c r="Q60" i="33"/>
  <c r="R60" i="33"/>
  <c r="S60" i="33"/>
  <c r="T60" i="33"/>
  <c r="U60" i="33"/>
  <c r="V60" i="33"/>
  <c r="W60" i="33"/>
  <c r="X60" i="33"/>
  <c r="Y60" i="33"/>
  <c r="Z60" i="33"/>
  <c r="AA60" i="33"/>
  <c r="AB60" i="33"/>
  <c r="AC60" i="33"/>
  <c r="AD60" i="33"/>
  <c r="AE60" i="33"/>
  <c r="AF60" i="33"/>
  <c r="AG60" i="33"/>
  <c r="AH60" i="33"/>
  <c r="AI60" i="33"/>
  <c r="AJ60" i="33"/>
  <c r="AK60" i="33"/>
  <c r="AL60" i="33"/>
  <c r="AM60" i="33"/>
  <c r="AN60" i="33"/>
  <c r="AO60" i="33"/>
  <c r="AP60" i="33"/>
  <c r="AQ60" i="33"/>
  <c r="AR60" i="33"/>
  <c r="AS60" i="33"/>
  <c r="AT60" i="33"/>
  <c r="AU60" i="33"/>
  <c r="AV60" i="33"/>
  <c r="AW60" i="33"/>
  <c r="AX60" i="33"/>
  <c r="AY60" i="33"/>
  <c r="AZ60" i="33"/>
  <c r="BA60" i="33"/>
  <c r="BB60" i="33"/>
  <c r="BC60" i="33"/>
  <c r="BD60" i="33"/>
  <c r="BE60" i="33"/>
  <c r="BF60" i="33"/>
  <c r="BG60" i="33"/>
  <c r="BH60" i="33"/>
  <c r="BI60" i="33"/>
  <c r="BJ60" i="33"/>
  <c r="BK60" i="33"/>
  <c r="BL60" i="33"/>
  <c r="BM60" i="33"/>
  <c r="BN60" i="33"/>
  <c r="BO60" i="33"/>
  <c r="BP60" i="33"/>
  <c r="AC25" i="33"/>
  <c r="BR52" i="33"/>
  <c r="BS51" i="33"/>
  <c r="BT51" i="33"/>
  <c r="BT52" i="33"/>
  <c r="BU51" i="33"/>
  <c r="BU52" i="33"/>
  <c r="BV51" i="33"/>
  <c r="BV52" i="33"/>
  <c r="BW52" i="33"/>
  <c r="BX52" i="33"/>
  <c r="BY52" i="33"/>
  <c r="BZ52" i="33"/>
  <c r="CA52" i="33"/>
  <c r="BR53" i="33"/>
  <c r="BS53" i="33"/>
  <c r="BU53" i="33"/>
  <c r="BV53" i="33"/>
  <c r="BW53" i="33"/>
  <c r="BX53" i="33"/>
  <c r="BY53" i="33"/>
  <c r="BZ53" i="33"/>
  <c r="CA53" i="33"/>
  <c r="BR54" i="33"/>
  <c r="BS54" i="33"/>
  <c r="BT54" i="33"/>
  <c r="BV54" i="33"/>
  <c r="BW54" i="33"/>
  <c r="BX54" i="33"/>
  <c r="BY54" i="33"/>
  <c r="BZ54" i="33"/>
  <c r="CA54" i="33"/>
  <c r="BR55" i="33"/>
  <c r="BS55" i="33"/>
  <c r="BT55" i="33"/>
  <c r="BU55" i="33"/>
  <c r="BW55" i="33"/>
  <c r="BX55" i="33"/>
  <c r="BY55" i="33"/>
  <c r="BZ55" i="33"/>
  <c r="CA55" i="33"/>
  <c r="BS56" i="33"/>
  <c r="BT56" i="33"/>
  <c r="BU56" i="33"/>
  <c r="BV56" i="33"/>
  <c r="BX56" i="33"/>
  <c r="BY56" i="33"/>
  <c r="BZ56" i="33"/>
  <c r="CA56" i="33"/>
  <c r="BS57" i="33"/>
  <c r="BT57" i="33"/>
  <c r="BU57" i="33"/>
  <c r="BV57" i="33"/>
  <c r="BW57" i="33"/>
  <c r="BY57" i="33"/>
  <c r="BZ57" i="33"/>
  <c r="CA57" i="33"/>
  <c r="BS58" i="33"/>
  <c r="BT58" i="33"/>
  <c r="BU58" i="33"/>
  <c r="BV58" i="33"/>
  <c r="BW58" i="33"/>
  <c r="BX58" i="33"/>
  <c r="BZ58" i="33"/>
  <c r="CA58" i="33"/>
  <c r="BS59" i="33"/>
  <c r="BT59" i="33"/>
  <c r="BU59" i="33"/>
  <c r="BV59" i="33"/>
  <c r="BW59" i="33"/>
  <c r="BX59" i="33"/>
  <c r="BY59" i="33"/>
  <c r="CA59" i="33"/>
  <c r="BS60" i="33"/>
  <c r="BT60" i="33"/>
  <c r="BU60" i="33"/>
  <c r="BV60" i="33"/>
  <c r="BW60" i="33"/>
  <c r="BX60" i="33"/>
  <c r="BY60" i="33"/>
  <c r="BZ60" i="33"/>
  <c r="E38" i="33" a="1"/>
  <c r="E38" i="33"/>
  <c r="F38" i="33" a="1"/>
  <c r="F38" i="33"/>
  <c r="G38" i="33" a="1"/>
  <c r="H38" i="33" a="1"/>
  <c r="I38" i="33" a="1"/>
  <c r="J38" i="33" a="1"/>
  <c r="K38" i="33" a="1"/>
  <c r="L38" i="33" a="1"/>
  <c r="M38" i="33" a="1"/>
  <c r="N38" i="33" a="1"/>
  <c r="O38" i="33" a="1"/>
  <c r="P38" i="33" a="1"/>
  <c r="Q38" i="33" a="1"/>
  <c r="R38" i="33" a="1"/>
  <c r="S38" i="33" a="1"/>
  <c r="T38" i="33" a="1"/>
  <c r="U38" i="33" a="1"/>
  <c r="V38" i="33" a="1"/>
  <c r="W38" i="33" a="1"/>
  <c r="X38" i="33" a="1"/>
  <c r="Y38" i="33" a="1"/>
  <c r="Z38" i="33" a="1"/>
  <c r="AA38" i="33" a="1"/>
  <c r="AB38" i="33" a="1"/>
  <c r="AC38" i="33" a="1"/>
  <c r="AD38" i="33" a="1"/>
  <c r="AE38" i="33" a="1"/>
  <c r="AF38" i="33" a="1"/>
  <c r="AG38" i="33" a="1"/>
  <c r="AH38" i="33" a="1"/>
  <c r="AI38" i="33" a="1"/>
  <c r="AJ38" i="33" a="1"/>
  <c r="AK38" i="33" a="1"/>
  <c r="AL38" i="33" a="1"/>
  <c r="AM38" i="33" a="1"/>
  <c r="AN38" i="33" a="1"/>
  <c r="AO38" i="33" a="1"/>
  <c r="AP38" i="33" a="1"/>
  <c r="AQ38" i="33" a="1"/>
  <c r="AR38" i="33" a="1"/>
  <c r="AS38" i="33" a="1"/>
  <c r="AT38" i="33" a="1"/>
  <c r="AU38" i="33" a="1"/>
  <c r="AV38" i="33" a="1"/>
  <c r="AW38" i="33" a="1"/>
  <c r="AX38" i="33" a="1"/>
  <c r="AY38" i="33" a="1"/>
  <c r="AZ38" i="33" a="1"/>
  <c r="BA38" i="33" a="1"/>
  <c r="BB38" i="33" a="1"/>
  <c r="BC38" i="33" a="1"/>
  <c r="BD38" i="33" a="1"/>
  <c r="BE38" i="33" a="1"/>
  <c r="BF38" i="33" a="1"/>
  <c r="BG38" i="33" a="1"/>
  <c r="BH38" i="33" a="1"/>
  <c r="BI38" i="33" a="1"/>
  <c r="BJ38" i="33" a="1"/>
  <c r="BK38" i="33" a="1"/>
  <c r="BL38" i="33" a="1"/>
  <c r="BM38" i="33" a="1"/>
  <c r="BN38" i="33" a="1"/>
  <c r="BO38" i="33" a="1"/>
  <c r="BP38" i="33" a="1"/>
  <c r="G38" i="33"/>
  <c r="H38" i="33"/>
  <c r="I38" i="33"/>
  <c r="J38" i="33"/>
  <c r="K38" i="33"/>
  <c r="L38" i="33"/>
  <c r="M38" i="33"/>
  <c r="N38" i="33"/>
  <c r="O38" i="33"/>
  <c r="P38" i="33"/>
  <c r="Q38" i="33"/>
  <c r="R38" i="33"/>
  <c r="S38" i="33"/>
  <c r="T38" i="33"/>
  <c r="U38" i="33"/>
  <c r="V38" i="33"/>
  <c r="W38" i="33"/>
  <c r="X38" i="33"/>
  <c r="Y38" i="33"/>
  <c r="Z38" i="33"/>
  <c r="AA38" i="33"/>
  <c r="AB38" i="33"/>
  <c r="AC38" i="33"/>
  <c r="AD38" i="33"/>
  <c r="AE38" i="33"/>
  <c r="AF38" i="33"/>
  <c r="AG38" i="33"/>
  <c r="AH38" i="33"/>
  <c r="AI38" i="33"/>
  <c r="AJ38" i="33"/>
  <c r="AK38" i="33"/>
  <c r="AL38" i="33"/>
  <c r="AM38" i="33"/>
  <c r="AN38" i="33"/>
  <c r="AO38" i="33"/>
  <c r="AP38" i="33"/>
  <c r="AQ38" i="33"/>
  <c r="AR38" i="33"/>
  <c r="AS38" i="33"/>
  <c r="AT38" i="33"/>
  <c r="AU38" i="33"/>
  <c r="AV38" i="33"/>
  <c r="AW38" i="33"/>
  <c r="AX38" i="33"/>
  <c r="AY38" i="33"/>
  <c r="AZ38" i="33"/>
  <c r="BA38" i="33"/>
  <c r="BB38" i="33"/>
  <c r="BC38" i="33"/>
  <c r="BD38" i="33"/>
  <c r="BE38" i="33"/>
  <c r="BF38" i="33"/>
  <c r="BG38" i="33"/>
  <c r="BH38" i="33"/>
  <c r="BI38" i="33"/>
  <c r="BJ38" i="33"/>
  <c r="BK38" i="33"/>
  <c r="BL38" i="33"/>
  <c r="BM38" i="33"/>
  <c r="BN38" i="33"/>
  <c r="BO38" i="33"/>
  <c r="BP38" i="33"/>
  <c r="AA25" i="33"/>
  <c r="BR41" i="33"/>
  <c r="BS40" i="33"/>
  <c r="BT40" i="33"/>
  <c r="BT41" i="33"/>
  <c r="BU40" i="33"/>
  <c r="BU41" i="33"/>
  <c r="BV40" i="33"/>
  <c r="BV41" i="33"/>
  <c r="BW41" i="33"/>
  <c r="BX41" i="33"/>
  <c r="BY41" i="33"/>
  <c r="BZ41" i="33"/>
  <c r="CA41" i="33"/>
  <c r="BR42" i="33"/>
  <c r="BS42" i="33"/>
  <c r="BU42" i="33"/>
  <c r="BV42" i="33"/>
  <c r="BW42" i="33"/>
  <c r="BX42" i="33"/>
  <c r="BY42" i="33"/>
  <c r="BZ42" i="33"/>
  <c r="CA42" i="33"/>
  <c r="BR43" i="33"/>
  <c r="BS43" i="33"/>
  <c r="BT43" i="33"/>
  <c r="BV43" i="33"/>
  <c r="BW43" i="33"/>
  <c r="BX43" i="33"/>
  <c r="BY43" i="33"/>
  <c r="BZ43" i="33"/>
  <c r="CA43" i="33"/>
  <c r="BR44" i="33"/>
  <c r="BS44" i="33"/>
  <c r="BT44" i="33"/>
  <c r="BU44" i="33"/>
  <c r="BW44" i="33"/>
  <c r="BX44" i="33"/>
  <c r="BY44" i="33"/>
  <c r="BZ44" i="33"/>
  <c r="CA44" i="33"/>
  <c r="BS45" i="33"/>
  <c r="BT45" i="33"/>
  <c r="BU45" i="33"/>
  <c r="BV45" i="33"/>
  <c r="BX45" i="33"/>
  <c r="BY45" i="33"/>
  <c r="BZ45" i="33"/>
  <c r="CA45" i="33"/>
  <c r="BS46" i="33"/>
  <c r="BT46" i="33"/>
  <c r="BU46" i="33"/>
  <c r="BV46" i="33"/>
  <c r="BW46" i="33"/>
  <c r="BY46" i="33"/>
  <c r="BZ46" i="33"/>
  <c r="CA46" i="33"/>
  <c r="BS47" i="33"/>
  <c r="BT47" i="33"/>
  <c r="BU47" i="33"/>
  <c r="BV47" i="33"/>
  <c r="BW47" i="33"/>
  <c r="BX47" i="33"/>
  <c r="BZ47" i="33"/>
  <c r="CA47" i="33"/>
  <c r="BS48" i="33"/>
  <c r="BT48" i="33"/>
  <c r="BU48" i="33"/>
  <c r="BV48" i="33"/>
  <c r="BW48" i="33"/>
  <c r="BX48" i="33"/>
  <c r="BY48" i="33"/>
  <c r="CA48" i="33"/>
  <c r="BS49" i="33"/>
  <c r="BT49" i="33"/>
  <c r="BU49" i="33"/>
  <c r="BV49" i="33"/>
  <c r="BW49" i="33"/>
  <c r="BX49" i="33"/>
  <c r="BY49" i="33"/>
  <c r="BZ49" i="33"/>
  <c r="E49" i="33" a="1"/>
  <c r="E49" i="33"/>
  <c r="F49" i="33" a="1"/>
  <c r="F49" i="33"/>
  <c r="G49" i="33" a="1"/>
  <c r="H49" i="33" a="1"/>
  <c r="I49" i="33" a="1"/>
  <c r="J49" i="33" a="1"/>
  <c r="K49" i="33" a="1"/>
  <c r="L49" i="33" a="1"/>
  <c r="M49" i="33" a="1"/>
  <c r="N49" i="33" a="1"/>
  <c r="O49" i="33" a="1"/>
  <c r="P49" i="33" a="1"/>
  <c r="Q49" i="33" a="1"/>
  <c r="R49" i="33" a="1"/>
  <c r="S49" i="33" a="1"/>
  <c r="T49" i="33" a="1"/>
  <c r="U49" i="33" a="1"/>
  <c r="V49" i="33" a="1"/>
  <c r="W49" i="33" a="1"/>
  <c r="X49" i="33" a="1"/>
  <c r="Y49" i="33" a="1"/>
  <c r="Z49" i="33" a="1"/>
  <c r="AA49" i="33" a="1"/>
  <c r="AB49" i="33" a="1"/>
  <c r="AC49" i="33" a="1"/>
  <c r="AD49" i="33" a="1"/>
  <c r="AE49" i="33" a="1"/>
  <c r="AF49" i="33" a="1"/>
  <c r="AG49" i="33" a="1"/>
  <c r="AH49" i="33" a="1"/>
  <c r="AI49" i="33" a="1"/>
  <c r="AJ49" i="33" a="1"/>
  <c r="AK49" i="33" a="1"/>
  <c r="AL49" i="33" a="1"/>
  <c r="AM49" i="33" a="1"/>
  <c r="AN49" i="33" a="1"/>
  <c r="AO49" i="33" a="1"/>
  <c r="AP49" i="33" a="1"/>
  <c r="AQ49" i="33" a="1"/>
  <c r="AR49" i="33" a="1"/>
  <c r="AS49" i="33" a="1"/>
  <c r="AT49" i="33" a="1"/>
  <c r="AU49" i="33" a="1"/>
  <c r="AV49" i="33" a="1"/>
  <c r="AW49" i="33" a="1"/>
  <c r="AX49" i="33" a="1"/>
  <c r="AY49" i="33" a="1"/>
  <c r="AZ49" i="33" a="1"/>
  <c r="BA49" i="33" a="1"/>
  <c r="BB49" i="33" a="1"/>
  <c r="BC49" i="33" a="1"/>
  <c r="BD49" i="33" a="1"/>
  <c r="BE49" i="33" a="1"/>
  <c r="BF49" i="33" a="1"/>
  <c r="BG49" i="33" a="1"/>
  <c r="BH49" i="33" a="1"/>
  <c r="BI49" i="33" a="1"/>
  <c r="BJ49" i="33" a="1"/>
  <c r="BK49" i="33" a="1"/>
  <c r="BL49" i="33" a="1"/>
  <c r="BM49" i="33" a="1"/>
  <c r="BN49" i="33" a="1"/>
  <c r="BO49" i="33" a="1"/>
  <c r="BP49" i="33" a="1"/>
  <c r="G49" i="33"/>
  <c r="H49" i="33"/>
  <c r="I49" i="33"/>
  <c r="J49" i="33"/>
  <c r="K49" i="33"/>
  <c r="L49" i="33"/>
  <c r="M49" i="33"/>
  <c r="N49" i="33"/>
  <c r="O49" i="33"/>
  <c r="P49" i="33"/>
  <c r="Q49" i="33"/>
  <c r="R49" i="33"/>
  <c r="S49" i="33"/>
  <c r="T49" i="33"/>
  <c r="U49" i="33"/>
  <c r="V49" i="33"/>
  <c r="W49" i="33"/>
  <c r="X49" i="33"/>
  <c r="Y49" i="33"/>
  <c r="Z49" i="33"/>
  <c r="AA49" i="33"/>
  <c r="AB49" i="33"/>
  <c r="AC49" i="33"/>
  <c r="AD49" i="33"/>
  <c r="AE49" i="33"/>
  <c r="AF49" i="33"/>
  <c r="AG49" i="33"/>
  <c r="AH49" i="33"/>
  <c r="AI49" i="33"/>
  <c r="AJ49" i="33"/>
  <c r="AK49" i="33"/>
  <c r="AL49" i="33"/>
  <c r="AM49" i="33"/>
  <c r="AN49" i="33"/>
  <c r="AO49" i="33"/>
  <c r="AP49" i="33"/>
  <c r="AQ49" i="33"/>
  <c r="AR49" i="33"/>
  <c r="AS49" i="33"/>
  <c r="AT49" i="33"/>
  <c r="AU49" i="33"/>
  <c r="AV49" i="33"/>
  <c r="AW49" i="33"/>
  <c r="AX49" i="33"/>
  <c r="AY49" i="33"/>
  <c r="AZ49" i="33"/>
  <c r="BA49" i="33"/>
  <c r="BB49" i="33"/>
  <c r="BC49" i="33"/>
  <c r="BD49" i="33"/>
  <c r="BE49" i="33"/>
  <c r="BF49" i="33"/>
  <c r="BG49" i="33"/>
  <c r="BH49" i="33"/>
  <c r="BI49" i="33"/>
  <c r="BJ49" i="33"/>
  <c r="BK49" i="33"/>
  <c r="BL49" i="33"/>
  <c r="BM49" i="33"/>
  <c r="BN49" i="33"/>
  <c r="BO49" i="33"/>
  <c r="BP49" i="33"/>
  <c r="AB25" i="33"/>
  <c r="W25" i="33"/>
  <c r="E30" i="33" a="1"/>
  <c r="E30" i="33"/>
  <c r="F30" i="33" a="1"/>
  <c r="F30" i="33"/>
  <c r="G30" i="33" a="1"/>
  <c r="H30" i="33" a="1"/>
  <c r="I30" i="33" a="1"/>
  <c r="J30" i="33" a="1"/>
  <c r="K30" i="33" a="1"/>
  <c r="L30" i="33" a="1"/>
  <c r="M30" i="33" a="1"/>
  <c r="N30" i="33" a="1"/>
  <c r="O30" i="33" a="1"/>
  <c r="P30" i="33" a="1"/>
  <c r="Q30" i="33" a="1"/>
  <c r="R30" i="33" a="1"/>
  <c r="S30" i="33" a="1"/>
  <c r="T30" i="33" a="1"/>
  <c r="U30" i="33" a="1"/>
  <c r="V30" i="33" a="1"/>
  <c r="W30" i="33" a="1"/>
  <c r="X30" i="33" a="1"/>
  <c r="Y30" i="33" a="1"/>
  <c r="Z30" i="33" a="1"/>
  <c r="AA30" i="33" a="1"/>
  <c r="AB30" i="33" a="1"/>
  <c r="AC30" i="33" a="1"/>
  <c r="AD30" i="33" a="1"/>
  <c r="AE30" i="33" a="1"/>
  <c r="AF30" i="33" a="1"/>
  <c r="AG30" i="33" a="1"/>
  <c r="AH30" i="33" a="1"/>
  <c r="AI30" i="33" a="1"/>
  <c r="AJ30" i="33" a="1"/>
  <c r="AK30" i="33" a="1"/>
  <c r="AL30" i="33" a="1"/>
  <c r="AM30" i="33" a="1"/>
  <c r="AN30" i="33" a="1"/>
  <c r="AO30" i="33" a="1"/>
  <c r="AP30" i="33" a="1"/>
  <c r="AQ30" i="33" a="1"/>
  <c r="AR30" i="33" a="1"/>
  <c r="AS30" i="33" a="1"/>
  <c r="AT30" i="33" a="1"/>
  <c r="AU30" i="33" a="1"/>
  <c r="AV30" i="33" a="1"/>
  <c r="AW30" i="33" a="1"/>
  <c r="AX30" i="33" a="1"/>
  <c r="AY30" i="33" a="1"/>
  <c r="AZ30" i="33" a="1"/>
  <c r="BA30" i="33" a="1"/>
  <c r="BB30" i="33" a="1"/>
  <c r="BC30" i="33" a="1"/>
  <c r="BD30" i="33" a="1"/>
  <c r="BE30" i="33" a="1"/>
  <c r="BF30" i="33" a="1"/>
  <c r="BG30" i="33" a="1"/>
  <c r="BH30" i="33" a="1"/>
  <c r="BI30" i="33" a="1"/>
  <c r="BJ30" i="33" a="1"/>
  <c r="BK30" i="33" a="1"/>
  <c r="BL30" i="33" a="1"/>
  <c r="BM30" i="33" a="1"/>
  <c r="BN30" i="33" a="1"/>
  <c r="BO30" i="33" a="1"/>
  <c r="BP30" i="33" a="1"/>
  <c r="G30" i="33"/>
  <c r="H30" i="33"/>
  <c r="I30" i="33"/>
  <c r="J30" i="33"/>
  <c r="K30" i="33"/>
  <c r="L30" i="33"/>
  <c r="M30" i="33"/>
  <c r="N30" i="33"/>
  <c r="O30" i="33"/>
  <c r="P30" i="33"/>
  <c r="Q30" i="33"/>
  <c r="R30" i="33"/>
  <c r="S30" i="33"/>
  <c r="T30" i="33"/>
  <c r="U30" i="33"/>
  <c r="V30" i="33"/>
  <c r="W30" i="33"/>
  <c r="X30" i="33"/>
  <c r="Y30" i="33"/>
  <c r="Z30" i="33"/>
  <c r="AA30" i="33"/>
  <c r="AB30" i="33"/>
  <c r="AC30" i="33"/>
  <c r="AD30" i="33"/>
  <c r="AE30" i="33"/>
  <c r="AF30" i="33"/>
  <c r="AG30" i="33"/>
  <c r="AH30" i="33"/>
  <c r="AI30" i="33"/>
  <c r="AJ30" i="33"/>
  <c r="AK30" i="33"/>
  <c r="AL30" i="33"/>
  <c r="AM30" i="33"/>
  <c r="AN30" i="33"/>
  <c r="AO30" i="33"/>
  <c r="AP30" i="33"/>
  <c r="AQ30" i="33"/>
  <c r="AR30" i="33"/>
  <c r="AS30" i="33"/>
  <c r="AT30" i="33"/>
  <c r="AU30" i="33"/>
  <c r="AV30" i="33"/>
  <c r="AW30" i="33"/>
  <c r="AX30" i="33"/>
  <c r="AY30" i="33"/>
  <c r="AZ30" i="33"/>
  <c r="BA30" i="33"/>
  <c r="BB30" i="33"/>
  <c r="BC30" i="33"/>
  <c r="BD30" i="33"/>
  <c r="BE30" i="33"/>
  <c r="BF30" i="33"/>
  <c r="BG30" i="33"/>
  <c r="BH30" i="33"/>
  <c r="BI30" i="33"/>
  <c r="BJ30" i="33"/>
  <c r="BK30" i="33"/>
  <c r="BL30" i="33"/>
  <c r="BM30" i="33"/>
  <c r="BN30" i="33"/>
  <c r="BO30" i="33"/>
  <c r="BP30" i="33"/>
  <c r="AA17" i="33"/>
  <c r="E41" i="33" a="1"/>
  <c r="E41" i="33"/>
  <c r="F41" i="33" a="1"/>
  <c r="F41" i="33"/>
  <c r="G41" i="33" a="1"/>
  <c r="H41" i="33" a="1"/>
  <c r="I41" i="33" a="1"/>
  <c r="J41" i="33" a="1"/>
  <c r="K41" i="33" a="1"/>
  <c r="L41" i="33" a="1"/>
  <c r="M41" i="33" a="1"/>
  <c r="N41" i="33" a="1"/>
  <c r="O41" i="33" a="1"/>
  <c r="P41" i="33" a="1"/>
  <c r="Q41" i="33" a="1"/>
  <c r="R41" i="33" a="1"/>
  <c r="S41" i="33" a="1"/>
  <c r="T41" i="33" a="1"/>
  <c r="U41" i="33" a="1"/>
  <c r="V41" i="33" a="1"/>
  <c r="W41" i="33" a="1"/>
  <c r="X41" i="33" a="1"/>
  <c r="Y41" i="33" a="1"/>
  <c r="Z41" i="33" a="1"/>
  <c r="AA41" i="33" a="1"/>
  <c r="AB41" i="33" a="1"/>
  <c r="AC41" i="33" a="1"/>
  <c r="AD41" i="33" a="1"/>
  <c r="AE41" i="33" a="1"/>
  <c r="AF41" i="33" a="1"/>
  <c r="AG41" i="33" a="1"/>
  <c r="AH41" i="33" a="1"/>
  <c r="AI41" i="33" a="1"/>
  <c r="AJ41" i="33" a="1"/>
  <c r="AK41" i="33" a="1"/>
  <c r="AL41" i="33" a="1"/>
  <c r="AM41" i="33" a="1"/>
  <c r="AN41" i="33" a="1"/>
  <c r="AO41" i="33" a="1"/>
  <c r="AP41" i="33" a="1"/>
  <c r="AQ41" i="33" a="1"/>
  <c r="AR41" i="33" a="1"/>
  <c r="AS41" i="33" a="1"/>
  <c r="AT41" i="33" a="1"/>
  <c r="AU41" i="33" a="1"/>
  <c r="AV41" i="33" a="1"/>
  <c r="AW41" i="33" a="1"/>
  <c r="AX41" i="33" a="1"/>
  <c r="AY41" i="33" a="1"/>
  <c r="AZ41" i="33" a="1"/>
  <c r="BA41" i="33" a="1"/>
  <c r="BB41" i="33" a="1"/>
  <c r="BC41" i="33" a="1"/>
  <c r="BD41" i="33" a="1"/>
  <c r="BE41" i="33" a="1"/>
  <c r="BF41" i="33" a="1"/>
  <c r="BG41" i="33" a="1"/>
  <c r="BH41" i="33" a="1"/>
  <c r="BI41" i="33" a="1"/>
  <c r="BJ41" i="33" a="1"/>
  <c r="BK41" i="33" a="1"/>
  <c r="BL41" i="33" a="1"/>
  <c r="BM41" i="33" a="1"/>
  <c r="BN41" i="33" a="1"/>
  <c r="BO41" i="33" a="1"/>
  <c r="BP41" i="33" a="1"/>
  <c r="G41" i="33"/>
  <c r="H41" i="33"/>
  <c r="I41" i="33"/>
  <c r="J41" i="33"/>
  <c r="K41" i="33"/>
  <c r="L41" i="33"/>
  <c r="M41" i="33"/>
  <c r="N41" i="33"/>
  <c r="O41" i="33"/>
  <c r="P41" i="33"/>
  <c r="Q41" i="33"/>
  <c r="R41" i="33"/>
  <c r="S41" i="33"/>
  <c r="T41" i="33"/>
  <c r="U41" i="33"/>
  <c r="V41" i="33"/>
  <c r="W41" i="33"/>
  <c r="X41" i="33"/>
  <c r="Y41" i="33"/>
  <c r="Z41" i="33"/>
  <c r="AA41" i="33"/>
  <c r="AB41" i="33"/>
  <c r="AC41" i="33"/>
  <c r="AD41" i="33"/>
  <c r="AE41" i="33"/>
  <c r="AF41" i="33"/>
  <c r="AG41" i="33"/>
  <c r="AH41" i="33"/>
  <c r="AI41" i="33"/>
  <c r="AJ41" i="33"/>
  <c r="AK41" i="33"/>
  <c r="AL41" i="33"/>
  <c r="AM41" i="33"/>
  <c r="AN41" i="33"/>
  <c r="AO41" i="33"/>
  <c r="AP41" i="33"/>
  <c r="AQ41" i="33"/>
  <c r="AR41" i="33"/>
  <c r="AS41" i="33"/>
  <c r="AT41" i="33"/>
  <c r="AU41" i="33"/>
  <c r="AV41" i="33"/>
  <c r="AW41" i="33"/>
  <c r="AX41" i="33"/>
  <c r="AY41" i="33"/>
  <c r="AZ41" i="33"/>
  <c r="BA41" i="33"/>
  <c r="BB41" i="33"/>
  <c r="BC41" i="33"/>
  <c r="BD41" i="33"/>
  <c r="BE41" i="33"/>
  <c r="BF41" i="33"/>
  <c r="BG41" i="33"/>
  <c r="BH41" i="33"/>
  <c r="BI41" i="33"/>
  <c r="BJ41" i="33"/>
  <c r="BK41" i="33"/>
  <c r="BL41" i="33"/>
  <c r="BM41" i="33"/>
  <c r="BN41" i="33"/>
  <c r="BO41" i="33"/>
  <c r="BP41" i="33"/>
  <c r="AB17" i="33"/>
  <c r="W17" i="33"/>
  <c r="E31" i="33" a="1"/>
  <c r="E31" i="33"/>
  <c r="F31" i="33" a="1"/>
  <c r="F31" i="33"/>
  <c r="G31" i="33" a="1"/>
  <c r="H31" i="33" a="1"/>
  <c r="I31" i="33" a="1"/>
  <c r="J31" i="33" a="1"/>
  <c r="K31" i="33" a="1"/>
  <c r="L31" i="33" a="1"/>
  <c r="M31" i="33" a="1"/>
  <c r="N31" i="33" a="1"/>
  <c r="O31" i="33" a="1"/>
  <c r="P31" i="33" a="1"/>
  <c r="Q31" i="33" a="1"/>
  <c r="R31" i="33" a="1"/>
  <c r="S31" i="33" a="1"/>
  <c r="T31" i="33" a="1"/>
  <c r="U31" i="33" a="1"/>
  <c r="V31" i="33" a="1"/>
  <c r="W31" i="33" a="1"/>
  <c r="X31" i="33" a="1"/>
  <c r="Y31" i="33" a="1"/>
  <c r="Z31" i="33" a="1"/>
  <c r="AA31" i="33" a="1"/>
  <c r="AB31" i="33" a="1"/>
  <c r="AC31" i="33" a="1"/>
  <c r="AD31" i="33" a="1"/>
  <c r="AE31" i="33" a="1"/>
  <c r="AF31" i="33" a="1"/>
  <c r="AG31" i="33" a="1"/>
  <c r="AH31" i="33" a="1"/>
  <c r="AI31" i="33" a="1"/>
  <c r="AJ31" i="33" a="1"/>
  <c r="AK31" i="33" a="1"/>
  <c r="AL31" i="33" a="1"/>
  <c r="AM31" i="33" a="1"/>
  <c r="AN31" i="33" a="1"/>
  <c r="AO31" i="33" a="1"/>
  <c r="AP31" i="33" a="1"/>
  <c r="AQ31" i="33" a="1"/>
  <c r="AR31" i="33" a="1"/>
  <c r="AS31" i="33" a="1"/>
  <c r="AT31" i="33" a="1"/>
  <c r="AU31" i="33" a="1"/>
  <c r="AV31" i="33" a="1"/>
  <c r="AW31" i="33" a="1"/>
  <c r="AX31" i="33" a="1"/>
  <c r="AY31" i="33" a="1"/>
  <c r="AZ31" i="33" a="1"/>
  <c r="BA31" i="33" a="1"/>
  <c r="BB31" i="33" a="1"/>
  <c r="BC31" i="33" a="1"/>
  <c r="BD31" i="33" a="1"/>
  <c r="BE31" i="33" a="1"/>
  <c r="BF31" i="33" a="1"/>
  <c r="BG31" i="33" a="1"/>
  <c r="BH31" i="33" a="1"/>
  <c r="BI31" i="33" a="1"/>
  <c r="BJ31" i="33" a="1"/>
  <c r="BK31" i="33" a="1"/>
  <c r="BL31" i="33" a="1"/>
  <c r="BM31" i="33" a="1"/>
  <c r="BN31" i="33" a="1"/>
  <c r="BO31" i="33" a="1"/>
  <c r="BP31" i="33" a="1"/>
  <c r="G31" i="33"/>
  <c r="H31" i="33"/>
  <c r="I31" i="33"/>
  <c r="J31" i="33"/>
  <c r="K31" i="33"/>
  <c r="L31" i="33"/>
  <c r="M31" i="33"/>
  <c r="N31" i="33"/>
  <c r="O31" i="33"/>
  <c r="P31" i="33"/>
  <c r="Q31" i="33"/>
  <c r="R31" i="33"/>
  <c r="S31" i="33"/>
  <c r="T31" i="33"/>
  <c r="U31" i="33"/>
  <c r="V31" i="33"/>
  <c r="W31" i="33"/>
  <c r="X31" i="33"/>
  <c r="Y31" i="33"/>
  <c r="Z31" i="33"/>
  <c r="AA31" i="33"/>
  <c r="AB31" i="33"/>
  <c r="AC31" i="33"/>
  <c r="AD31" i="33"/>
  <c r="AE31" i="33"/>
  <c r="AF31" i="33"/>
  <c r="AG31" i="33"/>
  <c r="AH31" i="33"/>
  <c r="AI31" i="33"/>
  <c r="AJ31" i="33"/>
  <c r="AK31" i="33"/>
  <c r="AL31" i="33"/>
  <c r="AM31" i="33"/>
  <c r="AN31" i="33"/>
  <c r="AO31" i="33"/>
  <c r="AP31" i="33"/>
  <c r="AQ31" i="33"/>
  <c r="AR31" i="33"/>
  <c r="AS31" i="33"/>
  <c r="AT31" i="33"/>
  <c r="AU31" i="33"/>
  <c r="AV31" i="33"/>
  <c r="AW31" i="33"/>
  <c r="AX31" i="33"/>
  <c r="AY31" i="33"/>
  <c r="AZ31" i="33"/>
  <c r="BA31" i="33"/>
  <c r="BB31" i="33"/>
  <c r="BC31" i="33"/>
  <c r="BD31" i="33"/>
  <c r="BE31" i="33"/>
  <c r="BF31" i="33"/>
  <c r="BG31" i="33"/>
  <c r="BH31" i="33"/>
  <c r="BI31" i="33"/>
  <c r="BJ31" i="33"/>
  <c r="BK31" i="33"/>
  <c r="BL31" i="33"/>
  <c r="BM31" i="33"/>
  <c r="BN31" i="33"/>
  <c r="BO31" i="33"/>
  <c r="BP31" i="33"/>
  <c r="AA18" i="33"/>
  <c r="E42" i="33" a="1"/>
  <c r="E42" i="33"/>
  <c r="F42" i="33" a="1"/>
  <c r="F42" i="33"/>
  <c r="G42" i="33" a="1"/>
  <c r="H42" i="33" a="1"/>
  <c r="I42" i="33" a="1"/>
  <c r="J42" i="33" a="1"/>
  <c r="K42" i="33" a="1"/>
  <c r="L42" i="33" a="1"/>
  <c r="M42" i="33" a="1"/>
  <c r="N42" i="33" a="1"/>
  <c r="O42" i="33" a="1"/>
  <c r="P42" i="33" a="1"/>
  <c r="Q42" i="33" a="1"/>
  <c r="R42" i="33" a="1"/>
  <c r="S42" i="33" a="1"/>
  <c r="T42" i="33" a="1"/>
  <c r="U42" i="33" a="1"/>
  <c r="V42" i="33" a="1"/>
  <c r="W42" i="33" a="1"/>
  <c r="X42" i="33" a="1"/>
  <c r="Y42" i="33" a="1"/>
  <c r="Z42" i="33" a="1"/>
  <c r="AA42" i="33" a="1"/>
  <c r="AB42" i="33" a="1"/>
  <c r="AC42" i="33" a="1"/>
  <c r="AD42" i="33" a="1"/>
  <c r="AE42" i="33" a="1"/>
  <c r="AF42" i="33" a="1"/>
  <c r="AG42" i="33" a="1"/>
  <c r="AH42" i="33" a="1"/>
  <c r="AI42" i="33" a="1"/>
  <c r="AJ42" i="33" a="1"/>
  <c r="AK42" i="33" a="1"/>
  <c r="AL42" i="33" a="1"/>
  <c r="AM42" i="33" a="1"/>
  <c r="AN42" i="33" a="1"/>
  <c r="AO42" i="33" a="1"/>
  <c r="AP42" i="33" a="1"/>
  <c r="AQ42" i="33" a="1"/>
  <c r="AR42" i="33" a="1"/>
  <c r="AS42" i="33" a="1"/>
  <c r="AT42" i="33" a="1"/>
  <c r="AU42" i="33" a="1"/>
  <c r="AV42" i="33" a="1"/>
  <c r="AW42" i="33" a="1"/>
  <c r="AX42" i="33" a="1"/>
  <c r="AY42" i="33" a="1"/>
  <c r="AZ42" i="33" a="1"/>
  <c r="BA42" i="33" a="1"/>
  <c r="BB42" i="33" a="1"/>
  <c r="BC42" i="33" a="1"/>
  <c r="BD42" i="33" a="1"/>
  <c r="BE42" i="33" a="1"/>
  <c r="BF42" i="33" a="1"/>
  <c r="BG42" i="33" a="1"/>
  <c r="BH42" i="33" a="1"/>
  <c r="BI42" i="33" a="1"/>
  <c r="BJ42" i="33" a="1"/>
  <c r="BK42" i="33" a="1"/>
  <c r="BL42" i="33" a="1"/>
  <c r="BM42" i="33" a="1"/>
  <c r="BN42" i="33" a="1"/>
  <c r="BO42" i="33" a="1"/>
  <c r="BP42" i="33" a="1"/>
  <c r="G42" i="33"/>
  <c r="H42" i="33"/>
  <c r="I42" i="33"/>
  <c r="J42" i="33"/>
  <c r="K42" i="33"/>
  <c r="L42" i="33"/>
  <c r="M42" i="33"/>
  <c r="N42" i="33"/>
  <c r="O42" i="33"/>
  <c r="P42" i="33"/>
  <c r="Q42" i="33"/>
  <c r="R42" i="33"/>
  <c r="S42" i="33"/>
  <c r="T42" i="33"/>
  <c r="U42" i="33"/>
  <c r="V42" i="33"/>
  <c r="W42" i="33"/>
  <c r="X42" i="33"/>
  <c r="Y42" i="33"/>
  <c r="Z42" i="33"/>
  <c r="AA42" i="33"/>
  <c r="AB42" i="33"/>
  <c r="AC42" i="33"/>
  <c r="AD42" i="33"/>
  <c r="AE42" i="33"/>
  <c r="AF42" i="33"/>
  <c r="AG42" i="33"/>
  <c r="AH42" i="33"/>
  <c r="AI42" i="33"/>
  <c r="AJ42" i="33"/>
  <c r="AK42" i="33"/>
  <c r="AL42" i="33"/>
  <c r="AM42" i="33"/>
  <c r="AN42" i="33"/>
  <c r="AO42" i="33"/>
  <c r="AP42" i="33"/>
  <c r="AQ42" i="33"/>
  <c r="AR42" i="33"/>
  <c r="AS42" i="33"/>
  <c r="AT42" i="33"/>
  <c r="AU42" i="33"/>
  <c r="AV42" i="33"/>
  <c r="AW42" i="33"/>
  <c r="AX42" i="33"/>
  <c r="AY42" i="33"/>
  <c r="AZ42" i="33"/>
  <c r="BA42" i="33"/>
  <c r="BB42" i="33"/>
  <c r="BC42" i="33"/>
  <c r="BD42" i="33"/>
  <c r="BE42" i="33"/>
  <c r="BF42" i="33"/>
  <c r="BG42" i="33"/>
  <c r="BH42" i="33"/>
  <c r="BI42" i="33"/>
  <c r="BJ42" i="33"/>
  <c r="BK42" i="33"/>
  <c r="BL42" i="33"/>
  <c r="BM42" i="33"/>
  <c r="BN42" i="33"/>
  <c r="BO42" i="33"/>
  <c r="BP42" i="33"/>
  <c r="AB18" i="33"/>
  <c r="W18" i="33"/>
  <c r="E32" i="33" a="1"/>
  <c r="E32" i="33"/>
  <c r="F32" i="33" a="1"/>
  <c r="F32" i="33"/>
  <c r="G32" i="33" a="1"/>
  <c r="H32" i="33" a="1"/>
  <c r="I32" i="33" a="1"/>
  <c r="J32" i="33" a="1"/>
  <c r="K32" i="33" a="1"/>
  <c r="L32" i="33" a="1"/>
  <c r="M32" i="33" a="1"/>
  <c r="N32" i="33" a="1"/>
  <c r="O32" i="33" a="1"/>
  <c r="P32" i="33" a="1"/>
  <c r="Q32" i="33" a="1"/>
  <c r="R32" i="33" a="1"/>
  <c r="S32" i="33" a="1"/>
  <c r="T32" i="33" a="1"/>
  <c r="U32" i="33" a="1"/>
  <c r="V32" i="33" a="1"/>
  <c r="W32" i="33" a="1"/>
  <c r="X32" i="33" a="1"/>
  <c r="Y32" i="33" a="1"/>
  <c r="Z32" i="33" a="1"/>
  <c r="AA32" i="33" a="1"/>
  <c r="AB32" i="33" a="1"/>
  <c r="AC32" i="33" a="1"/>
  <c r="AD32" i="33" a="1"/>
  <c r="AE32" i="33" a="1"/>
  <c r="AF32" i="33" a="1"/>
  <c r="AG32" i="33" a="1"/>
  <c r="AH32" i="33" a="1"/>
  <c r="AI32" i="33" a="1"/>
  <c r="AJ32" i="33" a="1"/>
  <c r="AK32" i="33" a="1"/>
  <c r="AL32" i="33" a="1"/>
  <c r="AM32" i="33" a="1"/>
  <c r="AN32" i="33" a="1"/>
  <c r="AO32" i="33" a="1"/>
  <c r="AP32" i="33" a="1"/>
  <c r="AQ32" i="33" a="1"/>
  <c r="AR32" i="33" a="1"/>
  <c r="AS32" i="33" a="1"/>
  <c r="AT32" i="33" a="1"/>
  <c r="AU32" i="33" a="1"/>
  <c r="AV32" i="33" a="1"/>
  <c r="AW32" i="33" a="1"/>
  <c r="AX32" i="33" a="1"/>
  <c r="AY32" i="33" a="1"/>
  <c r="AZ32" i="33" a="1"/>
  <c r="BA32" i="33" a="1"/>
  <c r="BB32" i="33" a="1"/>
  <c r="BC32" i="33" a="1"/>
  <c r="BD32" i="33" a="1"/>
  <c r="BE32" i="33" a="1"/>
  <c r="BF32" i="33" a="1"/>
  <c r="BG32" i="33" a="1"/>
  <c r="BH32" i="33" a="1"/>
  <c r="BI32" i="33" a="1"/>
  <c r="BJ32" i="33" a="1"/>
  <c r="BK32" i="33" a="1"/>
  <c r="BL32" i="33" a="1"/>
  <c r="BM32" i="33" a="1"/>
  <c r="BN32" i="33" a="1"/>
  <c r="BO32" i="33" a="1"/>
  <c r="BP32" i="33" a="1"/>
  <c r="G32" i="33"/>
  <c r="H32" i="33"/>
  <c r="I32" i="33"/>
  <c r="J32" i="33"/>
  <c r="K32" i="33"/>
  <c r="L32" i="33"/>
  <c r="M32" i="33"/>
  <c r="N32" i="33"/>
  <c r="O32" i="33"/>
  <c r="P32" i="33"/>
  <c r="Q32" i="33"/>
  <c r="R32" i="33"/>
  <c r="S32" i="33"/>
  <c r="T32" i="33"/>
  <c r="U32" i="33"/>
  <c r="V32" i="33"/>
  <c r="W32" i="33"/>
  <c r="X32" i="33"/>
  <c r="Y32" i="33"/>
  <c r="Z32" i="33"/>
  <c r="AA32" i="33"/>
  <c r="AB32" i="33"/>
  <c r="AC32" i="33"/>
  <c r="AD32" i="33"/>
  <c r="AE32" i="33"/>
  <c r="AF32" i="33"/>
  <c r="AG32" i="33"/>
  <c r="AH32" i="33"/>
  <c r="AI32" i="33"/>
  <c r="AJ32" i="33"/>
  <c r="AK32" i="33"/>
  <c r="AL32" i="33"/>
  <c r="AM32" i="33"/>
  <c r="AN32" i="33"/>
  <c r="AO32" i="33"/>
  <c r="AP32" i="33"/>
  <c r="AQ32" i="33"/>
  <c r="AR32" i="33"/>
  <c r="AS32" i="33"/>
  <c r="AT32" i="33"/>
  <c r="AU32" i="33"/>
  <c r="AV32" i="33"/>
  <c r="AW32" i="33"/>
  <c r="AX32" i="33"/>
  <c r="AY32" i="33"/>
  <c r="AZ32" i="33"/>
  <c r="BA32" i="33"/>
  <c r="BB32" i="33"/>
  <c r="BC32" i="33"/>
  <c r="BD32" i="33"/>
  <c r="BE32" i="33"/>
  <c r="BF32" i="33"/>
  <c r="BG32" i="33"/>
  <c r="BH32" i="33"/>
  <c r="BI32" i="33"/>
  <c r="BJ32" i="33"/>
  <c r="BK32" i="33"/>
  <c r="BL32" i="33"/>
  <c r="BM32" i="33"/>
  <c r="BN32" i="33"/>
  <c r="BO32" i="33"/>
  <c r="BP32" i="33"/>
  <c r="AA19" i="33"/>
  <c r="E43" i="33" a="1"/>
  <c r="E43" i="33"/>
  <c r="F43" i="33" a="1"/>
  <c r="F43" i="33"/>
  <c r="G43" i="33" a="1"/>
  <c r="H43" i="33" a="1"/>
  <c r="I43" i="33" a="1"/>
  <c r="J43" i="33" a="1"/>
  <c r="K43" i="33" a="1"/>
  <c r="L43" i="33" a="1"/>
  <c r="M43" i="33" a="1"/>
  <c r="N43" i="33" a="1"/>
  <c r="O43" i="33" a="1"/>
  <c r="P43" i="33" a="1"/>
  <c r="Q43" i="33" a="1"/>
  <c r="R43" i="33" a="1"/>
  <c r="S43" i="33" a="1"/>
  <c r="T43" i="33" a="1"/>
  <c r="U43" i="33" a="1"/>
  <c r="V43" i="33" a="1"/>
  <c r="W43" i="33" a="1"/>
  <c r="X43" i="33" a="1"/>
  <c r="Y43" i="33" a="1"/>
  <c r="Z43" i="33" a="1"/>
  <c r="AA43" i="33" a="1"/>
  <c r="AB43" i="33" a="1"/>
  <c r="AC43" i="33" a="1"/>
  <c r="AD43" i="33" a="1"/>
  <c r="AE43" i="33" a="1"/>
  <c r="AF43" i="33" a="1"/>
  <c r="AG43" i="33" a="1"/>
  <c r="AH43" i="33" a="1"/>
  <c r="AI43" i="33" a="1"/>
  <c r="AJ43" i="33" a="1"/>
  <c r="AK43" i="33" a="1"/>
  <c r="AL43" i="33" a="1"/>
  <c r="AM43" i="33" a="1"/>
  <c r="AN43" i="33" a="1"/>
  <c r="AO43" i="33" a="1"/>
  <c r="AP43" i="33" a="1"/>
  <c r="AQ43" i="33" a="1"/>
  <c r="AR43" i="33" a="1"/>
  <c r="AS43" i="33" a="1"/>
  <c r="AT43" i="33" a="1"/>
  <c r="AU43" i="33" a="1"/>
  <c r="AV43" i="33" a="1"/>
  <c r="AW43" i="33" a="1"/>
  <c r="AX43" i="33" a="1"/>
  <c r="AY43" i="33" a="1"/>
  <c r="AZ43" i="33" a="1"/>
  <c r="BA43" i="33" a="1"/>
  <c r="BB43" i="33" a="1"/>
  <c r="BC43" i="33" a="1"/>
  <c r="BD43" i="33" a="1"/>
  <c r="BE43" i="33" a="1"/>
  <c r="BF43" i="33" a="1"/>
  <c r="BG43" i="33" a="1"/>
  <c r="BH43" i="33" a="1"/>
  <c r="BI43" i="33" a="1"/>
  <c r="BJ43" i="33" a="1"/>
  <c r="BK43" i="33" a="1"/>
  <c r="BL43" i="33" a="1"/>
  <c r="BM43" i="33" a="1"/>
  <c r="BN43" i="33" a="1"/>
  <c r="BO43" i="33" a="1"/>
  <c r="BP43" i="33" a="1"/>
  <c r="G43" i="33"/>
  <c r="H43" i="33"/>
  <c r="I43" i="33"/>
  <c r="J43" i="33"/>
  <c r="K43" i="33"/>
  <c r="L43" i="33"/>
  <c r="M43" i="33"/>
  <c r="N43" i="33"/>
  <c r="O43" i="33"/>
  <c r="P43" i="33"/>
  <c r="Q43" i="33"/>
  <c r="R43" i="33"/>
  <c r="S43" i="33"/>
  <c r="T43" i="33"/>
  <c r="U43" i="33"/>
  <c r="V43" i="33"/>
  <c r="W43" i="33"/>
  <c r="X43" i="33"/>
  <c r="Y43" i="33"/>
  <c r="Z43" i="33"/>
  <c r="AA43" i="33"/>
  <c r="AB43" i="33"/>
  <c r="AC43" i="33"/>
  <c r="AD43" i="33"/>
  <c r="AE43" i="33"/>
  <c r="AF43" i="33"/>
  <c r="AG43" i="33"/>
  <c r="AH43" i="33"/>
  <c r="AI43" i="33"/>
  <c r="AJ43" i="33"/>
  <c r="AK43" i="33"/>
  <c r="AL43" i="33"/>
  <c r="AM43" i="33"/>
  <c r="AN43" i="33"/>
  <c r="AO43" i="33"/>
  <c r="AP43" i="33"/>
  <c r="AQ43" i="33"/>
  <c r="AR43" i="33"/>
  <c r="AS43" i="33"/>
  <c r="AT43" i="33"/>
  <c r="AU43" i="33"/>
  <c r="AV43" i="33"/>
  <c r="AW43" i="33"/>
  <c r="AX43" i="33"/>
  <c r="AY43" i="33"/>
  <c r="AZ43" i="33"/>
  <c r="BA43" i="33"/>
  <c r="BB43" i="33"/>
  <c r="BC43" i="33"/>
  <c r="BD43" i="33"/>
  <c r="BE43" i="33"/>
  <c r="BF43" i="33"/>
  <c r="BG43" i="33"/>
  <c r="BH43" i="33"/>
  <c r="BI43" i="33"/>
  <c r="BJ43" i="33"/>
  <c r="BK43" i="33"/>
  <c r="BL43" i="33"/>
  <c r="BM43" i="33"/>
  <c r="BN43" i="33"/>
  <c r="BO43" i="33"/>
  <c r="BP43" i="33"/>
  <c r="AB19" i="33"/>
  <c r="W19" i="33"/>
  <c r="E33" i="33" a="1"/>
  <c r="E33" i="33"/>
  <c r="F33" i="33" a="1"/>
  <c r="F33" i="33"/>
  <c r="G33" i="33" a="1"/>
  <c r="H33" i="33" a="1"/>
  <c r="I33" i="33" a="1"/>
  <c r="J33" i="33" a="1"/>
  <c r="K33" i="33" a="1"/>
  <c r="L33" i="33" a="1"/>
  <c r="M33" i="33" a="1"/>
  <c r="N33" i="33" a="1"/>
  <c r="O33" i="33" a="1"/>
  <c r="P33" i="33" a="1"/>
  <c r="Q33" i="33" a="1"/>
  <c r="R33" i="33" a="1"/>
  <c r="S33" i="33" a="1"/>
  <c r="T33" i="33" a="1"/>
  <c r="U33" i="33" a="1"/>
  <c r="V33" i="33" a="1"/>
  <c r="W33" i="33" a="1"/>
  <c r="X33" i="33" a="1"/>
  <c r="Y33" i="33" a="1"/>
  <c r="Z33" i="33" a="1"/>
  <c r="AA33" i="33" a="1"/>
  <c r="AB33" i="33" a="1"/>
  <c r="AC33" i="33" a="1"/>
  <c r="AD33" i="33" a="1"/>
  <c r="AE33" i="33" a="1"/>
  <c r="AF33" i="33" a="1"/>
  <c r="AG33" i="33" a="1"/>
  <c r="AH33" i="33" a="1"/>
  <c r="AI33" i="33" a="1"/>
  <c r="AJ33" i="33" a="1"/>
  <c r="AK33" i="33" a="1"/>
  <c r="AL33" i="33" a="1"/>
  <c r="AM33" i="33" a="1"/>
  <c r="AN33" i="33" a="1"/>
  <c r="AO33" i="33" a="1"/>
  <c r="AP33" i="33" a="1"/>
  <c r="AQ33" i="33" a="1"/>
  <c r="AR33" i="33" a="1"/>
  <c r="AS33" i="33" a="1"/>
  <c r="AT33" i="33" a="1"/>
  <c r="AU33" i="33" a="1"/>
  <c r="AV33" i="33" a="1"/>
  <c r="AW33" i="33" a="1"/>
  <c r="AX33" i="33" a="1"/>
  <c r="AY33" i="33" a="1"/>
  <c r="AZ33" i="33" a="1"/>
  <c r="BA33" i="33" a="1"/>
  <c r="BB33" i="33" a="1"/>
  <c r="BC33" i="33" a="1"/>
  <c r="BD33" i="33" a="1"/>
  <c r="BE33" i="33" a="1"/>
  <c r="BF33" i="33" a="1"/>
  <c r="BG33" i="33" a="1"/>
  <c r="BH33" i="33" a="1"/>
  <c r="BI33" i="33" a="1"/>
  <c r="BJ33" i="33" a="1"/>
  <c r="BK33" i="33" a="1"/>
  <c r="BL33" i="33" a="1"/>
  <c r="BM33" i="33" a="1"/>
  <c r="BN33" i="33" a="1"/>
  <c r="BO33" i="33" a="1"/>
  <c r="BP33" i="33" a="1"/>
  <c r="G33" i="33"/>
  <c r="H33" i="33"/>
  <c r="I33" i="33"/>
  <c r="J33" i="33"/>
  <c r="K33" i="33"/>
  <c r="L33" i="33"/>
  <c r="M33" i="33"/>
  <c r="N33" i="33"/>
  <c r="O33" i="33"/>
  <c r="P33" i="33"/>
  <c r="Q33" i="33"/>
  <c r="R33" i="33"/>
  <c r="S33" i="33"/>
  <c r="T33" i="33"/>
  <c r="U33" i="33"/>
  <c r="V33" i="33"/>
  <c r="W33" i="33"/>
  <c r="X33" i="33"/>
  <c r="Y33" i="33"/>
  <c r="Z33" i="33"/>
  <c r="AA33" i="33"/>
  <c r="AB33" i="33"/>
  <c r="AC33" i="33"/>
  <c r="AD33" i="33"/>
  <c r="AE33" i="33"/>
  <c r="AF33" i="33"/>
  <c r="AG33" i="33"/>
  <c r="AH33" i="33"/>
  <c r="AI33" i="33"/>
  <c r="AJ33" i="33"/>
  <c r="AK33" i="33"/>
  <c r="AL33" i="33"/>
  <c r="AM33" i="33"/>
  <c r="AN33" i="33"/>
  <c r="AO33" i="33"/>
  <c r="AP33" i="33"/>
  <c r="AQ33" i="33"/>
  <c r="AR33" i="33"/>
  <c r="AS33" i="33"/>
  <c r="AT33" i="33"/>
  <c r="AU33" i="33"/>
  <c r="AV33" i="33"/>
  <c r="AW33" i="33"/>
  <c r="AX33" i="33"/>
  <c r="AY33" i="33"/>
  <c r="AZ33" i="33"/>
  <c r="BA33" i="33"/>
  <c r="BB33" i="33"/>
  <c r="BC33" i="33"/>
  <c r="BD33" i="33"/>
  <c r="BE33" i="33"/>
  <c r="BF33" i="33"/>
  <c r="BG33" i="33"/>
  <c r="BH33" i="33"/>
  <c r="BI33" i="33"/>
  <c r="BJ33" i="33"/>
  <c r="BK33" i="33"/>
  <c r="BL33" i="33"/>
  <c r="BM33" i="33"/>
  <c r="BN33" i="33"/>
  <c r="BO33" i="33"/>
  <c r="BP33" i="33"/>
  <c r="AA20" i="33"/>
  <c r="E44" i="33" a="1"/>
  <c r="E44" i="33"/>
  <c r="F44" i="33" a="1"/>
  <c r="F44" i="33"/>
  <c r="G44" i="33" a="1"/>
  <c r="H44" i="33" a="1"/>
  <c r="I44" i="33" a="1"/>
  <c r="J44" i="33" a="1"/>
  <c r="K44" i="33" a="1"/>
  <c r="L44" i="33" a="1"/>
  <c r="M44" i="33" a="1"/>
  <c r="N44" i="33" a="1"/>
  <c r="O44" i="33" a="1"/>
  <c r="P44" i="33" a="1"/>
  <c r="Q44" i="33" a="1"/>
  <c r="R44" i="33" a="1"/>
  <c r="S44" i="33" a="1"/>
  <c r="T44" i="33" a="1"/>
  <c r="U44" i="33" a="1"/>
  <c r="V44" i="33" a="1"/>
  <c r="W44" i="33" a="1"/>
  <c r="X44" i="33" a="1"/>
  <c r="Y44" i="33" a="1"/>
  <c r="Z44" i="33" a="1"/>
  <c r="AA44" i="33" a="1"/>
  <c r="AB44" i="33" a="1"/>
  <c r="AC44" i="33" a="1"/>
  <c r="AD44" i="33" a="1"/>
  <c r="AE44" i="33" a="1"/>
  <c r="AF44" i="33" a="1"/>
  <c r="AG44" i="33" a="1"/>
  <c r="AH44" i="33" a="1"/>
  <c r="AI44" i="33" a="1"/>
  <c r="AJ44" i="33" a="1"/>
  <c r="AK44" i="33" a="1"/>
  <c r="AL44" i="33" a="1"/>
  <c r="AM44" i="33" a="1"/>
  <c r="AN44" i="33" a="1"/>
  <c r="AO44" i="33" a="1"/>
  <c r="AP44" i="33" a="1"/>
  <c r="AQ44" i="33" a="1"/>
  <c r="AR44" i="33" a="1"/>
  <c r="AS44" i="33" a="1"/>
  <c r="AT44" i="33" a="1"/>
  <c r="AU44" i="33" a="1"/>
  <c r="AV44" i="33" a="1"/>
  <c r="AW44" i="33" a="1"/>
  <c r="AX44" i="33" a="1"/>
  <c r="AY44" i="33" a="1"/>
  <c r="AZ44" i="33" a="1"/>
  <c r="BA44" i="33" a="1"/>
  <c r="BB44" i="33" a="1"/>
  <c r="BC44" i="33" a="1"/>
  <c r="BD44" i="33" a="1"/>
  <c r="BE44" i="33" a="1"/>
  <c r="BF44" i="33" a="1"/>
  <c r="BG44" i="33" a="1"/>
  <c r="BH44" i="33" a="1"/>
  <c r="BI44" i="33" a="1"/>
  <c r="BJ44" i="33" a="1"/>
  <c r="BK44" i="33" a="1"/>
  <c r="BL44" i="33" a="1"/>
  <c r="BM44" i="33" a="1"/>
  <c r="BN44" i="33" a="1"/>
  <c r="BO44" i="33" a="1"/>
  <c r="BP44" i="33" a="1"/>
  <c r="G44" i="33"/>
  <c r="H44" i="33"/>
  <c r="I44" i="33"/>
  <c r="J44" i="33"/>
  <c r="K44" i="33"/>
  <c r="L44" i="33"/>
  <c r="M44" i="33"/>
  <c r="N44" i="33"/>
  <c r="O44" i="33"/>
  <c r="P44" i="33"/>
  <c r="Q44" i="33"/>
  <c r="R44" i="33"/>
  <c r="S44" i="33"/>
  <c r="T44" i="33"/>
  <c r="U44" i="33"/>
  <c r="V44" i="33"/>
  <c r="W44" i="33"/>
  <c r="X44" i="33"/>
  <c r="Y44" i="33"/>
  <c r="Z44" i="33"/>
  <c r="AA44" i="33"/>
  <c r="AB44" i="33"/>
  <c r="AC44" i="33"/>
  <c r="AD44" i="33"/>
  <c r="AE44" i="33"/>
  <c r="AF44" i="33"/>
  <c r="AG44" i="33"/>
  <c r="AH44" i="33"/>
  <c r="AI44" i="33"/>
  <c r="AJ44" i="33"/>
  <c r="AK44" i="33"/>
  <c r="AL44" i="33"/>
  <c r="AM44" i="33"/>
  <c r="AN44" i="33"/>
  <c r="AO44" i="33"/>
  <c r="AP44" i="33"/>
  <c r="AQ44" i="33"/>
  <c r="AR44" i="33"/>
  <c r="AS44" i="33"/>
  <c r="AT44" i="33"/>
  <c r="AU44" i="33"/>
  <c r="AV44" i="33"/>
  <c r="AW44" i="33"/>
  <c r="AX44" i="33"/>
  <c r="AY44" i="33"/>
  <c r="AZ44" i="33"/>
  <c r="BA44" i="33"/>
  <c r="BB44" i="33"/>
  <c r="BC44" i="33"/>
  <c r="BD44" i="33"/>
  <c r="BE44" i="33"/>
  <c r="BF44" i="33"/>
  <c r="BG44" i="33"/>
  <c r="BH44" i="33"/>
  <c r="BI44" i="33"/>
  <c r="BJ44" i="33"/>
  <c r="BK44" i="33"/>
  <c r="BL44" i="33"/>
  <c r="BM44" i="33"/>
  <c r="BN44" i="33"/>
  <c r="BO44" i="33"/>
  <c r="BP44" i="33"/>
  <c r="AB20" i="33"/>
  <c r="W20" i="33"/>
  <c r="E34" i="33" a="1"/>
  <c r="E34" i="33"/>
  <c r="F34" i="33" a="1"/>
  <c r="F34" i="33"/>
  <c r="G34" i="33" a="1"/>
  <c r="H34" i="33" a="1"/>
  <c r="I34" i="33" a="1"/>
  <c r="J34" i="33" a="1"/>
  <c r="K34" i="33" a="1"/>
  <c r="L34" i="33" a="1"/>
  <c r="M34" i="33" a="1"/>
  <c r="N34" i="33" a="1"/>
  <c r="O34" i="33" a="1"/>
  <c r="P34" i="33" a="1"/>
  <c r="Q34" i="33" a="1"/>
  <c r="R34" i="33" a="1"/>
  <c r="S34" i="33" a="1"/>
  <c r="T34" i="33" a="1"/>
  <c r="U34" i="33" a="1"/>
  <c r="V34" i="33" a="1"/>
  <c r="W34" i="33" a="1"/>
  <c r="X34" i="33" a="1"/>
  <c r="Y34" i="33" a="1"/>
  <c r="Z34" i="33" a="1"/>
  <c r="AA34" i="33" a="1"/>
  <c r="AB34" i="33" a="1"/>
  <c r="AC34" i="33" a="1"/>
  <c r="AD34" i="33" a="1"/>
  <c r="AE34" i="33" a="1"/>
  <c r="AF34" i="33" a="1"/>
  <c r="AG34" i="33" a="1"/>
  <c r="AH34" i="33" a="1"/>
  <c r="AI34" i="33" a="1"/>
  <c r="AJ34" i="33" a="1"/>
  <c r="AK34" i="33" a="1"/>
  <c r="AL34" i="33" a="1"/>
  <c r="AM34" i="33" a="1"/>
  <c r="AN34" i="33" a="1"/>
  <c r="AO34" i="33" a="1"/>
  <c r="AP34" i="33" a="1"/>
  <c r="AQ34" i="33" a="1"/>
  <c r="AR34" i="33" a="1"/>
  <c r="AS34" i="33" a="1"/>
  <c r="AT34" i="33" a="1"/>
  <c r="AU34" i="33" a="1"/>
  <c r="AV34" i="33" a="1"/>
  <c r="AW34" i="33" a="1"/>
  <c r="AX34" i="33" a="1"/>
  <c r="AY34" i="33" a="1"/>
  <c r="AZ34" i="33" a="1"/>
  <c r="BA34" i="33" a="1"/>
  <c r="BB34" i="33" a="1"/>
  <c r="BC34" i="33" a="1"/>
  <c r="BD34" i="33" a="1"/>
  <c r="BE34" i="33" a="1"/>
  <c r="BF34" i="33" a="1"/>
  <c r="BG34" i="33" a="1"/>
  <c r="BH34" i="33" a="1"/>
  <c r="BI34" i="33" a="1"/>
  <c r="BJ34" i="33" a="1"/>
  <c r="BK34" i="33" a="1"/>
  <c r="BL34" i="33" a="1"/>
  <c r="BM34" i="33" a="1"/>
  <c r="BN34" i="33" a="1"/>
  <c r="BO34" i="33" a="1"/>
  <c r="BP34" i="33" a="1"/>
  <c r="G34" i="33"/>
  <c r="H34" i="33"/>
  <c r="I34" i="33"/>
  <c r="J34" i="33"/>
  <c r="K34" i="33"/>
  <c r="L34" i="33"/>
  <c r="M34" i="33"/>
  <c r="N34" i="33"/>
  <c r="O34" i="33"/>
  <c r="P34" i="33"/>
  <c r="Q34" i="33"/>
  <c r="R34" i="33"/>
  <c r="S34" i="33"/>
  <c r="T34" i="33"/>
  <c r="U34" i="33"/>
  <c r="V34" i="33"/>
  <c r="W34" i="33"/>
  <c r="X34" i="33"/>
  <c r="Y34" i="33"/>
  <c r="Z34" i="33"/>
  <c r="AA34" i="33"/>
  <c r="AB34" i="33"/>
  <c r="AC34" i="33"/>
  <c r="AD34" i="33"/>
  <c r="AE34" i="33"/>
  <c r="AF34" i="33"/>
  <c r="AG34" i="33"/>
  <c r="AH34" i="33"/>
  <c r="AI34" i="33"/>
  <c r="AJ34" i="33"/>
  <c r="AK34" i="33"/>
  <c r="AL34" i="33"/>
  <c r="AM34" i="33"/>
  <c r="AN34" i="33"/>
  <c r="AO34" i="33"/>
  <c r="AP34" i="33"/>
  <c r="AQ34" i="33"/>
  <c r="AR34" i="33"/>
  <c r="AS34" i="33"/>
  <c r="AT34" i="33"/>
  <c r="AU34" i="33"/>
  <c r="AV34" i="33"/>
  <c r="AW34" i="33"/>
  <c r="AX34" i="33"/>
  <c r="AY34" i="33"/>
  <c r="AZ34" i="33"/>
  <c r="BA34" i="33"/>
  <c r="BB34" i="33"/>
  <c r="BC34" i="33"/>
  <c r="BD34" i="33"/>
  <c r="BE34" i="33"/>
  <c r="BF34" i="33"/>
  <c r="BG34" i="33"/>
  <c r="BH34" i="33"/>
  <c r="BI34" i="33"/>
  <c r="BJ34" i="33"/>
  <c r="BK34" i="33"/>
  <c r="BL34" i="33"/>
  <c r="BM34" i="33"/>
  <c r="BN34" i="33"/>
  <c r="BO34" i="33"/>
  <c r="BP34" i="33"/>
  <c r="AA21" i="33"/>
  <c r="E45" i="33" a="1"/>
  <c r="E45" i="33"/>
  <c r="F45" i="33" a="1"/>
  <c r="F45" i="33"/>
  <c r="G45" i="33" a="1"/>
  <c r="H45" i="33" a="1"/>
  <c r="I45" i="33" a="1"/>
  <c r="J45" i="33" a="1"/>
  <c r="K45" i="33" a="1"/>
  <c r="L45" i="33" a="1"/>
  <c r="M45" i="33" a="1"/>
  <c r="N45" i="33" a="1"/>
  <c r="O45" i="33" a="1"/>
  <c r="P45" i="33" a="1"/>
  <c r="Q45" i="33" a="1"/>
  <c r="R45" i="33" a="1"/>
  <c r="S45" i="33" a="1"/>
  <c r="T45" i="33" a="1"/>
  <c r="U45" i="33" a="1"/>
  <c r="V45" i="33" a="1"/>
  <c r="W45" i="33" a="1"/>
  <c r="X45" i="33" a="1"/>
  <c r="Y45" i="33" a="1"/>
  <c r="Z45" i="33" a="1"/>
  <c r="AA45" i="33" a="1"/>
  <c r="AB45" i="33" a="1"/>
  <c r="AC45" i="33" a="1"/>
  <c r="AD45" i="33" a="1"/>
  <c r="AE45" i="33" a="1"/>
  <c r="AF45" i="33" a="1"/>
  <c r="AG45" i="33" a="1"/>
  <c r="AH45" i="33" a="1"/>
  <c r="AI45" i="33" a="1"/>
  <c r="AJ45" i="33" a="1"/>
  <c r="AK45" i="33" a="1"/>
  <c r="AL45" i="33" a="1"/>
  <c r="AM45" i="33" a="1"/>
  <c r="AN45" i="33" a="1"/>
  <c r="AO45" i="33" a="1"/>
  <c r="AP45" i="33" a="1"/>
  <c r="AQ45" i="33" a="1"/>
  <c r="AR45" i="33" a="1"/>
  <c r="AS45" i="33" a="1"/>
  <c r="AT45" i="33" a="1"/>
  <c r="AU45" i="33" a="1"/>
  <c r="AV45" i="33" a="1"/>
  <c r="AW45" i="33" a="1"/>
  <c r="AX45" i="33" a="1"/>
  <c r="AY45" i="33" a="1"/>
  <c r="AZ45" i="33" a="1"/>
  <c r="BA45" i="33" a="1"/>
  <c r="BB45" i="33" a="1"/>
  <c r="BC45" i="33" a="1"/>
  <c r="BD45" i="33" a="1"/>
  <c r="BE45" i="33" a="1"/>
  <c r="BF45" i="33" a="1"/>
  <c r="BG45" i="33" a="1"/>
  <c r="BH45" i="33" a="1"/>
  <c r="BI45" i="33" a="1"/>
  <c r="BJ45" i="33" a="1"/>
  <c r="BK45" i="33" a="1"/>
  <c r="BL45" i="33" a="1"/>
  <c r="BM45" i="33" a="1"/>
  <c r="BN45" i="33" a="1"/>
  <c r="BO45" i="33" a="1"/>
  <c r="BP45" i="33" a="1"/>
  <c r="G45" i="33"/>
  <c r="H45" i="33"/>
  <c r="I45" i="33"/>
  <c r="J45" i="33"/>
  <c r="K45" i="33"/>
  <c r="L45" i="33"/>
  <c r="M45" i="33"/>
  <c r="N45" i="33"/>
  <c r="O45" i="33"/>
  <c r="P45" i="33"/>
  <c r="Q45" i="33"/>
  <c r="R45" i="33"/>
  <c r="S45" i="33"/>
  <c r="T45" i="33"/>
  <c r="U45" i="33"/>
  <c r="V45" i="33"/>
  <c r="W45" i="33"/>
  <c r="X45" i="33"/>
  <c r="Y45" i="33"/>
  <c r="Z45" i="33"/>
  <c r="AA45" i="33"/>
  <c r="AB45" i="33"/>
  <c r="AC45" i="33"/>
  <c r="AD45" i="33"/>
  <c r="AE45" i="33"/>
  <c r="AF45" i="33"/>
  <c r="AG45" i="33"/>
  <c r="AH45" i="33"/>
  <c r="AI45" i="33"/>
  <c r="AJ45" i="33"/>
  <c r="AK45" i="33"/>
  <c r="AL45" i="33"/>
  <c r="AM45" i="33"/>
  <c r="AN45" i="33"/>
  <c r="AO45" i="33"/>
  <c r="AP45" i="33"/>
  <c r="AQ45" i="33"/>
  <c r="AR45" i="33"/>
  <c r="AS45" i="33"/>
  <c r="AT45" i="33"/>
  <c r="AU45" i="33"/>
  <c r="AV45" i="33"/>
  <c r="AW45" i="33"/>
  <c r="AX45" i="33"/>
  <c r="AY45" i="33"/>
  <c r="AZ45" i="33"/>
  <c r="BA45" i="33"/>
  <c r="BB45" i="33"/>
  <c r="BC45" i="33"/>
  <c r="BD45" i="33"/>
  <c r="BE45" i="33"/>
  <c r="BF45" i="33"/>
  <c r="BG45" i="33"/>
  <c r="BH45" i="33"/>
  <c r="BI45" i="33"/>
  <c r="BJ45" i="33"/>
  <c r="BK45" i="33"/>
  <c r="BL45" i="33"/>
  <c r="BM45" i="33"/>
  <c r="BN45" i="33"/>
  <c r="BO45" i="33"/>
  <c r="BP45" i="33"/>
  <c r="AB21" i="33"/>
  <c r="W21" i="33"/>
  <c r="E35" i="33" a="1"/>
  <c r="E35" i="33"/>
  <c r="F35" i="33" a="1"/>
  <c r="F35" i="33"/>
  <c r="G35" i="33" a="1"/>
  <c r="H35" i="33" a="1"/>
  <c r="I35" i="33" a="1"/>
  <c r="J35" i="33" a="1"/>
  <c r="K35" i="33" a="1"/>
  <c r="L35" i="33" a="1"/>
  <c r="M35" i="33" a="1"/>
  <c r="N35" i="33" a="1"/>
  <c r="O35" i="33" a="1"/>
  <c r="P35" i="33" a="1"/>
  <c r="Q35" i="33" a="1"/>
  <c r="R35" i="33" a="1"/>
  <c r="S35" i="33" a="1"/>
  <c r="T35" i="33" a="1"/>
  <c r="U35" i="33" a="1"/>
  <c r="V35" i="33" a="1"/>
  <c r="W35" i="33" a="1"/>
  <c r="X35" i="33" a="1"/>
  <c r="Y35" i="33" a="1"/>
  <c r="Z35" i="33" a="1"/>
  <c r="AA35" i="33" a="1"/>
  <c r="AB35" i="33" a="1"/>
  <c r="AC35" i="33" a="1"/>
  <c r="AD35" i="33" a="1"/>
  <c r="AE35" i="33" a="1"/>
  <c r="AF35" i="33" a="1"/>
  <c r="AG35" i="33" a="1"/>
  <c r="AH35" i="33" a="1"/>
  <c r="AI35" i="33" a="1"/>
  <c r="AJ35" i="33" a="1"/>
  <c r="AK35" i="33" a="1"/>
  <c r="AL35" i="33" a="1"/>
  <c r="AM35" i="33" a="1"/>
  <c r="AN35" i="33" a="1"/>
  <c r="AO35" i="33" a="1"/>
  <c r="AP35" i="33" a="1"/>
  <c r="AQ35" i="33" a="1"/>
  <c r="AR35" i="33" a="1"/>
  <c r="AS35" i="33" a="1"/>
  <c r="AT35" i="33" a="1"/>
  <c r="AU35" i="33" a="1"/>
  <c r="AV35" i="33" a="1"/>
  <c r="AW35" i="33" a="1"/>
  <c r="AX35" i="33" a="1"/>
  <c r="AY35" i="33" a="1"/>
  <c r="AZ35" i="33" a="1"/>
  <c r="BA35" i="33" a="1"/>
  <c r="BB35" i="33" a="1"/>
  <c r="BC35" i="33" a="1"/>
  <c r="BD35" i="33" a="1"/>
  <c r="BE35" i="33" a="1"/>
  <c r="BF35" i="33" a="1"/>
  <c r="BG35" i="33" a="1"/>
  <c r="BH35" i="33" a="1"/>
  <c r="BI35" i="33" a="1"/>
  <c r="BJ35" i="33" a="1"/>
  <c r="BK35" i="33" a="1"/>
  <c r="BL35" i="33" a="1"/>
  <c r="BM35" i="33" a="1"/>
  <c r="BN35" i="33" a="1"/>
  <c r="BO35" i="33" a="1"/>
  <c r="BP35" i="33" a="1"/>
  <c r="G35" i="33"/>
  <c r="H35" i="33"/>
  <c r="I35" i="33"/>
  <c r="J35" i="33"/>
  <c r="K35" i="33"/>
  <c r="L35" i="33"/>
  <c r="M35" i="33"/>
  <c r="N35" i="33"/>
  <c r="O35" i="33"/>
  <c r="P35" i="33"/>
  <c r="Q35" i="33"/>
  <c r="R35" i="33"/>
  <c r="S35" i="33"/>
  <c r="T35" i="33"/>
  <c r="U35" i="33"/>
  <c r="V35" i="33"/>
  <c r="W35" i="33"/>
  <c r="X35" i="33"/>
  <c r="Y35" i="33"/>
  <c r="Z35" i="33"/>
  <c r="AA35" i="33"/>
  <c r="AB35" i="33"/>
  <c r="AC35" i="33"/>
  <c r="AD35" i="33"/>
  <c r="AE35" i="33"/>
  <c r="AF35" i="33"/>
  <c r="AG35" i="33"/>
  <c r="AH35" i="33"/>
  <c r="AI35" i="33"/>
  <c r="AJ35" i="33"/>
  <c r="AK35" i="33"/>
  <c r="AL35" i="33"/>
  <c r="AM35" i="33"/>
  <c r="AN35" i="33"/>
  <c r="AO35" i="33"/>
  <c r="AP35" i="33"/>
  <c r="AQ35" i="33"/>
  <c r="AR35" i="33"/>
  <c r="AS35" i="33"/>
  <c r="AT35" i="33"/>
  <c r="AU35" i="33"/>
  <c r="AV35" i="33"/>
  <c r="AW35" i="33"/>
  <c r="AX35" i="33"/>
  <c r="AY35" i="33"/>
  <c r="AZ35" i="33"/>
  <c r="BA35" i="33"/>
  <c r="BB35" i="33"/>
  <c r="BC35" i="33"/>
  <c r="BD35" i="33"/>
  <c r="BE35" i="33"/>
  <c r="BF35" i="33"/>
  <c r="BG35" i="33"/>
  <c r="BH35" i="33"/>
  <c r="BI35" i="33"/>
  <c r="BJ35" i="33"/>
  <c r="BK35" i="33"/>
  <c r="BL35" i="33"/>
  <c r="BM35" i="33"/>
  <c r="BN35" i="33"/>
  <c r="BO35" i="33"/>
  <c r="BP35" i="33"/>
  <c r="AA22" i="33"/>
  <c r="E46" i="33" a="1"/>
  <c r="E46" i="33"/>
  <c r="F46" i="33" a="1"/>
  <c r="F46" i="33"/>
  <c r="G46" i="33" a="1"/>
  <c r="H46" i="33" a="1"/>
  <c r="I46" i="33" a="1"/>
  <c r="J46" i="33" a="1"/>
  <c r="K46" i="33" a="1"/>
  <c r="L46" i="33" a="1"/>
  <c r="M46" i="33" a="1"/>
  <c r="N46" i="33" a="1"/>
  <c r="O46" i="33" a="1"/>
  <c r="P46" i="33" a="1"/>
  <c r="Q46" i="33" a="1"/>
  <c r="R46" i="33" a="1"/>
  <c r="S46" i="33" a="1"/>
  <c r="T46" i="33" a="1"/>
  <c r="U46" i="33" a="1"/>
  <c r="V46" i="33" a="1"/>
  <c r="W46" i="33" a="1"/>
  <c r="X46" i="33" a="1"/>
  <c r="Y46" i="33" a="1"/>
  <c r="Z46" i="33" a="1"/>
  <c r="AA46" i="33" a="1"/>
  <c r="AB46" i="33" a="1"/>
  <c r="AC46" i="33" a="1"/>
  <c r="AD46" i="33" a="1"/>
  <c r="AE46" i="33" a="1"/>
  <c r="AF46" i="33" a="1"/>
  <c r="AG46" i="33" a="1"/>
  <c r="AH46" i="33" a="1"/>
  <c r="AI46" i="33" a="1"/>
  <c r="AJ46" i="33" a="1"/>
  <c r="AK46" i="33" a="1"/>
  <c r="AL46" i="33" a="1"/>
  <c r="AM46" i="33" a="1"/>
  <c r="AN46" i="33" a="1"/>
  <c r="AO46" i="33" a="1"/>
  <c r="AP46" i="33" a="1"/>
  <c r="AQ46" i="33" a="1"/>
  <c r="AR46" i="33" a="1"/>
  <c r="AS46" i="33" a="1"/>
  <c r="AT46" i="33" a="1"/>
  <c r="AU46" i="33" a="1"/>
  <c r="AV46" i="33" a="1"/>
  <c r="AW46" i="33" a="1"/>
  <c r="AX46" i="33" a="1"/>
  <c r="AY46" i="33" a="1"/>
  <c r="AZ46" i="33" a="1"/>
  <c r="BA46" i="33" a="1"/>
  <c r="BB46" i="33" a="1"/>
  <c r="BC46" i="33" a="1"/>
  <c r="BD46" i="33" a="1"/>
  <c r="BE46" i="33" a="1"/>
  <c r="BF46" i="33" a="1"/>
  <c r="BG46" i="33" a="1"/>
  <c r="BH46" i="33" a="1"/>
  <c r="BI46" i="33" a="1"/>
  <c r="BJ46" i="33" a="1"/>
  <c r="BK46" i="33" a="1"/>
  <c r="BL46" i="33" a="1"/>
  <c r="BM46" i="33" a="1"/>
  <c r="BN46" i="33" a="1"/>
  <c r="BO46" i="33" a="1"/>
  <c r="BP46" i="33" a="1"/>
  <c r="G46" i="33"/>
  <c r="H46" i="33"/>
  <c r="I46" i="33"/>
  <c r="J46" i="33"/>
  <c r="K46" i="33"/>
  <c r="L46" i="33"/>
  <c r="M46" i="33"/>
  <c r="N46" i="33"/>
  <c r="O46" i="33"/>
  <c r="P46" i="33"/>
  <c r="Q46" i="33"/>
  <c r="R46" i="33"/>
  <c r="S46" i="33"/>
  <c r="T46" i="33"/>
  <c r="U46" i="33"/>
  <c r="V46" i="33"/>
  <c r="W46" i="33"/>
  <c r="X46" i="33"/>
  <c r="Y46" i="33"/>
  <c r="Z46" i="33"/>
  <c r="AA46" i="33"/>
  <c r="AB46" i="33"/>
  <c r="AC46" i="33"/>
  <c r="AD46" i="33"/>
  <c r="AE46" i="33"/>
  <c r="AF46" i="33"/>
  <c r="AG46" i="33"/>
  <c r="AH46" i="33"/>
  <c r="AI46" i="33"/>
  <c r="AJ46" i="33"/>
  <c r="AK46" i="33"/>
  <c r="AL46" i="33"/>
  <c r="AM46" i="33"/>
  <c r="AN46" i="33"/>
  <c r="AO46" i="33"/>
  <c r="AP46" i="33"/>
  <c r="AQ46" i="33"/>
  <c r="AR46" i="33"/>
  <c r="AS46" i="33"/>
  <c r="AT46" i="33"/>
  <c r="AU46" i="33"/>
  <c r="AV46" i="33"/>
  <c r="AW46" i="33"/>
  <c r="AX46" i="33"/>
  <c r="AY46" i="33"/>
  <c r="AZ46" i="33"/>
  <c r="BA46" i="33"/>
  <c r="BB46" i="33"/>
  <c r="BC46" i="33"/>
  <c r="BD46" i="33"/>
  <c r="BE46" i="33"/>
  <c r="BF46" i="33"/>
  <c r="BG46" i="33"/>
  <c r="BH46" i="33"/>
  <c r="BI46" i="33"/>
  <c r="BJ46" i="33"/>
  <c r="BK46" i="33"/>
  <c r="BL46" i="33"/>
  <c r="BM46" i="33"/>
  <c r="BN46" i="33"/>
  <c r="BO46" i="33"/>
  <c r="BP46" i="33"/>
  <c r="AB22" i="33"/>
  <c r="W22" i="33"/>
  <c r="E36" i="33" a="1"/>
  <c r="E36" i="33"/>
  <c r="F36" i="33" a="1"/>
  <c r="F36" i="33"/>
  <c r="G36" i="33" a="1"/>
  <c r="H36" i="33" a="1"/>
  <c r="I36" i="33" a="1"/>
  <c r="J36" i="33" a="1"/>
  <c r="K36" i="33" a="1"/>
  <c r="L36" i="33" a="1"/>
  <c r="M36" i="33" a="1"/>
  <c r="N36" i="33" a="1"/>
  <c r="O36" i="33" a="1"/>
  <c r="P36" i="33" a="1"/>
  <c r="Q36" i="33" a="1"/>
  <c r="R36" i="33" a="1"/>
  <c r="S36" i="33" a="1"/>
  <c r="T36" i="33" a="1"/>
  <c r="U36" i="33" a="1"/>
  <c r="V36" i="33" a="1"/>
  <c r="W36" i="33" a="1"/>
  <c r="X36" i="33" a="1"/>
  <c r="Y36" i="33" a="1"/>
  <c r="Z36" i="33" a="1"/>
  <c r="AA36" i="33" a="1"/>
  <c r="AB36" i="33" a="1"/>
  <c r="AC36" i="33" a="1"/>
  <c r="AD36" i="33" a="1"/>
  <c r="AE36" i="33" a="1"/>
  <c r="AF36" i="33" a="1"/>
  <c r="AG36" i="33" a="1"/>
  <c r="AH36" i="33" a="1"/>
  <c r="AI36" i="33" a="1"/>
  <c r="AJ36" i="33" a="1"/>
  <c r="AK36" i="33" a="1"/>
  <c r="AL36" i="33" a="1"/>
  <c r="AM36" i="33" a="1"/>
  <c r="AN36" i="33" a="1"/>
  <c r="AO36" i="33" a="1"/>
  <c r="AP36" i="33" a="1"/>
  <c r="AQ36" i="33" a="1"/>
  <c r="AR36" i="33" a="1"/>
  <c r="AS36" i="33" a="1"/>
  <c r="AT36" i="33" a="1"/>
  <c r="AU36" i="33" a="1"/>
  <c r="AV36" i="33" a="1"/>
  <c r="AW36" i="33" a="1"/>
  <c r="AX36" i="33" a="1"/>
  <c r="AY36" i="33" a="1"/>
  <c r="AZ36" i="33" a="1"/>
  <c r="BA36" i="33" a="1"/>
  <c r="BB36" i="33" a="1"/>
  <c r="BC36" i="33" a="1"/>
  <c r="BD36" i="33" a="1"/>
  <c r="BE36" i="33" a="1"/>
  <c r="BF36" i="33" a="1"/>
  <c r="BG36" i="33" a="1"/>
  <c r="BH36" i="33" a="1"/>
  <c r="BI36" i="33" a="1"/>
  <c r="BJ36" i="33" a="1"/>
  <c r="BK36" i="33" a="1"/>
  <c r="BL36" i="33" a="1"/>
  <c r="BM36" i="33" a="1"/>
  <c r="BN36" i="33" a="1"/>
  <c r="BO36" i="33" a="1"/>
  <c r="BP36" i="33" a="1"/>
  <c r="G36" i="33"/>
  <c r="H36" i="33"/>
  <c r="I36" i="33"/>
  <c r="J36" i="33"/>
  <c r="K36" i="33"/>
  <c r="L36" i="33"/>
  <c r="M36" i="33"/>
  <c r="N36" i="33"/>
  <c r="O36" i="33"/>
  <c r="P36" i="33"/>
  <c r="Q36" i="33"/>
  <c r="R36" i="33"/>
  <c r="S36" i="33"/>
  <c r="T36" i="33"/>
  <c r="U36" i="33"/>
  <c r="V36" i="33"/>
  <c r="W36" i="33"/>
  <c r="X36" i="33"/>
  <c r="Y36" i="33"/>
  <c r="Z36" i="33"/>
  <c r="AA36" i="33"/>
  <c r="AB36" i="33"/>
  <c r="AC36" i="33"/>
  <c r="AD36" i="33"/>
  <c r="AE36" i="33"/>
  <c r="AF36" i="33"/>
  <c r="AG36" i="33"/>
  <c r="AH36" i="33"/>
  <c r="AI36" i="33"/>
  <c r="AJ36" i="33"/>
  <c r="AK36" i="33"/>
  <c r="AL36" i="33"/>
  <c r="AM36" i="33"/>
  <c r="AN36" i="33"/>
  <c r="AO36" i="33"/>
  <c r="AP36" i="33"/>
  <c r="AQ36" i="33"/>
  <c r="AR36" i="33"/>
  <c r="AS36" i="33"/>
  <c r="AT36" i="33"/>
  <c r="AU36" i="33"/>
  <c r="AV36" i="33"/>
  <c r="AW36" i="33"/>
  <c r="AX36" i="33"/>
  <c r="AY36" i="33"/>
  <c r="AZ36" i="33"/>
  <c r="BA36" i="33"/>
  <c r="BB36" i="33"/>
  <c r="BC36" i="33"/>
  <c r="BD36" i="33"/>
  <c r="BE36" i="33"/>
  <c r="BF36" i="33"/>
  <c r="BG36" i="33"/>
  <c r="BH36" i="33"/>
  <c r="BI36" i="33"/>
  <c r="BJ36" i="33"/>
  <c r="BK36" i="33"/>
  <c r="BL36" i="33"/>
  <c r="BM36" i="33"/>
  <c r="BN36" i="33"/>
  <c r="BO36" i="33"/>
  <c r="BP36" i="33"/>
  <c r="AA23" i="33"/>
  <c r="E47" i="33" a="1"/>
  <c r="E47" i="33"/>
  <c r="F47" i="33" a="1"/>
  <c r="F47" i="33"/>
  <c r="G47" i="33" a="1"/>
  <c r="H47" i="33" a="1"/>
  <c r="I47" i="33" a="1"/>
  <c r="J47" i="33" a="1"/>
  <c r="K47" i="33" a="1"/>
  <c r="L47" i="33" a="1"/>
  <c r="M47" i="33" a="1"/>
  <c r="N47" i="33" a="1"/>
  <c r="O47" i="33" a="1"/>
  <c r="P47" i="33" a="1"/>
  <c r="Q47" i="33" a="1"/>
  <c r="R47" i="33" a="1"/>
  <c r="S47" i="33" a="1"/>
  <c r="T47" i="33" a="1"/>
  <c r="U47" i="33" a="1"/>
  <c r="V47" i="33" a="1"/>
  <c r="W47" i="33" a="1"/>
  <c r="X47" i="33" a="1"/>
  <c r="Y47" i="33" a="1"/>
  <c r="Z47" i="33" a="1"/>
  <c r="AA47" i="33" a="1"/>
  <c r="AB47" i="33" a="1"/>
  <c r="AC47" i="33" a="1"/>
  <c r="AD47" i="33" a="1"/>
  <c r="AE47" i="33" a="1"/>
  <c r="AF47" i="33" a="1"/>
  <c r="AG47" i="33" a="1"/>
  <c r="AH47" i="33" a="1"/>
  <c r="AI47" i="33" a="1"/>
  <c r="AJ47" i="33" a="1"/>
  <c r="AK47" i="33" a="1"/>
  <c r="AL47" i="33" a="1"/>
  <c r="AM47" i="33" a="1"/>
  <c r="AN47" i="33" a="1"/>
  <c r="AO47" i="33" a="1"/>
  <c r="AP47" i="33" a="1"/>
  <c r="AQ47" i="33" a="1"/>
  <c r="AR47" i="33" a="1"/>
  <c r="AS47" i="33" a="1"/>
  <c r="AT47" i="33" a="1"/>
  <c r="AU47" i="33" a="1"/>
  <c r="AV47" i="33" a="1"/>
  <c r="AW47" i="33" a="1"/>
  <c r="AX47" i="33" a="1"/>
  <c r="AY47" i="33" a="1"/>
  <c r="AZ47" i="33" a="1"/>
  <c r="BA47" i="33" a="1"/>
  <c r="BB47" i="33" a="1"/>
  <c r="BC47" i="33" a="1"/>
  <c r="BD47" i="33" a="1"/>
  <c r="BE47" i="33" a="1"/>
  <c r="BF47" i="33" a="1"/>
  <c r="BG47" i="33" a="1"/>
  <c r="BH47" i="33" a="1"/>
  <c r="BI47" i="33" a="1"/>
  <c r="BJ47" i="33" a="1"/>
  <c r="BK47" i="33" a="1"/>
  <c r="BL47" i="33" a="1"/>
  <c r="BM47" i="33" a="1"/>
  <c r="BN47" i="33" a="1"/>
  <c r="BO47" i="33" a="1"/>
  <c r="BP47" i="33" a="1"/>
  <c r="G47" i="33"/>
  <c r="H47" i="33"/>
  <c r="I47" i="33"/>
  <c r="J47" i="33"/>
  <c r="K47" i="33"/>
  <c r="L47" i="33"/>
  <c r="M47" i="33"/>
  <c r="N47" i="33"/>
  <c r="O47" i="33"/>
  <c r="P47" i="33"/>
  <c r="Q47" i="33"/>
  <c r="R47" i="33"/>
  <c r="S47" i="33"/>
  <c r="T47" i="33"/>
  <c r="U47" i="33"/>
  <c r="V47" i="33"/>
  <c r="W47" i="33"/>
  <c r="X47" i="33"/>
  <c r="Y47" i="33"/>
  <c r="Z47" i="33"/>
  <c r="AA47" i="33"/>
  <c r="AB47" i="33"/>
  <c r="AC47" i="33"/>
  <c r="AD47" i="33"/>
  <c r="AE47" i="33"/>
  <c r="AF47" i="33"/>
  <c r="AG47" i="33"/>
  <c r="AH47" i="33"/>
  <c r="AI47" i="33"/>
  <c r="AJ47" i="33"/>
  <c r="AK47" i="33"/>
  <c r="AL47" i="33"/>
  <c r="AM47" i="33"/>
  <c r="AN47" i="33"/>
  <c r="AO47" i="33"/>
  <c r="AP47" i="33"/>
  <c r="AQ47" i="33"/>
  <c r="AR47" i="33"/>
  <c r="AS47" i="33"/>
  <c r="AT47" i="33"/>
  <c r="AU47" i="33"/>
  <c r="AV47" i="33"/>
  <c r="AW47" i="33"/>
  <c r="AX47" i="33"/>
  <c r="AY47" i="33"/>
  <c r="AZ47" i="33"/>
  <c r="BA47" i="33"/>
  <c r="BB47" i="33"/>
  <c r="BC47" i="33"/>
  <c r="BD47" i="33"/>
  <c r="BE47" i="33"/>
  <c r="BF47" i="33"/>
  <c r="BG47" i="33"/>
  <c r="BH47" i="33"/>
  <c r="BI47" i="33"/>
  <c r="BJ47" i="33"/>
  <c r="BK47" i="33"/>
  <c r="BL47" i="33"/>
  <c r="BM47" i="33"/>
  <c r="BN47" i="33"/>
  <c r="BO47" i="33"/>
  <c r="BP47" i="33"/>
  <c r="AB23" i="33"/>
  <c r="W23" i="33"/>
  <c r="E37" i="33" a="1"/>
  <c r="E37" i="33"/>
  <c r="F37" i="33" a="1"/>
  <c r="F37" i="33"/>
  <c r="G37" i="33" a="1"/>
  <c r="H37" i="33" a="1"/>
  <c r="I37" i="33" a="1"/>
  <c r="J37" i="33" a="1"/>
  <c r="K37" i="33" a="1"/>
  <c r="L37" i="33" a="1"/>
  <c r="M37" i="33" a="1"/>
  <c r="N37" i="33" a="1"/>
  <c r="O37" i="33" a="1"/>
  <c r="P37" i="33" a="1"/>
  <c r="Q37" i="33" a="1"/>
  <c r="R37" i="33" a="1"/>
  <c r="S37" i="33" a="1"/>
  <c r="T37" i="33" a="1"/>
  <c r="U37" i="33" a="1"/>
  <c r="V37" i="33" a="1"/>
  <c r="W37" i="33" a="1"/>
  <c r="X37" i="33" a="1"/>
  <c r="Y37" i="33" a="1"/>
  <c r="Z37" i="33" a="1"/>
  <c r="AA37" i="33" a="1"/>
  <c r="AB37" i="33" a="1"/>
  <c r="AC37" i="33" a="1"/>
  <c r="AD37" i="33" a="1"/>
  <c r="AE37" i="33" a="1"/>
  <c r="AF37" i="33" a="1"/>
  <c r="AG37" i="33" a="1"/>
  <c r="AH37" i="33" a="1"/>
  <c r="AI37" i="33" a="1"/>
  <c r="AJ37" i="33" a="1"/>
  <c r="AK37" i="33" a="1"/>
  <c r="AL37" i="33" a="1"/>
  <c r="AM37" i="33" a="1"/>
  <c r="AN37" i="33" a="1"/>
  <c r="AO37" i="33" a="1"/>
  <c r="AP37" i="33" a="1"/>
  <c r="AQ37" i="33" a="1"/>
  <c r="AR37" i="33" a="1"/>
  <c r="AS37" i="33" a="1"/>
  <c r="AT37" i="33" a="1"/>
  <c r="AU37" i="33" a="1"/>
  <c r="AV37" i="33" a="1"/>
  <c r="AW37" i="33" a="1"/>
  <c r="AX37" i="33" a="1"/>
  <c r="AY37" i="33" a="1"/>
  <c r="AZ37" i="33" a="1"/>
  <c r="BA37" i="33" a="1"/>
  <c r="BB37" i="33" a="1"/>
  <c r="BC37" i="33" a="1"/>
  <c r="BD37" i="33" a="1"/>
  <c r="BE37" i="33" a="1"/>
  <c r="BF37" i="33" a="1"/>
  <c r="BG37" i="33" a="1"/>
  <c r="BH37" i="33" a="1"/>
  <c r="BI37" i="33" a="1"/>
  <c r="BJ37" i="33" a="1"/>
  <c r="BK37" i="33" a="1"/>
  <c r="BL37" i="33" a="1"/>
  <c r="BM37" i="33" a="1"/>
  <c r="BN37" i="33" a="1"/>
  <c r="BO37" i="33" a="1"/>
  <c r="BP37" i="33" a="1"/>
  <c r="G37" i="33"/>
  <c r="H37" i="33"/>
  <c r="I37" i="33"/>
  <c r="J37" i="33"/>
  <c r="K37" i="33"/>
  <c r="L37" i="33"/>
  <c r="M37" i="33"/>
  <c r="N37" i="33"/>
  <c r="O37" i="33"/>
  <c r="P37" i="33"/>
  <c r="Q37" i="33"/>
  <c r="R37" i="33"/>
  <c r="S37" i="33"/>
  <c r="T37" i="33"/>
  <c r="U37" i="33"/>
  <c r="V37" i="33"/>
  <c r="W37" i="33"/>
  <c r="X37" i="33"/>
  <c r="Y37" i="33"/>
  <c r="Z37" i="33"/>
  <c r="AA37" i="33"/>
  <c r="AB37" i="33"/>
  <c r="AC37" i="33"/>
  <c r="AD37" i="33"/>
  <c r="AE37" i="33"/>
  <c r="AF37" i="33"/>
  <c r="AG37" i="33"/>
  <c r="AH37" i="33"/>
  <c r="AI37" i="33"/>
  <c r="AJ37" i="33"/>
  <c r="AK37" i="33"/>
  <c r="AL37" i="33"/>
  <c r="AM37" i="33"/>
  <c r="AN37" i="33"/>
  <c r="AO37" i="33"/>
  <c r="AP37" i="33"/>
  <c r="AQ37" i="33"/>
  <c r="AR37" i="33"/>
  <c r="AS37" i="33"/>
  <c r="AT37" i="33"/>
  <c r="AU37" i="33"/>
  <c r="AV37" i="33"/>
  <c r="AW37" i="33"/>
  <c r="AX37" i="33"/>
  <c r="AY37" i="33"/>
  <c r="AZ37" i="33"/>
  <c r="BA37" i="33"/>
  <c r="BB37" i="33"/>
  <c r="BC37" i="33"/>
  <c r="BD37" i="33"/>
  <c r="BE37" i="33"/>
  <c r="BF37" i="33"/>
  <c r="BG37" i="33"/>
  <c r="BH37" i="33"/>
  <c r="BI37" i="33"/>
  <c r="BJ37" i="33"/>
  <c r="BK37" i="33"/>
  <c r="BL37" i="33"/>
  <c r="BM37" i="33"/>
  <c r="BN37" i="33"/>
  <c r="BO37" i="33"/>
  <c r="BP37" i="33"/>
  <c r="AA24" i="33"/>
  <c r="E48" i="33" a="1"/>
  <c r="E48" i="33"/>
  <c r="F48" i="33" a="1"/>
  <c r="F48" i="33"/>
  <c r="G48" i="33" a="1"/>
  <c r="H48" i="33" a="1"/>
  <c r="I48" i="33" a="1"/>
  <c r="J48" i="33" a="1"/>
  <c r="K48" i="33" a="1"/>
  <c r="L48" i="33" a="1"/>
  <c r="M48" i="33" a="1"/>
  <c r="N48" i="33" a="1"/>
  <c r="O48" i="33" a="1"/>
  <c r="P48" i="33" a="1"/>
  <c r="Q48" i="33" a="1"/>
  <c r="R48" i="33" a="1"/>
  <c r="S48" i="33" a="1"/>
  <c r="T48" i="33" a="1"/>
  <c r="U48" i="33" a="1"/>
  <c r="V48" i="33" a="1"/>
  <c r="W48" i="33" a="1"/>
  <c r="X48" i="33" a="1"/>
  <c r="Y48" i="33" a="1"/>
  <c r="Z48" i="33" a="1"/>
  <c r="AA48" i="33" a="1"/>
  <c r="AB48" i="33" a="1"/>
  <c r="AC48" i="33" a="1"/>
  <c r="AD48" i="33" a="1"/>
  <c r="AE48" i="33" a="1"/>
  <c r="AF48" i="33" a="1"/>
  <c r="AG48" i="33" a="1"/>
  <c r="AH48" i="33" a="1"/>
  <c r="AI48" i="33" a="1"/>
  <c r="AJ48" i="33" a="1"/>
  <c r="AK48" i="33" a="1"/>
  <c r="AL48" i="33" a="1"/>
  <c r="AM48" i="33" a="1"/>
  <c r="AN48" i="33" a="1"/>
  <c r="AO48" i="33" a="1"/>
  <c r="AP48" i="33" a="1"/>
  <c r="AQ48" i="33" a="1"/>
  <c r="AR48" i="33" a="1"/>
  <c r="AS48" i="33" a="1"/>
  <c r="AT48" i="33" a="1"/>
  <c r="AU48" i="33" a="1"/>
  <c r="AV48" i="33" a="1"/>
  <c r="AW48" i="33" a="1"/>
  <c r="AX48" i="33" a="1"/>
  <c r="AY48" i="33" a="1"/>
  <c r="AZ48" i="33" a="1"/>
  <c r="BA48" i="33" a="1"/>
  <c r="BB48" i="33" a="1"/>
  <c r="BC48" i="33" a="1"/>
  <c r="BD48" i="33" a="1"/>
  <c r="BE48" i="33" a="1"/>
  <c r="BF48" i="33" a="1"/>
  <c r="BG48" i="33" a="1"/>
  <c r="BH48" i="33" a="1"/>
  <c r="BI48" i="33" a="1"/>
  <c r="BJ48" i="33" a="1"/>
  <c r="BK48" i="33" a="1"/>
  <c r="BL48" i="33" a="1"/>
  <c r="BM48" i="33" a="1"/>
  <c r="BN48" i="33" a="1"/>
  <c r="BO48" i="33" a="1"/>
  <c r="BP48" i="33" a="1"/>
  <c r="G48" i="33"/>
  <c r="H48" i="33"/>
  <c r="I48" i="33"/>
  <c r="J48" i="33"/>
  <c r="K48" i="33"/>
  <c r="L48" i="33"/>
  <c r="M48" i="33"/>
  <c r="N48" i="33"/>
  <c r="O48" i="33"/>
  <c r="P48" i="33"/>
  <c r="Q48" i="33"/>
  <c r="R48" i="33"/>
  <c r="S48" i="33"/>
  <c r="T48" i="33"/>
  <c r="U48" i="33"/>
  <c r="V48" i="33"/>
  <c r="W48" i="33"/>
  <c r="X48" i="33"/>
  <c r="Y48" i="33"/>
  <c r="Z48" i="33"/>
  <c r="AA48" i="33"/>
  <c r="AB48" i="33"/>
  <c r="AC48" i="33"/>
  <c r="AD48" i="33"/>
  <c r="AE48" i="33"/>
  <c r="AF48" i="33"/>
  <c r="AG48" i="33"/>
  <c r="AH48" i="33"/>
  <c r="AI48" i="33"/>
  <c r="AJ48" i="33"/>
  <c r="AK48" i="33"/>
  <c r="AL48" i="33"/>
  <c r="AM48" i="33"/>
  <c r="AN48" i="33"/>
  <c r="AO48" i="33"/>
  <c r="AP48" i="33"/>
  <c r="AQ48" i="33"/>
  <c r="AR48" i="33"/>
  <c r="AS48" i="33"/>
  <c r="AT48" i="33"/>
  <c r="AU48" i="33"/>
  <c r="AV48" i="33"/>
  <c r="AW48" i="33"/>
  <c r="AX48" i="33"/>
  <c r="AY48" i="33"/>
  <c r="AZ48" i="33"/>
  <c r="BA48" i="33"/>
  <c r="BB48" i="33"/>
  <c r="BC48" i="33"/>
  <c r="BD48" i="33"/>
  <c r="BE48" i="33"/>
  <c r="BF48" i="33"/>
  <c r="BG48" i="33"/>
  <c r="BH48" i="33"/>
  <c r="BI48" i="33"/>
  <c r="BJ48" i="33"/>
  <c r="BK48" i="33"/>
  <c r="BL48" i="33"/>
  <c r="BM48" i="33"/>
  <c r="BN48" i="33"/>
  <c r="BO48" i="33"/>
  <c r="BP48" i="33"/>
  <c r="AB24" i="33"/>
  <c r="W24" i="33"/>
  <c r="Z25" i="33"/>
  <c r="J25" i="33"/>
  <c r="I25" i="33"/>
  <c r="H25" i="33"/>
  <c r="N12" i="33"/>
  <c r="G25" i="33"/>
  <c r="F25" i="33"/>
  <c r="E25" i="33"/>
  <c r="D25" i="33"/>
  <c r="E59" i="33" a="1"/>
  <c r="E59" i="33"/>
  <c r="F59" i="33" a="1"/>
  <c r="F59" i="33"/>
  <c r="G59" i="33" a="1"/>
  <c r="H59" i="33" a="1"/>
  <c r="I59" i="33" a="1"/>
  <c r="J59" i="33" a="1"/>
  <c r="K59" i="33" a="1"/>
  <c r="L59" i="33" a="1"/>
  <c r="M59" i="33" a="1"/>
  <c r="N59" i="33" a="1"/>
  <c r="O59" i="33" a="1"/>
  <c r="P59" i="33" a="1"/>
  <c r="Q59" i="33" a="1"/>
  <c r="R59" i="33" a="1"/>
  <c r="S59" i="33" a="1"/>
  <c r="T59" i="33" a="1"/>
  <c r="U59" i="33" a="1"/>
  <c r="V59" i="33" a="1"/>
  <c r="W59" i="33" a="1"/>
  <c r="X59" i="33" a="1"/>
  <c r="Y59" i="33" a="1"/>
  <c r="Z59" i="33" a="1"/>
  <c r="AA59" i="33" a="1"/>
  <c r="AB59" i="33" a="1"/>
  <c r="AC59" i="33" a="1"/>
  <c r="AD59" i="33" a="1"/>
  <c r="AE59" i="33" a="1"/>
  <c r="AF59" i="33" a="1"/>
  <c r="AG59" i="33" a="1"/>
  <c r="AH59" i="33" a="1"/>
  <c r="AI59" i="33" a="1"/>
  <c r="AJ59" i="33" a="1"/>
  <c r="AK59" i="33" a="1"/>
  <c r="AL59" i="33" a="1"/>
  <c r="AM59" i="33" a="1"/>
  <c r="AN59" i="33" a="1"/>
  <c r="AO59" i="33" a="1"/>
  <c r="AP59" i="33" a="1"/>
  <c r="AQ59" i="33" a="1"/>
  <c r="AR59" i="33" a="1"/>
  <c r="AS59" i="33" a="1"/>
  <c r="AT59" i="33" a="1"/>
  <c r="AU59" i="33" a="1"/>
  <c r="AV59" i="33" a="1"/>
  <c r="AW59" i="33" a="1"/>
  <c r="AX59" i="33" a="1"/>
  <c r="AY59" i="33" a="1"/>
  <c r="AZ59" i="33" a="1"/>
  <c r="BA59" i="33" a="1"/>
  <c r="BB59" i="33" a="1"/>
  <c r="BC59" i="33" a="1"/>
  <c r="BD59" i="33" a="1"/>
  <c r="BE59" i="33" a="1"/>
  <c r="BF59" i="33" a="1"/>
  <c r="BG59" i="33" a="1"/>
  <c r="BH59" i="33" a="1"/>
  <c r="BI59" i="33" a="1"/>
  <c r="BJ59" i="33" a="1"/>
  <c r="BK59" i="33" a="1"/>
  <c r="BL59" i="33" a="1"/>
  <c r="BM59" i="33" a="1"/>
  <c r="BN59" i="33" a="1"/>
  <c r="BO59" i="33" a="1"/>
  <c r="BP59" i="33" a="1"/>
  <c r="G59" i="33"/>
  <c r="H59" i="33"/>
  <c r="I59" i="33"/>
  <c r="J59" i="33"/>
  <c r="K59" i="33"/>
  <c r="L59" i="33"/>
  <c r="M59" i="33"/>
  <c r="N59" i="33"/>
  <c r="O59" i="33"/>
  <c r="P59" i="33"/>
  <c r="Q59" i="33"/>
  <c r="R59" i="33"/>
  <c r="S59" i="33"/>
  <c r="T59" i="33"/>
  <c r="U59" i="33"/>
  <c r="V59" i="33"/>
  <c r="W59" i="33"/>
  <c r="X59" i="33"/>
  <c r="Y59" i="33"/>
  <c r="Z59" i="33"/>
  <c r="AA59" i="33"/>
  <c r="AB59" i="33"/>
  <c r="AC59" i="33"/>
  <c r="AD59" i="33"/>
  <c r="AE59" i="33"/>
  <c r="AF59" i="33"/>
  <c r="AG59" i="33"/>
  <c r="AH59" i="33"/>
  <c r="AI59" i="33"/>
  <c r="AJ59" i="33"/>
  <c r="AK59" i="33"/>
  <c r="AL59" i="33"/>
  <c r="AM59" i="33"/>
  <c r="AN59" i="33"/>
  <c r="AO59" i="33"/>
  <c r="AP59" i="33"/>
  <c r="AQ59" i="33"/>
  <c r="AR59" i="33"/>
  <c r="AS59" i="33"/>
  <c r="AT59" i="33"/>
  <c r="AU59" i="33"/>
  <c r="AV59" i="33"/>
  <c r="AW59" i="33"/>
  <c r="AX59" i="33"/>
  <c r="AY59" i="33"/>
  <c r="AZ59" i="33"/>
  <c r="BA59" i="33"/>
  <c r="BB59" i="33"/>
  <c r="BC59" i="33"/>
  <c r="BD59" i="33"/>
  <c r="BE59" i="33"/>
  <c r="BF59" i="33"/>
  <c r="BG59" i="33"/>
  <c r="BH59" i="33"/>
  <c r="BI59" i="33"/>
  <c r="BJ59" i="33"/>
  <c r="BK59" i="33"/>
  <c r="BL59" i="33"/>
  <c r="BM59" i="33"/>
  <c r="BN59" i="33"/>
  <c r="BO59" i="33"/>
  <c r="BP59" i="33"/>
  <c r="AC24" i="33"/>
  <c r="Z24" i="33"/>
  <c r="J24" i="33"/>
  <c r="I24" i="33"/>
  <c r="H24" i="33"/>
  <c r="N11" i="33"/>
  <c r="G24" i="33"/>
  <c r="F24" i="33"/>
  <c r="E24" i="33"/>
  <c r="D24" i="33"/>
  <c r="E58" i="33" a="1"/>
  <c r="E58" i="33"/>
  <c r="F58" i="33" a="1"/>
  <c r="F58" i="33"/>
  <c r="G58" i="33" a="1"/>
  <c r="H58" i="33" a="1"/>
  <c r="I58" i="33" a="1"/>
  <c r="J58" i="33" a="1"/>
  <c r="K58" i="33" a="1"/>
  <c r="L58" i="33" a="1"/>
  <c r="M58" i="33" a="1"/>
  <c r="N58" i="33" a="1"/>
  <c r="O58" i="33" a="1"/>
  <c r="P58" i="33" a="1"/>
  <c r="Q58" i="33" a="1"/>
  <c r="R58" i="33" a="1"/>
  <c r="S58" i="33" a="1"/>
  <c r="T58" i="33" a="1"/>
  <c r="U58" i="33" a="1"/>
  <c r="V58" i="33" a="1"/>
  <c r="W58" i="33" a="1"/>
  <c r="X58" i="33" a="1"/>
  <c r="Y58" i="33" a="1"/>
  <c r="Z58" i="33" a="1"/>
  <c r="AA58" i="33" a="1"/>
  <c r="AB58" i="33" a="1"/>
  <c r="AC58" i="33" a="1"/>
  <c r="AD58" i="33" a="1"/>
  <c r="AE58" i="33" a="1"/>
  <c r="AF58" i="33" a="1"/>
  <c r="AG58" i="33" a="1"/>
  <c r="AH58" i="33" a="1"/>
  <c r="AI58" i="33" a="1"/>
  <c r="AJ58" i="33" a="1"/>
  <c r="AK58" i="33" a="1"/>
  <c r="AL58" i="33" a="1"/>
  <c r="AM58" i="33" a="1"/>
  <c r="AN58" i="33" a="1"/>
  <c r="AO58" i="33" a="1"/>
  <c r="AP58" i="33" a="1"/>
  <c r="AQ58" i="33" a="1"/>
  <c r="AR58" i="33" a="1"/>
  <c r="AS58" i="33" a="1"/>
  <c r="AT58" i="33" a="1"/>
  <c r="AU58" i="33" a="1"/>
  <c r="AV58" i="33" a="1"/>
  <c r="AW58" i="33" a="1"/>
  <c r="AX58" i="33" a="1"/>
  <c r="AY58" i="33" a="1"/>
  <c r="AZ58" i="33" a="1"/>
  <c r="BA58" i="33" a="1"/>
  <c r="BB58" i="33" a="1"/>
  <c r="BC58" i="33" a="1"/>
  <c r="BD58" i="33" a="1"/>
  <c r="BE58" i="33" a="1"/>
  <c r="BF58" i="33" a="1"/>
  <c r="BG58" i="33" a="1"/>
  <c r="BH58" i="33" a="1"/>
  <c r="BI58" i="33" a="1"/>
  <c r="BJ58" i="33" a="1"/>
  <c r="BK58" i="33" a="1"/>
  <c r="BL58" i="33" a="1"/>
  <c r="BM58" i="33" a="1"/>
  <c r="BN58" i="33" a="1"/>
  <c r="BO58" i="33" a="1"/>
  <c r="BP58" i="33" a="1"/>
  <c r="G58" i="33"/>
  <c r="H58" i="33"/>
  <c r="I58" i="33"/>
  <c r="J58" i="33"/>
  <c r="K58" i="33"/>
  <c r="L58" i="33"/>
  <c r="M58" i="33"/>
  <c r="N58" i="33"/>
  <c r="O58" i="33"/>
  <c r="P58" i="33"/>
  <c r="Q58" i="33"/>
  <c r="R58" i="33"/>
  <c r="S58" i="33"/>
  <c r="T58" i="33"/>
  <c r="U58" i="33"/>
  <c r="V58" i="33"/>
  <c r="W58" i="33"/>
  <c r="X58" i="33"/>
  <c r="Y58" i="33"/>
  <c r="Z58" i="33"/>
  <c r="AA58" i="33"/>
  <c r="AB58" i="33"/>
  <c r="AC58" i="33"/>
  <c r="AD58" i="33"/>
  <c r="AE58" i="33"/>
  <c r="AF58" i="33"/>
  <c r="AG58" i="33"/>
  <c r="AH58" i="33"/>
  <c r="AI58" i="33"/>
  <c r="AJ58" i="33"/>
  <c r="AK58" i="33"/>
  <c r="AL58" i="33"/>
  <c r="AM58" i="33"/>
  <c r="AN58" i="33"/>
  <c r="AO58" i="33"/>
  <c r="AP58" i="33"/>
  <c r="AQ58" i="33"/>
  <c r="AR58" i="33"/>
  <c r="AS58" i="33"/>
  <c r="AT58" i="33"/>
  <c r="AU58" i="33"/>
  <c r="AV58" i="33"/>
  <c r="AW58" i="33"/>
  <c r="AX58" i="33"/>
  <c r="AY58" i="33"/>
  <c r="AZ58" i="33"/>
  <c r="BA58" i="33"/>
  <c r="BB58" i="33"/>
  <c r="BC58" i="33"/>
  <c r="BD58" i="33"/>
  <c r="BE58" i="33"/>
  <c r="BF58" i="33"/>
  <c r="BG58" i="33"/>
  <c r="BH58" i="33"/>
  <c r="BI58" i="33"/>
  <c r="BJ58" i="33"/>
  <c r="BK58" i="33"/>
  <c r="BL58" i="33"/>
  <c r="BM58" i="33"/>
  <c r="BN58" i="33"/>
  <c r="BO58" i="33"/>
  <c r="BP58" i="33"/>
  <c r="AC23" i="33"/>
  <c r="Z23" i="33"/>
  <c r="J23" i="33"/>
  <c r="I23" i="33"/>
  <c r="H23" i="33"/>
  <c r="N10" i="33"/>
  <c r="G23" i="33"/>
  <c r="F23" i="33"/>
  <c r="E23" i="33"/>
  <c r="D23" i="33"/>
  <c r="E57" i="33" a="1"/>
  <c r="E57" i="33"/>
  <c r="F57" i="33" a="1"/>
  <c r="F57" i="33"/>
  <c r="G57" i="33" a="1"/>
  <c r="H57" i="33" a="1"/>
  <c r="I57" i="33" a="1"/>
  <c r="J57" i="33" a="1"/>
  <c r="K57" i="33" a="1"/>
  <c r="L57" i="33" a="1"/>
  <c r="M57" i="33" a="1"/>
  <c r="N57" i="33" a="1"/>
  <c r="O57" i="33" a="1"/>
  <c r="P57" i="33" a="1"/>
  <c r="Q57" i="33" a="1"/>
  <c r="R57" i="33" a="1"/>
  <c r="S57" i="33" a="1"/>
  <c r="T57" i="33" a="1"/>
  <c r="U57" i="33" a="1"/>
  <c r="V57" i="33" a="1"/>
  <c r="W57" i="33" a="1"/>
  <c r="X57" i="33" a="1"/>
  <c r="Y57" i="33" a="1"/>
  <c r="Z57" i="33" a="1"/>
  <c r="AA57" i="33" a="1"/>
  <c r="AB57" i="33" a="1"/>
  <c r="AC57" i="33" a="1"/>
  <c r="AD57" i="33" a="1"/>
  <c r="AE57" i="33" a="1"/>
  <c r="AF57" i="33" a="1"/>
  <c r="AG57" i="33" a="1"/>
  <c r="AH57" i="33" a="1"/>
  <c r="AI57" i="33" a="1"/>
  <c r="AJ57" i="33" a="1"/>
  <c r="AK57" i="33" a="1"/>
  <c r="AL57" i="33" a="1"/>
  <c r="AM57" i="33" a="1"/>
  <c r="AN57" i="33" a="1"/>
  <c r="AO57" i="33" a="1"/>
  <c r="AP57" i="33" a="1"/>
  <c r="AQ57" i="33" a="1"/>
  <c r="AR57" i="33" a="1"/>
  <c r="AS57" i="33" a="1"/>
  <c r="AT57" i="33" a="1"/>
  <c r="AU57" i="33" a="1"/>
  <c r="AV57" i="33" a="1"/>
  <c r="AW57" i="33" a="1"/>
  <c r="AX57" i="33" a="1"/>
  <c r="AY57" i="33" a="1"/>
  <c r="AZ57" i="33" a="1"/>
  <c r="BA57" i="33" a="1"/>
  <c r="BB57" i="33" a="1"/>
  <c r="BC57" i="33" a="1"/>
  <c r="BD57" i="33" a="1"/>
  <c r="BE57" i="33" a="1"/>
  <c r="BF57" i="33" a="1"/>
  <c r="BG57" i="33" a="1"/>
  <c r="BH57" i="33" a="1"/>
  <c r="BI57" i="33" a="1"/>
  <c r="BJ57" i="33" a="1"/>
  <c r="BK57" i="33" a="1"/>
  <c r="BL57" i="33" a="1"/>
  <c r="BM57" i="33" a="1"/>
  <c r="BN57" i="33" a="1"/>
  <c r="BO57" i="33" a="1"/>
  <c r="BP57" i="33" a="1"/>
  <c r="G57" i="33"/>
  <c r="H57" i="33"/>
  <c r="I57" i="33"/>
  <c r="J57" i="33"/>
  <c r="K57" i="33"/>
  <c r="L57" i="33"/>
  <c r="M57" i="33"/>
  <c r="N57" i="33"/>
  <c r="O57" i="33"/>
  <c r="P57" i="33"/>
  <c r="Q57" i="33"/>
  <c r="R57" i="33"/>
  <c r="S57" i="33"/>
  <c r="T57" i="33"/>
  <c r="U57" i="33"/>
  <c r="V57" i="33"/>
  <c r="W57" i="33"/>
  <c r="X57" i="33"/>
  <c r="Y57" i="33"/>
  <c r="Z57" i="33"/>
  <c r="AA57" i="33"/>
  <c r="AB57" i="33"/>
  <c r="AC57" i="33"/>
  <c r="AD57" i="33"/>
  <c r="AE57" i="33"/>
  <c r="AF57" i="33"/>
  <c r="AG57" i="33"/>
  <c r="AH57" i="33"/>
  <c r="AI57" i="33"/>
  <c r="AJ57" i="33"/>
  <c r="AK57" i="33"/>
  <c r="AL57" i="33"/>
  <c r="AM57" i="33"/>
  <c r="AN57" i="33"/>
  <c r="AO57" i="33"/>
  <c r="AP57" i="33"/>
  <c r="AQ57" i="33"/>
  <c r="AR57" i="33"/>
  <c r="AS57" i="33"/>
  <c r="AT57" i="33"/>
  <c r="AU57" i="33"/>
  <c r="AV57" i="33"/>
  <c r="AW57" i="33"/>
  <c r="AX57" i="33"/>
  <c r="AY57" i="33"/>
  <c r="AZ57" i="33"/>
  <c r="BA57" i="33"/>
  <c r="BB57" i="33"/>
  <c r="BC57" i="33"/>
  <c r="BD57" i="33"/>
  <c r="BE57" i="33"/>
  <c r="BF57" i="33"/>
  <c r="BG57" i="33"/>
  <c r="BH57" i="33"/>
  <c r="BI57" i="33"/>
  <c r="BJ57" i="33"/>
  <c r="BK57" i="33"/>
  <c r="BL57" i="33"/>
  <c r="BM57" i="33"/>
  <c r="BN57" i="33"/>
  <c r="BO57" i="33"/>
  <c r="BP57" i="33"/>
  <c r="AC22" i="33"/>
  <c r="Z22" i="33"/>
  <c r="J22" i="33"/>
  <c r="I22" i="33"/>
  <c r="H22" i="33"/>
  <c r="N9" i="33"/>
  <c r="G22" i="33"/>
  <c r="F22" i="33"/>
  <c r="E22" i="33"/>
  <c r="D22" i="33"/>
  <c r="E56" i="33" a="1"/>
  <c r="E56" i="33"/>
  <c r="F56" i="33" a="1"/>
  <c r="F56" i="33"/>
  <c r="G56" i="33" a="1"/>
  <c r="H56" i="33" a="1"/>
  <c r="I56" i="33" a="1"/>
  <c r="J56" i="33" a="1"/>
  <c r="K56" i="33" a="1"/>
  <c r="L56" i="33" a="1"/>
  <c r="M56" i="33" a="1"/>
  <c r="N56" i="33" a="1"/>
  <c r="O56" i="33" a="1"/>
  <c r="P56" i="33" a="1"/>
  <c r="Q56" i="33" a="1"/>
  <c r="R56" i="33" a="1"/>
  <c r="S56" i="33" a="1"/>
  <c r="T56" i="33" a="1"/>
  <c r="U56" i="33" a="1"/>
  <c r="V56" i="33" a="1"/>
  <c r="W56" i="33" a="1"/>
  <c r="X56" i="33" a="1"/>
  <c r="Y56" i="33" a="1"/>
  <c r="Z56" i="33" a="1"/>
  <c r="AA56" i="33" a="1"/>
  <c r="AB56" i="33" a="1"/>
  <c r="AC56" i="33" a="1"/>
  <c r="AD56" i="33" a="1"/>
  <c r="AE56" i="33" a="1"/>
  <c r="AF56" i="33" a="1"/>
  <c r="AG56" i="33" a="1"/>
  <c r="AH56" i="33" a="1"/>
  <c r="AI56" i="33" a="1"/>
  <c r="AJ56" i="33" a="1"/>
  <c r="AK56" i="33" a="1"/>
  <c r="AL56" i="33" a="1"/>
  <c r="AM56" i="33" a="1"/>
  <c r="AN56" i="33" a="1"/>
  <c r="AO56" i="33" a="1"/>
  <c r="AP56" i="33" a="1"/>
  <c r="AQ56" i="33" a="1"/>
  <c r="AR56" i="33" a="1"/>
  <c r="AS56" i="33" a="1"/>
  <c r="AT56" i="33" a="1"/>
  <c r="AU56" i="33" a="1"/>
  <c r="AV56" i="33" a="1"/>
  <c r="AW56" i="33" a="1"/>
  <c r="AX56" i="33" a="1"/>
  <c r="AY56" i="33" a="1"/>
  <c r="AZ56" i="33" a="1"/>
  <c r="BA56" i="33" a="1"/>
  <c r="BB56" i="33" a="1"/>
  <c r="BC56" i="33" a="1"/>
  <c r="BD56" i="33" a="1"/>
  <c r="BE56" i="33" a="1"/>
  <c r="BF56" i="33" a="1"/>
  <c r="BG56" i="33" a="1"/>
  <c r="BH56" i="33" a="1"/>
  <c r="BI56" i="33" a="1"/>
  <c r="BJ56" i="33" a="1"/>
  <c r="BK56" i="33" a="1"/>
  <c r="BL56" i="33" a="1"/>
  <c r="BM56" i="33" a="1"/>
  <c r="BN56" i="33" a="1"/>
  <c r="BO56" i="33" a="1"/>
  <c r="BP56" i="33" a="1"/>
  <c r="G56" i="33"/>
  <c r="H56" i="33"/>
  <c r="I56" i="33"/>
  <c r="J56" i="33"/>
  <c r="K56" i="33"/>
  <c r="L56" i="33"/>
  <c r="M56" i="33"/>
  <c r="N56" i="33"/>
  <c r="O56" i="33"/>
  <c r="P56" i="33"/>
  <c r="Q56" i="33"/>
  <c r="R56" i="33"/>
  <c r="S56" i="33"/>
  <c r="T56" i="33"/>
  <c r="U56" i="33"/>
  <c r="V56" i="33"/>
  <c r="W56" i="33"/>
  <c r="X56" i="33"/>
  <c r="Y56" i="33"/>
  <c r="Z56" i="33"/>
  <c r="AA56" i="33"/>
  <c r="AB56" i="33"/>
  <c r="AC56" i="33"/>
  <c r="AD56" i="33"/>
  <c r="AE56" i="33"/>
  <c r="AF56" i="33"/>
  <c r="AG56" i="33"/>
  <c r="AH56" i="33"/>
  <c r="AI56" i="33"/>
  <c r="AJ56" i="33"/>
  <c r="AK56" i="33"/>
  <c r="AL56" i="33"/>
  <c r="AM56" i="33"/>
  <c r="AN56" i="33"/>
  <c r="AO56" i="33"/>
  <c r="AP56" i="33"/>
  <c r="AQ56" i="33"/>
  <c r="AR56" i="33"/>
  <c r="AS56" i="33"/>
  <c r="AT56" i="33"/>
  <c r="AU56" i="33"/>
  <c r="AV56" i="33"/>
  <c r="AW56" i="33"/>
  <c r="AX56" i="33"/>
  <c r="AY56" i="33"/>
  <c r="AZ56" i="33"/>
  <c r="BA56" i="33"/>
  <c r="BB56" i="33"/>
  <c r="BC56" i="33"/>
  <c r="BD56" i="33"/>
  <c r="BE56" i="33"/>
  <c r="BF56" i="33"/>
  <c r="BG56" i="33"/>
  <c r="BH56" i="33"/>
  <c r="BI56" i="33"/>
  <c r="BJ56" i="33"/>
  <c r="BK56" i="33"/>
  <c r="BL56" i="33"/>
  <c r="BM56" i="33"/>
  <c r="BN56" i="33"/>
  <c r="BO56" i="33"/>
  <c r="BP56" i="33"/>
  <c r="AC21" i="33"/>
  <c r="Z21" i="33"/>
  <c r="J21" i="33"/>
  <c r="I21" i="33"/>
  <c r="H21" i="33"/>
  <c r="N8" i="33"/>
  <c r="G21" i="33"/>
  <c r="F21" i="33"/>
  <c r="E21" i="33"/>
  <c r="D21" i="33"/>
  <c r="E55" i="33" a="1"/>
  <c r="E55" i="33"/>
  <c r="F55" i="33" a="1"/>
  <c r="F55" i="33"/>
  <c r="G55" i="33" a="1"/>
  <c r="H55" i="33" a="1"/>
  <c r="I55" i="33" a="1"/>
  <c r="J55" i="33" a="1"/>
  <c r="K55" i="33" a="1"/>
  <c r="L55" i="33" a="1"/>
  <c r="M55" i="33" a="1"/>
  <c r="N55" i="33" a="1"/>
  <c r="O55" i="33" a="1"/>
  <c r="P55" i="33" a="1"/>
  <c r="Q55" i="33" a="1"/>
  <c r="R55" i="33" a="1"/>
  <c r="S55" i="33" a="1"/>
  <c r="T55" i="33" a="1"/>
  <c r="U55" i="33" a="1"/>
  <c r="V55" i="33" a="1"/>
  <c r="W55" i="33" a="1"/>
  <c r="X55" i="33" a="1"/>
  <c r="Y55" i="33" a="1"/>
  <c r="Z55" i="33" a="1"/>
  <c r="AA55" i="33" a="1"/>
  <c r="AB55" i="33" a="1"/>
  <c r="AC55" i="33" a="1"/>
  <c r="AD55" i="33" a="1"/>
  <c r="AE55" i="33" a="1"/>
  <c r="AF55" i="33" a="1"/>
  <c r="AG55" i="33" a="1"/>
  <c r="AH55" i="33" a="1"/>
  <c r="AI55" i="33" a="1"/>
  <c r="AJ55" i="33" a="1"/>
  <c r="AK55" i="33" a="1"/>
  <c r="AL55" i="33" a="1"/>
  <c r="AM55" i="33" a="1"/>
  <c r="AN55" i="33" a="1"/>
  <c r="AO55" i="33" a="1"/>
  <c r="AP55" i="33" a="1"/>
  <c r="AQ55" i="33" a="1"/>
  <c r="AR55" i="33" a="1"/>
  <c r="AS55" i="33" a="1"/>
  <c r="AT55" i="33" a="1"/>
  <c r="AU55" i="33" a="1"/>
  <c r="AV55" i="33" a="1"/>
  <c r="AW55" i="33" a="1"/>
  <c r="AX55" i="33" a="1"/>
  <c r="AY55" i="33" a="1"/>
  <c r="AZ55" i="33" a="1"/>
  <c r="BA55" i="33" a="1"/>
  <c r="BB55" i="33" a="1"/>
  <c r="BC55" i="33" a="1"/>
  <c r="BD55" i="33" a="1"/>
  <c r="BE55" i="33" a="1"/>
  <c r="BF55" i="33" a="1"/>
  <c r="BG55" i="33" a="1"/>
  <c r="BH55" i="33" a="1"/>
  <c r="BI55" i="33" a="1"/>
  <c r="BJ55" i="33" a="1"/>
  <c r="BK55" i="33" a="1"/>
  <c r="BL55" i="33" a="1"/>
  <c r="BM55" i="33" a="1"/>
  <c r="BN55" i="33" a="1"/>
  <c r="BO55" i="33" a="1"/>
  <c r="BP55" i="33" a="1"/>
  <c r="G55" i="33"/>
  <c r="H55" i="33"/>
  <c r="I55" i="33"/>
  <c r="J55" i="33"/>
  <c r="K55" i="33"/>
  <c r="L55" i="33"/>
  <c r="M55" i="33"/>
  <c r="N55" i="33"/>
  <c r="O55" i="33"/>
  <c r="P55" i="33"/>
  <c r="Q55" i="33"/>
  <c r="R55" i="33"/>
  <c r="S55" i="33"/>
  <c r="T55" i="33"/>
  <c r="U55" i="33"/>
  <c r="V55" i="33"/>
  <c r="W55" i="33"/>
  <c r="X55" i="33"/>
  <c r="Y55" i="33"/>
  <c r="Z55" i="33"/>
  <c r="AA55" i="33"/>
  <c r="AB55" i="33"/>
  <c r="AC55" i="33"/>
  <c r="AD55" i="33"/>
  <c r="AE55" i="33"/>
  <c r="AF55" i="33"/>
  <c r="AG55" i="33"/>
  <c r="AH55" i="33"/>
  <c r="AI55" i="33"/>
  <c r="AJ55" i="33"/>
  <c r="AK55" i="33"/>
  <c r="AL55" i="33"/>
  <c r="AM55" i="33"/>
  <c r="AN55" i="33"/>
  <c r="AO55" i="33"/>
  <c r="AP55" i="33"/>
  <c r="AQ55" i="33"/>
  <c r="AR55" i="33"/>
  <c r="AS55" i="33"/>
  <c r="AT55" i="33"/>
  <c r="AU55" i="33"/>
  <c r="AV55" i="33"/>
  <c r="AW55" i="33"/>
  <c r="AX55" i="33"/>
  <c r="AY55" i="33"/>
  <c r="AZ55" i="33"/>
  <c r="BA55" i="33"/>
  <c r="BB55" i="33"/>
  <c r="BC55" i="33"/>
  <c r="BD55" i="33"/>
  <c r="BE55" i="33"/>
  <c r="BF55" i="33"/>
  <c r="BG55" i="33"/>
  <c r="BH55" i="33"/>
  <c r="BI55" i="33"/>
  <c r="BJ55" i="33"/>
  <c r="BK55" i="33"/>
  <c r="BL55" i="33"/>
  <c r="BM55" i="33"/>
  <c r="BN55" i="33"/>
  <c r="BO55" i="33"/>
  <c r="BP55" i="33"/>
  <c r="AC20" i="33"/>
  <c r="AD20" i="33"/>
  <c r="Y20" i="33"/>
  <c r="Z20" i="33"/>
  <c r="J20" i="33"/>
  <c r="I20" i="33"/>
  <c r="H20" i="33"/>
  <c r="N7" i="33"/>
  <c r="G20" i="33"/>
  <c r="F20" i="33"/>
  <c r="E20" i="33"/>
  <c r="D20" i="33"/>
  <c r="E54" i="33" a="1"/>
  <c r="E54" i="33"/>
  <c r="F54" i="33" a="1"/>
  <c r="F54" i="33"/>
  <c r="G54" i="33" a="1"/>
  <c r="H54" i="33" a="1"/>
  <c r="I54" i="33" a="1"/>
  <c r="J54" i="33" a="1"/>
  <c r="K54" i="33" a="1"/>
  <c r="L54" i="33" a="1"/>
  <c r="M54" i="33" a="1"/>
  <c r="N54" i="33" a="1"/>
  <c r="O54" i="33" a="1"/>
  <c r="P54" i="33" a="1"/>
  <c r="Q54" i="33" a="1"/>
  <c r="R54" i="33" a="1"/>
  <c r="S54" i="33" a="1"/>
  <c r="T54" i="33" a="1"/>
  <c r="U54" i="33" a="1"/>
  <c r="V54" i="33" a="1"/>
  <c r="W54" i="33" a="1"/>
  <c r="X54" i="33" a="1"/>
  <c r="Y54" i="33" a="1"/>
  <c r="Z54" i="33" a="1"/>
  <c r="AA54" i="33" a="1"/>
  <c r="AB54" i="33" a="1"/>
  <c r="AC54" i="33" a="1"/>
  <c r="AD54" i="33" a="1"/>
  <c r="AE54" i="33" a="1"/>
  <c r="AF54" i="33" a="1"/>
  <c r="AG54" i="33" a="1"/>
  <c r="AH54" i="33" a="1"/>
  <c r="AI54" i="33" a="1"/>
  <c r="AJ54" i="33" a="1"/>
  <c r="AK54" i="33" a="1"/>
  <c r="AL54" i="33" a="1"/>
  <c r="AM54" i="33" a="1"/>
  <c r="AN54" i="33" a="1"/>
  <c r="AO54" i="33" a="1"/>
  <c r="AP54" i="33" a="1"/>
  <c r="AQ54" i="33" a="1"/>
  <c r="AR54" i="33" a="1"/>
  <c r="AS54" i="33" a="1"/>
  <c r="AT54" i="33" a="1"/>
  <c r="AU54" i="33" a="1"/>
  <c r="AV54" i="33" a="1"/>
  <c r="AW54" i="33" a="1"/>
  <c r="AX54" i="33" a="1"/>
  <c r="AY54" i="33" a="1"/>
  <c r="AZ54" i="33" a="1"/>
  <c r="BA54" i="33" a="1"/>
  <c r="BB54" i="33" a="1"/>
  <c r="BC54" i="33" a="1"/>
  <c r="BD54" i="33" a="1"/>
  <c r="BE54" i="33" a="1"/>
  <c r="BF54" i="33" a="1"/>
  <c r="BG54" i="33" a="1"/>
  <c r="BH54" i="33" a="1"/>
  <c r="BI54" i="33" a="1"/>
  <c r="BJ54" i="33" a="1"/>
  <c r="BK54" i="33" a="1"/>
  <c r="BL54" i="33" a="1"/>
  <c r="BM54" i="33" a="1"/>
  <c r="BN54" i="33" a="1"/>
  <c r="BO54" i="33" a="1"/>
  <c r="BP54" i="33" a="1"/>
  <c r="G54" i="33"/>
  <c r="H54" i="33"/>
  <c r="I54" i="33"/>
  <c r="J54" i="33"/>
  <c r="K54" i="33"/>
  <c r="L54" i="33"/>
  <c r="M54" i="33"/>
  <c r="N54" i="33"/>
  <c r="O54" i="33"/>
  <c r="P54" i="33"/>
  <c r="Q54" i="33"/>
  <c r="R54" i="33"/>
  <c r="S54" i="33"/>
  <c r="T54" i="33"/>
  <c r="U54" i="33"/>
  <c r="V54" i="33"/>
  <c r="W54" i="33"/>
  <c r="X54" i="33"/>
  <c r="Y54" i="33"/>
  <c r="Z54" i="33"/>
  <c r="AA54" i="33"/>
  <c r="AB54" i="33"/>
  <c r="AC54" i="33"/>
  <c r="AD54" i="33"/>
  <c r="AE54" i="33"/>
  <c r="AF54" i="33"/>
  <c r="AG54" i="33"/>
  <c r="AH54" i="33"/>
  <c r="AI54" i="33"/>
  <c r="AJ54" i="33"/>
  <c r="AK54" i="33"/>
  <c r="AL54" i="33"/>
  <c r="AM54" i="33"/>
  <c r="AN54" i="33"/>
  <c r="AO54" i="33"/>
  <c r="AP54" i="33"/>
  <c r="AQ54" i="33"/>
  <c r="AR54" i="33"/>
  <c r="AS54" i="33"/>
  <c r="AT54" i="33"/>
  <c r="AU54" i="33"/>
  <c r="AV54" i="33"/>
  <c r="AW54" i="33"/>
  <c r="AX54" i="33"/>
  <c r="AY54" i="33"/>
  <c r="AZ54" i="33"/>
  <c r="BA54" i="33"/>
  <c r="BB54" i="33"/>
  <c r="BC54" i="33"/>
  <c r="BD54" i="33"/>
  <c r="BE54" i="33"/>
  <c r="BF54" i="33"/>
  <c r="BG54" i="33"/>
  <c r="BH54" i="33"/>
  <c r="BI54" i="33"/>
  <c r="BJ54" i="33"/>
  <c r="BK54" i="33"/>
  <c r="BL54" i="33"/>
  <c r="BM54" i="33"/>
  <c r="BN54" i="33"/>
  <c r="BO54" i="33"/>
  <c r="BP54" i="33"/>
  <c r="AC19" i="33"/>
  <c r="AD19" i="33"/>
  <c r="Y19" i="33"/>
  <c r="Z19" i="33"/>
  <c r="J19" i="33"/>
  <c r="I19" i="33"/>
  <c r="H19" i="33"/>
  <c r="N6" i="33"/>
  <c r="G19" i="33"/>
  <c r="F19" i="33"/>
  <c r="E19" i="33"/>
  <c r="D19" i="33"/>
  <c r="E53" i="33" a="1"/>
  <c r="E53" i="33"/>
  <c r="F53" i="33" a="1"/>
  <c r="F53" i="33"/>
  <c r="G53" i="33" a="1"/>
  <c r="H53" i="33" a="1"/>
  <c r="I53" i="33" a="1"/>
  <c r="J53" i="33" a="1"/>
  <c r="K53" i="33" a="1"/>
  <c r="L53" i="33" a="1"/>
  <c r="M53" i="33" a="1"/>
  <c r="N53" i="33" a="1"/>
  <c r="O53" i="33" a="1"/>
  <c r="P53" i="33" a="1"/>
  <c r="Q53" i="33" a="1"/>
  <c r="R53" i="33" a="1"/>
  <c r="S53" i="33" a="1"/>
  <c r="T53" i="33" a="1"/>
  <c r="U53" i="33" a="1"/>
  <c r="V53" i="33" a="1"/>
  <c r="W53" i="33" a="1"/>
  <c r="X53" i="33" a="1"/>
  <c r="Y53" i="33" a="1"/>
  <c r="Z53" i="33" a="1"/>
  <c r="AA53" i="33" a="1"/>
  <c r="AB53" i="33" a="1"/>
  <c r="AC53" i="33" a="1"/>
  <c r="AD53" i="33" a="1"/>
  <c r="AE53" i="33" a="1"/>
  <c r="AF53" i="33" a="1"/>
  <c r="AG53" i="33" a="1"/>
  <c r="AH53" i="33" a="1"/>
  <c r="AI53" i="33" a="1"/>
  <c r="AJ53" i="33" a="1"/>
  <c r="AK53" i="33" a="1"/>
  <c r="AL53" i="33" a="1"/>
  <c r="AM53" i="33" a="1"/>
  <c r="AN53" i="33" a="1"/>
  <c r="AO53" i="33" a="1"/>
  <c r="AP53" i="33" a="1"/>
  <c r="AQ53" i="33" a="1"/>
  <c r="AR53" i="33" a="1"/>
  <c r="AS53" i="33" a="1"/>
  <c r="AT53" i="33" a="1"/>
  <c r="AU53" i="33" a="1"/>
  <c r="AV53" i="33" a="1"/>
  <c r="AW53" i="33" a="1"/>
  <c r="AX53" i="33" a="1"/>
  <c r="AY53" i="33" a="1"/>
  <c r="AZ53" i="33" a="1"/>
  <c r="BA53" i="33" a="1"/>
  <c r="BB53" i="33" a="1"/>
  <c r="BC53" i="33" a="1"/>
  <c r="BD53" i="33" a="1"/>
  <c r="BE53" i="33" a="1"/>
  <c r="BF53" i="33" a="1"/>
  <c r="BG53" i="33" a="1"/>
  <c r="BH53" i="33" a="1"/>
  <c r="BI53" i="33" a="1"/>
  <c r="BJ53" i="33" a="1"/>
  <c r="BK53" i="33" a="1"/>
  <c r="BL53" i="33" a="1"/>
  <c r="BM53" i="33" a="1"/>
  <c r="BN53" i="33" a="1"/>
  <c r="BO53" i="33" a="1"/>
  <c r="BP53" i="33" a="1"/>
  <c r="G53" i="33"/>
  <c r="H53" i="33"/>
  <c r="I53" i="33"/>
  <c r="J53" i="33"/>
  <c r="K53" i="33"/>
  <c r="L53" i="33"/>
  <c r="M53" i="33"/>
  <c r="N53" i="33"/>
  <c r="O53" i="33"/>
  <c r="P53" i="33"/>
  <c r="Q53" i="33"/>
  <c r="R53" i="33"/>
  <c r="S53" i="33"/>
  <c r="T53" i="33"/>
  <c r="U53" i="33"/>
  <c r="V53" i="33"/>
  <c r="W53" i="33"/>
  <c r="X53" i="33"/>
  <c r="Y53" i="33"/>
  <c r="Z53" i="33"/>
  <c r="AA53" i="33"/>
  <c r="AB53" i="33"/>
  <c r="AC53" i="33"/>
  <c r="AD53" i="33"/>
  <c r="AE53" i="33"/>
  <c r="AF53" i="33"/>
  <c r="AG53" i="33"/>
  <c r="AH53" i="33"/>
  <c r="AI53" i="33"/>
  <c r="AJ53" i="33"/>
  <c r="AK53" i="33"/>
  <c r="AL53" i="33"/>
  <c r="AM53" i="33"/>
  <c r="AN53" i="33"/>
  <c r="AO53" i="33"/>
  <c r="AP53" i="33"/>
  <c r="AQ53" i="33"/>
  <c r="AR53" i="33"/>
  <c r="AS53" i="33"/>
  <c r="AT53" i="33"/>
  <c r="AU53" i="33"/>
  <c r="AV53" i="33"/>
  <c r="AW53" i="33"/>
  <c r="AX53" i="33"/>
  <c r="AY53" i="33"/>
  <c r="AZ53" i="33"/>
  <c r="BA53" i="33"/>
  <c r="BB53" i="33"/>
  <c r="BC53" i="33"/>
  <c r="BD53" i="33"/>
  <c r="BE53" i="33"/>
  <c r="BF53" i="33"/>
  <c r="BG53" i="33"/>
  <c r="BH53" i="33"/>
  <c r="BI53" i="33"/>
  <c r="BJ53" i="33"/>
  <c r="BK53" i="33"/>
  <c r="BL53" i="33"/>
  <c r="BM53" i="33"/>
  <c r="BN53" i="33"/>
  <c r="BO53" i="33"/>
  <c r="BP53" i="33"/>
  <c r="AC18" i="33"/>
  <c r="AD18" i="33"/>
  <c r="Y18" i="33"/>
  <c r="Z18" i="33"/>
  <c r="J18" i="33"/>
  <c r="I18" i="33"/>
  <c r="H18" i="33"/>
  <c r="N5" i="33"/>
  <c r="G18" i="33"/>
  <c r="F18" i="33"/>
  <c r="E18" i="33"/>
  <c r="D18" i="33"/>
  <c r="E52" i="33" a="1"/>
  <c r="E52" i="33"/>
  <c r="F52" i="33" a="1"/>
  <c r="F52" i="33"/>
  <c r="G52" i="33" a="1"/>
  <c r="H52" i="33" a="1"/>
  <c r="I52" i="33" a="1"/>
  <c r="J52" i="33" a="1"/>
  <c r="K52" i="33" a="1"/>
  <c r="L52" i="33" a="1"/>
  <c r="M52" i="33" a="1"/>
  <c r="N52" i="33" a="1"/>
  <c r="O52" i="33" a="1"/>
  <c r="P52" i="33" a="1"/>
  <c r="Q52" i="33" a="1"/>
  <c r="R52" i="33" a="1"/>
  <c r="S52" i="33" a="1"/>
  <c r="T52" i="33" a="1"/>
  <c r="U52" i="33" a="1"/>
  <c r="V52" i="33" a="1"/>
  <c r="W52" i="33" a="1"/>
  <c r="X52" i="33" a="1"/>
  <c r="Y52" i="33" a="1"/>
  <c r="Z52" i="33" a="1"/>
  <c r="AA52" i="33" a="1"/>
  <c r="AB52" i="33" a="1"/>
  <c r="AC52" i="33" a="1"/>
  <c r="AD52" i="33" a="1"/>
  <c r="AE52" i="33" a="1"/>
  <c r="AF52" i="33" a="1"/>
  <c r="AG52" i="33" a="1"/>
  <c r="AH52" i="33" a="1"/>
  <c r="AI52" i="33" a="1"/>
  <c r="AJ52" i="33" a="1"/>
  <c r="AK52" i="33" a="1"/>
  <c r="AL52" i="33" a="1"/>
  <c r="AM52" i="33" a="1"/>
  <c r="AN52" i="33" a="1"/>
  <c r="AO52" i="33" a="1"/>
  <c r="AP52" i="33" a="1"/>
  <c r="AQ52" i="33" a="1"/>
  <c r="AR52" i="33" a="1"/>
  <c r="AS52" i="33" a="1"/>
  <c r="AT52" i="33" a="1"/>
  <c r="AU52" i="33" a="1"/>
  <c r="AV52" i="33" a="1"/>
  <c r="AW52" i="33" a="1"/>
  <c r="AX52" i="33" a="1"/>
  <c r="AY52" i="33" a="1"/>
  <c r="AZ52" i="33" a="1"/>
  <c r="BA52" i="33" a="1"/>
  <c r="BB52" i="33" a="1"/>
  <c r="BC52" i="33" a="1"/>
  <c r="BD52" i="33" a="1"/>
  <c r="BE52" i="33" a="1"/>
  <c r="BF52" i="33" a="1"/>
  <c r="BG52" i="33" a="1"/>
  <c r="BH52" i="33" a="1"/>
  <c r="BI52" i="33" a="1"/>
  <c r="BJ52" i="33" a="1"/>
  <c r="BK52" i="33" a="1"/>
  <c r="BL52" i="33" a="1"/>
  <c r="BM52" i="33" a="1"/>
  <c r="BN52" i="33" a="1"/>
  <c r="BO52" i="33" a="1"/>
  <c r="BP52" i="33" a="1"/>
  <c r="G52" i="33"/>
  <c r="H52" i="33"/>
  <c r="I52" i="33"/>
  <c r="J52" i="33"/>
  <c r="K52" i="33"/>
  <c r="L52" i="33"/>
  <c r="M52" i="33"/>
  <c r="N52" i="33"/>
  <c r="O52" i="33"/>
  <c r="P52" i="33"/>
  <c r="Q52" i="33"/>
  <c r="R52" i="33"/>
  <c r="S52" i="33"/>
  <c r="T52" i="33"/>
  <c r="U52" i="33"/>
  <c r="V52" i="33"/>
  <c r="W52" i="33"/>
  <c r="X52" i="33"/>
  <c r="Y52" i="33"/>
  <c r="Z52" i="33"/>
  <c r="AA52" i="33"/>
  <c r="AB52" i="33"/>
  <c r="AC52" i="33"/>
  <c r="AD52" i="33"/>
  <c r="AE52" i="33"/>
  <c r="AF52" i="33"/>
  <c r="AG52" i="33"/>
  <c r="AH52" i="33"/>
  <c r="AI52" i="33"/>
  <c r="AJ52" i="33"/>
  <c r="AK52" i="33"/>
  <c r="AL52" i="33"/>
  <c r="AM52" i="33"/>
  <c r="AN52" i="33"/>
  <c r="AO52" i="33"/>
  <c r="AP52" i="33"/>
  <c r="AQ52" i="33"/>
  <c r="AR52" i="33"/>
  <c r="AS52" i="33"/>
  <c r="AT52" i="33"/>
  <c r="AU52" i="33"/>
  <c r="AV52" i="33"/>
  <c r="AW52" i="33"/>
  <c r="AX52" i="33"/>
  <c r="AY52" i="33"/>
  <c r="AZ52" i="33"/>
  <c r="BA52" i="33"/>
  <c r="BB52" i="33"/>
  <c r="BC52" i="33"/>
  <c r="BD52" i="33"/>
  <c r="BE52" i="33"/>
  <c r="BF52" i="33"/>
  <c r="BG52" i="33"/>
  <c r="BH52" i="33"/>
  <c r="BI52" i="33"/>
  <c r="BJ52" i="33"/>
  <c r="BK52" i="33"/>
  <c r="BL52" i="33"/>
  <c r="BM52" i="33"/>
  <c r="BN52" i="33"/>
  <c r="BO52" i="33"/>
  <c r="BP52" i="33"/>
  <c r="AC17" i="33"/>
  <c r="AD17" i="33"/>
  <c r="Y17" i="33"/>
  <c r="Z17" i="33"/>
  <c r="J17" i="33"/>
  <c r="I17" i="33"/>
  <c r="H17" i="33"/>
  <c r="N4" i="33"/>
  <c r="G17" i="33"/>
  <c r="F17" i="33"/>
  <c r="E17" i="33"/>
  <c r="D17" i="33"/>
  <c r="F13" i="33"/>
  <c r="B13" i="33"/>
  <c r="AV12" i="33"/>
  <c r="X25" i="33"/>
  <c r="X17" i="33"/>
  <c r="X18" i="33"/>
  <c r="X19" i="33"/>
  <c r="X20" i="33"/>
  <c r="X21" i="33"/>
  <c r="X22" i="33"/>
  <c r="X23" i="33"/>
  <c r="X24" i="33"/>
  <c r="E12" i="33"/>
  <c r="D12" i="33"/>
  <c r="E4" i="33"/>
  <c r="D4" i="33"/>
  <c r="E5" i="33"/>
  <c r="D5" i="33"/>
  <c r="E6" i="33"/>
  <c r="D6" i="33"/>
  <c r="E7" i="33"/>
  <c r="D7" i="33"/>
  <c r="E8" i="33"/>
  <c r="D8" i="33"/>
  <c r="E9" i="33"/>
  <c r="D9" i="33"/>
  <c r="E10" i="33"/>
  <c r="D10" i="33"/>
  <c r="E11" i="33"/>
  <c r="D11" i="33"/>
  <c r="C12" i="33"/>
  <c r="AV11" i="33"/>
  <c r="C11" i="33"/>
  <c r="AV10" i="33"/>
  <c r="C10" i="33"/>
  <c r="AV9" i="33"/>
  <c r="C9" i="33"/>
  <c r="AV8" i="33"/>
  <c r="C8" i="33"/>
  <c r="AV7" i="33"/>
  <c r="AV6" i="33"/>
  <c r="AV5" i="33"/>
  <c r="AV4" i="33"/>
  <c r="AC160" i="29"/>
  <c r="AB160" i="29"/>
  <c r="AA160" i="29"/>
  <c r="Z160" i="29"/>
  <c r="AC159" i="29"/>
  <c r="AB159" i="29"/>
  <c r="AA159" i="29"/>
  <c r="Z159" i="29"/>
  <c r="AC158" i="29"/>
  <c r="AB158" i="29"/>
  <c r="AA158" i="29"/>
  <c r="Z158" i="29"/>
  <c r="AC157" i="29"/>
  <c r="AB157" i="29"/>
  <c r="AA157" i="29"/>
  <c r="Z157" i="29"/>
  <c r="AC156" i="29"/>
  <c r="AB156" i="29"/>
  <c r="AA156" i="29"/>
  <c r="Z156" i="29"/>
  <c r="AC155" i="29"/>
  <c r="AB155" i="29"/>
  <c r="AA155" i="29"/>
  <c r="Z155" i="29"/>
  <c r="AC154" i="29"/>
  <c r="AB154" i="29"/>
  <c r="AA154" i="29"/>
  <c r="Z154" i="29"/>
  <c r="AC153" i="29"/>
  <c r="AB153" i="29"/>
  <c r="AA153" i="29"/>
  <c r="Z153" i="29"/>
  <c r="AC144" i="29"/>
  <c r="AB144" i="29"/>
  <c r="AA144" i="29"/>
  <c r="Z144" i="29"/>
  <c r="AC143" i="29"/>
  <c r="AB143" i="29"/>
  <c r="AA143" i="29"/>
  <c r="Z143" i="29"/>
  <c r="AC142" i="29"/>
  <c r="AB142" i="29"/>
  <c r="AA142" i="29"/>
  <c r="Z142" i="29"/>
  <c r="AC141" i="29"/>
  <c r="AB141" i="29"/>
  <c r="AA141" i="29"/>
  <c r="Z141" i="29"/>
  <c r="AC140" i="29"/>
  <c r="AB140" i="29"/>
  <c r="AA140" i="29"/>
  <c r="Z140" i="29"/>
  <c r="AC139" i="29"/>
  <c r="AB139" i="29"/>
  <c r="AA139" i="29"/>
  <c r="Z139" i="29"/>
  <c r="AC138" i="29"/>
  <c r="AB138" i="29"/>
  <c r="AA138" i="29"/>
  <c r="Z138" i="29"/>
  <c r="AC137" i="29"/>
  <c r="AB137" i="29"/>
  <c r="AA137" i="29"/>
  <c r="Z137" i="29"/>
  <c r="AC136" i="29"/>
  <c r="AB136" i="29"/>
  <c r="AA136" i="29"/>
  <c r="Z136" i="29"/>
  <c r="AM88" i="29"/>
  <c r="AL88" i="29"/>
  <c r="AC88" i="29"/>
  <c r="AB88" i="29"/>
  <c r="Z88" i="29"/>
  <c r="AM87" i="29"/>
  <c r="AL87" i="29"/>
  <c r="AC87" i="29"/>
  <c r="AB87" i="29"/>
  <c r="Z87" i="29"/>
  <c r="AM86" i="29"/>
  <c r="AL86" i="29"/>
  <c r="AC86" i="29"/>
  <c r="AB86" i="29"/>
  <c r="Z86" i="29"/>
  <c r="AM85" i="29"/>
  <c r="AL85" i="29"/>
  <c r="AG85" i="29"/>
  <c r="AF85" i="29"/>
  <c r="AE85" i="29"/>
  <c r="AD85" i="29"/>
  <c r="AC85" i="29"/>
  <c r="AB85" i="29"/>
  <c r="Z85" i="29"/>
  <c r="Y85" i="29"/>
  <c r="X85" i="29"/>
  <c r="AM84" i="29"/>
  <c r="AL84" i="29"/>
  <c r="AC84" i="29"/>
  <c r="AB84" i="29"/>
  <c r="Z84" i="29"/>
  <c r="AM83" i="29"/>
  <c r="AL83" i="29"/>
  <c r="AC83" i="29"/>
  <c r="AB83" i="29"/>
  <c r="Z83" i="29"/>
  <c r="AM82" i="29"/>
  <c r="AL82" i="29"/>
  <c r="AG82" i="29"/>
  <c r="AF82" i="29"/>
  <c r="AE82" i="29"/>
  <c r="AD82" i="29"/>
  <c r="AC82" i="29"/>
  <c r="AB82" i="29"/>
  <c r="Z82" i="29"/>
  <c r="Y82" i="29"/>
  <c r="X82" i="29"/>
  <c r="AM81" i="29"/>
  <c r="AL81" i="29"/>
  <c r="AG81" i="29"/>
  <c r="AF81" i="29"/>
  <c r="AE81" i="29"/>
  <c r="AD81" i="29"/>
  <c r="AC81" i="29"/>
  <c r="AB81" i="29"/>
  <c r="Z81" i="29"/>
  <c r="Y81" i="29"/>
  <c r="X81" i="29"/>
  <c r="AM72" i="29"/>
  <c r="AL72" i="29"/>
  <c r="AC72" i="29"/>
  <c r="AB72" i="29"/>
  <c r="Z72" i="29"/>
  <c r="AM71" i="29"/>
  <c r="AL71" i="29"/>
  <c r="AC71" i="29"/>
  <c r="AB71" i="29"/>
  <c r="Z71" i="29"/>
  <c r="AM70" i="29"/>
  <c r="AL70" i="29"/>
  <c r="AG70" i="29"/>
  <c r="AF70" i="29"/>
  <c r="AE70" i="29"/>
  <c r="AD70" i="29"/>
  <c r="AC70" i="29"/>
  <c r="AB70" i="29"/>
  <c r="Z70" i="29"/>
  <c r="Y70" i="29"/>
  <c r="X70" i="29"/>
  <c r="AM69" i="29"/>
  <c r="AL69" i="29"/>
  <c r="AG69" i="29"/>
  <c r="AF69" i="29"/>
  <c r="AE69" i="29"/>
  <c r="AD69" i="29"/>
  <c r="AC69" i="29"/>
  <c r="AB69" i="29"/>
  <c r="Z69" i="29"/>
  <c r="Y69" i="29"/>
  <c r="X69" i="29"/>
  <c r="AM68" i="29"/>
  <c r="AL68" i="29"/>
  <c r="AC68" i="29"/>
  <c r="AB68" i="29"/>
  <c r="Z68" i="29"/>
  <c r="AM67" i="29"/>
  <c r="AL67" i="29"/>
  <c r="AC67" i="29"/>
  <c r="AB67" i="29"/>
  <c r="Z67" i="29"/>
  <c r="AM66" i="29"/>
  <c r="AL66" i="29"/>
  <c r="AG66" i="29"/>
  <c r="AF66" i="29"/>
  <c r="AE66" i="29"/>
  <c r="AD66" i="29"/>
  <c r="AC66" i="29"/>
  <c r="AB66" i="29"/>
  <c r="Z66" i="29"/>
  <c r="Y66" i="29"/>
  <c r="X66" i="29"/>
  <c r="AM65" i="29"/>
  <c r="AL65" i="29"/>
  <c r="AG65" i="29"/>
  <c r="AF65" i="29"/>
  <c r="AE65" i="29"/>
  <c r="AD65" i="29"/>
  <c r="AC65" i="29"/>
  <c r="AB65" i="29"/>
  <c r="Z65" i="29"/>
  <c r="Y65" i="29"/>
  <c r="X65" i="29"/>
  <c r="AM64" i="29"/>
  <c r="AL64" i="29"/>
  <c r="AG64" i="29"/>
  <c r="AF64" i="29"/>
  <c r="AE64" i="29"/>
  <c r="AD64" i="29"/>
  <c r="AC64" i="29"/>
  <c r="AB64" i="29"/>
  <c r="Z64" i="29"/>
  <c r="Y64" i="29"/>
  <c r="X64" i="29"/>
  <c r="E60" i="29" a="1"/>
  <c r="E60" i="29"/>
  <c r="F60" i="29" a="1"/>
  <c r="F60" i="29"/>
  <c r="G60" i="29" a="1"/>
  <c r="H60" i="29" a="1"/>
  <c r="I60" i="29" a="1"/>
  <c r="J60" i="29" a="1"/>
  <c r="K60" i="29" a="1"/>
  <c r="L60" i="29" a="1"/>
  <c r="M60" i="29" a="1"/>
  <c r="N60" i="29" a="1"/>
  <c r="O60" i="29" a="1"/>
  <c r="P60" i="29" a="1"/>
  <c r="Q60" i="29" a="1"/>
  <c r="R60" i="29" a="1"/>
  <c r="S60" i="29" a="1"/>
  <c r="T60" i="29" a="1"/>
  <c r="U60" i="29" a="1"/>
  <c r="V60" i="29" a="1"/>
  <c r="W60" i="29" a="1"/>
  <c r="X60" i="29" a="1"/>
  <c r="Y60" i="29" a="1"/>
  <c r="Z60" i="29" a="1"/>
  <c r="AA60" i="29" a="1"/>
  <c r="AB60" i="29" a="1"/>
  <c r="AC60" i="29" a="1"/>
  <c r="AD60" i="29" a="1"/>
  <c r="AE60" i="29" a="1"/>
  <c r="AF60" i="29" a="1"/>
  <c r="AG60" i="29" a="1"/>
  <c r="AH60" i="29" a="1"/>
  <c r="AI60" i="29" a="1"/>
  <c r="AJ60" i="29" a="1"/>
  <c r="AK60" i="29" a="1"/>
  <c r="AL60" i="29" a="1"/>
  <c r="AM60" i="29" a="1"/>
  <c r="AN60" i="29" a="1"/>
  <c r="AO60" i="29" a="1"/>
  <c r="AP60" i="29" a="1"/>
  <c r="AQ60" i="29" a="1"/>
  <c r="AR60" i="29" a="1"/>
  <c r="AS60" i="29" a="1"/>
  <c r="AT60" i="29" a="1"/>
  <c r="AU60" i="29" a="1"/>
  <c r="AV60" i="29" a="1"/>
  <c r="AW60" i="29" a="1"/>
  <c r="AX60" i="29" a="1"/>
  <c r="AY60" i="29" a="1"/>
  <c r="AZ60" i="29" a="1"/>
  <c r="BA60" i="29" a="1"/>
  <c r="BB60" i="29" a="1"/>
  <c r="BC60" i="29" a="1"/>
  <c r="BD60" i="29" a="1"/>
  <c r="BE60" i="29" a="1"/>
  <c r="BF60" i="29" a="1"/>
  <c r="BG60" i="29" a="1"/>
  <c r="BH60" i="29" a="1"/>
  <c r="BI60" i="29" a="1"/>
  <c r="BJ60" i="29" a="1"/>
  <c r="BK60" i="29" a="1"/>
  <c r="BL60" i="29" a="1"/>
  <c r="BM60" i="29" a="1"/>
  <c r="BN60" i="29" a="1"/>
  <c r="BO60" i="29" a="1"/>
  <c r="BP60" i="29" a="1"/>
  <c r="G60" i="29"/>
  <c r="H60" i="29"/>
  <c r="I60" i="29"/>
  <c r="J60" i="29"/>
  <c r="K60" i="29"/>
  <c r="L60" i="29"/>
  <c r="M60" i="29"/>
  <c r="N60" i="29"/>
  <c r="O60" i="29"/>
  <c r="P60" i="29"/>
  <c r="Q60" i="29"/>
  <c r="R60" i="29"/>
  <c r="S60" i="29"/>
  <c r="T60" i="29"/>
  <c r="U60" i="29"/>
  <c r="V60" i="29"/>
  <c r="W60" i="29"/>
  <c r="X60" i="29"/>
  <c r="Y60" i="29"/>
  <c r="Z60" i="29"/>
  <c r="AA60" i="29"/>
  <c r="AB60" i="29"/>
  <c r="AC60" i="29"/>
  <c r="AD60" i="29"/>
  <c r="AE60" i="29"/>
  <c r="AF60" i="29"/>
  <c r="AG60" i="29"/>
  <c r="AH60" i="29"/>
  <c r="AI60" i="29"/>
  <c r="AJ60" i="29"/>
  <c r="AK60" i="29"/>
  <c r="AL60" i="29"/>
  <c r="AM60" i="29"/>
  <c r="AN60" i="29"/>
  <c r="AO60" i="29"/>
  <c r="AP60" i="29"/>
  <c r="AQ60" i="29"/>
  <c r="AR60" i="29"/>
  <c r="AS60" i="29"/>
  <c r="AT60" i="29"/>
  <c r="AU60" i="29"/>
  <c r="AV60" i="29"/>
  <c r="AW60" i="29"/>
  <c r="AX60" i="29"/>
  <c r="AY60" i="29"/>
  <c r="AZ60" i="29"/>
  <c r="BA60" i="29"/>
  <c r="BB60" i="29"/>
  <c r="BC60" i="29"/>
  <c r="BD60" i="29"/>
  <c r="BE60" i="29"/>
  <c r="BF60" i="29"/>
  <c r="BG60" i="29"/>
  <c r="BH60" i="29"/>
  <c r="BI60" i="29"/>
  <c r="BJ60" i="29"/>
  <c r="BK60" i="29"/>
  <c r="BL60" i="29"/>
  <c r="BM60" i="29"/>
  <c r="BN60" i="29"/>
  <c r="BO60" i="29"/>
  <c r="BP60" i="29"/>
  <c r="AC25" i="29"/>
  <c r="Z25" i="29"/>
  <c r="J25" i="29"/>
  <c r="I25" i="29"/>
  <c r="H25" i="29"/>
  <c r="N12" i="29"/>
  <c r="G25" i="29"/>
  <c r="F25" i="29"/>
  <c r="E25" i="29"/>
  <c r="D25" i="29"/>
  <c r="E59" i="29" a="1"/>
  <c r="E59" i="29"/>
  <c r="F59" i="29" a="1"/>
  <c r="F59" i="29"/>
  <c r="G59" i="29" a="1"/>
  <c r="H59" i="29" a="1"/>
  <c r="I59" i="29" a="1"/>
  <c r="J59" i="29" a="1"/>
  <c r="K59" i="29" a="1"/>
  <c r="L59" i="29" a="1"/>
  <c r="M59" i="29" a="1"/>
  <c r="N59" i="29" a="1"/>
  <c r="O59" i="29" a="1"/>
  <c r="P59" i="29" a="1"/>
  <c r="Q59" i="29" a="1"/>
  <c r="R59" i="29" a="1"/>
  <c r="S59" i="29" a="1"/>
  <c r="T59" i="29" a="1"/>
  <c r="U59" i="29" a="1"/>
  <c r="V59" i="29" a="1"/>
  <c r="W59" i="29" a="1"/>
  <c r="X59" i="29" a="1"/>
  <c r="Y59" i="29" a="1"/>
  <c r="Z59" i="29" a="1"/>
  <c r="AA59" i="29" a="1"/>
  <c r="AB59" i="29" a="1"/>
  <c r="AC59" i="29" a="1"/>
  <c r="AD59" i="29" a="1"/>
  <c r="AE59" i="29" a="1"/>
  <c r="AF59" i="29" a="1"/>
  <c r="AG59" i="29" a="1"/>
  <c r="AH59" i="29" a="1"/>
  <c r="AI59" i="29" a="1"/>
  <c r="AJ59" i="29" a="1"/>
  <c r="AK59" i="29" a="1"/>
  <c r="AL59" i="29" a="1"/>
  <c r="AM59" i="29" a="1"/>
  <c r="AN59" i="29" a="1"/>
  <c r="AO59" i="29" a="1"/>
  <c r="AP59" i="29" a="1"/>
  <c r="AQ59" i="29" a="1"/>
  <c r="AR59" i="29" a="1"/>
  <c r="AS59" i="29" a="1"/>
  <c r="AT59" i="29" a="1"/>
  <c r="AU59" i="29" a="1"/>
  <c r="AV59" i="29" a="1"/>
  <c r="AW59" i="29" a="1"/>
  <c r="AX59" i="29" a="1"/>
  <c r="AY59" i="29" a="1"/>
  <c r="AZ59" i="29" a="1"/>
  <c r="BA59" i="29" a="1"/>
  <c r="BB59" i="29" a="1"/>
  <c r="BC59" i="29" a="1"/>
  <c r="BD59" i="29" a="1"/>
  <c r="BE59" i="29" a="1"/>
  <c r="BF59" i="29" a="1"/>
  <c r="BG59" i="29" a="1"/>
  <c r="BH59" i="29" a="1"/>
  <c r="BI59" i="29" a="1"/>
  <c r="BJ59" i="29" a="1"/>
  <c r="BK59" i="29" a="1"/>
  <c r="BL59" i="29" a="1"/>
  <c r="BM59" i="29" a="1"/>
  <c r="BN59" i="29" a="1"/>
  <c r="BO59" i="29" a="1"/>
  <c r="BP59" i="29" a="1"/>
  <c r="G59" i="29"/>
  <c r="H59" i="29"/>
  <c r="I59" i="29"/>
  <c r="J59" i="29"/>
  <c r="K59" i="29"/>
  <c r="L59" i="29"/>
  <c r="M59" i="29"/>
  <c r="N59" i="29"/>
  <c r="O59" i="29"/>
  <c r="P59" i="29"/>
  <c r="Q59" i="29"/>
  <c r="R59" i="29"/>
  <c r="S59" i="29"/>
  <c r="T59" i="29"/>
  <c r="U59" i="29"/>
  <c r="V59" i="29"/>
  <c r="W59" i="29"/>
  <c r="X59" i="29"/>
  <c r="Y59" i="29"/>
  <c r="Z59" i="29"/>
  <c r="AA59" i="29"/>
  <c r="AB59" i="29"/>
  <c r="AC59" i="29"/>
  <c r="AD59" i="29"/>
  <c r="AE59" i="29"/>
  <c r="AF59" i="29"/>
  <c r="AG59" i="29"/>
  <c r="AH59" i="29"/>
  <c r="AI59" i="29"/>
  <c r="AJ59" i="29"/>
  <c r="AK59" i="29"/>
  <c r="AL59" i="29"/>
  <c r="AM59" i="29"/>
  <c r="AN59" i="29"/>
  <c r="AO59" i="29"/>
  <c r="AP59" i="29"/>
  <c r="AQ59" i="29"/>
  <c r="AR59" i="29"/>
  <c r="AS59" i="29"/>
  <c r="AT59" i="29"/>
  <c r="AU59" i="29"/>
  <c r="AV59" i="29"/>
  <c r="AW59" i="29"/>
  <c r="AX59" i="29"/>
  <c r="AY59" i="29"/>
  <c r="AZ59" i="29"/>
  <c r="BA59" i="29"/>
  <c r="BB59" i="29"/>
  <c r="BC59" i="29"/>
  <c r="BD59" i="29"/>
  <c r="BE59" i="29"/>
  <c r="BF59" i="29"/>
  <c r="BG59" i="29"/>
  <c r="BH59" i="29"/>
  <c r="BI59" i="29"/>
  <c r="BJ59" i="29"/>
  <c r="BK59" i="29"/>
  <c r="BL59" i="29"/>
  <c r="BM59" i="29"/>
  <c r="BN59" i="29"/>
  <c r="BO59" i="29"/>
  <c r="BP59" i="29"/>
  <c r="AC24" i="29"/>
  <c r="Z24" i="29"/>
  <c r="J24" i="29"/>
  <c r="I24" i="29"/>
  <c r="H24" i="29"/>
  <c r="N11" i="29"/>
  <c r="G24" i="29"/>
  <c r="F24" i="29"/>
  <c r="E24" i="29"/>
  <c r="D24" i="29"/>
  <c r="E58" i="29" a="1"/>
  <c r="E58" i="29"/>
  <c r="F58" i="29" a="1"/>
  <c r="F58" i="29"/>
  <c r="G58" i="29" a="1"/>
  <c r="H58" i="29" a="1"/>
  <c r="I58" i="29" a="1"/>
  <c r="J58" i="29" a="1"/>
  <c r="K58" i="29" a="1"/>
  <c r="L58" i="29" a="1"/>
  <c r="M58" i="29" a="1"/>
  <c r="N58" i="29" a="1"/>
  <c r="O58" i="29" a="1"/>
  <c r="P58" i="29" a="1"/>
  <c r="Q58" i="29" a="1"/>
  <c r="R58" i="29" a="1"/>
  <c r="S58" i="29" a="1"/>
  <c r="T58" i="29" a="1"/>
  <c r="U58" i="29" a="1"/>
  <c r="V58" i="29" a="1"/>
  <c r="W58" i="29" a="1"/>
  <c r="X58" i="29" a="1"/>
  <c r="Y58" i="29" a="1"/>
  <c r="Z58" i="29" a="1"/>
  <c r="AA58" i="29" a="1"/>
  <c r="AB58" i="29" a="1"/>
  <c r="AC58" i="29" a="1"/>
  <c r="AD58" i="29" a="1"/>
  <c r="AE58" i="29" a="1"/>
  <c r="AF58" i="29" a="1"/>
  <c r="AG58" i="29" a="1"/>
  <c r="AH58" i="29" a="1"/>
  <c r="AI58" i="29" a="1"/>
  <c r="AJ58" i="29" a="1"/>
  <c r="AK58" i="29" a="1"/>
  <c r="AL58" i="29" a="1"/>
  <c r="AM58" i="29" a="1"/>
  <c r="AN58" i="29" a="1"/>
  <c r="AO58" i="29" a="1"/>
  <c r="AP58" i="29" a="1"/>
  <c r="AQ58" i="29" a="1"/>
  <c r="AR58" i="29" a="1"/>
  <c r="AS58" i="29" a="1"/>
  <c r="AT58" i="29" a="1"/>
  <c r="AU58" i="29" a="1"/>
  <c r="AV58" i="29" a="1"/>
  <c r="AW58" i="29" a="1"/>
  <c r="AX58" i="29" a="1"/>
  <c r="AY58" i="29" a="1"/>
  <c r="AZ58" i="29" a="1"/>
  <c r="BA58" i="29" a="1"/>
  <c r="BB58" i="29" a="1"/>
  <c r="BC58" i="29" a="1"/>
  <c r="BD58" i="29" a="1"/>
  <c r="BE58" i="29" a="1"/>
  <c r="BF58" i="29" a="1"/>
  <c r="BG58" i="29" a="1"/>
  <c r="BH58" i="29" a="1"/>
  <c r="BI58" i="29" a="1"/>
  <c r="BJ58" i="29" a="1"/>
  <c r="BK58" i="29" a="1"/>
  <c r="BL58" i="29" a="1"/>
  <c r="BM58" i="29" a="1"/>
  <c r="BN58" i="29" a="1"/>
  <c r="BO58" i="29" a="1"/>
  <c r="BP58" i="29" a="1"/>
  <c r="G58" i="29"/>
  <c r="H58" i="29"/>
  <c r="I58" i="29"/>
  <c r="J58" i="29"/>
  <c r="K58" i="29"/>
  <c r="L58" i="29"/>
  <c r="M58" i="29"/>
  <c r="N58" i="29"/>
  <c r="O58" i="29"/>
  <c r="P58" i="29"/>
  <c r="Q58" i="29"/>
  <c r="R58" i="29"/>
  <c r="S58" i="29"/>
  <c r="T58" i="29"/>
  <c r="U58" i="29"/>
  <c r="V58" i="29"/>
  <c r="W58" i="29"/>
  <c r="X58" i="29"/>
  <c r="Y58" i="29"/>
  <c r="Z58" i="29"/>
  <c r="AA58" i="29"/>
  <c r="AB58" i="29"/>
  <c r="AC58" i="29"/>
  <c r="AD58" i="29"/>
  <c r="AE58" i="29"/>
  <c r="AF58" i="29"/>
  <c r="AG58" i="29"/>
  <c r="AH58" i="29"/>
  <c r="AI58" i="29"/>
  <c r="AJ58" i="29"/>
  <c r="AK58" i="29"/>
  <c r="AL58" i="29"/>
  <c r="AM58" i="29"/>
  <c r="AN58" i="29"/>
  <c r="AO58" i="29"/>
  <c r="AP58" i="29"/>
  <c r="AQ58" i="29"/>
  <c r="AR58" i="29"/>
  <c r="AS58" i="29"/>
  <c r="AT58" i="29"/>
  <c r="AU58" i="29"/>
  <c r="AV58" i="29"/>
  <c r="AW58" i="29"/>
  <c r="AX58" i="29"/>
  <c r="AY58" i="29"/>
  <c r="AZ58" i="29"/>
  <c r="BA58" i="29"/>
  <c r="BB58" i="29"/>
  <c r="BC58" i="29"/>
  <c r="BD58" i="29"/>
  <c r="BE58" i="29"/>
  <c r="BF58" i="29"/>
  <c r="BG58" i="29"/>
  <c r="BH58" i="29"/>
  <c r="BI58" i="29"/>
  <c r="BJ58" i="29"/>
  <c r="BK58" i="29"/>
  <c r="BL58" i="29"/>
  <c r="BM58" i="29"/>
  <c r="BN58" i="29"/>
  <c r="BO58" i="29"/>
  <c r="BP58" i="29"/>
  <c r="AC23" i="29"/>
  <c r="Z23" i="29"/>
  <c r="J23" i="29"/>
  <c r="I23" i="29"/>
  <c r="H23" i="29"/>
  <c r="N10" i="29"/>
  <c r="G23" i="29"/>
  <c r="F23" i="29"/>
  <c r="E23" i="29"/>
  <c r="D23" i="29"/>
  <c r="E57" i="29" a="1"/>
  <c r="E57" i="29"/>
  <c r="F57" i="29" a="1"/>
  <c r="F57" i="29"/>
  <c r="G57" i="29" a="1"/>
  <c r="H57" i="29" a="1"/>
  <c r="I57" i="29" a="1"/>
  <c r="J57" i="29" a="1"/>
  <c r="K57" i="29" a="1"/>
  <c r="L57" i="29" a="1"/>
  <c r="M57" i="29" a="1"/>
  <c r="N57" i="29" a="1"/>
  <c r="O57" i="29" a="1"/>
  <c r="P57" i="29" a="1"/>
  <c r="Q57" i="29" a="1"/>
  <c r="R57" i="29" a="1"/>
  <c r="S57" i="29" a="1"/>
  <c r="T57" i="29" a="1"/>
  <c r="U57" i="29" a="1"/>
  <c r="V57" i="29" a="1"/>
  <c r="W57" i="29" a="1"/>
  <c r="X57" i="29" a="1"/>
  <c r="Y57" i="29" a="1"/>
  <c r="Z57" i="29" a="1"/>
  <c r="AA57" i="29" a="1"/>
  <c r="AB57" i="29" a="1"/>
  <c r="AC57" i="29" a="1"/>
  <c r="AD57" i="29" a="1"/>
  <c r="AE57" i="29" a="1"/>
  <c r="AF57" i="29" a="1"/>
  <c r="AG57" i="29" a="1"/>
  <c r="AH57" i="29" a="1"/>
  <c r="AI57" i="29" a="1"/>
  <c r="AJ57" i="29" a="1"/>
  <c r="AK57" i="29" a="1"/>
  <c r="AL57" i="29" a="1"/>
  <c r="AM57" i="29" a="1"/>
  <c r="AN57" i="29" a="1"/>
  <c r="AO57" i="29" a="1"/>
  <c r="AP57" i="29" a="1"/>
  <c r="AQ57" i="29" a="1"/>
  <c r="AR57" i="29" a="1"/>
  <c r="AS57" i="29" a="1"/>
  <c r="AT57" i="29" a="1"/>
  <c r="AU57" i="29" a="1"/>
  <c r="AV57" i="29" a="1"/>
  <c r="AW57" i="29" a="1"/>
  <c r="AX57" i="29" a="1"/>
  <c r="AY57" i="29" a="1"/>
  <c r="AZ57" i="29" a="1"/>
  <c r="BA57" i="29" a="1"/>
  <c r="BB57" i="29" a="1"/>
  <c r="BC57" i="29" a="1"/>
  <c r="BD57" i="29" a="1"/>
  <c r="BE57" i="29" a="1"/>
  <c r="BF57" i="29" a="1"/>
  <c r="BG57" i="29" a="1"/>
  <c r="BH57" i="29" a="1"/>
  <c r="BI57" i="29" a="1"/>
  <c r="BJ57" i="29" a="1"/>
  <c r="BK57" i="29" a="1"/>
  <c r="BL57" i="29" a="1"/>
  <c r="BM57" i="29" a="1"/>
  <c r="BN57" i="29" a="1"/>
  <c r="BO57" i="29" a="1"/>
  <c r="BP57" i="29" a="1"/>
  <c r="G57" i="29"/>
  <c r="H57" i="29"/>
  <c r="I57" i="29"/>
  <c r="J57" i="29"/>
  <c r="K57" i="29"/>
  <c r="L57" i="29"/>
  <c r="M57" i="29"/>
  <c r="N57" i="29"/>
  <c r="O57" i="29"/>
  <c r="P57" i="29"/>
  <c r="Q57" i="29"/>
  <c r="R57" i="29"/>
  <c r="S57" i="29"/>
  <c r="T57" i="29"/>
  <c r="U57" i="29"/>
  <c r="V57" i="29"/>
  <c r="W57" i="29"/>
  <c r="X57" i="29"/>
  <c r="Y57" i="29"/>
  <c r="Z57" i="29"/>
  <c r="AA57" i="29"/>
  <c r="AB57" i="29"/>
  <c r="AC57" i="29"/>
  <c r="AD57" i="29"/>
  <c r="AE57" i="29"/>
  <c r="AF57" i="29"/>
  <c r="AG57" i="29"/>
  <c r="AH57" i="29"/>
  <c r="AI57" i="29"/>
  <c r="AJ57" i="29"/>
  <c r="AK57" i="29"/>
  <c r="AL57" i="29"/>
  <c r="AM57" i="29"/>
  <c r="AN57" i="29"/>
  <c r="AO57" i="29"/>
  <c r="AP57" i="29"/>
  <c r="AQ57" i="29"/>
  <c r="AR57" i="29"/>
  <c r="AS57" i="29"/>
  <c r="AT57" i="29"/>
  <c r="AU57" i="29"/>
  <c r="AV57" i="29"/>
  <c r="AW57" i="29"/>
  <c r="AX57" i="29"/>
  <c r="AY57" i="29"/>
  <c r="AZ57" i="29"/>
  <c r="BA57" i="29"/>
  <c r="BB57" i="29"/>
  <c r="BC57" i="29"/>
  <c r="BD57" i="29"/>
  <c r="BE57" i="29"/>
  <c r="BF57" i="29"/>
  <c r="BG57" i="29"/>
  <c r="BH57" i="29"/>
  <c r="BI57" i="29"/>
  <c r="BJ57" i="29"/>
  <c r="BK57" i="29"/>
  <c r="BL57" i="29"/>
  <c r="BM57" i="29"/>
  <c r="BN57" i="29"/>
  <c r="BO57" i="29"/>
  <c r="BP57" i="29"/>
  <c r="AC22" i="29"/>
  <c r="Z22" i="29"/>
  <c r="J22" i="29"/>
  <c r="I22" i="29"/>
  <c r="H22" i="29"/>
  <c r="N9" i="29"/>
  <c r="G22" i="29"/>
  <c r="F22" i="29"/>
  <c r="E22" i="29"/>
  <c r="D22" i="29"/>
  <c r="E56" i="29" a="1"/>
  <c r="E56" i="29"/>
  <c r="F56" i="29" a="1"/>
  <c r="F56" i="29"/>
  <c r="G56" i="29" a="1"/>
  <c r="H56" i="29" a="1"/>
  <c r="I56" i="29" a="1"/>
  <c r="J56" i="29" a="1"/>
  <c r="K56" i="29" a="1"/>
  <c r="L56" i="29" a="1"/>
  <c r="M56" i="29" a="1"/>
  <c r="N56" i="29" a="1"/>
  <c r="O56" i="29" a="1"/>
  <c r="P56" i="29" a="1"/>
  <c r="Q56" i="29" a="1"/>
  <c r="R56" i="29" a="1"/>
  <c r="S56" i="29" a="1"/>
  <c r="T56" i="29" a="1"/>
  <c r="U56" i="29" a="1"/>
  <c r="V56" i="29" a="1"/>
  <c r="W56" i="29" a="1"/>
  <c r="X56" i="29" a="1"/>
  <c r="Y56" i="29" a="1"/>
  <c r="Z56" i="29" a="1"/>
  <c r="AA56" i="29" a="1"/>
  <c r="AB56" i="29" a="1"/>
  <c r="AC56" i="29" a="1"/>
  <c r="AD56" i="29" a="1"/>
  <c r="AE56" i="29" a="1"/>
  <c r="AF56" i="29" a="1"/>
  <c r="AG56" i="29" a="1"/>
  <c r="AH56" i="29" a="1"/>
  <c r="AI56" i="29" a="1"/>
  <c r="AJ56" i="29" a="1"/>
  <c r="AK56" i="29" a="1"/>
  <c r="AL56" i="29" a="1"/>
  <c r="AM56" i="29" a="1"/>
  <c r="AN56" i="29" a="1"/>
  <c r="AO56" i="29" a="1"/>
  <c r="AP56" i="29" a="1"/>
  <c r="AQ56" i="29" a="1"/>
  <c r="AR56" i="29" a="1"/>
  <c r="AS56" i="29" a="1"/>
  <c r="AT56" i="29" a="1"/>
  <c r="AU56" i="29" a="1"/>
  <c r="AV56" i="29" a="1"/>
  <c r="AW56" i="29" a="1"/>
  <c r="AX56" i="29" a="1"/>
  <c r="AY56" i="29" a="1"/>
  <c r="AZ56" i="29" a="1"/>
  <c r="BA56" i="29" a="1"/>
  <c r="BB56" i="29" a="1"/>
  <c r="BC56" i="29" a="1"/>
  <c r="BD56" i="29" a="1"/>
  <c r="BE56" i="29" a="1"/>
  <c r="BF56" i="29" a="1"/>
  <c r="BG56" i="29" a="1"/>
  <c r="BH56" i="29" a="1"/>
  <c r="BI56" i="29" a="1"/>
  <c r="BJ56" i="29" a="1"/>
  <c r="BK56" i="29" a="1"/>
  <c r="BL56" i="29" a="1"/>
  <c r="BM56" i="29" a="1"/>
  <c r="BN56" i="29" a="1"/>
  <c r="BO56" i="29" a="1"/>
  <c r="BP56" i="29" a="1"/>
  <c r="G56" i="29"/>
  <c r="H56" i="29"/>
  <c r="I56" i="29"/>
  <c r="J56" i="29"/>
  <c r="K56" i="29"/>
  <c r="L56" i="29"/>
  <c r="M56" i="29"/>
  <c r="N56" i="29"/>
  <c r="O56" i="29"/>
  <c r="P56" i="29"/>
  <c r="Q56" i="29"/>
  <c r="R56" i="29"/>
  <c r="S56" i="29"/>
  <c r="T56" i="29"/>
  <c r="U56" i="29"/>
  <c r="V56" i="29"/>
  <c r="W56" i="29"/>
  <c r="X56" i="29"/>
  <c r="Y56" i="29"/>
  <c r="Z56" i="29"/>
  <c r="AA56" i="29"/>
  <c r="AB56" i="29"/>
  <c r="AC56" i="29"/>
  <c r="AD56" i="29"/>
  <c r="AE56" i="29"/>
  <c r="AF56" i="29"/>
  <c r="AG56" i="29"/>
  <c r="AH56" i="29"/>
  <c r="AI56" i="29"/>
  <c r="AJ56" i="29"/>
  <c r="AK56" i="29"/>
  <c r="AL56" i="29"/>
  <c r="AM56" i="29"/>
  <c r="AN56" i="29"/>
  <c r="AO56" i="29"/>
  <c r="AP56" i="29"/>
  <c r="AQ56" i="29"/>
  <c r="AR56" i="29"/>
  <c r="AS56" i="29"/>
  <c r="AT56" i="29"/>
  <c r="AU56" i="29"/>
  <c r="AV56" i="29"/>
  <c r="AW56" i="29"/>
  <c r="AX56" i="29"/>
  <c r="AY56" i="29"/>
  <c r="AZ56" i="29"/>
  <c r="BA56" i="29"/>
  <c r="BB56" i="29"/>
  <c r="BC56" i="29"/>
  <c r="BD56" i="29"/>
  <c r="BE56" i="29"/>
  <c r="BF56" i="29"/>
  <c r="BG56" i="29"/>
  <c r="BH56" i="29"/>
  <c r="BI56" i="29"/>
  <c r="BJ56" i="29"/>
  <c r="BK56" i="29"/>
  <c r="BL56" i="29"/>
  <c r="BM56" i="29"/>
  <c r="BN56" i="29"/>
  <c r="BO56" i="29"/>
  <c r="BP56" i="29"/>
  <c r="AC21" i="29"/>
  <c r="Z21" i="29"/>
  <c r="J21" i="29"/>
  <c r="I21" i="29"/>
  <c r="H21" i="29"/>
  <c r="N8" i="29"/>
  <c r="G21" i="29"/>
  <c r="F21" i="29"/>
  <c r="E21" i="29"/>
  <c r="D21" i="29"/>
  <c r="E55" i="29" a="1"/>
  <c r="E55" i="29"/>
  <c r="F55" i="29" a="1"/>
  <c r="F55" i="29"/>
  <c r="G55" i="29" a="1"/>
  <c r="H55" i="29" a="1"/>
  <c r="I55" i="29" a="1"/>
  <c r="J55" i="29" a="1"/>
  <c r="K55" i="29" a="1"/>
  <c r="L55" i="29" a="1"/>
  <c r="M55" i="29" a="1"/>
  <c r="N55" i="29" a="1"/>
  <c r="O55" i="29" a="1"/>
  <c r="P55" i="29" a="1"/>
  <c r="Q55" i="29" a="1"/>
  <c r="R55" i="29" a="1"/>
  <c r="S55" i="29" a="1"/>
  <c r="T55" i="29" a="1"/>
  <c r="U55" i="29" a="1"/>
  <c r="V55" i="29" a="1"/>
  <c r="W55" i="29" a="1"/>
  <c r="X55" i="29" a="1"/>
  <c r="Y55" i="29" a="1"/>
  <c r="Z55" i="29" a="1"/>
  <c r="AA55" i="29" a="1"/>
  <c r="AB55" i="29" a="1"/>
  <c r="AC55" i="29" a="1"/>
  <c r="AD55" i="29" a="1"/>
  <c r="AE55" i="29" a="1"/>
  <c r="AF55" i="29" a="1"/>
  <c r="AG55" i="29" a="1"/>
  <c r="AH55" i="29" a="1"/>
  <c r="AI55" i="29" a="1"/>
  <c r="AJ55" i="29" a="1"/>
  <c r="AK55" i="29" a="1"/>
  <c r="AL55" i="29" a="1"/>
  <c r="AM55" i="29" a="1"/>
  <c r="AN55" i="29" a="1"/>
  <c r="AO55" i="29" a="1"/>
  <c r="AP55" i="29" a="1"/>
  <c r="AQ55" i="29" a="1"/>
  <c r="AR55" i="29" a="1"/>
  <c r="AS55" i="29" a="1"/>
  <c r="AT55" i="29" a="1"/>
  <c r="AU55" i="29" a="1"/>
  <c r="AV55" i="29" a="1"/>
  <c r="AW55" i="29" a="1"/>
  <c r="AX55" i="29" a="1"/>
  <c r="AY55" i="29" a="1"/>
  <c r="AZ55" i="29" a="1"/>
  <c r="BA55" i="29" a="1"/>
  <c r="BB55" i="29" a="1"/>
  <c r="BC55" i="29" a="1"/>
  <c r="BD55" i="29" a="1"/>
  <c r="BE55" i="29" a="1"/>
  <c r="BF55" i="29" a="1"/>
  <c r="BG55" i="29" a="1"/>
  <c r="BH55" i="29" a="1"/>
  <c r="BI55" i="29" a="1"/>
  <c r="BJ55" i="29" a="1"/>
  <c r="BK55" i="29" a="1"/>
  <c r="BL55" i="29" a="1"/>
  <c r="BM55" i="29" a="1"/>
  <c r="BN55" i="29" a="1"/>
  <c r="BO55" i="29" a="1"/>
  <c r="BP55" i="29" a="1"/>
  <c r="G55" i="29"/>
  <c r="H55" i="29"/>
  <c r="I55" i="29"/>
  <c r="J55" i="29"/>
  <c r="K55" i="29"/>
  <c r="L55" i="29"/>
  <c r="M55" i="29"/>
  <c r="N55" i="29"/>
  <c r="O55" i="29"/>
  <c r="P55" i="29"/>
  <c r="Q55" i="29"/>
  <c r="R55" i="29"/>
  <c r="S55" i="29"/>
  <c r="T55" i="29"/>
  <c r="U55" i="29"/>
  <c r="V55" i="29"/>
  <c r="W55" i="29"/>
  <c r="X55" i="29"/>
  <c r="Y55" i="29"/>
  <c r="Z55" i="29"/>
  <c r="AA55" i="29"/>
  <c r="AB55" i="29"/>
  <c r="AC55" i="29"/>
  <c r="AD55" i="29"/>
  <c r="AE55" i="29"/>
  <c r="AF55" i="29"/>
  <c r="AG55" i="29"/>
  <c r="AH55" i="29"/>
  <c r="AI55" i="29"/>
  <c r="AJ55" i="29"/>
  <c r="AK55" i="29"/>
  <c r="AL55" i="29"/>
  <c r="AM55" i="29"/>
  <c r="AN55" i="29"/>
  <c r="AO55" i="29"/>
  <c r="AP55" i="29"/>
  <c r="AQ55" i="29"/>
  <c r="AR55" i="29"/>
  <c r="AS55" i="29"/>
  <c r="AT55" i="29"/>
  <c r="AU55" i="29"/>
  <c r="AV55" i="29"/>
  <c r="AW55" i="29"/>
  <c r="AX55" i="29"/>
  <c r="AY55" i="29"/>
  <c r="AZ55" i="29"/>
  <c r="BA55" i="29"/>
  <c r="BB55" i="29"/>
  <c r="BC55" i="29"/>
  <c r="BD55" i="29"/>
  <c r="BE55" i="29"/>
  <c r="BF55" i="29"/>
  <c r="BG55" i="29"/>
  <c r="BH55" i="29"/>
  <c r="BI55" i="29"/>
  <c r="BJ55" i="29"/>
  <c r="BK55" i="29"/>
  <c r="BL55" i="29"/>
  <c r="BM55" i="29"/>
  <c r="BN55" i="29"/>
  <c r="BO55" i="29"/>
  <c r="BP55" i="29"/>
  <c r="AC20" i="29"/>
  <c r="Z20" i="29"/>
  <c r="J20" i="29"/>
  <c r="I20" i="29"/>
  <c r="H20" i="29"/>
  <c r="N7" i="29"/>
  <c r="G20" i="29"/>
  <c r="F20" i="29"/>
  <c r="E20" i="29"/>
  <c r="D20" i="29"/>
  <c r="E54" i="29" a="1"/>
  <c r="E54" i="29"/>
  <c r="F54" i="29" a="1"/>
  <c r="F54" i="29"/>
  <c r="G54" i="29" a="1"/>
  <c r="H54" i="29" a="1"/>
  <c r="I54" i="29" a="1"/>
  <c r="J54" i="29" a="1"/>
  <c r="K54" i="29" a="1"/>
  <c r="L54" i="29" a="1"/>
  <c r="M54" i="29" a="1"/>
  <c r="N54" i="29" a="1"/>
  <c r="O54" i="29" a="1"/>
  <c r="P54" i="29" a="1"/>
  <c r="Q54" i="29" a="1"/>
  <c r="R54" i="29" a="1"/>
  <c r="S54" i="29" a="1"/>
  <c r="T54" i="29" a="1"/>
  <c r="U54" i="29" a="1"/>
  <c r="V54" i="29" a="1"/>
  <c r="W54" i="29" a="1"/>
  <c r="X54" i="29" a="1"/>
  <c r="Y54" i="29" a="1"/>
  <c r="Z54" i="29" a="1"/>
  <c r="AA54" i="29" a="1"/>
  <c r="AB54" i="29" a="1"/>
  <c r="AC54" i="29" a="1"/>
  <c r="AD54" i="29" a="1"/>
  <c r="AE54" i="29" a="1"/>
  <c r="AF54" i="29" a="1"/>
  <c r="AG54" i="29" a="1"/>
  <c r="AH54" i="29" a="1"/>
  <c r="AI54" i="29" a="1"/>
  <c r="AJ54" i="29" a="1"/>
  <c r="AK54" i="29" a="1"/>
  <c r="AL54" i="29" a="1"/>
  <c r="AM54" i="29" a="1"/>
  <c r="AN54" i="29" a="1"/>
  <c r="AO54" i="29" a="1"/>
  <c r="AP54" i="29" a="1"/>
  <c r="AQ54" i="29" a="1"/>
  <c r="AR54" i="29" a="1"/>
  <c r="AS54" i="29" a="1"/>
  <c r="AT54" i="29" a="1"/>
  <c r="AU54" i="29" a="1"/>
  <c r="AV54" i="29" a="1"/>
  <c r="AW54" i="29" a="1"/>
  <c r="AX54" i="29" a="1"/>
  <c r="AY54" i="29" a="1"/>
  <c r="AZ54" i="29" a="1"/>
  <c r="BA54" i="29" a="1"/>
  <c r="BB54" i="29" a="1"/>
  <c r="BC54" i="29" a="1"/>
  <c r="BD54" i="29" a="1"/>
  <c r="BE54" i="29" a="1"/>
  <c r="BF54" i="29" a="1"/>
  <c r="BG54" i="29" a="1"/>
  <c r="BH54" i="29" a="1"/>
  <c r="BI54" i="29" a="1"/>
  <c r="BJ54" i="29" a="1"/>
  <c r="BK54" i="29" a="1"/>
  <c r="BL54" i="29" a="1"/>
  <c r="BM54" i="29" a="1"/>
  <c r="BN54" i="29" a="1"/>
  <c r="BO54" i="29" a="1"/>
  <c r="BP54" i="29" a="1"/>
  <c r="G54" i="29"/>
  <c r="H54" i="29"/>
  <c r="I54" i="29"/>
  <c r="J54" i="29"/>
  <c r="K54" i="29"/>
  <c r="L54" i="29"/>
  <c r="M54" i="29"/>
  <c r="N54" i="29"/>
  <c r="O54" i="29"/>
  <c r="P54" i="29"/>
  <c r="Q54" i="29"/>
  <c r="R54" i="29"/>
  <c r="S54" i="29"/>
  <c r="T54" i="29"/>
  <c r="U54" i="29"/>
  <c r="V54" i="29"/>
  <c r="W54" i="29"/>
  <c r="X54" i="29"/>
  <c r="Y54" i="29"/>
  <c r="Z54" i="29"/>
  <c r="AA54" i="29"/>
  <c r="AB54" i="29"/>
  <c r="AC54" i="29"/>
  <c r="AD54" i="29"/>
  <c r="AE54" i="29"/>
  <c r="AF54" i="29"/>
  <c r="AG54" i="29"/>
  <c r="AH54" i="29"/>
  <c r="AI54" i="29"/>
  <c r="AJ54" i="29"/>
  <c r="AK54" i="29"/>
  <c r="AL54" i="29"/>
  <c r="AM54" i="29"/>
  <c r="AN54" i="29"/>
  <c r="AO54" i="29"/>
  <c r="AP54" i="29"/>
  <c r="AQ54" i="29"/>
  <c r="AR54" i="29"/>
  <c r="AS54" i="29"/>
  <c r="AT54" i="29"/>
  <c r="AU54" i="29"/>
  <c r="AV54" i="29"/>
  <c r="AW54" i="29"/>
  <c r="AX54" i="29"/>
  <c r="AY54" i="29"/>
  <c r="AZ54" i="29"/>
  <c r="BA54" i="29"/>
  <c r="BB54" i="29"/>
  <c r="BC54" i="29"/>
  <c r="BD54" i="29"/>
  <c r="BE54" i="29"/>
  <c r="BF54" i="29"/>
  <c r="BG54" i="29"/>
  <c r="BH54" i="29"/>
  <c r="BI54" i="29"/>
  <c r="BJ54" i="29"/>
  <c r="BK54" i="29"/>
  <c r="BL54" i="29"/>
  <c r="BM54" i="29"/>
  <c r="BN54" i="29"/>
  <c r="BO54" i="29"/>
  <c r="BP54" i="29"/>
  <c r="AC19" i="29"/>
  <c r="Z19" i="29"/>
  <c r="J19" i="29"/>
  <c r="I19" i="29"/>
  <c r="H19" i="29"/>
  <c r="N6" i="29"/>
  <c r="G19" i="29"/>
  <c r="F19" i="29"/>
  <c r="E19" i="29"/>
  <c r="D19" i="29"/>
  <c r="E53" i="29" a="1"/>
  <c r="E53" i="29"/>
  <c r="F53" i="29" a="1"/>
  <c r="F53" i="29"/>
  <c r="G53" i="29" a="1"/>
  <c r="H53" i="29" a="1"/>
  <c r="I53" i="29" a="1"/>
  <c r="J53" i="29" a="1"/>
  <c r="K53" i="29" a="1"/>
  <c r="L53" i="29" a="1"/>
  <c r="M53" i="29" a="1"/>
  <c r="N53" i="29" a="1"/>
  <c r="O53" i="29" a="1"/>
  <c r="P53" i="29" a="1"/>
  <c r="Q53" i="29" a="1"/>
  <c r="R53" i="29" a="1"/>
  <c r="S53" i="29" a="1"/>
  <c r="T53" i="29" a="1"/>
  <c r="U53" i="29" a="1"/>
  <c r="V53" i="29" a="1"/>
  <c r="W53" i="29" a="1"/>
  <c r="X53" i="29" a="1"/>
  <c r="Y53" i="29" a="1"/>
  <c r="Z53" i="29" a="1"/>
  <c r="AA53" i="29" a="1"/>
  <c r="AB53" i="29" a="1"/>
  <c r="AC53" i="29" a="1"/>
  <c r="AD53" i="29" a="1"/>
  <c r="AE53" i="29" a="1"/>
  <c r="AF53" i="29" a="1"/>
  <c r="AG53" i="29" a="1"/>
  <c r="AH53" i="29" a="1"/>
  <c r="AI53" i="29" a="1"/>
  <c r="AJ53" i="29" a="1"/>
  <c r="AK53" i="29" a="1"/>
  <c r="AL53" i="29" a="1"/>
  <c r="AM53" i="29" a="1"/>
  <c r="AN53" i="29" a="1"/>
  <c r="AO53" i="29" a="1"/>
  <c r="AP53" i="29" a="1"/>
  <c r="AQ53" i="29" a="1"/>
  <c r="AR53" i="29" a="1"/>
  <c r="AS53" i="29" a="1"/>
  <c r="AT53" i="29" a="1"/>
  <c r="AU53" i="29" a="1"/>
  <c r="AV53" i="29" a="1"/>
  <c r="AW53" i="29" a="1"/>
  <c r="AX53" i="29" a="1"/>
  <c r="AY53" i="29" a="1"/>
  <c r="AZ53" i="29" a="1"/>
  <c r="BA53" i="29" a="1"/>
  <c r="BB53" i="29" a="1"/>
  <c r="BC53" i="29" a="1"/>
  <c r="BD53" i="29" a="1"/>
  <c r="BE53" i="29" a="1"/>
  <c r="BF53" i="29" a="1"/>
  <c r="BG53" i="29" a="1"/>
  <c r="BH53" i="29" a="1"/>
  <c r="BI53" i="29" a="1"/>
  <c r="BJ53" i="29" a="1"/>
  <c r="BK53" i="29" a="1"/>
  <c r="BL53" i="29" a="1"/>
  <c r="BM53" i="29" a="1"/>
  <c r="BN53" i="29" a="1"/>
  <c r="BO53" i="29" a="1"/>
  <c r="BP53" i="29" a="1"/>
  <c r="G53" i="29"/>
  <c r="H53" i="29"/>
  <c r="I53" i="29"/>
  <c r="J53" i="29"/>
  <c r="K53" i="29"/>
  <c r="L53" i="29"/>
  <c r="M53" i="29"/>
  <c r="N53" i="29"/>
  <c r="O53" i="29"/>
  <c r="P53" i="29"/>
  <c r="Q53" i="29"/>
  <c r="R53" i="29"/>
  <c r="S53" i="29"/>
  <c r="T53" i="29"/>
  <c r="U53" i="29"/>
  <c r="V53" i="29"/>
  <c r="W53" i="29"/>
  <c r="X53" i="29"/>
  <c r="Y53" i="29"/>
  <c r="Z53" i="29"/>
  <c r="AA53" i="29"/>
  <c r="AB53" i="29"/>
  <c r="AC53" i="29"/>
  <c r="AD53" i="29"/>
  <c r="AE53" i="29"/>
  <c r="AF53" i="29"/>
  <c r="AG53" i="29"/>
  <c r="AH53" i="29"/>
  <c r="AI53" i="29"/>
  <c r="AJ53" i="29"/>
  <c r="AK53" i="29"/>
  <c r="AL53" i="29"/>
  <c r="AM53" i="29"/>
  <c r="AN53" i="29"/>
  <c r="AO53" i="29"/>
  <c r="AP53" i="29"/>
  <c r="AQ53" i="29"/>
  <c r="AR53" i="29"/>
  <c r="AS53" i="29"/>
  <c r="AT53" i="29"/>
  <c r="AU53" i="29"/>
  <c r="AV53" i="29"/>
  <c r="AW53" i="29"/>
  <c r="AX53" i="29"/>
  <c r="AY53" i="29"/>
  <c r="AZ53" i="29"/>
  <c r="BA53" i="29"/>
  <c r="BB53" i="29"/>
  <c r="BC53" i="29"/>
  <c r="BD53" i="29"/>
  <c r="BE53" i="29"/>
  <c r="BF53" i="29"/>
  <c r="BG53" i="29"/>
  <c r="BH53" i="29"/>
  <c r="BI53" i="29"/>
  <c r="BJ53" i="29"/>
  <c r="BK53" i="29"/>
  <c r="BL53" i="29"/>
  <c r="BM53" i="29"/>
  <c r="BN53" i="29"/>
  <c r="BO53" i="29"/>
  <c r="BP53" i="29"/>
  <c r="AC18" i="29"/>
  <c r="Z18" i="29"/>
  <c r="J18" i="29"/>
  <c r="I18" i="29"/>
  <c r="H18" i="29"/>
  <c r="N5" i="29"/>
  <c r="G18" i="29"/>
  <c r="F18" i="29"/>
  <c r="E18" i="29"/>
  <c r="D18" i="29"/>
  <c r="E52" i="29" a="1"/>
  <c r="E52" i="29"/>
  <c r="F52" i="29" a="1"/>
  <c r="F52" i="29"/>
  <c r="G52" i="29" a="1"/>
  <c r="H52" i="29" a="1"/>
  <c r="I52" i="29" a="1"/>
  <c r="J52" i="29" a="1"/>
  <c r="K52" i="29" a="1"/>
  <c r="L52" i="29" a="1"/>
  <c r="M52" i="29" a="1"/>
  <c r="N52" i="29" a="1"/>
  <c r="O52" i="29" a="1"/>
  <c r="P52" i="29" a="1"/>
  <c r="Q52" i="29" a="1"/>
  <c r="R52" i="29" a="1"/>
  <c r="S52" i="29" a="1"/>
  <c r="T52" i="29" a="1"/>
  <c r="U52" i="29" a="1"/>
  <c r="V52" i="29" a="1"/>
  <c r="W52" i="29" a="1"/>
  <c r="X52" i="29" a="1"/>
  <c r="Y52" i="29" a="1"/>
  <c r="Z52" i="29" a="1"/>
  <c r="AA52" i="29" a="1"/>
  <c r="AB52" i="29" a="1"/>
  <c r="AC52" i="29" a="1"/>
  <c r="AD52" i="29" a="1"/>
  <c r="AE52" i="29" a="1"/>
  <c r="AF52" i="29" a="1"/>
  <c r="AG52" i="29" a="1"/>
  <c r="AH52" i="29" a="1"/>
  <c r="AI52" i="29" a="1"/>
  <c r="AJ52" i="29" a="1"/>
  <c r="AK52" i="29" a="1"/>
  <c r="AL52" i="29" a="1"/>
  <c r="AM52" i="29" a="1"/>
  <c r="AN52" i="29" a="1"/>
  <c r="AO52" i="29" a="1"/>
  <c r="AP52" i="29" a="1"/>
  <c r="AQ52" i="29" a="1"/>
  <c r="AR52" i="29" a="1"/>
  <c r="AS52" i="29" a="1"/>
  <c r="AT52" i="29" a="1"/>
  <c r="AU52" i="29" a="1"/>
  <c r="AV52" i="29" a="1"/>
  <c r="AW52" i="29" a="1"/>
  <c r="AX52" i="29" a="1"/>
  <c r="AY52" i="29" a="1"/>
  <c r="AZ52" i="29" a="1"/>
  <c r="BA52" i="29" a="1"/>
  <c r="BB52" i="29" a="1"/>
  <c r="BC52" i="29" a="1"/>
  <c r="BD52" i="29" a="1"/>
  <c r="BE52" i="29" a="1"/>
  <c r="BF52" i="29" a="1"/>
  <c r="BG52" i="29" a="1"/>
  <c r="BH52" i="29" a="1"/>
  <c r="BI52" i="29" a="1"/>
  <c r="BJ52" i="29" a="1"/>
  <c r="BK52" i="29" a="1"/>
  <c r="BL52" i="29" a="1"/>
  <c r="BM52" i="29" a="1"/>
  <c r="BN52" i="29" a="1"/>
  <c r="BO52" i="29" a="1"/>
  <c r="BP52" i="29" a="1"/>
  <c r="G52" i="29"/>
  <c r="H52" i="29"/>
  <c r="I52" i="29"/>
  <c r="J52" i="29"/>
  <c r="K52" i="29"/>
  <c r="L52" i="29"/>
  <c r="M52" i="29"/>
  <c r="N52" i="29"/>
  <c r="O52" i="29"/>
  <c r="P52" i="29"/>
  <c r="Q52" i="29"/>
  <c r="R52" i="29"/>
  <c r="S52" i="29"/>
  <c r="T52" i="29"/>
  <c r="U52" i="29"/>
  <c r="V52" i="29"/>
  <c r="W52" i="29"/>
  <c r="X52" i="29"/>
  <c r="Y52" i="29"/>
  <c r="Z52" i="29"/>
  <c r="AA52" i="29"/>
  <c r="AB52" i="29"/>
  <c r="AC52" i="29"/>
  <c r="AD52" i="29"/>
  <c r="AE52" i="29"/>
  <c r="AF52" i="29"/>
  <c r="AG52" i="29"/>
  <c r="AH52" i="29"/>
  <c r="AI52" i="29"/>
  <c r="AJ52" i="29"/>
  <c r="AK52" i="29"/>
  <c r="AL52" i="29"/>
  <c r="AM52" i="29"/>
  <c r="AN52" i="29"/>
  <c r="AO52" i="29"/>
  <c r="AP52" i="29"/>
  <c r="AQ52" i="29"/>
  <c r="AR52" i="29"/>
  <c r="AS52" i="29"/>
  <c r="AT52" i="29"/>
  <c r="AU52" i="29"/>
  <c r="AV52" i="29"/>
  <c r="AW52" i="29"/>
  <c r="AX52" i="29"/>
  <c r="AY52" i="29"/>
  <c r="AZ52" i="29"/>
  <c r="BA52" i="29"/>
  <c r="BB52" i="29"/>
  <c r="BC52" i="29"/>
  <c r="BD52" i="29"/>
  <c r="BE52" i="29"/>
  <c r="BF52" i="29"/>
  <c r="BG52" i="29"/>
  <c r="BH52" i="29"/>
  <c r="BI52" i="29"/>
  <c r="BJ52" i="29"/>
  <c r="BK52" i="29"/>
  <c r="BL52" i="29"/>
  <c r="BM52" i="29"/>
  <c r="BN52" i="29"/>
  <c r="BO52" i="29"/>
  <c r="BP52" i="29"/>
  <c r="AC17" i="29"/>
  <c r="Z17" i="29"/>
  <c r="J17" i="29"/>
  <c r="I17" i="29"/>
  <c r="H17" i="29"/>
  <c r="N4" i="29"/>
  <c r="G17" i="29"/>
  <c r="F17" i="29"/>
  <c r="E17" i="29"/>
  <c r="D17" i="29"/>
  <c r="F13" i="29"/>
  <c r="B13" i="29"/>
  <c r="AV12" i="29"/>
  <c r="C12" i="29"/>
  <c r="AV11" i="29"/>
  <c r="C11" i="29"/>
  <c r="AV10" i="29"/>
  <c r="C10" i="29"/>
  <c r="AV9" i="29"/>
  <c r="C9" i="29"/>
  <c r="AV8" i="29"/>
  <c r="C8" i="29"/>
  <c r="AM88" i="28"/>
  <c r="AL88" i="28"/>
  <c r="AC88" i="28"/>
  <c r="AB88" i="28"/>
  <c r="Z88" i="28"/>
  <c r="AM87" i="28"/>
  <c r="AL87" i="28"/>
  <c r="AC87" i="28"/>
  <c r="AB87" i="28"/>
  <c r="Z87" i="28"/>
  <c r="AM86" i="28"/>
  <c r="AL86" i="28"/>
  <c r="AC86" i="28"/>
  <c r="AB86" i="28"/>
  <c r="Z86" i="28"/>
  <c r="AM85" i="28"/>
  <c r="AL85" i="28"/>
  <c r="AG85" i="28"/>
  <c r="AF85" i="28"/>
  <c r="AE85" i="28"/>
  <c r="AD85" i="28"/>
  <c r="AC85" i="28"/>
  <c r="AB85" i="28"/>
  <c r="Z85" i="28"/>
  <c r="Y85" i="28"/>
  <c r="X85" i="28"/>
  <c r="AM84" i="28"/>
  <c r="AL84" i="28"/>
  <c r="AC84" i="28"/>
  <c r="AB84" i="28"/>
  <c r="Z84" i="28"/>
  <c r="AM83" i="28"/>
  <c r="AL83" i="28"/>
  <c r="AC83" i="28"/>
  <c r="AB83" i="28"/>
  <c r="Z83" i="28"/>
  <c r="AM82" i="28"/>
  <c r="AL82" i="28"/>
  <c r="AG82" i="28"/>
  <c r="AF82" i="28"/>
  <c r="AE82" i="28"/>
  <c r="AD82" i="28"/>
  <c r="AC82" i="28"/>
  <c r="AB82" i="28"/>
  <c r="Z82" i="28"/>
  <c r="Y82" i="28"/>
  <c r="X82" i="28"/>
  <c r="AM81" i="28"/>
  <c r="AL81" i="28"/>
  <c r="AG81" i="28"/>
  <c r="AF81" i="28"/>
  <c r="AE81" i="28"/>
  <c r="AD81" i="28"/>
  <c r="AC81" i="28"/>
  <c r="AB81" i="28"/>
  <c r="Z81" i="28"/>
  <c r="Y81" i="28"/>
  <c r="X81" i="28"/>
  <c r="AM72" i="28"/>
  <c r="AL72" i="28"/>
  <c r="AC72" i="28"/>
  <c r="AB72" i="28"/>
  <c r="Z72" i="28"/>
  <c r="AM71" i="28"/>
  <c r="AL71" i="28"/>
  <c r="AC71" i="28"/>
  <c r="AB71" i="28"/>
  <c r="Z71" i="28"/>
  <c r="AM70" i="28"/>
  <c r="AL70" i="28"/>
  <c r="AG70" i="28"/>
  <c r="AF70" i="28"/>
  <c r="AE70" i="28"/>
  <c r="AD70" i="28"/>
  <c r="AC70" i="28"/>
  <c r="AB70" i="28"/>
  <c r="Z70" i="28"/>
  <c r="Y70" i="28"/>
  <c r="X70" i="28"/>
  <c r="AM69" i="28"/>
  <c r="AL69" i="28"/>
  <c r="AG69" i="28"/>
  <c r="AF69" i="28"/>
  <c r="AE69" i="28"/>
  <c r="AD69" i="28"/>
  <c r="AC69" i="28"/>
  <c r="AB69" i="28"/>
  <c r="Z69" i="28"/>
  <c r="Y69" i="28"/>
  <c r="X69" i="28"/>
  <c r="AM68" i="28"/>
  <c r="AL68" i="28"/>
  <c r="AC68" i="28"/>
  <c r="AB68" i="28"/>
  <c r="Z68" i="28"/>
  <c r="AM67" i="28"/>
  <c r="AL67" i="28"/>
  <c r="AC67" i="28"/>
  <c r="AB67" i="28"/>
  <c r="Z67" i="28"/>
  <c r="AM66" i="28"/>
  <c r="AL66" i="28"/>
  <c r="AG66" i="28"/>
  <c r="AF66" i="28"/>
  <c r="AE66" i="28"/>
  <c r="AD66" i="28"/>
  <c r="AC66" i="28"/>
  <c r="AB66" i="28"/>
  <c r="Z66" i="28"/>
  <c r="Y66" i="28"/>
  <c r="X66" i="28"/>
  <c r="AM65" i="28"/>
  <c r="AL65" i="28"/>
  <c r="AG65" i="28"/>
  <c r="AF65" i="28"/>
  <c r="AE65" i="28"/>
  <c r="AD65" i="28"/>
  <c r="AC65" i="28"/>
  <c r="AB65" i="28"/>
  <c r="Z65" i="28"/>
  <c r="Y65" i="28"/>
  <c r="X65" i="28"/>
  <c r="AC160" i="28"/>
  <c r="AB160" i="28"/>
  <c r="AA160" i="28"/>
  <c r="Z160" i="28"/>
  <c r="AC159" i="28"/>
  <c r="AB159" i="28"/>
  <c r="AA159" i="28"/>
  <c r="Z159" i="28"/>
  <c r="AC158" i="28"/>
  <c r="AB158" i="28"/>
  <c r="AA158" i="28"/>
  <c r="Z158" i="28"/>
  <c r="AC157" i="28"/>
  <c r="AB157" i="28"/>
  <c r="AA157" i="28"/>
  <c r="Z157" i="28"/>
  <c r="AC156" i="28"/>
  <c r="AB156" i="28"/>
  <c r="AA156" i="28"/>
  <c r="Z156" i="28"/>
  <c r="AC155" i="28"/>
  <c r="AB155" i="28"/>
  <c r="AA155" i="28"/>
  <c r="Z155" i="28"/>
  <c r="AC154" i="28"/>
  <c r="AB154" i="28"/>
  <c r="AA154" i="28"/>
  <c r="Z154" i="28"/>
  <c r="AC153" i="28"/>
  <c r="AB153" i="28"/>
  <c r="AA153" i="28"/>
  <c r="Z153" i="28"/>
  <c r="AC144" i="28"/>
  <c r="AB144" i="28"/>
  <c r="AA144" i="28"/>
  <c r="Z144" i="28"/>
  <c r="AC143" i="28"/>
  <c r="AB143" i="28"/>
  <c r="AA143" i="28"/>
  <c r="Z143" i="28"/>
  <c r="AC142" i="28"/>
  <c r="AB142" i="28"/>
  <c r="AA142" i="28"/>
  <c r="Z142" i="28"/>
  <c r="AC141" i="28"/>
  <c r="AB141" i="28"/>
  <c r="AA141" i="28"/>
  <c r="Z141" i="28"/>
  <c r="AC140" i="28"/>
  <c r="AB140" i="28"/>
  <c r="AA140" i="28"/>
  <c r="Z140" i="28"/>
  <c r="AC139" i="28"/>
  <c r="AB139" i="28"/>
  <c r="AA139" i="28"/>
  <c r="Z139" i="28"/>
  <c r="AC138" i="28"/>
  <c r="AB138" i="28"/>
  <c r="AA138" i="28"/>
  <c r="Z138" i="28"/>
  <c r="AC137" i="28"/>
  <c r="AB137" i="28"/>
  <c r="AA137" i="28"/>
  <c r="Z137" i="28"/>
  <c r="AF64" i="28"/>
  <c r="AD64" i="28"/>
  <c r="Y64" i="28"/>
  <c r="C26" i="27" a="1"/>
  <c r="C26" i="27"/>
  <c r="D26" i="27" a="1"/>
  <c r="D26" i="27"/>
  <c r="C30" i="27" a="1"/>
  <c r="C30" i="27"/>
  <c r="D30" i="27" a="1"/>
  <c r="D30" i="27"/>
  <c r="E30" i="27"/>
  <c r="E26" i="27"/>
  <c r="L26" i="35"/>
  <c r="L30" i="35"/>
  <c r="E55" i="28" a="1"/>
  <c r="E55" i="28"/>
  <c r="F55" i="28" a="1"/>
  <c r="F55" i="28"/>
  <c r="G55" i="28" a="1"/>
  <c r="H55" i="28" a="1"/>
  <c r="I55" i="28" a="1"/>
  <c r="J55" i="28" a="1"/>
  <c r="K55" i="28" a="1"/>
  <c r="L55" i="28" a="1"/>
  <c r="M55" i="28" a="1"/>
  <c r="N55" i="28" a="1"/>
  <c r="O55" i="28" a="1"/>
  <c r="P55" i="28" a="1"/>
  <c r="Q55" i="28" a="1"/>
  <c r="R55" i="28" a="1"/>
  <c r="S55" i="28" a="1"/>
  <c r="T55" i="28" a="1"/>
  <c r="U55" i="28" a="1"/>
  <c r="V55" i="28" a="1"/>
  <c r="W55" i="28" a="1"/>
  <c r="X55" i="28" a="1"/>
  <c r="Y55" i="28" a="1"/>
  <c r="Z55" i="28" a="1"/>
  <c r="AA55" i="28" a="1"/>
  <c r="AB55" i="28" a="1"/>
  <c r="AC55" i="28" a="1"/>
  <c r="AD55" i="28" a="1"/>
  <c r="AE55" i="28" a="1"/>
  <c r="AF55" i="28" a="1"/>
  <c r="AG55" i="28" a="1"/>
  <c r="AH55" i="28" a="1"/>
  <c r="AI55" i="28" a="1"/>
  <c r="AJ55" i="28" a="1"/>
  <c r="AK55" i="28" a="1"/>
  <c r="AL55" i="28" a="1"/>
  <c r="AM55" i="28" a="1"/>
  <c r="AN55" i="28" a="1"/>
  <c r="AO55" i="28" a="1"/>
  <c r="AP55" i="28" a="1"/>
  <c r="AQ55" i="28" a="1"/>
  <c r="AR55" i="28" a="1"/>
  <c r="AS55" i="28" a="1"/>
  <c r="AT55" i="28" a="1"/>
  <c r="AU55" i="28" a="1"/>
  <c r="AV55" i="28" a="1"/>
  <c r="AW55" i="28" a="1"/>
  <c r="AX55" i="28" a="1"/>
  <c r="AY55" i="28" a="1"/>
  <c r="AZ55" i="28" a="1"/>
  <c r="BA55" i="28" a="1"/>
  <c r="BB55" i="28" a="1"/>
  <c r="BC55" i="28" a="1"/>
  <c r="BD55" i="28" a="1"/>
  <c r="BE55" i="28" a="1"/>
  <c r="BF55" i="28" a="1"/>
  <c r="BG55" i="28" a="1"/>
  <c r="BH55" i="28" a="1"/>
  <c r="BI55" i="28" a="1"/>
  <c r="BJ55" i="28" a="1"/>
  <c r="BK55" i="28" a="1"/>
  <c r="BL55" i="28" a="1"/>
  <c r="BM55" i="28" a="1"/>
  <c r="BN55" i="28" a="1"/>
  <c r="BO55" i="28" a="1"/>
  <c r="BP55" i="28" a="1"/>
  <c r="G55" i="28"/>
  <c r="H55" i="28"/>
  <c r="I55" i="28"/>
  <c r="J55" i="28"/>
  <c r="K55" i="28"/>
  <c r="L55" i="28"/>
  <c r="M55" i="28"/>
  <c r="N55" i="28"/>
  <c r="O55" i="28"/>
  <c r="P55" i="28"/>
  <c r="Q55" i="28"/>
  <c r="R55" i="28"/>
  <c r="S55" i="28"/>
  <c r="T55" i="28"/>
  <c r="U55" i="28"/>
  <c r="V55" i="28"/>
  <c r="W55" i="28"/>
  <c r="X55" i="28"/>
  <c r="Y55" i="28"/>
  <c r="Z55" i="28"/>
  <c r="AA55" i="28"/>
  <c r="AB55" i="28"/>
  <c r="AC55" i="28"/>
  <c r="AD55" i="28"/>
  <c r="AE55" i="28"/>
  <c r="AF55" i="28"/>
  <c r="AG55" i="28"/>
  <c r="AH55" i="28"/>
  <c r="AI55" i="28"/>
  <c r="AJ55" i="28"/>
  <c r="AK55" i="28"/>
  <c r="AL55" i="28"/>
  <c r="AM55" i="28"/>
  <c r="AN55" i="28"/>
  <c r="AO55" i="28"/>
  <c r="AP55" i="28"/>
  <c r="AQ55" i="28"/>
  <c r="AR55" i="28"/>
  <c r="AS55" i="28"/>
  <c r="AT55" i="28"/>
  <c r="AU55" i="28"/>
  <c r="AV55" i="28"/>
  <c r="AW55" i="28"/>
  <c r="AX55" i="28"/>
  <c r="AY55" i="28"/>
  <c r="AZ55" i="28"/>
  <c r="BA55" i="28"/>
  <c r="BB55" i="28"/>
  <c r="BC55" i="28"/>
  <c r="BD55" i="28"/>
  <c r="BE55" i="28"/>
  <c r="BF55" i="28"/>
  <c r="BG55" i="28"/>
  <c r="BH55" i="28"/>
  <c r="BI55" i="28"/>
  <c r="BJ55" i="28"/>
  <c r="BK55" i="28"/>
  <c r="BL55" i="28"/>
  <c r="BM55" i="28"/>
  <c r="BN55" i="28"/>
  <c r="BO55" i="28"/>
  <c r="BP55" i="28"/>
  <c r="AC20" i="28"/>
  <c r="J20" i="28"/>
  <c r="I20" i="28"/>
  <c r="H20" i="28"/>
  <c r="G20" i="28"/>
  <c r="F20" i="28"/>
  <c r="E20" i="28"/>
  <c r="D20" i="28"/>
  <c r="E54" i="28" a="1"/>
  <c r="E54" i="28"/>
  <c r="F54" i="28" a="1"/>
  <c r="F54" i="28"/>
  <c r="G54" i="28" a="1"/>
  <c r="H54" i="28" a="1"/>
  <c r="I54" i="28" a="1"/>
  <c r="J54" i="28" a="1"/>
  <c r="K54" i="28" a="1"/>
  <c r="L54" i="28" a="1"/>
  <c r="M54" i="28" a="1"/>
  <c r="N54" i="28" a="1"/>
  <c r="O54" i="28" a="1"/>
  <c r="P54" i="28" a="1"/>
  <c r="Q54" i="28" a="1"/>
  <c r="R54" i="28" a="1"/>
  <c r="S54" i="28" a="1"/>
  <c r="T54" i="28" a="1"/>
  <c r="U54" i="28" a="1"/>
  <c r="V54" i="28" a="1"/>
  <c r="W54" i="28" a="1"/>
  <c r="X54" i="28" a="1"/>
  <c r="Y54" i="28" a="1"/>
  <c r="Z54" i="28" a="1"/>
  <c r="AA54" i="28" a="1"/>
  <c r="AB54" i="28" a="1"/>
  <c r="AC54" i="28" a="1"/>
  <c r="AD54" i="28" a="1"/>
  <c r="AE54" i="28" a="1"/>
  <c r="AF54" i="28" a="1"/>
  <c r="AG54" i="28" a="1"/>
  <c r="AH54" i="28" a="1"/>
  <c r="AI54" i="28" a="1"/>
  <c r="AJ54" i="28" a="1"/>
  <c r="AK54" i="28" a="1"/>
  <c r="AL54" i="28" a="1"/>
  <c r="AM54" i="28" a="1"/>
  <c r="AN54" i="28" a="1"/>
  <c r="AO54" i="28" a="1"/>
  <c r="AP54" i="28" a="1"/>
  <c r="AQ54" i="28" a="1"/>
  <c r="AR54" i="28" a="1"/>
  <c r="AS54" i="28" a="1"/>
  <c r="AT54" i="28" a="1"/>
  <c r="AU54" i="28" a="1"/>
  <c r="AV54" i="28" a="1"/>
  <c r="AW54" i="28" a="1"/>
  <c r="AX54" i="28" a="1"/>
  <c r="AY54" i="28" a="1"/>
  <c r="AZ54" i="28" a="1"/>
  <c r="BA54" i="28" a="1"/>
  <c r="BB54" i="28" a="1"/>
  <c r="BC54" i="28" a="1"/>
  <c r="BD54" i="28" a="1"/>
  <c r="BE54" i="28" a="1"/>
  <c r="BF54" i="28" a="1"/>
  <c r="BG54" i="28" a="1"/>
  <c r="BH54" i="28" a="1"/>
  <c r="BI54" i="28" a="1"/>
  <c r="BJ54" i="28" a="1"/>
  <c r="BK54" i="28" a="1"/>
  <c r="BL54" i="28" a="1"/>
  <c r="BM54" i="28" a="1"/>
  <c r="BN54" i="28" a="1"/>
  <c r="BO54" i="28" a="1"/>
  <c r="BP54" i="28" a="1"/>
  <c r="G54" i="28"/>
  <c r="H54" i="28"/>
  <c r="I54" i="28"/>
  <c r="J54" i="28"/>
  <c r="K54" i="28"/>
  <c r="L54" i="28"/>
  <c r="M54" i="28"/>
  <c r="N54" i="28"/>
  <c r="O54" i="28"/>
  <c r="P54" i="28"/>
  <c r="Q54" i="28"/>
  <c r="R54" i="28"/>
  <c r="S54" i="28"/>
  <c r="T54" i="28"/>
  <c r="U54" i="28"/>
  <c r="V54" i="28"/>
  <c r="W54" i="28"/>
  <c r="X54" i="28"/>
  <c r="Y54" i="28"/>
  <c r="Z54" i="28"/>
  <c r="AA54" i="28"/>
  <c r="AB54" i="28"/>
  <c r="AC54" i="28"/>
  <c r="AD54" i="28"/>
  <c r="AE54" i="28"/>
  <c r="AF54" i="28"/>
  <c r="AG54" i="28"/>
  <c r="AH54" i="28"/>
  <c r="AI54" i="28"/>
  <c r="AJ54" i="28"/>
  <c r="AK54" i="28"/>
  <c r="AL54" i="28"/>
  <c r="AM54" i="28"/>
  <c r="AN54" i="28"/>
  <c r="AO54" i="28"/>
  <c r="AP54" i="28"/>
  <c r="AQ54" i="28"/>
  <c r="AR54" i="28"/>
  <c r="AS54" i="28"/>
  <c r="AT54" i="28"/>
  <c r="AU54" i="28"/>
  <c r="AV54" i="28"/>
  <c r="AW54" i="28"/>
  <c r="AX54" i="28"/>
  <c r="AY54" i="28"/>
  <c r="AZ54" i="28"/>
  <c r="BA54" i="28"/>
  <c r="BB54" i="28"/>
  <c r="BC54" i="28"/>
  <c r="BD54" i="28"/>
  <c r="BE54" i="28"/>
  <c r="BF54" i="28"/>
  <c r="BG54" i="28"/>
  <c r="BH54" i="28"/>
  <c r="BI54" i="28"/>
  <c r="BJ54" i="28"/>
  <c r="BK54" i="28"/>
  <c r="BL54" i="28"/>
  <c r="BM54" i="28"/>
  <c r="BN54" i="28"/>
  <c r="BO54" i="28"/>
  <c r="BP54" i="28"/>
  <c r="AC19" i="28"/>
  <c r="J19" i="28"/>
  <c r="I19" i="28"/>
  <c r="H19" i="28"/>
  <c r="G19" i="28"/>
  <c r="F19" i="28"/>
  <c r="E19" i="28"/>
  <c r="D19" i="28"/>
  <c r="J18" i="28"/>
  <c r="I18" i="28"/>
  <c r="H18" i="28"/>
  <c r="G18" i="28"/>
  <c r="F18" i="28"/>
  <c r="E18" i="28"/>
  <c r="D18" i="28"/>
  <c r="E52" i="28" a="1"/>
  <c r="E52" i="28"/>
  <c r="F52" i="28" a="1"/>
  <c r="F52" i="28"/>
  <c r="G52" i="28" a="1"/>
  <c r="H52" i="28" a="1"/>
  <c r="I52" i="28" a="1"/>
  <c r="J52" i="28" a="1"/>
  <c r="K52" i="28" a="1"/>
  <c r="L52" i="28" a="1"/>
  <c r="M52" i="28" a="1"/>
  <c r="N52" i="28" a="1"/>
  <c r="O52" i="28" a="1"/>
  <c r="P52" i="28" a="1"/>
  <c r="Q52" i="28" a="1"/>
  <c r="R52" i="28" a="1"/>
  <c r="S52" i="28" a="1"/>
  <c r="T52" i="28" a="1"/>
  <c r="U52" i="28" a="1"/>
  <c r="V52" i="28" a="1"/>
  <c r="W52" i="28" a="1"/>
  <c r="X52" i="28" a="1"/>
  <c r="Y52" i="28" a="1"/>
  <c r="Z52" i="28" a="1"/>
  <c r="AA52" i="28" a="1"/>
  <c r="AB52" i="28" a="1"/>
  <c r="AC52" i="28" a="1"/>
  <c r="AD52" i="28" a="1"/>
  <c r="AE52" i="28" a="1"/>
  <c r="AF52" i="28" a="1"/>
  <c r="AG52" i="28" a="1"/>
  <c r="AH52" i="28" a="1"/>
  <c r="AI52" i="28" a="1"/>
  <c r="AJ52" i="28" a="1"/>
  <c r="AK52" i="28" a="1"/>
  <c r="AL52" i="28" a="1"/>
  <c r="AM52" i="28" a="1"/>
  <c r="AN52" i="28" a="1"/>
  <c r="AO52" i="28" a="1"/>
  <c r="AP52" i="28" a="1"/>
  <c r="AQ52" i="28" a="1"/>
  <c r="AR52" i="28" a="1"/>
  <c r="AS52" i="28" a="1"/>
  <c r="AT52" i="28" a="1"/>
  <c r="AU52" i="28" a="1"/>
  <c r="AV52" i="28" a="1"/>
  <c r="AW52" i="28" a="1"/>
  <c r="AX52" i="28" a="1"/>
  <c r="AY52" i="28" a="1"/>
  <c r="AZ52" i="28" a="1"/>
  <c r="BA52" i="28" a="1"/>
  <c r="BB52" i="28" a="1"/>
  <c r="BC52" i="28" a="1"/>
  <c r="BD52" i="28" a="1"/>
  <c r="BE52" i="28" a="1"/>
  <c r="BF52" i="28" a="1"/>
  <c r="BG52" i="28" a="1"/>
  <c r="BH52" i="28" a="1"/>
  <c r="BI52" i="28" a="1"/>
  <c r="BJ52" i="28" a="1"/>
  <c r="BK52" i="28" a="1"/>
  <c r="BL52" i="28" a="1"/>
  <c r="BM52" i="28" a="1"/>
  <c r="BN52" i="28" a="1"/>
  <c r="BO52" i="28" a="1"/>
  <c r="BP52" i="28" a="1"/>
  <c r="G52" i="28"/>
  <c r="H52" i="28"/>
  <c r="I52" i="28"/>
  <c r="J52" i="28"/>
  <c r="K52" i="28"/>
  <c r="L52" i="28"/>
  <c r="M52" i="28"/>
  <c r="N52" i="28"/>
  <c r="O52" i="28"/>
  <c r="P52" i="28"/>
  <c r="Q52" i="28"/>
  <c r="R52" i="28"/>
  <c r="S52" i="28"/>
  <c r="T52" i="28"/>
  <c r="U52" i="28"/>
  <c r="V52" i="28"/>
  <c r="W52" i="28"/>
  <c r="X52" i="28"/>
  <c r="Y52" i="28"/>
  <c r="Z52" i="28"/>
  <c r="AA52" i="28"/>
  <c r="AB52" i="28"/>
  <c r="AC52" i="28"/>
  <c r="AD52" i="28"/>
  <c r="AE52" i="28"/>
  <c r="AF52" i="28"/>
  <c r="AG52" i="28"/>
  <c r="AH52" i="28"/>
  <c r="AI52" i="28"/>
  <c r="AJ52" i="28"/>
  <c r="AK52" i="28"/>
  <c r="AL52" i="28"/>
  <c r="AM52" i="28"/>
  <c r="AN52" i="28"/>
  <c r="AO52" i="28"/>
  <c r="AP52" i="28"/>
  <c r="AQ52" i="28"/>
  <c r="AR52" i="28"/>
  <c r="AS52" i="28"/>
  <c r="AT52" i="28"/>
  <c r="AU52" i="28"/>
  <c r="AV52" i="28"/>
  <c r="AW52" i="28"/>
  <c r="AX52" i="28"/>
  <c r="AY52" i="28"/>
  <c r="AZ52" i="28"/>
  <c r="BA52" i="28"/>
  <c r="BB52" i="28"/>
  <c r="BC52" i="28"/>
  <c r="BD52" i="28"/>
  <c r="BE52" i="28"/>
  <c r="BF52" i="28"/>
  <c r="BG52" i="28"/>
  <c r="BH52" i="28"/>
  <c r="BI52" i="28"/>
  <c r="BJ52" i="28"/>
  <c r="BK52" i="28"/>
  <c r="BL52" i="28"/>
  <c r="BM52" i="28"/>
  <c r="BN52" i="28"/>
  <c r="BO52" i="28"/>
  <c r="BP52" i="28"/>
  <c r="AC17" i="28"/>
  <c r="J17" i="28"/>
  <c r="I17" i="28"/>
  <c r="H17" i="28"/>
  <c r="G17" i="28"/>
  <c r="F17" i="28"/>
  <c r="E17" i="28"/>
  <c r="D17" i="28"/>
  <c r="F13" i="28"/>
  <c r="B13" i="28"/>
  <c r="Z12" i="26"/>
  <c r="AB12" i="26"/>
  <c r="AN12" i="26"/>
  <c r="AC12" i="26"/>
  <c r="AO12" i="26"/>
  <c r="X12" i="26"/>
  <c r="G15" i="26"/>
  <c r="G13" i="26"/>
  <c r="I13" i="26"/>
  <c r="Z13" i="26"/>
  <c r="AB13" i="26"/>
  <c r="AN13" i="26"/>
  <c r="AC13" i="26"/>
  <c r="AO13" i="26"/>
  <c r="X13" i="26"/>
  <c r="I15" i="26"/>
  <c r="Z15" i="26"/>
  <c r="AB15" i="26"/>
  <c r="AN15" i="26"/>
  <c r="AC15" i="26"/>
  <c r="AO15" i="26"/>
  <c r="W15" i="26"/>
  <c r="G24" i="26"/>
  <c r="W12" i="26"/>
  <c r="G16" i="26"/>
  <c r="W13" i="26"/>
  <c r="I16" i="26"/>
  <c r="Z16" i="26"/>
  <c r="AB16" i="26"/>
  <c r="AN16" i="26"/>
  <c r="AC16" i="26"/>
  <c r="AO16" i="26"/>
  <c r="W16" i="26"/>
  <c r="G22" i="26"/>
  <c r="G16" i="36"/>
  <c r="I16" i="36"/>
  <c r="Z16" i="36"/>
  <c r="AB16" i="36"/>
  <c r="AN16" i="36"/>
  <c r="AC16" i="36"/>
  <c r="AO16" i="36"/>
  <c r="W16" i="36"/>
  <c r="G42" i="36"/>
  <c r="G18" i="36"/>
  <c r="I18" i="36"/>
  <c r="Z18" i="36"/>
  <c r="AB18" i="36"/>
  <c r="AN18" i="36"/>
  <c r="AC18" i="36"/>
  <c r="AO18" i="36"/>
  <c r="X18" i="36"/>
  <c r="G24" i="36"/>
  <c r="G19" i="36"/>
  <c r="I19" i="36"/>
  <c r="Z19" i="36"/>
  <c r="AB19" i="36"/>
  <c r="AN19" i="36"/>
  <c r="AC19" i="36"/>
  <c r="AO19" i="36"/>
  <c r="X19" i="36"/>
  <c r="I24" i="36"/>
  <c r="Z24" i="36"/>
  <c r="AB24" i="36"/>
  <c r="AN24" i="36"/>
  <c r="AC24" i="36"/>
  <c r="AO24" i="36"/>
  <c r="W24" i="36"/>
  <c r="G40" i="36"/>
  <c r="W18" i="36"/>
  <c r="G25" i="36"/>
  <c r="W19" i="36"/>
  <c r="I25" i="36"/>
  <c r="Z25" i="36"/>
  <c r="AB25" i="36"/>
  <c r="AN25" i="36"/>
  <c r="AC25" i="36"/>
  <c r="AO25" i="36"/>
  <c r="W25" i="36"/>
  <c r="G38" i="36"/>
  <c r="G21" i="36"/>
  <c r="I21" i="36"/>
  <c r="Z21" i="36"/>
  <c r="AB21" i="36"/>
  <c r="AN21" i="36"/>
  <c r="AC21" i="36"/>
  <c r="AO21" i="36"/>
  <c r="X21" i="36"/>
  <c r="G27" i="36"/>
  <c r="G22" i="36"/>
  <c r="I22" i="36"/>
  <c r="Z22" i="36"/>
  <c r="AB22" i="36"/>
  <c r="AN22" i="36"/>
  <c r="AC22" i="36"/>
  <c r="AO22" i="36"/>
  <c r="X22" i="36"/>
  <c r="I27" i="36"/>
  <c r="Z27" i="36"/>
  <c r="AB27" i="36"/>
  <c r="AN27" i="36"/>
  <c r="AC27" i="36"/>
  <c r="AO27" i="36"/>
  <c r="W27" i="36"/>
  <c r="G36" i="36"/>
  <c r="W21" i="36"/>
  <c r="G28" i="36"/>
  <c r="W22" i="36"/>
  <c r="I28" i="36"/>
  <c r="Z28" i="36"/>
  <c r="AB28" i="36"/>
  <c r="AN28" i="36"/>
  <c r="AC28" i="36"/>
  <c r="AO28" i="36"/>
  <c r="W28" i="36"/>
  <c r="G34" i="36"/>
  <c r="W16" i="32"/>
  <c r="G38" i="32"/>
  <c r="W18" i="32"/>
  <c r="G34" i="32"/>
  <c r="X20" i="32"/>
  <c r="G23" i="32"/>
  <c r="X21" i="32"/>
  <c r="I23" i="32"/>
  <c r="Z23" i="32"/>
  <c r="AB23" i="32"/>
  <c r="AN23" i="32"/>
  <c r="AC23" i="32"/>
  <c r="AO23" i="32"/>
  <c r="X23" i="32"/>
  <c r="G33" i="32"/>
  <c r="W23" i="32"/>
  <c r="G32" i="32"/>
  <c r="W16" i="21"/>
  <c r="G34" i="21"/>
  <c r="W18" i="21"/>
  <c r="G30" i="21"/>
  <c r="W19" i="21"/>
  <c r="G28" i="21"/>
  <c r="BX12" i="35"/>
  <c r="BW12" i="35"/>
  <c r="BX13" i="35"/>
  <c r="BW13" i="35"/>
  <c r="CC13" i="35"/>
  <c r="CB13" i="35"/>
  <c r="BX14" i="35"/>
  <c r="BW14" i="35"/>
  <c r="BX17" i="35"/>
  <c r="BW17" i="35"/>
  <c r="BX18" i="35"/>
  <c r="BW18" i="35"/>
  <c r="CC20" i="35"/>
  <c r="CB20" i="35"/>
  <c r="BX29" i="35"/>
  <c r="BW29" i="35"/>
  <c r="CC29" i="35"/>
  <c r="CB29" i="35"/>
  <c r="BX30" i="35"/>
  <c r="BW30" i="35"/>
  <c r="BX33" i="35"/>
  <c r="BW33" i="35"/>
  <c r="CC36" i="35"/>
  <c r="CB36" i="35"/>
  <c r="BI29" i="35"/>
  <c r="BH29" i="35"/>
  <c r="BI17" i="35"/>
  <c r="BH17" i="35"/>
  <c r="BI16" i="35"/>
  <c r="BH16" i="35"/>
  <c r="BI14" i="35"/>
  <c r="BH14" i="35"/>
  <c r="BI13" i="35"/>
  <c r="BH13" i="35"/>
  <c r="BI12" i="35"/>
  <c r="BH12" i="35"/>
  <c r="Q64" i="34"/>
  <c r="F4" i="34"/>
  <c r="V64" i="34"/>
  <c r="AJ64" i="34"/>
  <c r="W64" i="34"/>
  <c r="AA64" i="34"/>
  <c r="V65" i="34"/>
  <c r="V66" i="34"/>
  <c r="V67" i="34"/>
  <c r="V68" i="34"/>
  <c r="V69" i="34"/>
  <c r="V70" i="34"/>
  <c r="V71" i="34"/>
  <c r="V72" i="34"/>
  <c r="V73" i="34"/>
  <c r="V74" i="34"/>
  <c r="V75" i="34"/>
  <c r="V76" i="34"/>
  <c r="V77" i="34"/>
  <c r="V78" i="34"/>
  <c r="V79" i="34"/>
  <c r="V80" i="34"/>
  <c r="V81" i="34"/>
  <c r="V82" i="34"/>
  <c r="V83" i="34"/>
  <c r="V84" i="34"/>
  <c r="V85" i="34"/>
  <c r="V86" i="34"/>
  <c r="V87" i="34"/>
  <c r="V88" i="34"/>
  <c r="AJ65" i="34"/>
  <c r="AJ66" i="34"/>
  <c r="AJ67" i="34"/>
  <c r="AJ68" i="34"/>
  <c r="AJ69" i="34"/>
  <c r="AJ70" i="34"/>
  <c r="AJ71" i="34"/>
  <c r="AJ72" i="34"/>
  <c r="AJ73" i="34"/>
  <c r="AJ74" i="34"/>
  <c r="AJ75" i="34"/>
  <c r="AJ76" i="34"/>
  <c r="AJ77" i="34"/>
  <c r="AJ78" i="34"/>
  <c r="AJ79" i="34"/>
  <c r="AJ80" i="34"/>
  <c r="AJ81" i="34"/>
  <c r="AJ82" i="34"/>
  <c r="AJ83" i="34"/>
  <c r="AJ84" i="34"/>
  <c r="AJ85" i="34"/>
  <c r="AJ86" i="34"/>
  <c r="AJ87" i="34"/>
  <c r="AJ88" i="34"/>
  <c r="W65" i="34"/>
  <c r="AA65" i="34"/>
  <c r="W66" i="34"/>
  <c r="AA66" i="34"/>
  <c r="W67" i="34"/>
  <c r="AA67" i="34"/>
  <c r="W68" i="34"/>
  <c r="AA68" i="34"/>
  <c r="W69" i="34"/>
  <c r="AA69" i="34"/>
  <c r="W70" i="34"/>
  <c r="AA70" i="34"/>
  <c r="W71" i="34"/>
  <c r="AA71" i="34"/>
  <c r="W72" i="34"/>
  <c r="AA72" i="34"/>
  <c r="W73" i="34"/>
  <c r="AA73" i="34"/>
  <c r="W74" i="34"/>
  <c r="AA74" i="34"/>
  <c r="W75" i="34"/>
  <c r="AA75" i="34"/>
  <c r="W76" i="34"/>
  <c r="AA76" i="34"/>
  <c r="W77" i="34"/>
  <c r="AA77" i="34"/>
  <c r="W78" i="34"/>
  <c r="AA78" i="34"/>
  <c r="W79" i="34"/>
  <c r="AA79" i="34"/>
  <c r="W80" i="34"/>
  <c r="AA80" i="34"/>
  <c r="W81" i="34"/>
  <c r="AA81" i="34"/>
  <c r="W82" i="34"/>
  <c r="AA82" i="34"/>
  <c r="W83" i="34"/>
  <c r="AA83" i="34"/>
  <c r="W84" i="34"/>
  <c r="AA84" i="34"/>
  <c r="W85" i="34"/>
  <c r="AA85" i="34"/>
  <c r="W86" i="34"/>
  <c r="AA86" i="34"/>
  <c r="W87" i="34"/>
  <c r="AA87" i="34"/>
  <c r="W88" i="34"/>
  <c r="AA88" i="34"/>
  <c r="AK64" i="34"/>
  <c r="AK65" i="34"/>
  <c r="AK66" i="34"/>
  <c r="AK67" i="34"/>
  <c r="AK68" i="34"/>
  <c r="AK69" i="34"/>
  <c r="AK70" i="34"/>
  <c r="AK71" i="34"/>
  <c r="AK72" i="34"/>
  <c r="AK73" i="34"/>
  <c r="AK74" i="34"/>
  <c r="AK75" i="34"/>
  <c r="AK76" i="34"/>
  <c r="AK77" i="34"/>
  <c r="AK78" i="34"/>
  <c r="AK79" i="34"/>
  <c r="AK80" i="34"/>
  <c r="AK81" i="34"/>
  <c r="AK82" i="34"/>
  <c r="AK83" i="34"/>
  <c r="AK84" i="34"/>
  <c r="AK85" i="34"/>
  <c r="AK86" i="34"/>
  <c r="AK87" i="34"/>
  <c r="AK88" i="34"/>
  <c r="K4" i="34"/>
  <c r="Q65" i="34"/>
  <c r="F5" i="34"/>
  <c r="K5" i="34"/>
  <c r="K6" i="34"/>
  <c r="K7" i="34"/>
  <c r="K8" i="34"/>
  <c r="K9" i="34"/>
  <c r="K10" i="34"/>
  <c r="K11" i="34"/>
  <c r="K12" i="34"/>
  <c r="K13" i="34"/>
  <c r="F13" i="34"/>
  <c r="I57" i="27"/>
  <c r="AB40" i="27"/>
  <c r="C4" i="33"/>
  <c r="AB36" i="27"/>
  <c r="I56" i="27"/>
  <c r="C5" i="33"/>
  <c r="C6" i="33"/>
  <c r="C7" i="33"/>
  <c r="AB33" i="27"/>
  <c r="I53" i="27"/>
  <c r="AA41" i="27"/>
  <c r="AA40" i="27"/>
  <c r="AF41" i="27"/>
  <c r="AE41" i="27"/>
  <c r="AD41" i="27"/>
  <c r="AC41" i="27"/>
  <c r="AF40" i="27"/>
  <c r="AE40" i="27"/>
  <c r="AD40" i="27"/>
  <c r="AC40" i="27"/>
  <c r="L7" i="34"/>
  <c r="M7" i="34"/>
  <c r="J7" i="34"/>
  <c r="K20" i="34"/>
  <c r="AT7" i="34"/>
  <c r="AS7" i="34"/>
  <c r="AU7" i="34"/>
  <c r="AH64" i="34"/>
  <c r="AH65" i="34"/>
  <c r="AH69" i="34"/>
  <c r="AH73" i="34"/>
  <c r="AH66" i="34"/>
  <c r="X67" i="34"/>
  <c r="AD67" i="34"/>
  <c r="AF67" i="34"/>
  <c r="AH67" i="34"/>
  <c r="X68" i="34"/>
  <c r="AD68" i="34"/>
  <c r="AF68" i="34"/>
  <c r="AH68" i="34"/>
  <c r="AH70" i="34"/>
  <c r="X71" i="34"/>
  <c r="AD71" i="34"/>
  <c r="AF71" i="34"/>
  <c r="AH71" i="34"/>
  <c r="X72" i="34"/>
  <c r="AD72" i="34"/>
  <c r="AF72" i="34"/>
  <c r="AH72" i="34"/>
  <c r="AH74" i="34"/>
  <c r="X75" i="34"/>
  <c r="AD75" i="34"/>
  <c r="AF75" i="34"/>
  <c r="AH75" i="34"/>
  <c r="X76" i="34"/>
  <c r="AD76" i="34"/>
  <c r="AF76" i="34"/>
  <c r="AH76" i="34"/>
  <c r="AH77" i="34"/>
  <c r="AH78" i="34"/>
  <c r="X79" i="34"/>
  <c r="AD79" i="34"/>
  <c r="AF79" i="34"/>
  <c r="AH79" i="34"/>
  <c r="X80" i="34"/>
  <c r="AD80" i="34"/>
  <c r="AF80" i="34"/>
  <c r="AH80" i="34"/>
  <c r="AH81" i="34"/>
  <c r="AH82" i="34"/>
  <c r="X83" i="34"/>
  <c r="AD83" i="34"/>
  <c r="AF83" i="34"/>
  <c r="AH83" i="34"/>
  <c r="X84" i="34"/>
  <c r="AD84" i="34"/>
  <c r="AF84" i="34"/>
  <c r="AH84" i="34"/>
  <c r="AH85" i="34"/>
  <c r="X86" i="34"/>
  <c r="AD86" i="34"/>
  <c r="AF86" i="34"/>
  <c r="AH86" i="34"/>
  <c r="X87" i="34"/>
  <c r="AD87" i="34"/>
  <c r="AF87" i="34"/>
  <c r="AH87" i="34"/>
  <c r="X88" i="34"/>
  <c r="AD88" i="34"/>
  <c r="AF88" i="34"/>
  <c r="AH88" i="34"/>
  <c r="AI64" i="34"/>
  <c r="AI65" i="34"/>
  <c r="AI66" i="34"/>
  <c r="Y67" i="34"/>
  <c r="AE67" i="34"/>
  <c r="AG67" i="34"/>
  <c r="AI67" i="34"/>
  <c r="Y68" i="34"/>
  <c r="AE68" i="34"/>
  <c r="AG68" i="34"/>
  <c r="AI68" i="34"/>
  <c r="AI69" i="34"/>
  <c r="AI70" i="34"/>
  <c r="Y71" i="34"/>
  <c r="AE71" i="34"/>
  <c r="AG71" i="34"/>
  <c r="AI71" i="34"/>
  <c r="Y72" i="34"/>
  <c r="AE72" i="34"/>
  <c r="AG72" i="34"/>
  <c r="AI72" i="34"/>
  <c r="AI73" i="34"/>
  <c r="AI74" i="34"/>
  <c r="Y75" i="34"/>
  <c r="AE75" i="34"/>
  <c r="AG75" i="34"/>
  <c r="AI75" i="34"/>
  <c r="Y76" i="34"/>
  <c r="AE76" i="34"/>
  <c r="AG76" i="34"/>
  <c r="AI76" i="34"/>
  <c r="AI77" i="34"/>
  <c r="AI78" i="34"/>
  <c r="Y79" i="34"/>
  <c r="AE79" i="34"/>
  <c r="AG79" i="34"/>
  <c r="AI79" i="34"/>
  <c r="Y80" i="34"/>
  <c r="AE80" i="34"/>
  <c r="AG80" i="34"/>
  <c r="AI80" i="34"/>
  <c r="AI81" i="34"/>
  <c r="AI82" i="34"/>
  <c r="Y83" i="34"/>
  <c r="AE83" i="34"/>
  <c r="AG83" i="34"/>
  <c r="AI83" i="34"/>
  <c r="Y84" i="34"/>
  <c r="AE84" i="34"/>
  <c r="AG84" i="34"/>
  <c r="AI84" i="34"/>
  <c r="AI85" i="34"/>
  <c r="Y86" i="34"/>
  <c r="AE86" i="34"/>
  <c r="AG86" i="34"/>
  <c r="AI86" i="34"/>
  <c r="Y87" i="34"/>
  <c r="AE87" i="34"/>
  <c r="AG87" i="34"/>
  <c r="AI87" i="34"/>
  <c r="Y88" i="34"/>
  <c r="AE88" i="34"/>
  <c r="AG88" i="34"/>
  <c r="AI88" i="34"/>
  <c r="G7" i="34"/>
  <c r="H7" i="34"/>
  <c r="I7" i="34"/>
  <c r="AW7" i="34"/>
  <c r="G4" i="34"/>
  <c r="H4" i="34"/>
  <c r="I4" i="34"/>
  <c r="AW4" i="34"/>
  <c r="G5" i="34"/>
  <c r="H5" i="34"/>
  <c r="I5" i="34"/>
  <c r="AW5" i="34"/>
  <c r="G6" i="34"/>
  <c r="H6" i="34"/>
  <c r="I6" i="34"/>
  <c r="AW6" i="34"/>
  <c r="G8" i="34"/>
  <c r="H8" i="34"/>
  <c r="I8" i="34"/>
  <c r="AW8" i="34"/>
  <c r="G9" i="34"/>
  <c r="H9" i="34"/>
  <c r="I9" i="34"/>
  <c r="AW9" i="34"/>
  <c r="G10" i="34"/>
  <c r="H10" i="34"/>
  <c r="I10" i="34"/>
  <c r="AW10" i="34"/>
  <c r="G11" i="34"/>
  <c r="H11" i="34"/>
  <c r="I11" i="34"/>
  <c r="AW11" i="34"/>
  <c r="G12" i="34"/>
  <c r="H12" i="34"/>
  <c r="I12" i="34"/>
  <c r="AW12" i="34"/>
  <c r="AX7" i="34"/>
  <c r="L20" i="34"/>
  <c r="L4" i="34"/>
  <c r="M4" i="34"/>
  <c r="J4" i="34"/>
  <c r="K17" i="34"/>
  <c r="AT4" i="34"/>
  <c r="AS4" i="34"/>
  <c r="AU4" i="34"/>
  <c r="AX4" i="34"/>
  <c r="L17" i="34"/>
  <c r="L5" i="34"/>
  <c r="M5" i="34"/>
  <c r="J5" i="34"/>
  <c r="K18" i="34"/>
  <c r="AT5" i="34"/>
  <c r="AS5" i="34"/>
  <c r="AU5" i="34"/>
  <c r="AX5" i="34"/>
  <c r="L18" i="34"/>
  <c r="L6" i="34"/>
  <c r="M6" i="34"/>
  <c r="J6" i="34"/>
  <c r="K19" i="34"/>
  <c r="AT6" i="34"/>
  <c r="AS6" i="34"/>
  <c r="AU6" i="34"/>
  <c r="AX6" i="34"/>
  <c r="L19" i="34"/>
  <c r="L8" i="34"/>
  <c r="M8" i="34"/>
  <c r="J8" i="34"/>
  <c r="K21" i="34"/>
  <c r="AT8" i="34"/>
  <c r="AS8" i="34"/>
  <c r="AU8" i="34"/>
  <c r="AX8" i="34"/>
  <c r="L21" i="34"/>
  <c r="L9" i="34"/>
  <c r="M9" i="34"/>
  <c r="J9" i="34"/>
  <c r="K22" i="34"/>
  <c r="AT9" i="34"/>
  <c r="AS9" i="34"/>
  <c r="AU9" i="34"/>
  <c r="AX9" i="34"/>
  <c r="L22" i="34"/>
  <c r="L10" i="34"/>
  <c r="M10" i="34"/>
  <c r="J10" i="34"/>
  <c r="K23" i="34"/>
  <c r="AT10" i="34"/>
  <c r="AS10" i="34"/>
  <c r="AU10" i="34"/>
  <c r="AX10" i="34"/>
  <c r="L23" i="34"/>
  <c r="L11" i="34"/>
  <c r="M11" i="34"/>
  <c r="J11" i="34"/>
  <c r="K24" i="34"/>
  <c r="AT11" i="34"/>
  <c r="AS11" i="34"/>
  <c r="AU11" i="34"/>
  <c r="AX11" i="34"/>
  <c r="L24" i="34"/>
  <c r="L12" i="34"/>
  <c r="M12" i="34"/>
  <c r="J12" i="34"/>
  <c r="K25" i="34"/>
  <c r="AT12" i="34"/>
  <c r="AS12" i="34"/>
  <c r="AU12" i="34"/>
  <c r="AX12" i="34"/>
  <c r="L25" i="34"/>
  <c r="M20" i="34"/>
  <c r="N20" i="34" a="1"/>
  <c r="N20" i="34"/>
  <c r="O20" i="34"/>
  <c r="M17" i="34"/>
  <c r="N17" i="34" a="1"/>
  <c r="N17" i="34"/>
  <c r="C17" i="34"/>
  <c r="O17" i="34"/>
  <c r="BR52" i="34"/>
  <c r="BS51" i="34"/>
  <c r="BT51" i="34"/>
  <c r="BT52" i="34"/>
  <c r="BU52" i="34"/>
  <c r="BV52" i="34"/>
  <c r="BW52" i="34"/>
  <c r="BX52" i="34"/>
  <c r="BY52" i="34"/>
  <c r="BZ52" i="34"/>
  <c r="CA52" i="34"/>
  <c r="BR53" i="34"/>
  <c r="BS53" i="34"/>
  <c r="BU53" i="34"/>
  <c r="BV53" i="34"/>
  <c r="BW53" i="34"/>
  <c r="BX53" i="34"/>
  <c r="BY53" i="34"/>
  <c r="BZ53" i="34"/>
  <c r="CA53" i="34"/>
  <c r="BS54" i="34"/>
  <c r="BT54" i="34"/>
  <c r="BV54" i="34"/>
  <c r="BW54" i="34"/>
  <c r="BX54" i="34"/>
  <c r="BY54" i="34"/>
  <c r="BZ54" i="34"/>
  <c r="CA54" i="34"/>
  <c r="BS55" i="34"/>
  <c r="BT55" i="34"/>
  <c r="BU55" i="34"/>
  <c r="BW55" i="34"/>
  <c r="BX55" i="34"/>
  <c r="BY55" i="34"/>
  <c r="BZ55" i="34"/>
  <c r="CA55" i="34"/>
  <c r="BS56" i="34"/>
  <c r="BT56" i="34"/>
  <c r="BU56" i="34"/>
  <c r="BV56" i="34"/>
  <c r="BX56" i="34"/>
  <c r="BY56" i="34"/>
  <c r="BZ56" i="34"/>
  <c r="CA56" i="34"/>
  <c r="BS57" i="34"/>
  <c r="BT57" i="34"/>
  <c r="BU57" i="34"/>
  <c r="BV57" i="34"/>
  <c r="BW57" i="34"/>
  <c r="BY57" i="34"/>
  <c r="BZ57" i="34"/>
  <c r="CA57" i="34"/>
  <c r="BS58" i="34"/>
  <c r="BT58" i="34"/>
  <c r="BU58" i="34"/>
  <c r="BV58" i="34"/>
  <c r="BW58" i="34"/>
  <c r="BX58" i="34"/>
  <c r="BZ58" i="34"/>
  <c r="CA58" i="34"/>
  <c r="BS59" i="34"/>
  <c r="BT59" i="34"/>
  <c r="BU59" i="34"/>
  <c r="BV59" i="34"/>
  <c r="BW59" i="34"/>
  <c r="BX59" i="34"/>
  <c r="BY59" i="34"/>
  <c r="CA59" i="34"/>
  <c r="BS60" i="34"/>
  <c r="BT60" i="34"/>
  <c r="BU60" i="34"/>
  <c r="BV60" i="34"/>
  <c r="BW60" i="34"/>
  <c r="BX60" i="34"/>
  <c r="BY60" i="34"/>
  <c r="BZ60" i="34"/>
  <c r="E33" i="34" a="1"/>
  <c r="E33" i="34"/>
  <c r="M18" i="34"/>
  <c r="N18" i="34" a="1"/>
  <c r="N18" i="34"/>
  <c r="C18" i="34"/>
  <c r="O18" i="34"/>
  <c r="F33" i="34" a="1"/>
  <c r="F33" i="34"/>
  <c r="M19" i="34"/>
  <c r="N19" i="34" a="1"/>
  <c r="N19" i="34"/>
  <c r="O19" i="34"/>
  <c r="G33" i="34" a="1"/>
  <c r="M21" i="34"/>
  <c r="N21" i="34" a="1"/>
  <c r="N21" i="34"/>
  <c r="O21" i="34"/>
  <c r="H33" i="34" a="1"/>
  <c r="M22" i="34"/>
  <c r="N22" i="34" a="1"/>
  <c r="N22" i="34"/>
  <c r="O22" i="34"/>
  <c r="I33" i="34" a="1"/>
  <c r="M23" i="34"/>
  <c r="N23" i="34" a="1"/>
  <c r="N23" i="34"/>
  <c r="O23" i="34"/>
  <c r="J33" i="34" a="1"/>
  <c r="M24" i="34"/>
  <c r="N24" i="34" a="1"/>
  <c r="N24" i="34"/>
  <c r="O24" i="34"/>
  <c r="K33" i="34" a="1"/>
  <c r="M25" i="34"/>
  <c r="N25" i="34" a="1"/>
  <c r="N25" i="34"/>
  <c r="O25" i="34"/>
  <c r="L33" i="34" a="1"/>
  <c r="P20" i="34"/>
  <c r="P17" i="34"/>
  <c r="M33" i="34" a="1"/>
  <c r="P18" i="34"/>
  <c r="N33" i="34" a="1"/>
  <c r="P19" i="34"/>
  <c r="O33" i="34" a="1"/>
  <c r="P21" i="34"/>
  <c r="P33" i="34" a="1"/>
  <c r="P22" i="34"/>
  <c r="Q33" i="34" a="1"/>
  <c r="P23" i="34"/>
  <c r="R33" i="34" a="1"/>
  <c r="P24" i="34"/>
  <c r="S33" i="34" a="1"/>
  <c r="P25" i="34"/>
  <c r="T33" i="34" a="1"/>
  <c r="Q20" i="34"/>
  <c r="Q17" i="34"/>
  <c r="U33" i="34" a="1"/>
  <c r="Q18" i="34"/>
  <c r="V33" i="34" a="1"/>
  <c r="Q19" i="34"/>
  <c r="W33" i="34" a="1"/>
  <c r="Q21" i="34"/>
  <c r="X33" i="34" a="1"/>
  <c r="Q22" i="34"/>
  <c r="Y33" i="34" a="1"/>
  <c r="Q23" i="34"/>
  <c r="Z33" i="34" a="1"/>
  <c r="Q24" i="34"/>
  <c r="AA33" i="34" a="1"/>
  <c r="Q25" i="34"/>
  <c r="AB33" i="34" a="1"/>
  <c r="R20" i="34"/>
  <c r="R17" i="34"/>
  <c r="AC33" i="34" a="1"/>
  <c r="R18" i="34"/>
  <c r="AD33" i="34" a="1"/>
  <c r="R19" i="34"/>
  <c r="AE33" i="34" a="1"/>
  <c r="R21" i="34"/>
  <c r="AF33" i="34" a="1"/>
  <c r="R22" i="34"/>
  <c r="AG33" i="34" a="1"/>
  <c r="R23" i="34"/>
  <c r="AH33" i="34" a="1"/>
  <c r="R24" i="34"/>
  <c r="AI33" i="34" a="1"/>
  <c r="R25" i="34"/>
  <c r="AJ33" i="34" a="1"/>
  <c r="S20" i="34"/>
  <c r="S17" i="34"/>
  <c r="AK33" i="34" a="1"/>
  <c r="S18" i="34"/>
  <c r="AL33" i="34" a="1"/>
  <c r="S19" i="34"/>
  <c r="AM33" i="34" a="1"/>
  <c r="S21" i="34"/>
  <c r="AN33" i="34" a="1"/>
  <c r="S22" i="34"/>
  <c r="AO33" i="34" a="1"/>
  <c r="S23" i="34"/>
  <c r="AP33" i="34" a="1"/>
  <c r="S24" i="34"/>
  <c r="AQ33" i="34" a="1"/>
  <c r="S25" i="34"/>
  <c r="AR33" i="34" a="1"/>
  <c r="T20" i="34"/>
  <c r="T17" i="34"/>
  <c r="AS33" i="34" a="1"/>
  <c r="T18" i="34"/>
  <c r="AT33" i="34" a="1"/>
  <c r="T19" i="34"/>
  <c r="AU33" i="34" a="1"/>
  <c r="T21" i="34"/>
  <c r="AV33" i="34" a="1"/>
  <c r="T22" i="34"/>
  <c r="AW33" i="34" a="1"/>
  <c r="T23" i="34"/>
  <c r="AX33" i="34" a="1"/>
  <c r="T24" i="34"/>
  <c r="AY33" i="34" a="1"/>
  <c r="T25" i="34"/>
  <c r="AZ33" i="34" a="1"/>
  <c r="U20" i="34"/>
  <c r="U17" i="34"/>
  <c r="BA33" i="34" a="1"/>
  <c r="U18" i="34"/>
  <c r="BB33" i="34" a="1"/>
  <c r="U19" i="34"/>
  <c r="BC33" i="34" a="1"/>
  <c r="U21" i="34"/>
  <c r="BD33" i="34" a="1"/>
  <c r="U22" i="34"/>
  <c r="BE33" i="34" a="1"/>
  <c r="U23" i="34"/>
  <c r="BF33" i="34" a="1"/>
  <c r="U24" i="34"/>
  <c r="BG33" i="34" a="1"/>
  <c r="U25" i="34"/>
  <c r="BH33" i="34" a="1"/>
  <c r="V20" i="34"/>
  <c r="V17" i="34"/>
  <c r="BI33" i="34" a="1"/>
  <c r="V18" i="34"/>
  <c r="BJ33" i="34" a="1"/>
  <c r="V19" i="34"/>
  <c r="BK33" i="34" a="1"/>
  <c r="V21" i="34"/>
  <c r="BL33" i="34" a="1"/>
  <c r="V22" i="34"/>
  <c r="BM33" i="34" a="1"/>
  <c r="V23" i="34"/>
  <c r="BN33" i="34" a="1"/>
  <c r="V24" i="34"/>
  <c r="BO33" i="34" a="1"/>
  <c r="V25" i="34"/>
  <c r="BP33" i="34" a="1"/>
  <c r="G33" i="34"/>
  <c r="H33" i="34"/>
  <c r="I33" i="34"/>
  <c r="J33" i="34"/>
  <c r="K33" i="34"/>
  <c r="L33" i="34"/>
  <c r="M33" i="34"/>
  <c r="N33" i="34"/>
  <c r="O33" i="34"/>
  <c r="P33" i="34"/>
  <c r="Q33" i="34"/>
  <c r="R33" i="34"/>
  <c r="S33" i="34"/>
  <c r="T33" i="34"/>
  <c r="U33" i="34"/>
  <c r="V33" i="34"/>
  <c r="W33" i="34"/>
  <c r="X33" i="34"/>
  <c r="Y33" i="34"/>
  <c r="Z33" i="34"/>
  <c r="AA33" i="34"/>
  <c r="AB33" i="34"/>
  <c r="AC33" i="34"/>
  <c r="AD33" i="34"/>
  <c r="AE33" i="34"/>
  <c r="AF33" i="34"/>
  <c r="AG33" i="34"/>
  <c r="AH33" i="34"/>
  <c r="AI33" i="34"/>
  <c r="AJ33" i="34"/>
  <c r="AK33" i="34"/>
  <c r="AL33" i="34"/>
  <c r="AM33" i="34"/>
  <c r="AN33" i="34"/>
  <c r="AO33" i="34"/>
  <c r="AP33" i="34"/>
  <c r="AQ33" i="34"/>
  <c r="AR33" i="34"/>
  <c r="AS33" i="34"/>
  <c r="AT33" i="34"/>
  <c r="AU33" i="34"/>
  <c r="AV33" i="34"/>
  <c r="AW33" i="34"/>
  <c r="AX33" i="34"/>
  <c r="AY33" i="34"/>
  <c r="AZ33" i="34"/>
  <c r="BA33" i="34"/>
  <c r="BB33" i="34"/>
  <c r="BC33" i="34"/>
  <c r="BD33" i="34"/>
  <c r="BE33" i="34"/>
  <c r="BF33" i="34"/>
  <c r="BG33" i="34"/>
  <c r="BH33" i="34"/>
  <c r="BI33" i="34"/>
  <c r="BJ33" i="34"/>
  <c r="BK33" i="34"/>
  <c r="BL33" i="34"/>
  <c r="BM33" i="34"/>
  <c r="BN33" i="34"/>
  <c r="BO33" i="34"/>
  <c r="BP33" i="34"/>
  <c r="AA20" i="34"/>
  <c r="BR41" i="34"/>
  <c r="BS40" i="34"/>
  <c r="BT40" i="34"/>
  <c r="BR30" i="34"/>
  <c r="BT29" i="34"/>
  <c r="BT30" i="34"/>
  <c r="BR31" i="34"/>
  <c r="BS29" i="34"/>
  <c r="BS31" i="34"/>
  <c r="BT41" i="34"/>
  <c r="BU30" i="34"/>
  <c r="BS32" i="34"/>
  <c r="BU41" i="34"/>
  <c r="BV30" i="34"/>
  <c r="BS33" i="34"/>
  <c r="BV41" i="34"/>
  <c r="BW30" i="34"/>
  <c r="BS34" i="34"/>
  <c r="BW41" i="34"/>
  <c r="BX30" i="34"/>
  <c r="BS35" i="34"/>
  <c r="BX41" i="34"/>
  <c r="BY30" i="34"/>
  <c r="BS36" i="34"/>
  <c r="BY41" i="34"/>
  <c r="BZ30" i="34"/>
  <c r="BS37" i="34"/>
  <c r="BZ41" i="34"/>
  <c r="CA30" i="34"/>
  <c r="BS38" i="34"/>
  <c r="CA41" i="34"/>
  <c r="BR42" i="34"/>
  <c r="BS42" i="34"/>
  <c r="BU31" i="34"/>
  <c r="BT32" i="34"/>
  <c r="BU42" i="34"/>
  <c r="BV31" i="34"/>
  <c r="BT33" i="34"/>
  <c r="BV42" i="34"/>
  <c r="BW31" i="34"/>
  <c r="BT34" i="34"/>
  <c r="BW42" i="34"/>
  <c r="BX31" i="34"/>
  <c r="BT35" i="34"/>
  <c r="BX42" i="34"/>
  <c r="BY31" i="34"/>
  <c r="BT36" i="34"/>
  <c r="BY42" i="34"/>
  <c r="BZ31" i="34"/>
  <c r="BT37" i="34"/>
  <c r="BZ42" i="34"/>
  <c r="CA31" i="34"/>
  <c r="BT38" i="34"/>
  <c r="CA42" i="34"/>
  <c r="BS43" i="34"/>
  <c r="BT43" i="34"/>
  <c r="BV32" i="34"/>
  <c r="BU33" i="34"/>
  <c r="BV43" i="34"/>
  <c r="BW32" i="34"/>
  <c r="BU34" i="34"/>
  <c r="BW43" i="34"/>
  <c r="BX32" i="34"/>
  <c r="BU35" i="34"/>
  <c r="BX43" i="34"/>
  <c r="BY32" i="34"/>
  <c r="BU36" i="34"/>
  <c r="BY43" i="34"/>
  <c r="BZ32" i="34"/>
  <c r="BU37" i="34"/>
  <c r="BZ43" i="34"/>
  <c r="CA32" i="34"/>
  <c r="BU38" i="34"/>
  <c r="CA43" i="34"/>
  <c r="BS44" i="34"/>
  <c r="BT44" i="34"/>
  <c r="BU44" i="34"/>
  <c r="BW33" i="34"/>
  <c r="BV34" i="34"/>
  <c r="BW44" i="34"/>
  <c r="BX33" i="34"/>
  <c r="BV35" i="34"/>
  <c r="BX44" i="34"/>
  <c r="BY33" i="34"/>
  <c r="BV36" i="34"/>
  <c r="BY44" i="34"/>
  <c r="BZ33" i="34"/>
  <c r="BV37" i="34"/>
  <c r="BZ44" i="34"/>
  <c r="CA33" i="34"/>
  <c r="BV38" i="34"/>
  <c r="CA44" i="34"/>
  <c r="BS45" i="34"/>
  <c r="BT45" i="34"/>
  <c r="BU45" i="34"/>
  <c r="BV45" i="34"/>
  <c r="BX34" i="34"/>
  <c r="BW35" i="34"/>
  <c r="BX45" i="34"/>
  <c r="BY34" i="34"/>
  <c r="BW36" i="34"/>
  <c r="BY45" i="34"/>
  <c r="BZ34" i="34"/>
  <c r="BW37" i="34"/>
  <c r="BZ45" i="34"/>
  <c r="CA34" i="34"/>
  <c r="BW38" i="34"/>
  <c r="CA45" i="34"/>
  <c r="BS46" i="34"/>
  <c r="BT46" i="34"/>
  <c r="BU46" i="34"/>
  <c r="BV46" i="34"/>
  <c r="BW46" i="34"/>
  <c r="BY35" i="34"/>
  <c r="BX36" i="34"/>
  <c r="BY46" i="34"/>
  <c r="BZ35" i="34"/>
  <c r="BX37" i="34"/>
  <c r="BZ46" i="34"/>
  <c r="CA35" i="34"/>
  <c r="BX38" i="34"/>
  <c r="CA46" i="34"/>
  <c r="BS47" i="34"/>
  <c r="BT47" i="34"/>
  <c r="BU47" i="34"/>
  <c r="BV47" i="34"/>
  <c r="BW47" i="34"/>
  <c r="BX47" i="34"/>
  <c r="BZ36" i="34"/>
  <c r="BY37" i="34"/>
  <c r="BZ47" i="34"/>
  <c r="CA36" i="34"/>
  <c r="BY38" i="34"/>
  <c r="CA47" i="34"/>
  <c r="BS48" i="34"/>
  <c r="BT48" i="34"/>
  <c r="BU48" i="34"/>
  <c r="BV48" i="34"/>
  <c r="BW48" i="34"/>
  <c r="BX48" i="34"/>
  <c r="BY48" i="34"/>
  <c r="CA37" i="34"/>
  <c r="BZ38" i="34"/>
  <c r="CA48" i="34"/>
  <c r="BS49" i="34"/>
  <c r="BT49" i="34"/>
  <c r="BU49" i="34"/>
  <c r="BV49" i="34"/>
  <c r="BW49" i="34"/>
  <c r="BX49" i="34"/>
  <c r="BY49" i="34"/>
  <c r="BZ49" i="34"/>
  <c r="E44" i="34" a="1"/>
  <c r="E44" i="34"/>
  <c r="F44" i="34" a="1"/>
  <c r="F44" i="34"/>
  <c r="G44" i="34" a="1"/>
  <c r="H44" i="34" a="1"/>
  <c r="I44" i="34" a="1"/>
  <c r="J44" i="34" a="1"/>
  <c r="K44" i="34" a="1"/>
  <c r="L44" i="34" a="1"/>
  <c r="M44" i="34" a="1"/>
  <c r="N44" i="34" a="1"/>
  <c r="O44" i="34" a="1"/>
  <c r="P44" i="34" a="1"/>
  <c r="Q44" i="34" a="1"/>
  <c r="R44" i="34" a="1"/>
  <c r="S44" i="34" a="1"/>
  <c r="T44" i="34" a="1"/>
  <c r="U44" i="34" a="1"/>
  <c r="V44" i="34" a="1"/>
  <c r="W44" i="34" a="1"/>
  <c r="X44" i="34" a="1"/>
  <c r="Y44" i="34" a="1"/>
  <c r="Z44" i="34" a="1"/>
  <c r="AA44" i="34" a="1"/>
  <c r="AB44" i="34" a="1"/>
  <c r="AC44" i="34" a="1"/>
  <c r="AD44" i="34" a="1"/>
  <c r="AE44" i="34" a="1"/>
  <c r="AF44" i="34" a="1"/>
  <c r="AG44" i="34" a="1"/>
  <c r="AH44" i="34" a="1"/>
  <c r="AI44" i="34" a="1"/>
  <c r="AJ44" i="34" a="1"/>
  <c r="AK44" i="34" a="1"/>
  <c r="AL44" i="34" a="1"/>
  <c r="AM44" i="34" a="1"/>
  <c r="AN44" i="34" a="1"/>
  <c r="AO44" i="34" a="1"/>
  <c r="AP44" i="34" a="1"/>
  <c r="AQ44" i="34" a="1"/>
  <c r="AR44" i="34" a="1"/>
  <c r="AS44" i="34" a="1"/>
  <c r="AT44" i="34" a="1"/>
  <c r="AU44" i="34" a="1"/>
  <c r="AV44" i="34" a="1"/>
  <c r="AW44" i="34" a="1"/>
  <c r="AX44" i="34" a="1"/>
  <c r="AY44" i="34" a="1"/>
  <c r="AZ44" i="34" a="1"/>
  <c r="BA44" i="34" a="1"/>
  <c r="BB44" i="34" a="1"/>
  <c r="BC44" i="34" a="1"/>
  <c r="BD44" i="34" a="1"/>
  <c r="BE44" i="34" a="1"/>
  <c r="BF44" i="34" a="1"/>
  <c r="BG44" i="34" a="1"/>
  <c r="BH44" i="34" a="1"/>
  <c r="BI44" i="34" a="1"/>
  <c r="BJ44" i="34" a="1"/>
  <c r="BK44" i="34" a="1"/>
  <c r="BL44" i="34" a="1"/>
  <c r="BM44" i="34" a="1"/>
  <c r="BN44" i="34" a="1"/>
  <c r="BO44" i="34" a="1"/>
  <c r="BP44" i="34" a="1"/>
  <c r="G44" i="34"/>
  <c r="H44" i="34"/>
  <c r="I44" i="34"/>
  <c r="J44" i="34"/>
  <c r="K44" i="34"/>
  <c r="L44" i="34"/>
  <c r="M44" i="34"/>
  <c r="N44" i="34"/>
  <c r="O44" i="34"/>
  <c r="P44" i="34"/>
  <c r="Q44" i="34"/>
  <c r="R44" i="34"/>
  <c r="S44" i="34"/>
  <c r="T44" i="34"/>
  <c r="U44" i="34"/>
  <c r="V44" i="34"/>
  <c r="W44" i="34"/>
  <c r="X44" i="34"/>
  <c r="Y44" i="34"/>
  <c r="Z44" i="34"/>
  <c r="AA44" i="34"/>
  <c r="AB44" i="34"/>
  <c r="AC44" i="34"/>
  <c r="AD44" i="34"/>
  <c r="AE44" i="34"/>
  <c r="AF44" i="34"/>
  <c r="AG44" i="34"/>
  <c r="AH44" i="34"/>
  <c r="AI44" i="34"/>
  <c r="AJ44" i="34"/>
  <c r="AK44" i="34"/>
  <c r="AL44" i="34"/>
  <c r="AM44" i="34"/>
  <c r="AN44" i="34"/>
  <c r="AO44" i="34"/>
  <c r="AP44" i="34"/>
  <c r="AQ44" i="34"/>
  <c r="AR44" i="34"/>
  <c r="AS44" i="34"/>
  <c r="AT44" i="34"/>
  <c r="AU44" i="34"/>
  <c r="AV44" i="34"/>
  <c r="AW44" i="34"/>
  <c r="AX44" i="34"/>
  <c r="AY44" i="34"/>
  <c r="AZ44" i="34"/>
  <c r="BA44" i="34"/>
  <c r="BB44" i="34"/>
  <c r="BC44" i="34"/>
  <c r="BD44" i="34"/>
  <c r="BE44" i="34"/>
  <c r="BF44" i="34"/>
  <c r="BG44" i="34"/>
  <c r="BH44" i="34"/>
  <c r="BI44" i="34"/>
  <c r="BJ44" i="34"/>
  <c r="BK44" i="34"/>
  <c r="BL44" i="34"/>
  <c r="BM44" i="34"/>
  <c r="BN44" i="34"/>
  <c r="BO44" i="34"/>
  <c r="BP44" i="34"/>
  <c r="AB20" i="34"/>
  <c r="W20" i="34"/>
  <c r="E30" i="34" a="1"/>
  <c r="E30" i="34"/>
  <c r="F30" i="34" a="1"/>
  <c r="F30" i="34"/>
  <c r="G30" i="34" a="1"/>
  <c r="H30" i="34" a="1"/>
  <c r="I30" i="34" a="1"/>
  <c r="J30" i="34" a="1"/>
  <c r="K30" i="34" a="1"/>
  <c r="L30" i="34" a="1"/>
  <c r="M30" i="34" a="1"/>
  <c r="N30" i="34" a="1"/>
  <c r="O30" i="34" a="1"/>
  <c r="P30" i="34" a="1"/>
  <c r="Q30" i="34" a="1"/>
  <c r="R30" i="34" a="1"/>
  <c r="S30" i="34" a="1"/>
  <c r="T30" i="34" a="1"/>
  <c r="U30" i="34" a="1"/>
  <c r="V30" i="34" a="1"/>
  <c r="W30" i="34" a="1"/>
  <c r="X30" i="34" a="1"/>
  <c r="Y30" i="34" a="1"/>
  <c r="Z30" i="34" a="1"/>
  <c r="AA30" i="34" a="1"/>
  <c r="AB30" i="34" a="1"/>
  <c r="AC30" i="34" a="1"/>
  <c r="AD30" i="34" a="1"/>
  <c r="AE30" i="34" a="1"/>
  <c r="AF30" i="34" a="1"/>
  <c r="AG30" i="34" a="1"/>
  <c r="AH30" i="34" a="1"/>
  <c r="AI30" i="34" a="1"/>
  <c r="AJ30" i="34" a="1"/>
  <c r="AK30" i="34" a="1"/>
  <c r="AL30" i="34" a="1"/>
  <c r="AM30" i="34" a="1"/>
  <c r="AN30" i="34" a="1"/>
  <c r="AO30" i="34" a="1"/>
  <c r="AP30" i="34" a="1"/>
  <c r="AQ30" i="34" a="1"/>
  <c r="AR30" i="34" a="1"/>
  <c r="AS30" i="34" a="1"/>
  <c r="AT30" i="34" a="1"/>
  <c r="AU30" i="34" a="1"/>
  <c r="AV30" i="34" a="1"/>
  <c r="AW30" i="34" a="1"/>
  <c r="AX30" i="34" a="1"/>
  <c r="AY30" i="34" a="1"/>
  <c r="AZ30" i="34" a="1"/>
  <c r="BA30" i="34" a="1"/>
  <c r="BB30" i="34" a="1"/>
  <c r="BC30" i="34" a="1"/>
  <c r="BD30" i="34" a="1"/>
  <c r="BE30" i="34" a="1"/>
  <c r="BF30" i="34" a="1"/>
  <c r="BG30" i="34" a="1"/>
  <c r="BH30" i="34" a="1"/>
  <c r="BI30" i="34" a="1"/>
  <c r="BJ30" i="34" a="1"/>
  <c r="BK30" i="34" a="1"/>
  <c r="BL30" i="34" a="1"/>
  <c r="BM30" i="34" a="1"/>
  <c r="BN30" i="34" a="1"/>
  <c r="BO30" i="34" a="1"/>
  <c r="BP30" i="34" a="1"/>
  <c r="G30" i="34"/>
  <c r="H30" i="34"/>
  <c r="I30" i="34"/>
  <c r="J30" i="34"/>
  <c r="K30" i="34"/>
  <c r="L30" i="34"/>
  <c r="M30" i="34"/>
  <c r="N30" i="34"/>
  <c r="O30" i="34"/>
  <c r="P30" i="34"/>
  <c r="Q30" i="34"/>
  <c r="R30" i="34"/>
  <c r="S30" i="34"/>
  <c r="T30" i="34"/>
  <c r="U30" i="34"/>
  <c r="V30" i="34"/>
  <c r="W30" i="34"/>
  <c r="X30" i="34"/>
  <c r="Y30" i="34"/>
  <c r="Z30" i="34"/>
  <c r="AA30" i="34"/>
  <c r="AB30" i="34"/>
  <c r="AC30" i="34"/>
  <c r="AD30" i="34"/>
  <c r="AE30" i="34"/>
  <c r="AF30" i="34"/>
  <c r="AG30" i="34"/>
  <c r="AH30" i="34"/>
  <c r="AI30" i="34"/>
  <c r="AJ30" i="34"/>
  <c r="AK30" i="34"/>
  <c r="AL30" i="34"/>
  <c r="AM30" i="34"/>
  <c r="AN30" i="34"/>
  <c r="AO30" i="34"/>
  <c r="AP30" i="34"/>
  <c r="AQ30" i="34"/>
  <c r="AR30" i="34"/>
  <c r="AS30" i="34"/>
  <c r="AT30" i="34"/>
  <c r="AU30" i="34"/>
  <c r="AV30" i="34"/>
  <c r="AW30" i="34"/>
  <c r="AX30" i="34"/>
  <c r="AY30" i="34"/>
  <c r="AZ30" i="34"/>
  <c r="BA30" i="34"/>
  <c r="BB30" i="34"/>
  <c r="BC30" i="34"/>
  <c r="BD30" i="34"/>
  <c r="BE30" i="34"/>
  <c r="BF30" i="34"/>
  <c r="BG30" i="34"/>
  <c r="BH30" i="34"/>
  <c r="BI30" i="34"/>
  <c r="BJ30" i="34"/>
  <c r="BK30" i="34"/>
  <c r="BL30" i="34"/>
  <c r="BM30" i="34"/>
  <c r="BN30" i="34"/>
  <c r="BO30" i="34"/>
  <c r="BP30" i="34"/>
  <c r="AA17" i="34"/>
  <c r="E41" i="34" a="1"/>
  <c r="E41" i="34"/>
  <c r="F41" i="34" a="1"/>
  <c r="F41" i="34"/>
  <c r="G41" i="34" a="1"/>
  <c r="H41" i="34" a="1"/>
  <c r="I41" i="34" a="1"/>
  <c r="J41" i="34" a="1"/>
  <c r="K41" i="34" a="1"/>
  <c r="L41" i="34" a="1"/>
  <c r="M41" i="34" a="1"/>
  <c r="N41" i="34" a="1"/>
  <c r="O41" i="34" a="1"/>
  <c r="P41" i="34" a="1"/>
  <c r="Q41" i="34" a="1"/>
  <c r="R41" i="34" a="1"/>
  <c r="S41" i="34" a="1"/>
  <c r="T41" i="34" a="1"/>
  <c r="U41" i="34" a="1"/>
  <c r="V41" i="34" a="1"/>
  <c r="W41" i="34" a="1"/>
  <c r="X41" i="34" a="1"/>
  <c r="Y41" i="34" a="1"/>
  <c r="Z41" i="34" a="1"/>
  <c r="AA41" i="34" a="1"/>
  <c r="AB41" i="34" a="1"/>
  <c r="AC41" i="34" a="1"/>
  <c r="AD41" i="34" a="1"/>
  <c r="AE41" i="34" a="1"/>
  <c r="AF41" i="34" a="1"/>
  <c r="AG41" i="34" a="1"/>
  <c r="AH41" i="34" a="1"/>
  <c r="AI41" i="34" a="1"/>
  <c r="AJ41" i="34" a="1"/>
  <c r="AK41" i="34" a="1"/>
  <c r="AL41" i="34" a="1"/>
  <c r="AM41" i="34" a="1"/>
  <c r="AN41" i="34" a="1"/>
  <c r="AO41" i="34" a="1"/>
  <c r="AP41" i="34" a="1"/>
  <c r="AQ41" i="34" a="1"/>
  <c r="AR41" i="34" a="1"/>
  <c r="AS41" i="34" a="1"/>
  <c r="AT41" i="34" a="1"/>
  <c r="AU41" i="34" a="1"/>
  <c r="AV41" i="34" a="1"/>
  <c r="AW41" i="34" a="1"/>
  <c r="AX41" i="34" a="1"/>
  <c r="AY41" i="34" a="1"/>
  <c r="AZ41" i="34" a="1"/>
  <c r="BA41" i="34" a="1"/>
  <c r="BB41" i="34" a="1"/>
  <c r="BC41" i="34" a="1"/>
  <c r="BD41" i="34" a="1"/>
  <c r="BE41" i="34" a="1"/>
  <c r="BF41" i="34" a="1"/>
  <c r="BG41" i="34" a="1"/>
  <c r="BH41" i="34" a="1"/>
  <c r="BI41" i="34" a="1"/>
  <c r="BJ41" i="34" a="1"/>
  <c r="BK41" i="34" a="1"/>
  <c r="BL41" i="34" a="1"/>
  <c r="BM41" i="34" a="1"/>
  <c r="BN41" i="34" a="1"/>
  <c r="BO41" i="34" a="1"/>
  <c r="BP41" i="34" a="1"/>
  <c r="G41" i="34"/>
  <c r="H41" i="34"/>
  <c r="I41" i="34"/>
  <c r="J41" i="34"/>
  <c r="K41" i="34"/>
  <c r="L41" i="34"/>
  <c r="M41" i="34"/>
  <c r="N41" i="34"/>
  <c r="O41" i="34"/>
  <c r="P41" i="34"/>
  <c r="Q41" i="34"/>
  <c r="R41" i="34"/>
  <c r="S41" i="34"/>
  <c r="T41" i="34"/>
  <c r="U41" i="34"/>
  <c r="V41" i="34"/>
  <c r="W41" i="34"/>
  <c r="X41" i="34"/>
  <c r="Y41" i="34"/>
  <c r="Z41" i="34"/>
  <c r="AA41" i="34"/>
  <c r="AB41" i="34"/>
  <c r="AC41" i="34"/>
  <c r="AD41" i="34"/>
  <c r="AE41" i="34"/>
  <c r="AF41" i="34"/>
  <c r="AG41" i="34"/>
  <c r="AH41" i="34"/>
  <c r="AI41" i="34"/>
  <c r="AJ41" i="34"/>
  <c r="AK41" i="34"/>
  <c r="AL41" i="34"/>
  <c r="AM41" i="34"/>
  <c r="AN41" i="34"/>
  <c r="AO41" i="34"/>
  <c r="AP41" i="34"/>
  <c r="AQ41" i="34"/>
  <c r="AR41" i="34"/>
  <c r="AS41" i="34"/>
  <c r="AT41" i="34"/>
  <c r="AU41" i="34"/>
  <c r="AV41" i="34"/>
  <c r="AW41" i="34"/>
  <c r="AX41" i="34"/>
  <c r="AY41" i="34"/>
  <c r="AZ41" i="34"/>
  <c r="BA41" i="34"/>
  <c r="BB41" i="34"/>
  <c r="BC41" i="34"/>
  <c r="BD41" i="34"/>
  <c r="BE41" i="34"/>
  <c r="BF41" i="34"/>
  <c r="BG41" i="34"/>
  <c r="BH41" i="34"/>
  <c r="BI41" i="34"/>
  <c r="BJ41" i="34"/>
  <c r="BK41" i="34"/>
  <c r="BL41" i="34"/>
  <c r="BM41" i="34"/>
  <c r="BN41" i="34"/>
  <c r="BO41" i="34"/>
  <c r="BP41" i="34"/>
  <c r="AB17" i="34"/>
  <c r="W17" i="34"/>
  <c r="E31" i="34" a="1"/>
  <c r="E31" i="34"/>
  <c r="F31" i="34" a="1"/>
  <c r="F31" i="34"/>
  <c r="G31" i="34" a="1"/>
  <c r="H31" i="34" a="1"/>
  <c r="I31" i="34" a="1"/>
  <c r="J31" i="34" a="1"/>
  <c r="K31" i="34" a="1"/>
  <c r="L31" i="34" a="1"/>
  <c r="M31" i="34" a="1"/>
  <c r="N31" i="34" a="1"/>
  <c r="O31" i="34" a="1"/>
  <c r="P31" i="34" a="1"/>
  <c r="Q31" i="34" a="1"/>
  <c r="R31" i="34" a="1"/>
  <c r="S31" i="34" a="1"/>
  <c r="T31" i="34" a="1"/>
  <c r="U31" i="34" a="1"/>
  <c r="V31" i="34" a="1"/>
  <c r="W31" i="34" a="1"/>
  <c r="X31" i="34" a="1"/>
  <c r="Y31" i="34" a="1"/>
  <c r="Z31" i="34" a="1"/>
  <c r="AA31" i="34" a="1"/>
  <c r="AB31" i="34" a="1"/>
  <c r="AC31" i="34" a="1"/>
  <c r="AD31" i="34" a="1"/>
  <c r="AE31" i="34" a="1"/>
  <c r="AF31" i="34" a="1"/>
  <c r="AG31" i="34" a="1"/>
  <c r="AH31" i="34" a="1"/>
  <c r="AI31" i="34" a="1"/>
  <c r="AJ31" i="34" a="1"/>
  <c r="AK31" i="34" a="1"/>
  <c r="AL31" i="34" a="1"/>
  <c r="AM31" i="34" a="1"/>
  <c r="AN31" i="34" a="1"/>
  <c r="AO31" i="34" a="1"/>
  <c r="AP31" i="34" a="1"/>
  <c r="AQ31" i="34" a="1"/>
  <c r="AR31" i="34" a="1"/>
  <c r="AS31" i="34" a="1"/>
  <c r="AT31" i="34" a="1"/>
  <c r="AU31" i="34" a="1"/>
  <c r="AV31" i="34" a="1"/>
  <c r="AW31" i="34" a="1"/>
  <c r="AX31" i="34" a="1"/>
  <c r="AY31" i="34" a="1"/>
  <c r="AZ31" i="34" a="1"/>
  <c r="BA31" i="34" a="1"/>
  <c r="BB31" i="34" a="1"/>
  <c r="BC31" i="34" a="1"/>
  <c r="BD31" i="34" a="1"/>
  <c r="BE31" i="34" a="1"/>
  <c r="BF31" i="34" a="1"/>
  <c r="BG31" i="34" a="1"/>
  <c r="BH31" i="34" a="1"/>
  <c r="BI31" i="34" a="1"/>
  <c r="BJ31" i="34" a="1"/>
  <c r="BK31" i="34" a="1"/>
  <c r="BL31" i="34" a="1"/>
  <c r="BM31" i="34" a="1"/>
  <c r="BN31" i="34" a="1"/>
  <c r="BO31" i="34" a="1"/>
  <c r="BP31" i="34" a="1"/>
  <c r="G31" i="34"/>
  <c r="H31" i="34"/>
  <c r="I31" i="34"/>
  <c r="J31" i="34"/>
  <c r="K31" i="34"/>
  <c r="L31" i="34"/>
  <c r="M31" i="34"/>
  <c r="N31" i="34"/>
  <c r="O31" i="34"/>
  <c r="P31" i="34"/>
  <c r="Q31" i="34"/>
  <c r="R31" i="34"/>
  <c r="S31" i="34"/>
  <c r="T31" i="34"/>
  <c r="U31" i="34"/>
  <c r="V31" i="34"/>
  <c r="W31" i="34"/>
  <c r="X31" i="34"/>
  <c r="Y31" i="34"/>
  <c r="Z31" i="34"/>
  <c r="AA31" i="34"/>
  <c r="AB31" i="34"/>
  <c r="AC31" i="34"/>
  <c r="AD31" i="34"/>
  <c r="AE31" i="34"/>
  <c r="AF31" i="34"/>
  <c r="AG31" i="34"/>
  <c r="AH31" i="34"/>
  <c r="AI31" i="34"/>
  <c r="AJ31" i="34"/>
  <c r="AK31" i="34"/>
  <c r="AL31" i="34"/>
  <c r="AM31" i="34"/>
  <c r="AN31" i="34"/>
  <c r="AO31" i="34"/>
  <c r="AP31" i="34"/>
  <c r="AQ31" i="34"/>
  <c r="AR31" i="34"/>
  <c r="AS31" i="34"/>
  <c r="AT31" i="34"/>
  <c r="AU31" i="34"/>
  <c r="AV31" i="34"/>
  <c r="AW31" i="34"/>
  <c r="AX31" i="34"/>
  <c r="AY31" i="34"/>
  <c r="AZ31" i="34"/>
  <c r="BA31" i="34"/>
  <c r="BB31" i="34"/>
  <c r="BC31" i="34"/>
  <c r="BD31" i="34"/>
  <c r="BE31" i="34"/>
  <c r="BF31" i="34"/>
  <c r="BG31" i="34"/>
  <c r="BH31" i="34"/>
  <c r="BI31" i="34"/>
  <c r="BJ31" i="34"/>
  <c r="BK31" i="34"/>
  <c r="BL31" i="34"/>
  <c r="BM31" i="34"/>
  <c r="BN31" i="34"/>
  <c r="BO31" i="34"/>
  <c r="BP31" i="34"/>
  <c r="AA18" i="34"/>
  <c r="E42" i="34" a="1"/>
  <c r="E42" i="34"/>
  <c r="F42" i="34" a="1"/>
  <c r="F42" i="34"/>
  <c r="G42" i="34" a="1"/>
  <c r="H42" i="34" a="1"/>
  <c r="I42" i="34" a="1"/>
  <c r="J42" i="34" a="1"/>
  <c r="K42" i="34" a="1"/>
  <c r="L42" i="34" a="1"/>
  <c r="M42" i="34" a="1"/>
  <c r="N42" i="34" a="1"/>
  <c r="O42" i="34" a="1"/>
  <c r="P42" i="34" a="1"/>
  <c r="Q42" i="34" a="1"/>
  <c r="R42" i="34" a="1"/>
  <c r="S42" i="34" a="1"/>
  <c r="T42" i="34" a="1"/>
  <c r="U42" i="34" a="1"/>
  <c r="V42" i="34" a="1"/>
  <c r="W42" i="34" a="1"/>
  <c r="X42" i="34" a="1"/>
  <c r="Y42" i="34" a="1"/>
  <c r="Z42" i="34" a="1"/>
  <c r="AA42" i="34" a="1"/>
  <c r="AB42" i="34" a="1"/>
  <c r="AC42" i="34" a="1"/>
  <c r="AD42" i="34" a="1"/>
  <c r="AE42" i="34" a="1"/>
  <c r="AF42" i="34" a="1"/>
  <c r="AG42" i="34" a="1"/>
  <c r="AH42" i="34" a="1"/>
  <c r="AI42" i="34" a="1"/>
  <c r="AJ42" i="34" a="1"/>
  <c r="AK42" i="34" a="1"/>
  <c r="AL42" i="34" a="1"/>
  <c r="AM42" i="34" a="1"/>
  <c r="AN42" i="34" a="1"/>
  <c r="AO42" i="34" a="1"/>
  <c r="AP42" i="34" a="1"/>
  <c r="AQ42" i="34" a="1"/>
  <c r="AR42" i="34" a="1"/>
  <c r="AS42" i="34" a="1"/>
  <c r="AT42" i="34" a="1"/>
  <c r="AU42" i="34" a="1"/>
  <c r="AV42" i="34" a="1"/>
  <c r="AW42" i="34" a="1"/>
  <c r="AX42" i="34" a="1"/>
  <c r="AY42" i="34" a="1"/>
  <c r="AZ42" i="34" a="1"/>
  <c r="BA42" i="34" a="1"/>
  <c r="BB42" i="34" a="1"/>
  <c r="BC42" i="34" a="1"/>
  <c r="BD42" i="34" a="1"/>
  <c r="BE42" i="34" a="1"/>
  <c r="BF42" i="34" a="1"/>
  <c r="BG42" i="34" a="1"/>
  <c r="BH42" i="34" a="1"/>
  <c r="BI42" i="34" a="1"/>
  <c r="BJ42" i="34" a="1"/>
  <c r="BK42" i="34" a="1"/>
  <c r="BL42" i="34" a="1"/>
  <c r="BM42" i="34" a="1"/>
  <c r="BN42" i="34" a="1"/>
  <c r="BO42" i="34" a="1"/>
  <c r="BP42" i="34" a="1"/>
  <c r="G42" i="34"/>
  <c r="H42" i="34"/>
  <c r="I42" i="34"/>
  <c r="J42" i="34"/>
  <c r="K42" i="34"/>
  <c r="L42" i="34"/>
  <c r="M42" i="34"/>
  <c r="N42" i="34"/>
  <c r="O42" i="34"/>
  <c r="P42" i="34"/>
  <c r="Q42" i="34"/>
  <c r="R42" i="34"/>
  <c r="S42" i="34"/>
  <c r="T42" i="34"/>
  <c r="U42" i="34"/>
  <c r="V42" i="34"/>
  <c r="W42" i="34"/>
  <c r="X42" i="34"/>
  <c r="Y42" i="34"/>
  <c r="Z42" i="34"/>
  <c r="AA42" i="34"/>
  <c r="AB42" i="34"/>
  <c r="AC42" i="34"/>
  <c r="AD42" i="34"/>
  <c r="AE42" i="34"/>
  <c r="AF42" i="34"/>
  <c r="AG42" i="34"/>
  <c r="AH42" i="34"/>
  <c r="AI42" i="34"/>
  <c r="AJ42" i="34"/>
  <c r="AK42" i="34"/>
  <c r="AL42" i="34"/>
  <c r="AM42" i="34"/>
  <c r="AN42" i="34"/>
  <c r="AO42" i="34"/>
  <c r="AP42" i="34"/>
  <c r="AQ42" i="34"/>
  <c r="AR42" i="34"/>
  <c r="AS42" i="34"/>
  <c r="AT42" i="34"/>
  <c r="AU42" i="34"/>
  <c r="AV42" i="34"/>
  <c r="AW42" i="34"/>
  <c r="AX42" i="34"/>
  <c r="AY42" i="34"/>
  <c r="AZ42" i="34"/>
  <c r="BA42" i="34"/>
  <c r="BB42" i="34"/>
  <c r="BC42" i="34"/>
  <c r="BD42" i="34"/>
  <c r="BE42" i="34"/>
  <c r="BF42" i="34"/>
  <c r="BG42" i="34"/>
  <c r="BH42" i="34"/>
  <c r="BI42" i="34"/>
  <c r="BJ42" i="34"/>
  <c r="BK42" i="34"/>
  <c r="BL42" i="34"/>
  <c r="BM42" i="34"/>
  <c r="BN42" i="34"/>
  <c r="BO42" i="34"/>
  <c r="BP42" i="34"/>
  <c r="AB18" i="34"/>
  <c r="W18" i="34"/>
  <c r="E32" i="34" a="1"/>
  <c r="E32" i="34"/>
  <c r="F32" i="34" a="1"/>
  <c r="F32" i="34"/>
  <c r="G32" i="34" a="1"/>
  <c r="H32" i="34" a="1"/>
  <c r="I32" i="34" a="1"/>
  <c r="J32" i="34" a="1"/>
  <c r="K32" i="34" a="1"/>
  <c r="L32" i="34" a="1"/>
  <c r="M32" i="34" a="1"/>
  <c r="N32" i="34" a="1"/>
  <c r="O32" i="34" a="1"/>
  <c r="P32" i="34" a="1"/>
  <c r="Q32" i="34" a="1"/>
  <c r="R32" i="34" a="1"/>
  <c r="S32" i="34" a="1"/>
  <c r="T32" i="34" a="1"/>
  <c r="U32" i="34" a="1"/>
  <c r="V32" i="34" a="1"/>
  <c r="W32" i="34" a="1"/>
  <c r="X32" i="34" a="1"/>
  <c r="Y32" i="34" a="1"/>
  <c r="Z32" i="34" a="1"/>
  <c r="AA32" i="34" a="1"/>
  <c r="AB32" i="34" a="1"/>
  <c r="AC32" i="34" a="1"/>
  <c r="AD32" i="34" a="1"/>
  <c r="AE32" i="34" a="1"/>
  <c r="AF32" i="34" a="1"/>
  <c r="AG32" i="34" a="1"/>
  <c r="AH32" i="34" a="1"/>
  <c r="AI32" i="34" a="1"/>
  <c r="AJ32" i="34" a="1"/>
  <c r="AK32" i="34" a="1"/>
  <c r="AL32" i="34" a="1"/>
  <c r="AM32" i="34" a="1"/>
  <c r="AN32" i="34" a="1"/>
  <c r="AO32" i="34" a="1"/>
  <c r="AP32" i="34" a="1"/>
  <c r="AQ32" i="34" a="1"/>
  <c r="AR32" i="34" a="1"/>
  <c r="AS32" i="34" a="1"/>
  <c r="AT32" i="34" a="1"/>
  <c r="AU32" i="34" a="1"/>
  <c r="AV32" i="34" a="1"/>
  <c r="AW32" i="34" a="1"/>
  <c r="AX32" i="34" a="1"/>
  <c r="AY32" i="34" a="1"/>
  <c r="AZ32" i="34" a="1"/>
  <c r="BA32" i="34" a="1"/>
  <c r="BB32" i="34" a="1"/>
  <c r="BC32" i="34" a="1"/>
  <c r="BD32" i="34" a="1"/>
  <c r="BE32" i="34" a="1"/>
  <c r="BF32" i="34" a="1"/>
  <c r="BG32" i="34" a="1"/>
  <c r="BH32" i="34" a="1"/>
  <c r="BI32" i="34" a="1"/>
  <c r="BJ32" i="34" a="1"/>
  <c r="BK32" i="34" a="1"/>
  <c r="BL32" i="34" a="1"/>
  <c r="BM32" i="34" a="1"/>
  <c r="BN32" i="34" a="1"/>
  <c r="BO32" i="34" a="1"/>
  <c r="BP32" i="34" a="1"/>
  <c r="G32" i="34"/>
  <c r="H32" i="34"/>
  <c r="I32" i="34"/>
  <c r="J32" i="34"/>
  <c r="K32" i="34"/>
  <c r="L32" i="34"/>
  <c r="M32" i="34"/>
  <c r="N32" i="34"/>
  <c r="O32" i="34"/>
  <c r="P32" i="34"/>
  <c r="Q32" i="34"/>
  <c r="R32" i="34"/>
  <c r="S32" i="34"/>
  <c r="T32" i="34"/>
  <c r="U32" i="34"/>
  <c r="V32" i="34"/>
  <c r="W32" i="34"/>
  <c r="X32" i="34"/>
  <c r="Y32" i="34"/>
  <c r="Z32" i="34"/>
  <c r="AA32" i="34"/>
  <c r="AB32" i="34"/>
  <c r="AC32" i="34"/>
  <c r="AD32" i="34"/>
  <c r="AE32" i="34"/>
  <c r="AF32" i="34"/>
  <c r="AG32" i="34"/>
  <c r="AH32" i="34"/>
  <c r="AI32" i="34"/>
  <c r="AJ32" i="34"/>
  <c r="AK32" i="34"/>
  <c r="AL32" i="34"/>
  <c r="AM32" i="34"/>
  <c r="AN32" i="34"/>
  <c r="AO32" i="34"/>
  <c r="AP32" i="34"/>
  <c r="AQ32" i="34"/>
  <c r="AR32" i="34"/>
  <c r="AS32" i="34"/>
  <c r="AT32" i="34"/>
  <c r="AU32" i="34"/>
  <c r="AV32" i="34"/>
  <c r="AW32" i="34"/>
  <c r="AX32" i="34"/>
  <c r="AY32" i="34"/>
  <c r="AZ32" i="34"/>
  <c r="BA32" i="34"/>
  <c r="BB32" i="34"/>
  <c r="BC32" i="34"/>
  <c r="BD32" i="34"/>
  <c r="BE32" i="34"/>
  <c r="BF32" i="34"/>
  <c r="BG32" i="34"/>
  <c r="BH32" i="34"/>
  <c r="BI32" i="34"/>
  <c r="BJ32" i="34"/>
  <c r="BK32" i="34"/>
  <c r="BL32" i="34"/>
  <c r="BM32" i="34"/>
  <c r="BN32" i="34"/>
  <c r="BO32" i="34"/>
  <c r="BP32" i="34"/>
  <c r="AA19" i="34"/>
  <c r="E43" i="34" a="1"/>
  <c r="E43" i="34"/>
  <c r="F43" i="34" a="1"/>
  <c r="F43" i="34"/>
  <c r="G43" i="34" a="1"/>
  <c r="H43" i="34" a="1"/>
  <c r="I43" i="34" a="1"/>
  <c r="J43" i="34" a="1"/>
  <c r="K43" i="34" a="1"/>
  <c r="L43" i="34" a="1"/>
  <c r="M43" i="34" a="1"/>
  <c r="N43" i="34" a="1"/>
  <c r="O43" i="34" a="1"/>
  <c r="P43" i="34" a="1"/>
  <c r="Q43" i="34" a="1"/>
  <c r="R43" i="34" a="1"/>
  <c r="S43" i="34" a="1"/>
  <c r="T43" i="34" a="1"/>
  <c r="U43" i="34" a="1"/>
  <c r="V43" i="34" a="1"/>
  <c r="W43" i="34" a="1"/>
  <c r="X43" i="34" a="1"/>
  <c r="Y43" i="34" a="1"/>
  <c r="Z43" i="34" a="1"/>
  <c r="AA43" i="34" a="1"/>
  <c r="AB43" i="34" a="1"/>
  <c r="AC43" i="34" a="1"/>
  <c r="AD43" i="34" a="1"/>
  <c r="AE43" i="34" a="1"/>
  <c r="AF43" i="34" a="1"/>
  <c r="AG43" i="34" a="1"/>
  <c r="AH43" i="34" a="1"/>
  <c r="AI43" i="34" a="1"/>
  <c r="AJ43" i="34" a="1"/>
  <c r="AK43" i="34" a="1"/>
  <c r="AL43" i="34" a="1"/>
  <c r="AM43" i="34" a="1"/>
  <c r="AN43" i="34" a="1"/>
  <c r="AO43" i="34" a="1"/>
  <c r="AP43" i="34" a="1"/>
  <c r="AQ43" i="34" a="1"/>
  <c r="AR43" i="34" a="1"/>
  <c r="AS43" i="34" a="1"/>
  <c r="AT43" i="34" a="1"/>
  <c r="AU43" i="34" a="1"/>
  <c r="AV43" i="34" a="1"/>
  <c r="AW43" i="34" a="1"/>
  <c r="AX43" i="34" a="1"/>
  <c r="AY43" i="34" a="1"/>
  <c r="AZ43" i="34" a="1"/>
  <c r="BA43" i="34" a="1"/>
  <c r="BB43" i="34" a="1"/>
  <c r="BC43" i="34" a="1"/>
  <c r="BD43" i="34" a="1"/>
  <c r="BE43" i="34" a="1"/>
  <c r="BF43" i="34" a="1"/>
  <c r="BG43" i="34" a="1"/>
  <c r="BH43" i="34" a="1"/>
  <c r="BI43" i="34" a="1"/>
  <c r="BJ43" i="34" a="1"/>
  <c r="BK43" i="34" a="1"/>
  <c r="BL43" i="34" a="1"/>
  <c r="BM43" i="34" a="1"/>
  <c r="BN43" i="34" a="1"/>
  <c r="BO43" i="34" a="1"/>
  <c r="BP43" i="34" a="1"/>
  <c r="G43" i="34"/>
  <c r="H43" i="34"/>
  <c r="I43" i="34"/>
  <c r="J43" i="34"/>
  <c r="K43" i="34"/>
  <c r="L43" i="34"/>
  <c r="M43" i="34"/>
  <c r="N43" i="34"/>
  <c r="O43" i="34"/>
  <c r="P43" i="34"/>
  <c r="Q43" i="34"/>
  <c r="R43" i="34"/>
  <c r="S43" i="34"/>
  <c r="T43" i="34"/>
  <c r="U43" i="34"/>
  <c r="V43" i="34"/>
  <c r="W43" i="34"/>
  <c r="X43" i="34"/>
  <c r="Y43" i="34"/>
  <c r="Z43" i="34"/>
  <c r="AA43" i="34"/>
  <c r="AB43" i="34"/>
  <c r="AC43" i="34"/>
  <c r="AD43" i="34"/>
  <c r="AE43" i="34"/>
  <c r="AF43" i="34"/>
  <c r="AG43" i="34"/>
  <c r="AH43" i="34"/>
  <c r="AI43" i="34"/>
  <c r="AJ43" i="34"/>
  <c r="AK43" i="34"/>
  <c r="AL43" i="34"/>
  <c r="AM43" i="34"/>
  <c r="AN43" i="34"/>
  <c r="AO43" i="34"/>
  <c r="AP43" i="34"/>
  <c r="AQ43" i="34"/>
  <c r="AR43" i="34"/>
  <c r="AS43" i="34"/>
  <c r="AT43" i="34"/>
  <c r="AU43" i="34"/>
  <c r="AV43" i="34"/>
  <c r="AW43" i="34"/>
  <c r="AX43" i="34"/>
  <c r="AY43" i="34"/>
  <c r="AZ43" i="34"/>
  <c r="BA43" i="34"/>
  <c r="BB43" i="34"/>
  <c r="BC43" i="34"/>
  <c r="BD43" i="34"/>
  <c r="BE43" i="34"/>
  <c r="BF43" i="34"/>
  <c r="BG43" i="34"/>
  <c r="BH43" i="34"/>
  <c r="BI43" i="34"/>
  <c r="BJ43" i="34"/>
  <c r="BK43" i="34"/>
  <c r="BL43" i="34"/>
  <c r="BM43" i="34"/>
  <c r="BN43" i="34"/>
  <c r="BO43" i="34"/>
  <c r="BP43" i="34"/>
  <c r="AB19" i="34"/>
  <c r="W19" i="34"/>
  <c r="E34" i="34" a="1"/>
  <c r="E34" i="34"/>
  <c r="F34" i="34" a="1"/>
  <c r="F34" i="34"/>
  <c r="G34" i="34" a="1"/>
  <c r="H34" i="34" a="1"/>
  <c r="I34" i="34" a="1"/>
  <c r="J34" i="34" a="1"/>
  <c r="K34" i="34" a="1"/>
  <c r="L34" i="34" a="1"/>
  <c r="M34" i="34" a="1"/>
  <c r="N34" i="34" a="1"/>
  <c r="O34" i="34" a="1"/>
  <c r="P34" i="34" a="1"/>
  <c r="Q34" i="34" a="1"/>
  <c r="R34" i="34" a="1"/>
  <c r="S34" i="34" a="1"/>
  <c r="T34" i="34" a="1"/>
  <c r="U34" i="34" a="1"/>
  <c r="V34" i="34" a="1"/>
  <c r="W34" i="34" a="1"/>
  <c r="X34" i="34" a="1"/>
  <c r="Y34" i="34" a="1"/>
  <c r="Z34" i="34" a="1"/>
  <c r="AA34" i="34" a="1"/>
  <c r="AB34" i="34" a="1"/>
  <c r="AC34" i="34" a="1"/>
  <c r="AD34" i="34" a="1"/>
  <c r="AE34" i="34" a="1"/>
  <c r="AF34" i="34" a="1"/>
  <c r="AG34" i="34" a="1"/>
  <c r="AH34" i="34" a="1"/>
  <c r="AI34" i="34" a="1"/>
  <c r="AJ34" i="34" a="1"/>
  <c r="AK34" i="34" a="1"/>
  <c r="AL34" i="34" a="1"/>
  <c r="AM34" i="34" a="1"/>
  <c r="AN34" i="34" a="1"/>
  <c r="AO34" i="34" a="1"/>
  <c r="AP34" i="34" a="1"/>
  <c r="AQ34" i="34" a="1"/>
  <c r="AR34" i="34" a="1"/>
  <c r="AS34" i="34" a="1"/>
  <c r="AT34" i="34" a="1"/>
  <c r="AU34" i="34" a="1"/>
  <c r="AV34" i="34" a="1"/>
  <c r="AW34" i="34" a="1"/>
  <c r="AX34" i="34" a="1"/>
  <c r="AY34" i="34" a="1"/>
  <c r="AZ34" i="34" a="1"/>
  <c r="BA34" i="34" a="1"/>
  <c r="BB34" i="34" a="1"/>
  <c r="BC34" i="34" a="1"/>
  <c r="BD34" i="34" a="1"/>
  <c r="BE34" i="34" a="1"/>
  <c r="BF34" i="34" a="1"/>
  <c r="BG34" i="34" a="1"/>
  <c r="BH34" i="34" a="1"/>
  <c r="BI34" i="34" a="1"/>
  <c r="BJ34" i="34" a="1"/>
  <c r="BK34" i="34" a="1"/>
  <c r="BL34" i="34" a="1"/>
  <c r="BM34" i="34" a="1"/>
  <c r="BN34" i="34" a="1"/>
  <c r="BO34" i="34" a="1"/>
  <c r="BP34" i="34" a="1"/>
  <c r="G34" i="34"/>
  <c r="H34" i="34"/>
  <c r="I34" i="34"/>
  <c r="J34" i="34"/>
  <c r="K34" i="34"/>
  <c r="L34" i="34"/>
  <c r="M34" i="34"/>
  <c r="N34" i="34"/>
  <c r="O34" i="34"/>
  <c r="P34" i="34"/>
  <c r="Q34" i="34"/>
  <c r="R34" i="34"/>
  <c r="S34" i="34"/>
  <c r="T34" i="34"/>
  <c r="U34" i="34"/>
  <c r="V34" i="34"/>
  <c r="W34" i="34"/>
  <c r="X34" i="34"/>
  <c r="Y34" i="34"/>
  <c r="Z34" i="34"/>
  <c r="AA34" i="34"/>
  <c r="AB34" i="34"/>
  <c r="AC34" i="34"/>
  <c r="AD34" i="34"/>
  <c r="AE34" i="34"/>
  <c r="AF34" i="34"/>
  <c r="AG34" i="34"/>
  <c r="AH34" i="34"/>
  <c r="AI34" i="34"/>
  <c r="AJ34" i="34"/>
  <c r="AK34" i="34"/>
  <c r="AL34" i="34"/>
  <c r="AM34" i="34"/>
  <c r="AN34" i="34"/>
  <c r="AO34" i="34"/>
  <c r="AP34" i="34"/>
  <c r="AQ34" i="34"/>
  <c r="AR34" i="34"/>
  <c r="AS34" i="34"/>
  <c r="AT34" i="34"/>
  <c r="AU34" i="34"/>
  <c r="AV34" i="34"/>
  <c r="AW34" i="34"/>
  <c r="AX34" i="34"/>
  <c r="AY34" i="34"/>
  <c r="AZ34" i="34"/>
  <c r="BA34" i="34"/>
  <c r="BB34" i="34"/>
  <c r="BC34" i="34"/>
  <c r="BD34" i="34"/>
  <c r="BE34" i="34"/>
  <c r="BF34" i="34"/>
  <c r="BG34" i="34"/>
  <c r="BH34" i="34"/>
  <c r="BI34" i="34"/>
  <c r="BJ34" i="34"/>
  <c r="BK34" i="34"/>
  <c r="BL34" i="34"/>
  <c r="BM34" i="34"/>
  <c r="BN34" i="34"/>
  <c r="BO34" i="34"/>
  <c r="BP34" i="34"/>
  <c r="AA21" i="34"/>
  <c r="E45" i="34" a="1"/>
  <c r="E45" i="34"/>
  <c r="F45" i="34" a="1"/>
  <c r="F45" i="34"/>
  <c r="G45" i="34" a="1"/>
  <c r="H45" i="34" a="1"/>
  <c r="I45" i="34" a="1"/>
  <c r="J45" i="34" a="1"/>
  <c r="K45" i="34" a="1"/>
  <c r="L45" i="34" a="1"/>
  <c r="M45" i="34" a="1"/>
  <c r="N45" i="34" a="1"/>
  <c r="O45" i="34" a="1"/>
  <c r="P45" i="34" a="1"/>
  <c r="Q45" i="34" a="1"/>
  <c r="R45" i="34" a="1"/>
  <c r="S45" i="34" a="1"/>
  <c r="T45" i="34" a="1"/>
  <c r="U45" i="34" a="1"/>
  <c r="V45" i="34" a="1"/>
  <c r="W45" i="34" a="1"/>
  <c r="X45" i="34" a="1"/>
  <c r="Y45" i="34" a="1"/>
  <c r="Z45" i="34" a="1"/>
  <c r="AA45" i="34" a="1"/>
  <c r="AB45" i="34" a="1"/>
  <c r="AC45" i="34" a="1"/>
  <c r="AD45" i="34" a="1"/>
  <c r="AE45" i="34" a="1"/>
  <c r="AF45" i="34" a="1"/>
  <c r="AG45" i="34" a="1"/>
  <c r="AH45" i="34" a="1"/>
  <c r="AI45" i="34" a="1"/>
  <c r="AJ45" i="34" a="1"/>
  <c r="AK45" i="34" a="1"/>
  <c r="AL45" i="34" a="1"/>
  <c r="AM45" i="34" a="1"/>
  <c r="AN45" i="34" a="1"/>
  <c r="AO45" i="34" a="1"/>
  <c r="AP45" i="34" a="1"/>
  <c r="AQ45" i="34" a="1"/>
  <c r="AR45" i="34" a="1"/>
  <c r="AS45" i="34" a="1"/>
  <c r="AT45" i="34" a="1"/>
  <c r="AU45" i="34" a="1"/>
  <c r="AV45" i="34" a="1"/>
  <c r="AW45" i="34" a="1"/>
  <c r="AX45" i="34" a="1"/>
  <c r="AY45" i="34" a="1"/>
  <c r="AZ45" i="34" a="1"/>
  <c r="BA45" i="34" a="1"/>
  <c r="BB45" i="34" a="1"/>
  <c r="BC45" i="34" a="1"/>
  <c r="BD45" i="34" a="1"/>
  <c r="BE45" i="34" a="1"/>
  <c r="BF45" i="34" a="1"/>
  <c r="BG45" i="34" a="1"/>
  <c r="BH45" i="34" a="1"/>
  <c r="BI45" i="34" a="1"/>
  <c r="BJ45" i="34" a="1"/>
  <c r="BK45" i="34" a="1"/>
  <c r="BL45" i="34" a="1"/>
  <c r="BM45" i="34" a="1"/>
  <c r="BN45" i="34" a="1"/>
  <c r="BO45" i="34" a="1"/>
  <c r="BP45" i="34" a="1"/>
  <c r="G45" i="34"/>
  <c r="H45" i="34"/>
  <c r="I45" i="34"/>
  <c r="J45" i="34"/>
  <c r="K45" i="34"/>
  <c r="L45" i="34"/>
  <c r="M45" i="34"/>
  <c r="N45" i="34"/>
  <c r="O45" i="34"/>
  <c r="P45" i="34"/>
  <c r="Q45" i="34"/>
  <c r="R45" i="34"/>
  <c r="S45" i="34"/>
  <c r="T45" i="34"/>
  <c r="U45" i="34"/>
  <c r="V45" i="34"/>
  <c r="W45" i="34"/>
  <c r="X45" i="34"/>
  <c r="Y45" i="34"/>
  <c r="Z45" i="34"/>
  <c r="AA45" i="34"/>
  <c r="AB45" i="34"/>
  <c r="AC45" i="34"/>
  <c r="AD45" i="34"/>
  <c r="AE45" i="34"/>
  <c r="AF45" i="34"/>
  <c r="AG45" i="34"/>
  <c r="AH45" i="34"/>
  <c r="AI45" i="34"/>
  <c r="AJ45" i="34"/>
  <c r="AK45" i="34"/>
  <c r="AL45" i="34"/>
  <c r="AM45" i="34"/>
  <c r="AN45" i="34"/>
  <c r="AO45" i="34"/>
  <c r="AP45" i="34"/>
  <c r="AQ45" i="34"/>
  <c r="AR45" i="34"/>
  <c r="AS45" i="34"/>
  <c r="AT45" i="34"/>
  <c r="AU45" i="34"/>
  <c r="AV45" i="34"/>
  <c r="AW45" i="34"/>
  <c r="AX45" i="34"/>
  <c r="AY45" i="34"/>
  <c r="AZ45" i="34"/>
  <c r="BA45" i="34"/>
  <c r="BB45" i="34"/>
  <c r="BC45" i="34"/>
  <c r="BD45" i="34"/>
  <c r="BE45" i="34"/>
  <c r="BF45" i="34"/>
  <c r="BG45" i="34"/>
  <c r="BH45" i="34"/>
  <c r="BI45" i="34"/>
  <c r="BJ45" i="34"/>
  <c r="BK45" i="34"/>
  <c r="BL45" i="34"/>
  <c r="BM45" i="34"/>
  <c r="BN45" i="34"/>
  <c r="BO45" i="34"/>
  <c r="BP45" i="34"/>
  <c r="AB21" i="34"/>
  <c r="W21" i="34"/>
  <c r="E35" i="34" a="1"/>
  <c r="E35" i="34"/>
  <c r="F35" i="34" a="1"/>
  <c r="F35" i="34"/>
  <c r="G35" i="34" a="1"/>
  <c r="H35" i="34" a="1"/>
  <c r="I35" i="34" a="1"/>
  <c r="J35" i="34" a="1"/>
  <c r="K35" i="34" a="1"/>
  <c r="L35" i="34" a="1"/>
  <c r="M35" i="34" a="1"/>
  <c r="N35" i="34" a="1"/>
  <c r="O35" i="34" a="1"/>
  <c r="P35" i="34" a="1"/>
  <c r="Q35" i="34" a="1"/>
  <c r="R35" i="34" a="1"/>
  <c r="S35" i="34" a="1"/>
  <c r="T35" i="34" a="1"/>
  <c r="U35" i="34" a="1"/>
  <c r="V35" i="34" a="1"/>
  <c r="W35" i="34" a="1"/>
  <c r="X35" i="34" a="1"/>
  <c r="Y35" i="34" a="1"/>
  <c r="Z35" i="34" a="1"/>
  <c r="AA35" i="34" a="1"/>
  <c r="AB35" i="34" a="1"/>
  <c r="AC35" i="34" a="1"/>
  <c r="AD35" i="34" a="1"/>
  <c r="AE35" i="34" a="1"/>
  <c r="AF35" i="34" a="1"/>
  <c r="AG35" i="34" a="1"/>
  <c r="AH35" i="34" a="1"/>
  <c r="AI35" i="34" a="1"/>
  <c r="AJ35" i="34" a="1"/>
  <c r="AK35" i="34" a="1"/>
  <c r="AL35" i="34" a="1"/>
  <c r="AM35" i="34" a="1"/>
  <c r="AN35" i="34" a="1"/>
  <c r="AO35" i="34" a="1"/>
  <c r="AP35" i="34" a="1"/>
  <c r="AQ35" i="34" a="1"/>
  <c r="AR35" i="34" a="1"/>
  <c r="AS35" i="34" a="1"/>
  <c r="AT35" i="34" a="1"/>
  <c r="AU35" i="34" a="1"/>
  <c r="AV35" i="34" a="1"/>
  <c r="AW35" i="34" a="1"/>
  <c r="AX35" i="34" a="1"/>
  <c r="AY35" i="34" a="1"/>
  <c r="AZ35" i="34" a="1"/>
  <c r="BA35" i="34" a="1"/>
  <c r="BB35" i="34" a="1"/>
  <c r="BC35" i="34" a="1"/>
  <c r="BD35" i="34" a="1"/>
  <c r="BE35" i="34" a="1"/>
  <c r="BF35" i="34" a="1"/>
  <c r="BG35" i="34" a="1"/>
  <c r="BH35" i="34" a="1"/>
  <c r="BI35" i="34" a="1"/>
  <c r="BJ35" i="34" a="1"/>
  <c r="BK35" i="34" a="1"/>
  <c r="BL35" i="34" a="1"/>
  <c r="BM35" i="34" a="1"/>
  <c r="BN35" i="34" a="1"/>
  <c r="BO35" i="34" a="1"/>
  <c r="BP35" i="34" a="1"/>
  <c r="G35" i="34"/>
  <c r="H35" i="34"/>
  <c r="I35" i="34"/>
  <c r="J35" i="34"/>
  <c r="K35" i="34"/>
  <c r="L35" i="34"/>
  <c r="M35" i="34"/>
  <c r="N35" i="34"/>
  <c r="O35" i="34"/>
  <c r="P35" i="34"/>
  <c r="Q35" i="34"/>
  <c r="R35" i="34"/>
  <c r="S35" i="34"/>
  <c r="T35" i="34"/>
  <c r="U35" i="34"/>
  <c r="V35" i="34"/>
  <c r="W35" i="34"/>
  <c r="X35" i="34"/>
  <c r="Y35" i="34"/>
  <c r="Z35" i="34"/>
  <c r="AA35" i="34"/>
  <c r="AB35" i="34"/>
  <c r="AC35" i="34"/>
  <c r="AD35" i="34"/>
  <c r="AE35" i="34"/>
  <c r="AF35" i="34"/>
  <c r="AG35" i="34"/>
  <c r="AH35" i="34"/>
  <c r="AI35" i="34"/>
  <c r="AJ35" i="34"/>
  <c r="AK35" i="34"/>
  <c r="AL35" i="34"/>
  <c r="AM35" i="34"/>
  <c r="AN35" i="34"/>
  <c r="AO35" i="34"/>
  <c r="AP35" i="34"/>
  <c r="AQ35" i="34"/>
  <c r="AR35" i="34"/>
  <c r="AS35" i="34"/>
  <c r="AT35" i="34"/>
  <c r="AU35" i="34"/>
  <c r="AV35" i="34"/>
  <c r="AW35" i="34"/>
  <c r="AX35" i="34"/>
  <c r="AY35" i="34"/>
  <c r="AZ35" i="34"/>
  <c r="BA35" i="34"/>
  <c r="BB35" i="34"/>
  <c r="BC35" i="34"/>
  <c r="BD35" i="34"/>
  <c r="BE35" i="34"/>
  <c r="BF35" i="34"/>
  <c r="BG35" i="34"/>
  <c r="BH35" i="34"/>
  <c r="BI35" i="34"/>
  <c r="BJ35" i="34"/>
  <c r="BK35" i="34"/>
  <c r="BL35" i="34"/>
  <c r="BM35" i="34"/>
  <c r="BN35" i="34"/>
  <c r="BO35" i="34"/>
  <c r="BP35" i="34"/>
  <c r="AA22" i="34"/>
  <c r="E46" i="34" a="1"/>
  <c r="E46" i="34"/>
  <c r="F46" i="34" a="1"/>
  <c r="F46" i="34"/>
  <c r="G46" i="34" a="1"/>
  <c r="H46" i="34" a="1"/>
  <c r="I46" i="34" a="1"/>
  <c r="J46" i="34" a="1"/>
  <c r="K46" i="34" a="1"/>
  <c r="L46" i="34" a="1"/>
  <c r="M46" i="34" a="1"/>
  <c r="N46" i="34" a="1"/>
  <c r="O46" i="34" a="1"/>
  <c r="P46" i="34" a="1"/>
  <c r="Q46" i="34" a="1"/>
  <c r="R46" i="34" a="1"/>
  <c r="S46" i="34" a="1"/>
  <c r="T46" i="34" a="1"/>
  <c r="U46" i="34" a="1"/>
  <c r="V46" i="34" a="1"/>
  <c r="W46" i="34" a="1"/>
  <c r="X46" i="34" a="1"/>
  <c r="Y46" i="34" a="1"/>
  <c r="Z46" i="34" a="1"/>
  <c r="AA46" i="34" a="1"/>
  <c r="AB46" i="34" a="1"/>
  <c r="AC46" i="34" a="1"/>
  <c r="AD46" i="34" a="1"/>
  <c r="AE46" i="34" a="1"/>
  <c r="AF46" i="34" a="1"/>
  <c r="AG46" i="34" a="1"/>
  <c r="AH46" i="34" a="1"/>
  <c r="AI46" i="34" a="1"/>
  <c r="AJ46" i="34" a="1"/>
  <c r="AK46" i="34" a="1"/>
  <c r="AL46" i="34" a="1"/>
  <c r="AM46" i="34" a="1"/>
  <c r="AN46" i="34" a="1"/>
  <c r="AO46" i="34" a="1"/>
  <c r="AP46" i="34" a="1"/>
  <c r="AQ46" i="34" a="1"/>
  <c r="AR46" i="34" a="1"/>
  <c r="AS46" i="34" a="1"/>
  <c r="AT46" i="34" a="1"/>
  <c r="AU46" i="34" a="1"/>
  <c r="AV46" i="34" a="1"/>
  <c r="AW46" i="34" a="1"/>
  <c r="AX46" i="34" a="1"/>
  <c r="AY46" i="34" a="1"/>
  <c r="AZ46" i="34" a="1"/>
  <c r="BA46" i="34" a="1"/>
  <c r="BB46" i="34" a="1"/>
  <c r="BC46" i="34" a="1"/>
  <c r="BD46" i="34" a="1"/>
  <c r="BE46" i="34" a="1"/>
  <c r="BF46" i="34" a="1"/>
  <c r="BG46" i="34" a="1"/>
  <c r="BH46" i="34" a="1"/>
  <c r="BI46" i="34" a="1"/>
  <c r="BJ46" i="34" a="1"/>
  <c r="BK46" i="34" a="1"/>
  <c r="BL46" i="34" a="1"/>
  <c r="BM46" i="34" a="1"/>
  <c r="BN46" i="34" a="1"/>
  <c r="BO46" i="34" a="1"/>
  <c r="BP46" i="34" a="1"/>
  <c r="G46" i="34"/>
  <c r="H46" i="34"/>
  <c r="I46" i="34"/>
  <c r="J46" i="34"/>
  <c r="K46" i="34"/>
  <c r="L46" i="34"/>
  <c r="M46" i="34"/>
  <c r="N46" i="34"/>
  <c r="O46" i="34"/>
  <c r="P46" i="34"/>
  <c r="Q46" i="34"/>
  <c r="R46" i="34"/>
  <c r="S46" i="34"/>
  <c r="T46" i="34"/>
  <c r="U46" i="34"/>
  <c r="V46" i="34"/>
  <c r="W46" i="34"/>
  <c r="X46" i="34"/>
  <c r="Y46" i="34"/>
  <c r="Z46" i="34"/>
  <c r="AA46" i="34"/>
  <c r="AB46" i="34"/>
  <c r="AC46" i="34"/>
  <c r="AD46" i="34"/>
  <c r="AE46" i="34"/>
  <c r="AF46" i="34"/>
  <c r="AG46" i="34"/>
  <c r="AH46" i="34"/>
  <c r="AI46" i="34"/>
  <c r="AJ46" i="34"/>
  <c r="AK46" i="34"/>
  <c r="AL46" i="34"/>
  <c r="AM46" i="34"/>
  <c r="AN46" i="34"/>
  <c r="AO46" i="34"/>
  <c r="AP46" i="34"/>
  <c r="AQ46" i="34"/>
  <c r="AR46" i="34"/>
  <c r="AS46" i="34"/>
  <c r="AT46" i="34"/>
  <c r="AU46" i="34"/>
  <c r="AV46" i="34"/>
  <c r="AW46" i="34"/>
  <c r="AX46" i="34"/>
  <c r="AY46" i="34"/>
  <c r="AZ46" i="34"/>
  <c r="BA46" i="34"/>
  <c r="BB46" i="34"/>
  <c r="BC46" i="34"/>
  <c r="BD46" i="34"/>
  <c r="BE46" i="34"/>
  <c r="BF46" i="34"/>
  <c r="BG46" i="34"/>
  <c r="BH46" i="34"/>
  <c r="BI46" i="34"/>
  <c r="BJ46" i="34"/>
  <c r="BK46" i="34"/>
  <c r="BL46" i="34"/>
  <c r="BM46" i="34"/>
  <c r="BN46" i="34"/>
  <c r="BO46" i="34"/>
  <c r="BP46" i="34"/>
  <c r="AB22" i="34"/>
  <c r="W22" i="34"/>
  <c r="E36" i="34" a="1"/>
  <c r="E36" i="34"/>
  <c r="F36" i="34" a="1"/>
  <c r="F36" i="34"/>
  <c r="G36" i="34" a="1"/>
  <c r="H36" i="34" a="1"/>
  <c r="I36" i="34" a="1"/>
  <c r="J36" i="34" a="1"/>
  <c r="K36" i="34" a="1"/>
  <c r="L36" i="34" a="1"/>
  <c r="M36" i="34" a="1"/>
  <c r="N36" i="34" a="1"/>
  <c r="O36" i="34" a="1"/>
  <c r="P36" i="34" a="1"/>
  <c r="Q36" i="34" a="1"/>
  <c r="R36" i="34" a="1"/>
  <c r="S36" i="34" a="1"/>
  <c r="T36" i="34" a="1"/>
  <c r="U36" i="34" a="1"/>
  <c r="V36" i="34" a="1"/>
  <c r="W36" i="34" a="1"/>
  <c r="X36" i="34" a="1"/>
  <c r="Y36" i="34" a="1"/>
  <c r="Z36" i="34" a="1"/>
  <c r="AA36" i="34" a="1"/>
  <c r="AB36" i="34" a="1"/>
  <c r="AC36" i="34" a="1"/>
  <c r="AD36" i="34" a="1"/>
  <c r="AE36" i="34" a="1"/>
  <c r="AF36" i="34" a="1"/>
  <c r="AG36" i="34" a="1"/>
  <c r="AH36" i="34" a="1"/>
  <c r="AI36" i="34" a="1"/>
  <c r="AJ36" i="34" a="1"/>
  <c r="AK36" i="34" a="1"/>
  <c r="AL36" i="34" a="1"/>
  <c r="AM36" i="34" a="1"/>
  <c r="AN36" i="34" a="1"/>
  <c r="AO36" i="34" a="1"/>
  <c r="AP36" i="34" a="1"/>
  <c r="AQ36" i="34" a="1"/>
  <c r="AR36" i="34" a="1"/>
  <c r="AS36" i="34" a="1"/>
  <c r="AT36" i="34" a="1"/>
  <c r="AU36" i="34" a="1"/>
  <c r="AV36" i="34" a="1"/>
  <c r="AW36" i="34" a="1"/>
  <c r="AX36" i="34" a="1"/>
  <c r="AY36" i="34" a="1"/>
  <c r="AZ36" i="34" a="1"/>
  <c r="BA36" i="34" a="1"/>
  <c r="BB36" i="34" a="1"/>
  <c r="BC36" i="34" a="1"/>
  <c r="BD36" i="34" a="1"/>
  <c r="BE36" i="34" a="1"/>
  <c r="BF36" i="34" a="1"/>
  <c r="BG36" i="34" a="1"/>
  <c r="BH36" i="34" a="1"/>
  <c r="BI36" i="34" a="1"/>
  <c r="BJ36" i="34" a="1"/>
  <c r="BK36" i="34" a="1"/>
  <c r="BL36" i="34" a="1"/>
  <c r="BM36" i="34" a="1"/>
  <c r="BN36" i="34" a="1"/>
  <c r="BO36" i="34" a="1"/>
  <c r="BP36" i="34" a="1"/>
  <c r="G36" i="34"/>
  <c r="H36" i="34"/>
  <c r="I36" i="34"/>
  <c r="J36" i="34"/>
  <c r="K36" i="34"/>
  <c r="L36" i="34"/>
  <c r="M36" i="34"/>
  <c r="N36" i="34"/>
  <c r="O36" i="34"/>
  <c r="P36" i="34"/>
  <c r="Q36" i="34"/>
  <c r="R36" i="34"/>
  <c r="S36" i="34"/>
  <c r="T36" i="34"/>
  <c r="U36" i="34"/>
  <c r="V36" i="34"/>
  <c r="W36" i="34"/>
  <c r="X36" i="34"/>
  <c r="Y36" i="34"/>
  <c r="Z36" i="34"/>
  <c r="AA36" i="34"/>
  <c r="AB36" i="34"/>
  <c r="AC36" i="34"/>
  <c r="AD36" i="34"/>
  <c r="AE36" i="34"/>
  <c r="AF36" i="34"/>
  <c r="AG36" i="34"/>
  <c r="AH36" i="34"/>
  <c r="AI36" i="34"/>
  <c r="AJ36" i="34"/>
  <c r="AK36" i="34"/>
  <c r="AL36" i="34"/>
  <c r="AM36" i="34"/>
  <c r="AN36" i="34"/>
  <c r="AO36" i="34"/>
  <c r="AP36" i="34"/>
  <c r="AQ36" i="34"/>
  <c r="AR36" i="34"/>
  <c r="AS36" i="34"/>
  <c r="AT36" i="34"/>
  <c r="AU36" i="34"/>
  <c r="AV36" i="34"/>
  <c r="AW36" i="34"/>
  <c r="AX36" i="34"/>
  <c r="AY36" i="34"/>
  <c r="AZ36" i="34"/>
  <c r="BA36" i="34"/>
  <c r="BB36" i="34"/>
  <c r="BC36" i="34"/>
  <c r="BD36" i="34"/>
  <c r="BE36" i="34"/>
  <c r="BF36" i="34"/>
  <c r="BG36" i="34"/>
  <c r="BH36" i="34"/>
  <c r="BI36" i="34"/>
  <c r="BJ36" i="34"/>
  <c r="BK36" i="34"/>
  <c r="BL36" i="34"/>
  <c r="BM36" i="34"/>
  <c r="BN36" i="34"/>
  <c r="BO36" i="34"/>
  <c r="BP36" i="34"/>
  <c r="AA23" i="34"/>
  <c r="E47" i="34" a="1"/>
  <c r="E47" i="34"/>
  <c r="F47" i="34" a="1"/>
  <c r="F47" i="34"/>
  <c r="G47" i="34" a="1"/>
  <c r="H47" i="34" a="1"/>
  <c r="I47" i="34" a="1"/>
  <c r="J47" i="34" a="1"/>
  <c r="K47" i="34" a="1"/>
  <c r="L47" i="34" a="1"/>
  <c r="M47" i="34" a="1"/>
  <c r="N47" i="34" a="1"/>
  <c r="O47" i="34" a="1"/>
  <c r="P47" i="34" a="1"/>
  <c r="Q47" i="34" a="1"/>
  <c r="R47" i="34" a="1"/>
  <c r="S47" i="34" a="1"/>
  <c r="T47" i="34" a="1"/>
  <c r="U47" i="34" a="1"/>
  <c r="V47" i="34" a="1"/>
  <c r="W47" i="34" a="1"/>
  <c r="X47" i="34" a="1"/>
  <c r="Y47" i="34" a="1"/>
  <c r="Z47" i="34" a="1"/>
  <c r="AA47" i="34" a="1"/>
  <c r="AB47" i="34" a="1"/>
  <c r="AC47" i="34" a="1"/>
  <c r="AD47" i="34" a="1"/>
  <c r="AE47" i="34" a="1"/>
  <c r="AF47" i="34" a="1"/>
  <c r="AG47" i="34" a="1"/>
  <c r="AH47" i="34" a="1"/>
  <c r="AI47" i="34" a="1"/>
  <c r="AJ47" i="34" a="1"/>
  <c r="AK47" i="34" a="1"/>
  <c r="AL47" i="34" a="1"/>
  <c r="AM47" i="34" a="1"/>
  <c r="AN47" i="34" a="1"/>
  <c r="AO47" i="34" a="1"/>
  <c r="AP47" i="34" a="1"/>
  <c r="AQ47" i="34" a="1"/>
  <c r="AR47" i="34" a="1"/>
  <c r="AS47" i="34" a="1"/>
  <c r="AT47" i="34" a="1"/>
  <c r="AU47" i="34" a="1"/>
  <c r="AV47" i="34" a="1"/>
  <c r="AW47" i="34" a="1"/>
  <c r="AX47" i="34" a="1"/>
  <c r="AY47" i="34" a="1"/>
  <c r="AZ47" i="34" a="1"/>
  <c r="BA47" i="34" a="1"/>
  <c r="BB47" i="34" a="1"/>
  <c r="BC47" i="34" a="1"/>
  <c r="BD47" i="34" a="1"/>
  <c r="BE47" i="34" a="1"/>
  <c r="BF47" i="34" a="1"/>
  <c r="BG47" i="34" a="1"/>
  <c r="BH47" i="34" a="1"/>
  <c r="BI47" i="34" a="1"/>
  <c r="BJ47" i="34" a="1"/>
  <c r="BK47" i="34" a="1"/>
  <c r="BL47" i="34" a="1"/>
  <c r="BM47" i="34" a="1"/>
  <c r="BN47" i="34" a="1"/>
  <c r="BO47" i="34" a="1"/>
  <c r="BP47" i="34" a="1"/>
  <c r="G47" i="34"/>
  <c r="H47" i="34"/>
  <c r="I47" i="34"/>
  <c r="J47" i="34"/>
  <c r="K47" i="34"/>
  <c r="L47" i="34"/>
  <c r="M47" i="34"/>
  <c r="N47" i="34"/>
  <c r="O47" i="34"/>
  <c r="P47" i="34"/>
  <c r="Q47" i="34"/>
  <c r="R47" i="34"/>
  <c r="S47" i="34"/>
  <c r="T47" i="34"/>
  <c r="U47" i="34"/>
  <c r="V47" i="34"/>
  <c r="W47" i="34"/>
  <c r="X47" i="34"/>
  <c r="Y47" i="34"/>
  <c r="Z47" i="34"/>
  <c r="AA47" i="34"/>
  <c r="AB47" i="34"/>
  <c r="AC47" i="34"/>
  <c r="AD47" i="34"/>
  <c r="AE47" i="34"/>
  <c r="AF47" i="34"/>
  <c r="AG47" i="34"/>
  <c r="AH47" i="34"/>
  <c r="AI47" i="34"/>
  <c r="AJ47" i="34"/>
  <c r="AK47" i="34"/>
  <c r="AL47" i="34"/>
  <c r="AM47" i="34"/>
  <c r="AN47" i="34"/>
  <c r="AO47" i="34"/>
  <c r="AP47" i="34"/>
  <c r="AQ47" i="34"/>
  <c r="AR47" i="34"/>
  <c r="AS47" i="34"/>
  <c r="AT47" i="34"/>
  <c r="AU47" i="34"/>
  <c r="AV47" i="34"/>
  <c r="AW47" i="34"/>
  <c r="AX47" i="34"/>
  <c r="AY47" i="34"/>
  <c r="AZ47" i="34"/>
  <c r="BA47" i="34"/>
  <c r="BB47" i="34"/>
  <c r="BC47" i="34"/>
  <c r="BD47" i="34"/>
  <c r="BE47" i="34"/>
  <c r="BF47" i="34"/>
  <c r="BG47" i="34"/>
  <c r="BH47" i="34"/>
  <c r="BI47" i="34"/>
  <c r="BJ47" i="34"/>
  <c r="BK47" i="34"/>
  <c r="BL47" i="34"/>
  <c r="BM47" i="34"/>
  <c r="BN47" i="34"/>
  <c r="BO47" i="34"/>
  <c r="BP47" i="34"/>
  <c r="AB23" i="34"/>
  <c r="W23" i="34"/>
  <c r="E37" i="34" a="1"/>
  <c r="E37" i="34"/>
  <c r="F37" i="34" a="1"/>
  <c r="F37" i="34"/>
  <c r="G37" i="34" a="1"/>
  <c r="H37" i="34" a="1"/>
  <c r="I37" i="34" a="1"/>
  <c r="J37" i="34" a="1"/>
  <c r="K37" i="34" a="1"/>
  <c r="L37" i="34" a="1"/>
  <c r="M37" i="34" a="1"/>
  <c r="N37" i="34" a="1"/>
  <c r="O37" i="34" a="1"/>
  <c r="P37" i="34" a="1"/>
  <c r="Q37" i="34" a="1"/>
  <c r="R37" i="34" a="1"/>
  <c r="S37" i="34" a="1"/>
  <c r="T37" i="34" a="1"/>
  <c r="U37" i="34" a="1"/>
  <c r="V37" i="34" a="1"/>
  <c r="W37" i="34" a="1"/>
  <c r="X37" i="34" a="1"/>
  <c r="Y37" i="34" a="1"/>
  <c r="Z37" i="34" a="1"/>
  <c r="AA37" i="34" a="1"/>
  <c r="AB37" i="34" a="1"/>
  <c r="AC37" i="34" a="1"/>
  <c r="AD37" i="34" a="1"/>
  <c r="AE37" i="34" a="1"/>
  <c r="AF37" i="34" a="1"/>
  <c r="AG37" i="34" a="1"/>
  <c r="AH37" i="34" a="1"/>
  <c r="AI37" i="34" a="1"/>
  <c r="AJ37" i="34" a="1"/>
  <c r="AK37" i="34" a="1"/>
  <c r="AL37" i="34" a="1"/>
  <c r="AM37" i="34" a="1"/>
  <c r="AN37" i="34" a="1"/>
  <c r="AO37" i="34" a="1"/>
  <c r="AP37" i="34" a="1"/>
  <c r="AQ37" i="34" a="1"/>
  <c r="AR37" i="34" a="1"/>
  <c r="AS37" i="34" a="1"/>
  <c r="AT37" i="34" a="1"/>
  <c r="AU37" i="34" a="1"/>
  <c r="AV37" i="34" a="1"/>
  <c r="AW37" i="34" a="1"/>
  <c r="AX37" i="34" a="1"/>
  <c r="AY37" i="34" a="1"/>
  <c r="AZ37" i="34" a="1"/>
  <c r="BA37" i="34" a="1"/>
  <c r="BB37" i="34" a="1"/>
  <c r="BC37" i="34" a="1"/>
  <c r="BD37" i="34" a="1"/>
  <c r="BE37" i="34" a="1"/>
  <c r="BF37" i="34" a="1"/>
  <c r="BG37" i="34" a="1"/>
  <c r="BH37" i="34" a="1"/>
  <c r="BI37" i="34" a="1"/>
  <c r="BJ37" i="34" a="1"/>
  <c r="BK37" i="34" a="1"/>
  <c r="BL37" i="34" a="1"/>
  <c r="BM37" i="34" a="1"/>
  <c r="BN37" i="34" a="1"/>
  <c r="BO37" i="34" a="1"/>
  <c r="BP37" i="34" a="1"/>
  <c r="G37" i="34"/>
  <c r="H37" i="34"/>
  <c r="I37" i="34"/>
  <c r="J37" i="34"/>
  <c r="K37" i="34"/>
  <c r="L37" i="34"/>
  <c r="M37" i="34"/>
  <c r="N37" i="34"/>
  <c r="O37" i="34"/>
  <c r="P37" i="34"/>
  <c r="Q37" i="34"/>
  <c r="R37" i="34"/>
  <c r="S37" i="34"/>
  <c r="T37" i="34"/>
  <c r="U37" i="34"/>
  <c r="V37" i="34"/>
  <c r="W37" i="34"/>
  <c r="X37" i="34"/>
  <c r="Y37" i="34"/>
  <c r="Z37" i="34"/>
  <c r="AA37" i="34"/>
  <c r="AB37" i="34"/>
  <c r="AC37" i="34"/>
  <c r="AD37" i="34"/>
  <c r="AE37" i="34"/>
  <c r="AF37" i="34"/>
  <c r="AG37" i="34"/>
  <c r="AH37" i="34"/>
  <c r="AI37" i="34"/>
  <c r="AJ37" i="34"/>
  <c r="AK37" i="34"/>
  <c r="AL37" i="34"/>
  <c r="AM37" i="34"/>
  <c r="AN37" i="34"/>
  <c r="AO37" i="34"/>
  <c r="AP37" i="34"/>
  <c r="AQ37" i="34"/>
  <c r="AR37" i="34"/>
  <c r="AS37" i="34"/>
  <c r="AT37" i="34"/>
  <c r="AU37" i="34"/>
  <c r="AV37" i="34"/>
  <c r="AW37" i="34"/>
  <c r="AX37" i="34"/>
  <c r="AY37" i="34"/>
  <c r="AZ37" i="34"/>
  <c r="BA37" i="34"/>
  <c r="BB37" i="34"/>
  <c r="BC37" i="34"/>
  <c r="BD37" i="34"/>
  <c r="BE37" i="34"/>
  <c r="BF37" i="34"/>
  <c r="BG37" i="34"/>
  <c r="BH37" i="34"/>
  <c r="BI37" i="34"/>
  <c r="BJ37" i="34"/>
  <c r="BK37" i="34"/>
  <c r="BL37" i="34"/>
  <c r="BM37" i="34"/>
  <c r="BN37" i="34"/>
  <c r="BO37" i="34"/>
  <c r="BP37" i="34"/>
  <c r="AA24" i="34"/>
  <c r="E48" i="34" a="1"/>
  <c r="E48" i="34"/>
  <c r="F48" i="34" a="1"/>
  <c r="F48" i="34"/>
  <c r="G48" i="34" a="1"/>
  <c r="H48" i="34" a="1"/>
  <c r="I48" i="34" a="1"/>
  <c r="J48" i="34" a="1"/>
  <c r="K48" i="34" a="1"/>
  <c r="L48" i="34" a="1"/>
  <c r="M48" i="34" a="1"/>
  <c r="N48" i="34" a="1"/>
  <c r="O48" i="34" a="1"/>
  <c r="P48" i="34" a="1"/>
  <c r="Q48" i="34" a="1"/>
  <c r="R48" i="34" a="1"/>
  <c r="S48" i="34" a="1"/>
  <c r="T48" i="34" a="1"/>
  <c r="U48" i="34" a="1"/>
  <c r="V48" i="34" a="1"/>
  <c r="W48" i="34" a="1"/>
  <c r="X48" i="34" a="1"/>
  <c r="Y48" i="34" a="1"/>
  <c r="Z48" i="34" a="1"/>
  <c r="AA48" i="34" a="1"/>
  <c r="AB48" i="34" a="1"/>
  <c r="AC48" i="34" a="1"/>
  <c r="AD48" i="34" a="1"/>
  <c r="AE48" i="34" a="1"/>
  <c r="AF48" i="34" a="1"/>
  <c r="AG48" i="34" a="1"/>
  <c r="AH48" i="34" a="1"/>
  <c r="AI48" i="34" a="1"/>
  <c r="AJ48" i="34" a="1"/>
  <c r="AK48" i="34" a="1"/>
  <c r="AL48" i="34" a="1"/>
  <c r="AM48" i="34" a="1"/>
  <c r="AN48" i="34" a="1"/>
  <c r="AO48" i="34" a="1"/>
  <c r="AP48" i="34" a="1"/>
  <c r="AQ48" i="34" a="1"/>
  <c r="AR48" i="34" a="1"/>
  <c r="AS48" i="34" a="1"/>
  <c r="AT48" i="34" a="1"/>
  <c r="AU48" i="34" a="1"/>
  <c r="AV48" i="34" a="1"/>
  <c r="AW48" i="34" a="1"/>
  <c r="AX48" i="34" a="1"/>
  <c r="AY48" i="34" a="1"/>
  <c r="AZ48" i="34" a="1"/>
  <c r="BA48" i="34" a="1"/>
  <c r="BB48" i="34" a="1"/>
  <c r="BC48" i="34" a="1"/>
  <c r="BD48" i="34" a="1"/>
  <c r="BE48" i="34" a="1"/>
  <c r="BF48" i="34" a="1"/>
  <c r="BG48" i="34" a="1"/>
  <c r="BH48" i="34" a="1"/>
  <c r="BI48" i="34" a="1"/>
  <c r="BJ48" i="34" a="1"/>
  <c r="BK48" i="34" a="1"/>
  <c r="BL48" i="34" a="1"/>
  <c r="BM48" i="34" a="1"/>
  <c r="BN48" i="34" a="1"/>
  <c r="BO48" i="34" a="1"/>
  <c r="BP48" i="34" a="1"/>
  <c r="G48" i="34"/>
  <c r="H48" i="34"/>
  <c r="I48" i="34"/>
  <c r="J48" i="34"/>
  <c r="K48" i="34"/>
  <c r="L48" i="34"/>
  <c r="M48" i="34"/>
  <c r="N48" i="34"/>
  <c r="O48" i="34"/>
  <c r="P48" i="34"/>
  <c r="Q48" i="34"/>
  <c r="R48" i="34"/>
  <c r="S48" i="34"/>
  <c r="T48" i="34"/>
  <c r="U48" i="34"/>
  <c r="V48" i="34"/>
  <c r="W48" i="34"/>
  <c r="X48" i="34"/>
  <c r="Y48" i="34"/>
  <c r="Z48" i="34"/>
  <c r="AA48" i="34"/>
  <c r="AB48" i="34"/>
  <c r="AC48" i="34"/>
  <c r="AD48" i="34"/>
  <c r="AE48" i="34"/>
  <c r="AF48" i="34"/>
  <c r="AG48" i="34"/>
  <c r="AH48" i="34"/>
  <c r="AI48" i="34"/>
  <c r="AJ48" i="34"/>
  <c r="AK48" i="34"/>
  <c r="AL48" i="34"/>
  <c r="AM48" i="34"/>
  <c r="AN48" i="34"/>
  <c r="AO48" i="34"/>
  <c r="AP48" i="34"/>
  <c r="AQ48" i="34"/>
  <c r="AR48" i="34"/>
  <c r="AS48" i="34"/>
  <c r="AT48" i="34"/>
  <c r="AU48" i="34"/>
  <c r="AV48" i="34"/>
  <c r="AW48" i="34"/>
  <c r="AX48" i="34"/>
  <c r="AY48" i="34"/>
  <c r="AZ48" i="34"/>
  <c r="BA48" i="34"/>
  <c r="BB48" i="34"/>
  <c r="BC48" i="34"/>
  <c r="BD48" i="34"/>
  <c r="BE48" i="34"/>
  <c r="BF48" i="34"/>
  <c r="BG48" i="34"/>
  <c r="BH48" i="34"/>
  <c r="BI48" i="34"/>
  <c r="BJ48" i="34"/>
  <c r="BK48" i="34"/>
  <c r="BL48" i="34"/>
  <c r="BM48" i="34"/>
  <c r="BN48" i="34"/>
  <c r="BO48" i="34"/>
  <c r="BP48" i="34"/>
  <c r="AB24" i="34"/>
  <c r="W24" i="34"/>
  <c r="E38" i="34" a="1"/>
  <c r="E38" i="34"/>
  <c r="F38" i="34" a="1"/>
  <c r="F38" i="34"/>
  <c r="G38" i="34" a="1"/>
  <c r="H38" i="34" a="1"/>
  <c r="I38" i="34" a="1"/>
  <c r="J38" i="34" a="1"/>
  <c r="K38" i="34" a="1"/>
  <c r="L38" i="34" a="1"/>
  <c r="M38" i="34" a="1"/>
  <c r="N38" i="34" a="1"/>
  <c r="O38" i="34" a="1"/>
  <c r="P38" i="34" a="1"/>
  <c r="Q38" i="34" a="1"/>
  <c r="R38" i="34" a="1"/>
  <c r="S38" i="34" a="1"/>
  <c r="T38" i="34" a="1"/>
  <c r="U38" i="34" a="1"/>
  <c r="V38" i="34" a="1"/>
  <c r="W38" i="34" a="1"/>
  <c r="X38" i="34" a="1"/>
  <c r="Y38" i="34" a="1"/>
  <c r="Z38" i="34" a="1"/>
  <c r="AA38" i="34" a="1"/>
  <c r="AB38" i="34" a="1"/>
  <c r="AC38" i="34" a="1"/>
  <c r="AD38" i="34" a="1"/>
  <c r="AE38" i="34" a="1"/>
  <c r="AF38" i="34" a="1"/>
  <c r="AG38" i="34" a="1"/>
  <c r="AH38" i="34" a="1"/>
  <c r="AI38" i="34" a="1"/>
  <c r="AJ38" i="34" a="1"/>
  <c r="AK38" i="34" a="1"/>
  <c r="AL38" i="34" a="1"/>
  <c r="AM38" i="34" a="1"/>
  <c r="AN38" i="34" a="1"/>
  <c r="AO38" i="34" a="1"/>
  <c r="AP38" i="34" a="1"/>
  <c r="AQ38" i="34" a="1"/>
  <c r="AR38" i="34" a="1"/>
  <c r="AS38" i="34" a="1"/>
  <c r="AT38" i="34" a="1"/>
  <c r="AU38" i="34" a="1"/>
  <c r="AV38" i="34" a="1"/>
  <c r="AW38" i="34" a="1"/>
  <c r="AX38" i="34" a="1"/>
  <c r="AY38" i="34" a="1"/>
  <c r="AZ38" i="34" a="1"/>
  <c r="BA38" i="34" a="1"/>
  <c r="BB38" i="34" a="1"/>
  <c r="BC38" i="34" a="1"/>
  <c r="BD38" i="34" a="1"/>
  <c r="BE38" i="34" a="1"/>
  <c r="BF38" i="34" a="1"/>
  <c r="BG38" i="34" a="1"/>
  <c r="BH38" i="34" a="1"/>
  <c r="BI38" i="34" a="1"/>
  <c r="BJ38" i="34" a="1"/>
  <c r="BK38" i="34" a="1"/>
  <c r="BL38" i="34" a="1"/>
  <c r="BM38" i="34" a="1"/>
  <c r="BN38" i="34" a="1"/>
  <c r="BO38" i="34" a="1"/>
  <c r="BP38" i="34" a="1"/>
  <c r="G38" i="34"/>
  <c r="H38" i="34"/>
  <c r="I38" i="34"/>
  <c r="J38" i="34"/>
  <c r="K38" i="34"/>
  <c r="L38" i="34"/>
  <c r="M38" i="34"/>
  <c r="N38" i="34"/>
  <c r="O38" i="34"/>
  <c r="P38" i="34"/>
  <c r="Q38" i="34"/>
  <c r="R38" i="34"/>
  <c r="S38" i="34"/>
  <c r="T38" i="34"/>
  <c r="U38" i="34"/>
  <c r="V38" i="34"/>
  <c r="W38" i="34"/>
  <c r="X38" i="34"/>
  <c r="Y38" i="34"/>
  <c r="Z38" i="34"/>
  <c r="AA38" i="34"/>
  <c r="AB38" i="34"/>
  <c r="AC38" i="34"/>
  <c r="AD38" i="34"/>
  <c r="AE38" i="34"/>
  <c r="AF38" i="34"/>
  <c r="AG38" i="34"/>
  <c r="AH38" i="34"/>
  <c r="AI38" i="34"/>
  <c r="AJ38" i="34"/>
  <c r="AK38" i="34"/>
  <c r="AL38" i="34"/>
  <c r="AM38" i="34"/>
  <c r="AN38" i="34"/>
  <c r="AO38" i="34"/>
  <c r="AP38" i="34"/>
  <c r="AQ38" i="34"/>
  <c r="AR38" i="34"/>
  <c r="AS38" i="34"/>
  <c r="AT38" i="34"/>
  <c r="AU38" i="34"/>
  <c r="AV38" i="34"/>
  <c r="AW38" i="34"/>
  <c r="AX38" i="34"/>
  <c r="AY38" i="34"/>
  <c r="AZ38" i="34"/>
  <c r="BA38" i="34"/>
  <c r="BB38" i="34"/>
  <c r="BC38" i="34"/>
  <c r="BD38" i="34"/>
  <c r="BE38" i="34"/>
  <c r="BF38" i="34"/>
  <c r="BG38" i="34"/>
  <c r="BH38" i="34"/>
  <c r="BI38" i="34"/>
  <c r="BJ38" i="34"/>
  <c r="BK38" i="34"/>
  <c r="BL38" i="34"/>
  <c r="BM38" i="34"/>
  <c r="BN38" i="34"/>
  <c r="BO38" i="34"/>
  <c r="BP38" i="34"/>
  <c r="AA25" i="34"/>
  <c r="E49" i="34" a="1"/>
  <c r="E49" i="34"/>
  <c r="F49" i="34" a="1"/>
  <c r="F49" i="34"/>
  <c r="G49" i="34" a="1"/>
  <c r="H49" i="34" a="1"/>
  <c r="I49" i="34" a="1"/>
  <c r="J49" i="34" a="1"/>
  <c r="K49" i="34" a="1"/>
  <c r="L49" i="34" a="1"/>
  <c r="M49" i="34" a="1"/>
  <c r="N49" i="34" a="1"/>
  <c r="O49" i="34" a="1"/>
  <c r="P49" i="34" a="1"/>
  <c r="Q49" i="34" a="1"/>
  <c r="R49" i="34" a="1"/>
  <c r="S49" i="34" a="1"/>
  <c r="T49" i="34" a="1"/>
  <c r="U49" i="34" a="1"/>
  <c r="V49" i="34" a="1"/>
  <c r="W49" i="34" a="1"/>
  <c r="X49" i="34" a="1"/>
  <c r="Y49" i="34" a="1"/>
  <c r="Z49" i="34" a="1"/>
  <c r="AA49" i="34" a="1"/>
  <c r="AB49" i="34" a="1"/>
  <c r="AC49" i="34" a="1"/>
  <c r="AD49" i="34" a="1"/>
  <c r="AE49" i="34" a="1"/>
  <c r="AF49" i="34" a="1"/>
  <c r="AG49" i="34" a="1"/>
  <c r="AH49" i="34" a="1"/>
  <c r="AI49" i="34" a="1"/>
  <c r="AJ49" i="34" a="1"/>
  <c r="AK49" i="34" a="1"/>
  <c r="AL49" i="34" a="1"/>
  <c r="AM49" i="34" a="1"/>
  <c r="AN49" i="34" a="1"/>
  <c r="AO49" i="34" a="1"/>
  <c r="AP49" i="34" a="1"/>
  <c r="AQ49" i="34" a="1"/>
  <c r="AR49" i="34" a="1"/>
  <c r="AS49" i="34" a="1"/>
  <c r="AT49" i="34" a="1"/>
  <c r="AU49" i="34" a="1"/>
  <c r="AV49" i="34" a="1"/>
  <c r="AW49" i="34" a="1"/>
  <c r="AX49" i="34" a="1"/>
  <c r="AY49" i="34" a="1"/>
  <c r="AZ49" i="34" a="1"/>
  <c r="BA49" i="34" a="1"/>
  <c r="BB49" i="34" a="1"/>
  <c r="BC49" i="34" a="1"/>
  <c r="BD49" i="34" a="1"/>
  <c r="BE49" i="34" a="1"/>
  <c r="BF49" i="34" a="1"/>
  <c r="BG49" i="34" a="1"/>
  <c r="BH49" i="34" a="1"/>
  <c r="BI49" i="34" a="1"/>
  <c r="BJ49" i="34" a="1"/>
  <c r="BK49" i="34" a="1"/>
  <c r="BL49" i="34" a="1"/>
  <c r="BM49" i="34" a="1"/>
  <c r="BN49" i="34" a="1"/>
  <c r="BO49" i="34" a="1"/>
  <c r="BP49" i="34" a="1"/>
  <c r="G49" i="34"/>
  <c r="H49" i="34"/>
  <c r="I49" i="34"/>
  <c r="J49" i="34"/>
  <c r="K49" i="34"/>
  <c r="L49" i="34"/>
  <c r="M49" i="34"/>
  <c r="N49" i="34"/>
  <c r="O49" i="34"/>
  <c r="P49" i="34"/>
  <c r="Q49" i="34"/>
  <c r="R49" i="34"/>
  <c r="S49" i="34"/>
  <c r="T49" i="34"/>
  <c r="U49" i="34"/>
  <c r="V49" i="34"/>
  <c r="W49" i="34"/>
  <c r="X49" i="34"/>
  <c r="Y49" i="34"/>
  <c r="Z49" i="34"/>
  <c r="AA49" i="34"/>
  <c r="AB49" i="34"/>
  <c r="AC49" i="34"/>
  <c r="AD49" i="34"/>
  <c r="AE49" i="34"/>
  <c r="AF49" i="34"/>
  <c r="AG49" i="34"/>
  <c r="AH49" i="34"/>
  <c r="AI49" i="34"/>
  <c r="AJ49" i="34"/>
  <c r="AK49" i="34"/>
  <c r="AL49" i="34"/>
  <c r="AM49" i="34"/>
  <c r="AN49" i="34"/>
  <c r="AO49" i="34"/>
  <c r="AP49" i="34"/>
  <c r="AQ49" i="34"/>
  <c r="AR49" i="34"/>
  <c r="AS49" i="34"/>
  <c r="AT49" i="34"/>
  <c r="AU49" i="34"/>
  <c r="AV49" i="34"/>
  <c r="AW49" i="34"/>
  <c r="AX49" i="34"/>
  <c r="AY49" i="34"/>
  <c r="AZ49" i="34"/>
  <c r="BA49" i="34"/>
  <c r="BB49" i="34"/>
  <c r="BC49" i="34"/>
  <c r="BD49" i="34"/>
  <c r="BE49" i="34"/>
  <c r="BF49" i="34"/>
  <c r="BG49" i="34"/>
  <c r="BH49" i="34"/>
  <c r="BI49" i="34"/>
  <c r="BJ49" i="34"/>
  <c r="BK49" i="34"/>
  <c r="BL49" i="34"/>
  <c r="BM49" i="34"/>
  <c r="BN49" i="34"/>
  <c r="BO49" i="34"/>
  <c r="BP49" i="34"/>
  <c r="AB25" i="34"/>
  <c r="W25" i="34"/>
  <c r="X20" i="34"/>
  <c r="AD17" i="34"/>
  <c r="Y17" i="34"/>
  <c r="X17" i="34"/>
  <c r="AD18" i="34"/>
  <c r="Y18" i="34"/>
  <c r="X18" i="34"/>
  <c r="X19" i="34"/>
  <c r="X21" i="34"/>
  <c r="X22" i="34"/>
  <c r="X23" i="34"/>
  <c r="X24" i="34"/>
  <c r="X25" i="34"/>
  <c r="E7" i="34"/>
  <c r="D7" i="34"/>
  <c r="E4" i="34"/>
  <c r="D4" i="34"/>
  <c r="E5" i="34"/>
  <c r="D5" i="34"/>
  <c r="E6" i="34"/>
  <c r="D6" i="34"/>
  <c r="E8" i="34"/>
  <c r="D8" i="34"/>
  <c r="E9" i="34"/>
  <c r="D9" i="34"/>
  <c r="E10" i="34"/>
  <c r="D10" i="34"/>
  <c r="E11" i="34"/>
  <c r="D11" i="34"/>
  <c r="E12" i="34"/>
  <c r="D12" i="34"/>
  <c r="C7" i="34"/>
  <c r="AS23" i="27" a="1"/>
  <c r="AS23" i="27"/>
  <c r="AB19" i="27"/>
  <c r="I45" i="27"/>
  <c r="AB20" i="27"/>
  <c r="I46" i="27"/>
  <c r="AB21" i="27"/>
  <c r="I47" i="27"/>
  <c r="AF36" i="27"/>
  <c r="AE36" i="27"/>
  <c r="AD36" i="27"/>
  <c r="AC36" i="27"/>
  <c r="AA33" i="27"/>
  <c r="AA34" i="27"/>
  <c r="AA35" i="27"/>
  <c r="AA36" i="27"/>
  <c r="AF35" i="27"/>
  <c r="AE35" i="27"/>
  <c r="AD35" i="27"/>
  <c r="AC35" i="27"/>
  <c r="AF34" i="27"/>
  <c r="AE34" i="27"/>
  <c r="AD34" i="27"/>
  <c r="AC34" i="27"/>
  <c r="AF33" i="27"/>
  <c r="AE33" i="27"/>
  <c r="AD33" i="27"/>
  <c r="AC33" i="27"/>
  <c r="C13" i="32" a="1"/>
  <c r="C13" i="32"/>
  <c r="E13" i="32"/>
  <c r="Q64" i="30"/>
  <c r="F4" i="30"/>
  <c r="V64" i="30"/>
  <c r="AJ64" i="30"/>
  <c r="W64" i="30"/>
  <c r="AA64" i="30"/>
  <c r="V65" i="30"/>
  <c r="V66" i="30"/>
  <c r="V67" i="30"/>
  <c r="V68" i="30"/>
  <c r="V69" i="30"/>
  <c r="V70" i="30"/>
  <c r="V71" i="30"/>
  <c r="V72" i="30"/>
  <c r="V73" i="30"/>
  <c r="V74" i="30"/>
  <c r="V75" i="30"/>
  <c r="V76" i="30"/>
  <c r="V77" i="30"/>
  <c r="V78" i="30"/>
  <c r="V79" i="30"/>
  <c r="V80" i="30"/>
  <c r="V81" i="30"/>
  <c r="V82" i="30"/>
  <c r="V83" i="30"/>
  <c r="V84" i="30"/>
  <c r="V85" i="30"/>
  <c r="V86" i="30"/>
  <c r="V87" i="30"/>
  <c r="V88" i="30"/>
  <c r="AJ65" i="30"/>
  <c r="AJ66" i="30"/>
  <c r="AJ67" i="30"/>
  <c r="AJ68" i="30"/>
  <c r="AJ69" i="30"/>
  <c r="AJ70" i="30"/>
  <c r="AJ71" i="30"/>
  <c r="AJ72" i="30"/>
  <c r="AJ73" i="30"/>
  <c r="AJ74" i="30"/>
  <c r="AJ75" i="30"/>
  <c r="AJ76" i="30"/>
  <c r="AJ77" i="30"/>
  <c r="AJ78" i="30"/>
  <c r="AJ79" i="30"/>
  <c r="AJ80" i="30"/>
  <c r="AJ81" i="30"/>
  <c r="AJ82" i="30"/>
  <c r="AJ83" i="30"/>
  <c r="AJ84" i="30"/>
  <c r="AJ85" i="30"/>
  <c r="AJ86" i="30"/>
  <c r="AJ87" i="30"/>
  <c r="AJ88" i="30"/>
  <c r="W65" i="30"/>
  <c r="AA65" i="30"/>
  <c r="W66" i="30"/>
  <c r="AA66" i="30"/>
  <c r="W67" i="30"/>
  <c r="AA67" i="30"/>
  <c r="W68" i="30"/>
  <c r="AA68" i="30"/>
  <c r="W69" i="30"/>
  <c r="AA69" i="30"/>
  <c r="W70" i="30"/>
  <c r="AA70" i="30"/>
  <c r="W71" i="30"/>
  <c r="AA71" i="30"/>
  <c r="W72" i="30"/>
  <c r="AA72" i="30"/>
  <c r="W73" i="30"/>
  <c r="AA73" i="30"/>
  <c r="W74" i="30"/>
  <c r="AA74" i="30"/>
  <c r="W75" i="30"/>
  <c r="AA75" i="30"/>
  <c r="W76" i="30"/>
  <c r="AA76" i="30"/>
  <c r="W77" i="30"/>
  <c r="AA77" i="30"/>
  <c r="W78" i="30"/>
  <c r="AA78" i="30"/>
  <c r="W79" i="30"/>
  <c r="AA79" i="30"/>
  <c r="W80" i="30"/>
  <c r="AA80" i="30"/>
  <c r="W81" i="30"/>
  <c r="AA81" i="30"/>
  <c r="W82" i="30"/>
  <c r="AA82" i="30"/>
  <c r="W83" i="30"/>
  <c r="AA83" i="30"/>
  <c r="W84" i="30"/>
  <c r="AA84" i="30"/>
  <c r="W85" i="30"/>
  <c r="AA85" i="30"/>
  <c r="W86" i="30"/>
  <c r="AA86" i="30"/>
  <c r="W87" i="30"/>
  <c r="AA87" i="30"/>
  <c r="W88" i="30"/>
  <c r="AA88" i="30"/>
  <c r="AK64" i="30"/>
  <c r="AK65" i="30"/>
  <c r="AK66" i="30"/>
  <c r="AK67" i="30"/>
  <c r="AK68" i="30"/>
  <c r="AK69" i="30"/>
  <c r="AK70" i="30"/>
  <c r="AK71" i="30"/>
  <c r="AK72" i="30"/>
  <c r="AK73" i="30"/>
  <c r="AK74" i="30"/>
  <c r="AK75" i="30"/>
  <c r="AK76" i="30"/>
  <c r="AK77" i="30"/>
  <c r="AK78" i="30"/>
  <c r="AK79" i="30"/>
  <c r="AK80" i="30"/>
  <c r="AK81" i="30"/>
  <c r="AK82" i="30"/>
  <c r="AK83" i="30"/>
  <c r="AK84" i="30"/>
  <c r="AK85" i="30"/>
  <c r="AK86" i="30"/>
  <c r="AK87" i="30"/>
  <c r="AK88" i="30"/>
  <c r="K4" i="30"/>
  <c r="Q65" i="30"/>
  <c r="F5" i="30"/>
  <c r="K5" i="30"/>
  <c r="Q66" i="30"/>
  <c r="F6" i="30"/>
  <c r="K6" i="30"/>
  <c r="Q67" i="30"/>
  <c r="F7" i="30"/>
  <c r="K7" i="30"/>
  <c r="K8" i="30"/>
  <c r="K9" i="30"/>
  <c r="K10" i="30"/>
  <c r="K11" i="30"/>
  <c r="K12" i="30"/>
  <c r="K13" i="30"/>
  <c r="F13" i="30"/>
  <c r="AS30" i="27" a="1"/>
  <c r="AS30" i="27"/>
  <c r="L4" i="30"/>
  <c r="M4" i="30"/>
  <c r="J4" i="30"/>
  <c r="K17" i="30"/>
  <c r="AT4" i="30"/>
  <c r="AS4" i="30"/>
  <c r="AU4" i="30"/>
  <c r="AH66" i="30"/>
  <c r="AH74" i="30"/>
  <c r="X86" i="30"/>
  <c r="AD86" i="30"/>
  <c r="AF86" i="30"/>
  <c r="AH86" i="30"/>
  <c r="G4" i="30"/>
  <c r="AI66" i="30"/>
  <c r="AI74" i="30"/>
  <c r="Y86" i="30"/>
  <c r="AE86" i="30"/>
  <c r="AG86" i="30"/>
  <c r="AI86" i="30"/>
  <c r="H4" i="30"/>
  <c r="I4" i="30"/>
  <c r="AW4" i="30"/>
  <c r="AH70" i="30"/>
  <c r="AH78" i="30"/>
  <c r="G5" i="30"/>
  <c r="AI70" i="30"/>
  <c r="AI78" i="30"/>
  <c r="H5" i="30"/>
  <c r="I5" i="30"/>
  <c r="AW5" i="30"/>
  <c r="AH64" i="30"/>
  <c r="AH65" i="30"/>
  <c r="AH69" i="30"/>
  <c r="AH73" i="30"/>
  <c r="X67" i="30"/>
  <c r="AD67" i="30"/>
  <c r="AF67" i="30"/>
  <c r="AH67" i="30"/>
  <c r="X68" i="30"/>
  <c r="AD68" i="30"/>
  <c r="AF68" i="30"/>
  <c r="AH68" i="30"/>
  <c r="X71" i="30"/>
  <c r="AD71" i="30"/>
  <c r="AF71" i="30"/>
  <c r="AH71" i="30"/>
  <c r="X72" i="30"/>
  <c r="AD72" i="30"/>
  <c r="AF72" i="30"/>
  <c r="AH72" i="30"/>
  <c r="X75" i="30"/>
  <c r="AD75" i="30"/>
  <c r="AF75" i="30"/>
  <c r="AH75" i="30"/>
  <c r="X76" i="30"/>
  <c r="AD76" i="30"/>
  <c r="AF76" i="30"/>
  <c r="AH76" i="30"/>
  <c r="AH77" i="30"/>
  <c r="X79" i="30"/>
  <c r="AD79" i="30"/>
  <c r="AF79" i="30"/>
  <c r="AH79" i="30"/>
  <c r="X80" i="30"/>
  <c r="AD80" i="30"/>
  <c r="AF80" i="30"/>
  <c r="AH80" i="30"/>
  <c r="AH81" i="30"/>
  <c r="AH82" i="30"/>
  <c r="X83" i="30"/>
  <c r="AD83" i="30"/>
  <c r="AF83" i="30"/>
  <c r="AH83" i="30"/>
  <c r="X84" i="30"/>
  <c r="AD84" i="30"/>
  <c r="AF84" i="30"/>
  <c r="AH84" i="30"/>
  <c r="AH85" i="30"/>
  <c r="X87" i="30"/>
  <c r="AD87" i="30"/>
  <c r="AF87" i="30"/>
  <c r="AH87" i="30"/>
  <c r="X88" i="30"/>
  <c r="AD88" i="30"/>
  <c r="AF88" i="30"/>
  <c r="AH88" i="30"/>
  <c r="AI64" i="30"/>
  <c r="AI65" i="30"/>
  <c r="Y67" i="30"/>
  <c r="AE67" i="30"/>
  <c r="AG67" i="30"/>
  <c r="AI67" i="30"/>
  <c r="Y68" i="30"/>
  <c r="AE68" i="30"/>
  <c r="AG68" i="30"/>
  <c r="AI68" i="30"/>
  <c r="AI69" i="30"/>
  <c r="Y71" i="30"/>
  <c r="AE71" i="30"/>
  <c r="AG71" i="30"/>
  <c r="AI71" i="30"/>
  <c r="Y72" i="30"/>
  <c r="AE72" i="30"/>
  <c r="AG72" i="30"/>
  <c r="AI72" i="30"/>
  <c r="AI73" i="30"/>
  <c r="Y75" i="30"/>
  <c r="AE75" i="30"/>
  <c r="AG75" i="30"/>
  <c r="AI75" i="30"/>
  <c r="Y76" i="30"/>
  <c r="AE76" i="30"/>
  <c r="AG76" i="30"/>
  <c r="AI76" i="30"/>
  <c r="AI77" i="30"/>
  <c r="Y79" i="30"/>
  <c r="AE79" i="30"/>
  <c r="AG79" i="30"/>
  <c r="AI79" i="30"/>
  <c r="Y80" i="30"/>
  <c r="AE80" i="30"/>
  <c r="AG80" i="30"/>
  <c r="AI80" i="30"/>
  <c r="AI81" i="30"/>
  <c r="AI82" i="30"/>
  <c r="Y83" i="30"/>
  <c r="AE83" i="30"/>
  <c r="AG83" i="30"/>
  <c r="AI83" i="30"/>
  <c r="Y84" i="30"/>
  <c r="AE84" i="30"/>
  <c r="AG84" i="30"/>
  <c r="AI84" i="30"/>
  <c r="AI85" i="30"/>
  <c r="Y87" i="30"/>
  <c r="AE87" i="30"/>
  <c r="AG87" i="30"/>
  <c r="AI87" i="30"/>
  <c r="Y88" i="30"/>
  <c r="AE88" i="30"/>
  <c r="AG88" i="30"/>
  <c r="AI88" i="30"/>
  <c r="G6" i="30"/>
  <c r="H6" i="30"/>
  <c r="I6" i="30"/>
  <c r="AW6" i="30"/>
  <c r="G7" i="30"/>
  <c r="H7" i="30"/>
  <c r="I7" i="30"/>
  <c r="AW7" i="30"/>
  <c r="G8" i="30"/>
  <c r="H8" i="30"/>
  <c r="I8" i="30"/>
  <c r="AW8" i="30"/>
  <c r="G9" i="30"/>
  <c r="H9" i="30"/>
  <c r="I9" i="30"/>
  <c r="AW9" i="30"/>
  <c r="G10" i="30"/>
  <c r="H10" i="30"/>
  <c r="I10" i="30"/>
  <c r="AW10" i="30"/>
  <c r="G11" i="30"/>
  <c r="H11" i="30"/>
  <c r="I11" i="30"/>
  <c r="AW11" i="30"/>
  <c r="G12" i="30"/>
  <c r="H12" i="30"/>
  <c r="I12" i="30"/>
  <c r="AW12" i="30"/>
  <c r="AX4" i="30"/>
  <c r="L17" i="30"/>
  <c r="L5" i="30"/>
  <c r="M5" i="30"/>
  <c r="J5" i="30"/>
  <c r="K18" i="30"/>
  <c r="AT5" i="30"/>
  <c r="AS5" i="30"/>
  <c r="AU5" i="30"/>
  <c r="AX5" i="30"/>
  <c r="L18" i="30"/>
  <c r="L6" i="30"/>
  <c r="M6" i="30"/>
  <c r="J6" i="30"/>
  <c r="K19" i="30"/>
  <c r="AT6" i="30"/>
  <c r="AS6" i="30"/>
  <c r="AU6" i="30"/>
  <c r="AX6" i="30"/>
  <c r="L19" i="30"/>
  <c r="L7" i="30"/>
  <c r="M7" i="30"/>
  <c r="J7" i="30"/>
  <c r="K20" i="30"/>
  <c r="AT7" i="30"/>
  <c r="AS7" i="30"/>
  <c r="AU7" i="30"/>
  <c r="AX7" i="30"/>
  <c r="L20" i="30"/>
  <c r="L8" i="30"/>
  <c r="M8" i="30"/>
  <c r="J8" i="30"/>
  <c r="K21" i="30"/>
  <c r="AT8" i="30"/>
  <c r="AS8" i="30"/>
  <c r="AU8" i="30"/>
  <c r="AX8" i="30"/>
  <c r="L21" i="30"/>
  <c r="L9" i="30"/>
  <c r="M9" i="30"/>
  <c r="J9" i="30"/>
  <c r="K22" i="30"/>
  <c r="AT9" i="30"/>
  <c r="AS9" i="30"/>
  <c r="AU9" i="30"/>
  <c r="AX9" i="30"/>
  <c r="L22" i="30"/>
  <c r="L10" i="30"/>
  <c r="M10" i="30"/>
  <c r="J10" i="30"/>
  <c r="K23" i="30"/>
  <c r="AT10" i="30"/>
  <c r="AS10" i="30"/>
  <c r="AU10" i="30"/>
  <c r="AX10" i="30"/>
  <c r="L23" i="30"/>
  <c r="L11" i="30"/>
  <c r="M11" i="30"/>
  <c r="J11" i="30"/>
  <c r="K24" i="30"/>
  <c r="AT11" i="30"/>
  <c r="AS11" i="30"/>
  <c r="AU11" i="30"/>
  <c r="AX11" i="30"/>
  <c r="L24" i="30"/>
  <c r="L12" i="30"/>
  <c r="M12" i="30"/>
  <c r="J12" i="30"/>
  <c r="K25" i="30"/>
  <c r="AT12" i="30"/>
  <c r="AS12" i="30"/>
  <c r="AU12" i="30"/>
  <c r="AX12" i="30"/>
  <c r="L25" i="30"/>
  <c r="M17" i="30"/>
  <c r="N17" i="30" a="1"/>
  <c r="N17" i="30"/>
  <c r="O17" i="30"/>
  <c r="C17" i="30"/>
  <c r="E30" i="30" a="1"/>
  <c r="E30" i="30"/>
  <c r="F30" i="30" a="1"/>
  <c r="F30" i="30"/>
  <c r="G30" i="30" a="1"/>
  <c r="H30" i="30" a="1"/>
  <c r="I30" i="30" a="1"/>
  <c r="J30" i="30" a="1"/>
  <c r="K30" i="30" a="1"/>
  <c r="L30" i="30" a="1"/>
  <c r="P17" i="30"/>
  <c r="M30" i="30" a="1"/>
  <c r="N30" i="30" a="1"/>
  <c r="O30" i="30" a="1"/>
  <c r="P30" i="30" a="1"/>
  <c r="Q30" i="30" a="1"/>
  <c r="R30" i="30" a="1"/>
  <c r="S30" i="30" a="1"/>
  <c r="T30" i="30" a="1"/>
  <c r="Q17" i="30"/>
  <c r="U30" i="30" a="1"/>
  <c r="V30" i="30" a="1"/>
  <c r="W30" i="30" a="1"/>
  <c r="X30" i="30" a="1"/>
  <c r="Y30" i="30" a="1"/>
  <c r="Z30" i="30" a="1"/>
  <c r="AA30" i="30" a="1"/>
  <c r="AB30" i="30" a="1"/>
  <c r="R17" i="30"/>
  <c r="AC30" i="30" a="1"/>
  <c r="AD30" i="30" a="1"/>
  <c r="AE30" i="30" a="1"/>
  <c r="AF30" i="30" a="1"/>
  <c r="AG30" i="30" a="1"/>
  <c r="AH30" i="30" a="1"/>
  <c r="AI30" i="30" a="1"/>
  <c r="AJ30" i="30" a="1"/>
  <c r="S17" i="30"/>
  <c r="AK30" i="30" a="1"/>
  <c r="AL30" i="30" a="1"/>
  <c r="AM30" i="30" a="1"/>
  <c r="AN30" i="30" a="1"/>
  <c r="AO30" i="30" a="1"/>
  <c r="AP30" i="30" a="1"/>
  <c r="AQ30" i="30" a="1"/>
  <c r="AR30" i="30" a="1"/>
  <c r="T17" i="30"/>
  <c r="AS30" i="30" a="1"/>
  <c r="AT30" i="30" a="1"/>
  <c r="AU30" i="30" a="1"/>
  <c r="AV30" i="30" a="1"/>
  <c r="AW30" i="30" a="1"/>
  <c r="AX30" i="30" a="1"/>
  <c r="AY30" i="30" a="1"/>
  <c r="AZ30" i="30" a="1"/>
  <c r="U17" i="30"/>
  <c r="BA30" i="30" a="1"/>
  <c r="BB30" i="30" a="1"/>
  <c r="BC30" i="30" a="1"/>
  <c r="BD30" i="30" a="1"/>
  <c r="BE30" i="30" a="1"/>
  <c r="BF30" i="30" a="1"/>
  <c r="BG30" i="30" a="1"/>
  <c r="BH30" i="30" a="1"/>
  <c r="V17" i="30"/>
  <c r="BI30" i="30" a="1"/>
  <c r="BJ30" i="30" a="1"/>
  <c r="BK30" i="30" a="1"/>
  <c r="BL30" i="30" a="1"/>
  <c r="BM30" i="30" a="1"/>
  <c r="BN30" i="30" a="1"/>
  <c r="BO30" i="30" a="1"/>
  <c r="BP30" i="30" a="1"/>
  <c r="G30" i="30"/>
  <c r="H30" i="30"/>
  <c r="I30" i="30"/>
  <c r="J30" i="30"/>
  <c r="K30" i="30"/>
  <c r="L30" i="30"/>
  <c r="M30" i="30"/>
  <c r="N30" i="30"/>
  <c r="O30" i="30"/>
  <c r="P30" i="30"/>
  <c r="Q30" i="30"/>
  <c r="R30" i="30"/>
  <c r="S30" i="30"/>
  <c r="T30" i="30"/>
  <c r="U30" i="30"/>
  <c r="V30" i="30"/>
  <c r="W30" i="30"/>
  <c r="X30" i="30"/>
  <c r="Y30" i="30"/>
  <c r="Z30" i="30"/>
  <c r="AA30" i="30"/>
  <c r="AB30" i="30"/>
  <c r="AC30" i="30"/>
  <c r="AD30" i="30"/>
  <c r="AE30" i="30"/>
  <c r="AF30" i="30"/>
  <c r="AG30" i="30"/>
  <c r="AH30" i="30"/>
  <c r="AI30" i="30"/>
  <c r="AJ30" i="30"/>
  <c r="AK30" i="30"/>
  <c r="AL30" i="30"/>
  <c r="AM30" i="30"/>
  <c r="AN30" i="30"/>
  <c r="AO30" i="30"/>
  <c r="AP30" i="30"/>
  <c r="AQ30" i="30"/>
  <c r="AR30" i="30"/>
  <c r="AS30" i="30"/>
  <c r="AT30" i="30"/>
  <c r="AU30" i="30"/>
  <c r="AV30" i="30"/>
  <c r="AW30" i="30"/>
  <c r="AX30" i="30"/>
  <c r="AY30" i="30"/>
  <c r="AZ30" i="30"/>
  <c r="BA30" i="30"/>
  <c r="BB30" i="30"/>
  <c r="BC30" i="30"/>
  <c r="BD30" i="30"/>
  <c r="BE30" i="30"/>
  <c r="BF30" i="30"/>
  <c r="BG30" i="30"/>
  <c r="BH30" i="30"/>
  <c r="BI30" i="30"/>
  <c r="BJ30" i="30"/>
  <c r="BK30" i="30"/>
  <c r="BL30" i="30"/>
  <c r="BM30" i="30"/>
  <c r="BN30" i="30"/>
  <c r="BO30" i="30"/>
  <c r="BP30" i="30"/>
  <c r="AA17" i="30"/>
  <c r="E41" i="30" a="1"/>
  <c r="E41" i="30"/>
  <c r="F41" i="30" a="1"/>
  <c r="F41" i="30"/>
  <c r="G41" i="30" a="1"/>
  <c r="H41" i="30" a="1"/>
  <c r="I41" i="30" a="1"/>
  <c r="J41" i="30" a="1"/>
  <c r="K41" i="30" a="1"/>
  <c r="L41" i="30" a="1"/>
  <c r="M41" i="30" a="1"/>
  <c r="N41" i="30" a="1"/>
  <c r="O41" i="30" a="1"/>
  <c r="P41" i="30" a="1"/>
  <c r="Q41" i="30" a="1"/>
  <c r="R41" i="30" a="1"/>
  <c r="S41" i="30" a="1"/>
  <c r="T41" i="30" a="1"/>
  <c r="U41" i="30" a="1"/>
  <c r="V41" i="30" a="1"/>
  <c r="W41" i="30" a="1"/>
  <c r="X41" i="30" a="1"/>
  <c r="Y41" i="30" a="1"/>
  <c r="Z41" i="30" a="1"/>
  <c r="AA41" i="30" a="1"/>
  <c r="AB41" i="30" a="1"/>
  <c r="AC41" i="30" a="1"/>
  <c r="AD41" i="30" a="1"/>
  <c r="AE41" i="30" a="1"/>
  <c r="AF41" i="30" a="1"/>
  <c r="AG41" i="30" a="1"/>
  <c r="AH41" i="30" a="1"/>
  <c r="AI41" i="30" a="1"/>
  <c r="AJ41" i="30" a="1"/>
  <c r="AK41" i="30" a="1"/>
  <c r="AL41" i="30" a="1"/>
  <c r="AM41" i="30" a="1"/>
  <c r="AN41" i="30" a="1"/>
  <c r="AO41" i="30" a="1"/>
  <c r="AP41" i="30" a="1"/>
  <c r="AQ41" i="30" a="1"/>
  <c r="AR41" i="30" a="1"/>
  <c r="AS41" i="30" a="1"/>
  <c r="AT41" i="30" a="1"/>
  <c r="AU41" i="30" a="1"/>
  <c r="AV41" i="30" a="1"/>
  <c r="AW41" i="30" a="1"/>
  <c r="AX41" i="30" a="1"/>
  <c r="AY41" i="30" a="1"/>
  <c r="AZ41" i="30" a="1"/>
  <c r="BA41" i="30" a="1"/>
  <c r="BB41" i="30" a="1"/>
  <c r="BC41" i="30" a="1"/>
  <c r="BD41" i="30" a="1"/>
  <c r="BE41" i="30" a="1"/>
  <c r="BF41" i="30" a="1"/>
  <c r="BG41" i="30" a="1"/>
  <c r="BH41" i="30" a="1"/>
  <c r="BI41" i="30" a="1"/>
  <c r="BJ41" i="30" a="1"/>
  <c r="BK41" i="30" a="1"/>
  <c r="BL41" i="30" a="1"/>
  <c r="BM41" i="30" a="1"/>
  <c r="BN41" i="30" a="1"/>
  <c r="BO41" i="30" a="1"/>
  <c r="BP41" i="30" a="1"/>
  <c r="G41" i="30"/>
  <c r="H41" i="30"/>
  <c r="I41" i="30"/>
  <c r="J41" i="30"/>
  <c r="K41" i="30"/>
  <c r="L41" i="30"/>
  <c r="M41" i="30"/>
  <c r="N41" i="30"/>
  <c r="O41" i="30"/>
  <c r="P41" i="30"/>
  <c r="Q41" i="30"/>
  <c r="R41" i="30"/>
  <c r="S41" i="30"/>
  <c r="T41" i="30"/>
  <c r="U41" i="30"/>
  <c r="V41" i="30"/>
  <c r="W41" i="30"/>
  <c r="X41" i="30"/>
  <c r="Y41" i="30"/>
  <c r="Z41" i="30"/>
  <c r="AA41" i="30"/>
  <c r="AB41" i="30"/>
  <c r="AC41" i="30"/>
  <c r="AD41" i="30"/>
  <c r="AE41" i="30"/>
  <c r="AF41" i="30"/>
  <c r="AG41" i="30"/>
  <c r="AH41" i="30"/>
  <c r="AI41" i="30"/>
  <c r="AJ41" i="30"/>
  <c r="AK41" i="30"/>
  <c r="AL41" i="30"/>
  <c r="AM41" i="30"/>
  <c r="AN41" i="30"/>
  <c r="AO41" i="30"/>
  <c r="AP41" i="30"/>
  <c r="AQ41" i="30"/>
  <c r="AR41" i="30"/>
  <c r="AS41" i="30"/>
  <c r="AT41" i="30"/>
  <c r="AU41" i="30"/>
  <c r="AV41" i="30"/>
  <c r="AW41" i="30"/>
  <c r="AX41" i="30"/>
  <c r="AY41" i="30"/>
  <c r="AZ41" i="30"/>
  <c r="BA41" i="30"/>
  <c r="BB41" i="30"/>
  <c r="BC41" i="30"/>
  <c r="BD41" i="30"/>
  <c r="BE41" i="30"/>
  <c r="BF41" i="30"/>
  <c r="BG41" i="30"/>
  <c r="BH41" i="30"/>
  <c r="BI41" i="30"/>
  <c r="BJ41" i="30"/>
  <c r="BK41" i="30"/>
  <c r="BL41" i="30"/>
  <c r="BM41" i="30"/>
  <c r="BN41" i="30"/>
  <c r="BO41" i="30"/>
  <c r="BP41" i="30"/>
  <c r="AB17" i="30"/>
  <c r="W17" i="30"/>
  <c r="M18" i="30"/>
  <c r="N18" i="30" a="1"/>
  <c r="N18" i="30"/>
  <c r="O18" i="30"/>
  <c r="C18" i="30"/>
  <c r="E31" i="30" a="1"/>
  <c r="E31" i="30"/>
  <c r="F31" i="30" a="1"/>
  <c r="F31" i="30"/>
  <c r="G31" i="30" a="1"/>
  <c r="H31" i="30" a="1"/>
  <c r="I31" i="30" a="1"/>
  <c r="J31" i="30" a="1"/>
  <c r="K31" i="30" a="1"/>
  <c r="L31" i="30" a="1"/>
  <c r="P18" i="30"/>
  <c r="M31" i="30" a="1"/>
  <c r="N31" i="30" a="1"/>
  <c r="O31" i="30" a="1"/>
  <c r="P31" i="30" a="1"/>
  <c r="Q31" i="30" a="1"/>
  <c r="R31" i="30" a="1"/>
  <c r="S31" i="30" a="1"/>
  <c r="T31" i="30" a="1"/>
  <c r="Q18" i="30"/>
  <c r="U31" i="30" a="1"/>
  <c r="V31" i="30" a="1"/>
  <c r="W31" i="30" a="1"/>
  <c r="X31" i="30" a="1"/>
  <c r="Y31" i="30" a="1"/>
  <c r="Z31" i="30" a="1"/>
  <c r="AA31" i="30" a="1"/>
  <c r="AB31" i="30" a="1"/>
  <c r="R18" i="30"/>
  <c r="AC31" i="30" a="1"/>
  <c r="AD31" i="30" a="1"/>
  <c r="AE31" i="30" a="1"/>
  <c r="AF31" i="30" a="1"/>
  <c r="AG31" i="30" a="1"/>
  <c r="AH31" i="30" a="1"/>
  <c r="AI31" i="30" a="1"/>
  <c r="AJ31" i="30" a="1"/>
  <c r="S18" i="30"/>
  <c r="AK31" i="30" a="1"/>
  <c r="AL31" i="30" a="1"/>
  <c r="AM31" i="30" a="1"/>
  <c r="AN31" i="30" a="1"/>
  <c r="AO31" i="30" a="1"/>
  <c r="AP31" i="30" a="1"/>
  <c r="AQ31" i="30" a="1"/>
  <c r="AR31" i="30" a="1"/>
  <c r="T18" i="30"/>
  <c r="AS31" i="30" a="1"/>
  <c r="AT31" i="30" a="1"/>
  <c r="AU31" i="30" a="1"/>
  <c r="AV31" i="30" a="1"/>
  <c r="AW31" i="30" a="1"/>
  <c r="AX31" i="30" a="1"/>
  <c r="AY31" i="30" a="1"/>
  <c r="AZ31" i="30" a="1"/>
  <c r="U18" i="30"/>
  <c r="BA31" i="30" a="1"/>
  <c r="BB31" i="30" a="1"/>
  <c r="BC31" i="30" a="1"/>
  <c r="BD31" i="30" a="1"/>
  <c r="BE31" i="30" a="1"/>
  <c r="BF31" i="30" a="1"/>
  <c r="BG31" i="30" a="1"/>
  <c r="BH31" i="30" a="1"/>
  <c r="V18" i="30"/>
  <c r="BI31" i="30" a="1"/>
  <c r="BJ31" i="30" a="1"/>
  <c r="BK31" i="30" a="1"/>
  <c r="BL31" i="30" a="1"/>
  <c r="BM31" i="30" a="1"/>
  <c r="BN31" i="30" a="1"/>
  <c r="BO31" i="30" a="1"/>
  <c r="BP31" i="30" a="1"/>
  <c r="G31" i="30"/>
  <c r="H31" i="30"/>
  <c r="I31" i="30"/>
  <c r="J31" i="30"/>
  <c r="K31" i="30"/>
  <c r="L31" i="30"/>
  <c r="M31" i="30"/>
  <c r="N31" i="30"/>
  <c r="O31" i="30"/>
  <c r="P31" i="30"/>
  <c r="Q31" i="30"/>
  <c r="R31" i="30"/>
  <c r="S31" i="30"/>
  <c r="T31" i="30"/>
  <c r="U31" i="30"/>
  <c r="V31" i="30"/>
  <c r="W31" i="30"/>
  <c r="X31" i="30"/>
  <c r="Y31" i="30"/>
  <c r="Z31" i="30"/>
  <c r="AA31" i="30"/>
  <c r="AB31" i="30"/>
  <c r="AC31" i="30"/>
  <c r="AD31" i="30"/>
  <c r="AE31" i="30"/>
  <c r="AF31" i="30"/>
  <c r="AG31" i="30"/>
  <c r="AH31" i="30"/>
  <c r="AI31" i="30"/>
  <c r="AJ31" i="30"/>
  <c r="AK31" i="30"/>
  <c r="AL31" i="30"/>
  <c r="AM31" i="30"/>
  <c r="AN31" i="30"/>
  <c r="AO31" i="30"/>
  <c r="AP31" i="30"/>
  <c r="AQ31" i="30"/>
  <c r="AR31" i="30"/>
  <c r="AS31" i="30"/>
  <c r="AT31" i="30"/>
  <c r="AU31" i="30"/>
  <c r="AV31" i="30"/>
  <c r="AW31" i="30"/>
  <c r="AX31" i="30"/>
  <c r="AY31" i="30"/>
  <c r="AZ31" i="30"/>
  <c r="BA31" i="30"/>
  <c r="BB31" i="30"/>
  <c r="BC31" i="30"/>
  <c r="BD31" i="30"/>
  <c r="BE31" i="30"/>
  <c r="BF31" i="30"/>
  <c r="BG31" i="30"/>
  <c r="BH31" i="30"/>
  <c r="BI31" i="30"/>
  <c r="BJ31" i="30"/>
  <c r="BK31" i="30"/>
  <c r="BL31" i="30"/>
  <c r="BM31" i="30"/>
  <c r="BN31" i="30"/>
  <c r="BO31" i="30"/>
  <c r="BP31" i="30"/>
  <c r="AA18" i="30"/>
  <c r="E42" i="30" a="1"/>
  <c r="E42" i="30"/>
  <c r="F42" i="30" a="1"/>
  <c r="F42" i="30"/>
  <c r="G42" i="30" a="1"/>
  <c r="H42" i="30" a="1"/>
  <c r="I42" i="30" a="1"/>
  <c r="J42" i="30" a="1"/>
  <c r="K42" i="30" a="1"/>
  <c r="L42" i="30" a="1"/>
  <c r="M42" i="30" a="1"/>
  <c r="N42" i="30" a="1"/>
  <c r="O42" i="30" a="1"/>
  <c r="P42" i="30" a="1"/>
  <c r="Q42" i="30" a="1"/>
  <c r="R42" i="30" a="1"/>
  <c r="S42" i="30" a="1"/>
  <c r="T42" i="30" a="1"/>
  <c r="U42" i="30" a="1"/>
  <c r="V42" i="30" a="1"/>
  <c r="W42" i="30" a="1"/>
  <c r="X42" i="30" a="1"/>
  <c r="Y42" i="30" a="1"/>
  <c r="Z42" i="30" a="1"/>
  <c r="AA42" i="30" a="1"/>
  <c r="AB42" i="30" a="1"/>
  <c r="AC42" i="30" a="1"/>
  <c r="AD42" i="30" a="1"/>
  <c r="AE42" i="30" a="1"/>
  <c r="AF42" i="30" a="1"/>
  <c r="AG42" i="30" a="1"/>
  <c r="AH42" i="30" a="1"/>
  <c r="AI42" i="30" a="1"/>
  <c r="AJ42" i="30" a="1"/>
  <c r="AK42" i="30" a="1"/>
  <c r="AL42" i="30" a="1"/>
  <c r="AM42" i="30" a="1"/>
  <c r="AN42" i="30" a="1"/>
  <c r="AO42" i="30" a="1"/>
  <c r="AP42" i="30" a="1"/>
  <c r="AQ42" i="30" a="1"/>
  <c r="AR42" i="30" a="1"/>
  <c r="AS42" i="30" a="1"/>
  <c r="AT42" i="30" a="1"/>
  <c r="AU42" i="30" a="1"/>
  <c r="AV42" i="30" a="1"/>
  <c r="AW42" i="30" a="1"/>
  <c r="AX42" i="30" a="1"/>
  <c r="AY42" i="30" a="1"/>
  <c r="AZ42" i="30" a="1"/>
  <c r="BA42" i="30" a="1"/>
  <c r="BB42" i="30" a="1"/>
  <c r="BC42" i="30" a="1"/>
  <c r="BD42" i="30" a="1"/>
  <c r="BE42" i="30" a="1"/>
  <c r="BF42" i="30" a="1"/>
  <c r="BG42" i="30" a="1"/>
  <c r="BH42" i="30" a="1"/>
  <c r="BI42" i="30" a="1"/>
  <c r="BJ42" i="30" a="1"/>
  <c r="BK42" i="30" a="1"/>
  <c r="BL42" i="30" a="1"/>
  <c r="BM42" i="30" a="1"/>
  <c r="BN42" i="30" a="1"/>
  <c r="BO42" i="30" a="1"/>
  <c r="BP42" i="30" a="1"/>
  <c r="G42" i="30"/>
  <c r="H42" i="30"/>
  <c r="I42" i="30"/>
  <c r="J42" i="30"/>
  <c r="K42" i="30"/>
  <c r="L42" i="30"/>
  <c r="M42" i="30"/>
  <c r="N42" i="30"/>
  <c r="O42" i="30"/>
  <c r="P42" i="30"/>
  <c r="Q42" i="30"/>
  <c r="R42" i="30"/>
  <c r="S42" i="30"/>
  <c r="T42" i="30"/>
  <c r="U42" i="30"/>
  <c r="V42" i="30"/>
  <c r="W42" i="30"/>
  <c r="X42" i="30"/>
  <c r="Y42" i="30"/>
  <c r="Z42" i="30"/>
  <c r="AA42" i="30"/>
  <c r="AB42" i="30"/>
  <c r="AC42" i="30"/>
  <c r="AD42" i="30"/>
  <c r="AE42" i="30"/>
  <c r="AF42" i="30"/>
  <c r="AG42" i="30"/>
  <c r="AH42" i="30"/>
  <c r="AI42" i="30"/>
  <c r="AJ42" i="30"/>
  <c r="AK42" i="30"/>
  <c r="AL42" i="30"/>
  <c r="AM42" i="30"/>
  <c r="AN42" i="30"/>
  <c r="AO42" i="30"/>
  <c r="AP42" i="30"/>
  <c r="AQ42" i="30"/>
  <c r="AR42" i="30"/>
  <c r="AS42" i="30"/>
  <c r="AT42" i="30"/>
  <c r="AU42" i="30"/>
  <c r="AV42" i="30"/>
  <c r="AW42" i="30"/>
  <c r="AX42" i="30"/>
  <c r="AY42" i="30"/>
  <c r="AZ42" i="30"/>
  <c r="BA42" i="30"/>
  <c r="BB42" i="30"/>
  <c r="BC42" i="30"/>
  <c r="BD42" i="30"/>
  <c r="BE42" i="30"/>
  <c r="BF42" i="30"/>
  <c r="BG42" i="30"/>
  <c r="BH42" i="30"/>
  <c r="BI42" i="30"/>
  <c r="BJ42" i="30"/>
  <c r="BK42" i="30"/>
  <c r="BL42" i="30"/>
  <c r="BM42" i="30"/>
  <c r="BN42" i="30"/>
  <c r="BO42" i="30"/>
  <c r="BP42" i="30"/>
  <c r="AB18" i="30"/>
  <c r="W18" i="30"/>
  <c r="M19" i="30"/>
  <c r="N19" i="30" a="1"/>
  <c r="N19" i="30"/>
  <c r="O19" i="30"/>
  <c r="C19" i="30"/>
  <c r="BR52" i="30"/>
  <c r="BS51" i="30"/>
  <c r="BT51" i="30"/>
  <c r="BT52" i="30"/>
  <c r="BU51" i="30"/>
  <c r="BU52" i="30"/>
  <c r="BV51" i="30"/>
  <c r="BV52" i="30"/>
  <c r="BW52" i="30"/>
  <c r="BX52" i="30"/>
  <c r="BY52" i="30"/>
  <c r="BZ52" i="30"/>
  <c r="CA52" i="30"/>
  <c r="BR53" i="30"/>
  <c r="BS53" i="30"/>
  <c r="BU53" i="30"/>
  <c r="BV53" i="30"/>
  <c r="BW53" i="30"/>
  <c r="BX53" i="30"/>
  <c r="BY53" i="30"/>
  <c r="BZ53" i="30"/>
  <c r="CA53" i="30"/>
  <c r="BR54" i="30"/>
  <c r="BS54" i="30"/>
  <c r="BT54" i="30"/>
  <c r="BV54" i="30"/>
  <c r="BW54" i="30"/>
  <c r="BX54" i="30"/>
  <c r="BY54" i="30"/>
  <c r="BZ54" i="30"/>
  <c r="CA54" i="30"/>
  <c r="BR55" i="30"/>
  <c r="BS55" i="30"/>
  <c r="BT55" i="30"/>
  <c r="BU55" i="30"/>
  <c r="BW55" i="30"/>
  <c r="BX55" i="30"/>
  <c r="BY55" i="30"/>
  <c r="BZ55" i="30"/>
  <c r="CA55" i="30"/>
  <c r="BS56" i="30"/>
  <c r="BT56" i="30"/>
  <c r="BU56" i="30"/>
  <c r="BV56" i="30"/>
  <c r="BX56" i="30"/>
  <c r="BY56" i="30"/>
  <c r="BZ56" i="30"/>
  <c r="CA56" i="30"/>
  <c r="BS57" i="30"/>
  <c r="BT57" i="30"/>
  <c r="BU57" i="30"/>
  <c r="BV57" i="30"/>
  <c r="BW57" i="30"/>
  <c r="BY57" i="30"/>
  <c r="BZ57" i="30"/>
  <c r="CA57" i="30"/>
  <c r="BS58" i="30"/>
  <c r="BT58" i="30"/>
  <c r="BU58" i="30"/>
  <c r="BV58" i="30"/>
  <c r="BW58" i="30"/>
  <c r="BX58" i="30"/>
  <c r="BZ58" i="30"/>
  <c r="CA58" i="30"/>
  <c r="BS59" i="30"/>
  <c r="BT59" i="30"/>
  <c r="BU59" i="30"/>
  <c r="BV59" i="30"/>
  <c r="BW59" i="30"/>
  <c r="BX59" i="30"/>
  <c r="BY59" i="30"/>
  <c r="CA59" i="30"/>
  <c r="BS60" i="30"/>
  <c r="BT60" i="30"/>
  <c r="BU60" i="30"/>
  <c r="BV60" i="30"/>
  <c r="BW60" i="30"/>
  <c r="BX60" i="30"/>
  <c r="BY60" i="30"/>
  <c r="BZ60" i="30"/>
  <c r="E32" i="30" a="1"/>
  <c r="E32" i="30"/>
  <c r="F32" i="30" a="1"/>
  <c r="F32" i="30"/>
  <c r="M20" i="30"/>
  <c r="N20" i="30" a="1"/>
  <c r="N20" i="30"/>
  <c r="O20" i="30"/>
  <c r="G32" i="30" a="1"/>
  <c r="M21" i="30"/>
  <c r="N21" i="30" a="1"/>
  <c r="N21" i="30"/>
  <c r="O21" i="30"/>
  <c r="H32" i="30" a="1"/>
  <c r="M22" i="30"/>
  <c r="N22" i="30" a="1"/>
  <c r="N22" i="30"/>
  <c r="O22" i="30"/>
  <c r="I32" i="30" a="1"/>
  <c r="M23" i="30"/>
  <c r="N23" i="30" a="1"/>
  <c r="N23" i="30"/>
  <c r="O23" i="30"/>
  <c r="J32" i="30" a="1"/>
  <c r="M24" i="30"/>
  <c r="N24" i="30" a="1"/>
  <c r="N24" i="30"/>
  <c r="O24" i="30"/>
  <c r="K32" i="30" a="1"/>
  <c r="M25" i="30"/>
  <c r="N25" i="30" a="1"/>
  <c r="N25" i="30"/>
  <c r="O25" i="30"/>
  <c r="L32" i="30" a="1"/>
  <c r="P19" i="30"/>
  <c r="M32" i="30" a="1"/>
  <c r="N32" i="30" a="1"/>
  <c r="P20" i="30"/>
  <c r="O32" i="30" a="1"/>
  <c r="P21" i="30"/>
  <c r="P32" i="30" a="1"/>
  <c r="P22" i="30"/>
  <c r="Q32" i="30" a="1"/>
  <c r="P23" i="30"/>
  <c r="R32" i="30" a="1"/>
  <c r="P24" i="30"/>
  <c r="S32" i="30" a="1"/>
  <c r="P25" i="30"/>
  <c r="T32" i="30" a="1"/>
  <c r="Q19" i="30"/>
  <c r="U32" i="30" a="1"/>
  <c r="V32" i="30" a="1"/>
  <c r="C20" i="30"/>
  <c r="Q20" i="30"/>
  <c r="W32" i="30" a="1"/>
  <c r="Q21" i="30"/>
  <c r="X32" i="30" a="1"/>
  <c r="Q22" i="30"/>
  <c r="Y32" i="30" a="1"/>
  <c r="Q23" i="30"/>
  <c r="Z32" i="30" a="1"/>
  <c r="Q24" i="30"/>
  <c r="AA32" i="30" a="1"/>
  <c r="Q25" i="30"/>
  <c r="AB32" i="30" a="1"/>
  <c r="R19" i="30"/>
  <c r="AC32" i="30" a="1"/>
  <c r="AD32" i="30" a="1"/>
  <c r="R20" i="30"/>
  <c r="AE32" i="30" a="1"/>
  <c r="R21" i="30"/>
  <c r="AF32" i="30" a="1"/>
  <c r="R22" i="30"/>
  <c r="AG32" i="30" a="1"/>
  <c r="R23" i="30"/>
  <c r="AH32" i="30" a="1"/>
  <c r="R24" i="30"/>
  <c r="AI32" i="30" a="1"/>
  <c r="R25" i="30"/>
  <c r="AJ32" i="30" a="1"/>
  <c r="S19" i="30"/>
  <c r="AK32" i="30" a="1"/>
  <c r="AL32" i="30" a="1"/>
  <c r="S20" i="30"/>
  <c r="AM32" i="30" a="1"/>
  <c r="S21" i="30"/>
  <c r="AN32" i="30" a="1"/>
  <c r="S22" i="30"/>
  <c r="AO32" i="30" a="1"/>
  <c r="S23" i="30"/>
  <c r="AP32" i="30" a="1"/>
  <c r="S24" i="30"/>
  <c r="AQ32" i="30" a="1"/>
  <c r="S25" i="30"/>
  <c r="AR32" i="30" a="1"/>
  <c r="T19" i="30"/>
  <c r="AS32" i="30" a="1"/>
  <c r="AT32" i="30" a="1"/>
  <c r="T20" i="30"/>
  <c r="AU32" i="30" a="1"/>
  <c r="T21" i="30"/>
  <c r="AV32" i="30" a="1"/>
  <c r="T22" i="30"/>
  <c r="AW32" i="30" a="1"/>
  <c r="T23" i="30"/>
  <c r="AX32" i="30" a="1"/>
  <c r="T24" i="30"/>
  <c r="AY32" i="30" a="1"/>
  <c r="T25" i="30"/>
  <c r="AZ32" i="30" a="1"/>
  <c r="U19" i="30"/>
  <c r="BA32" i="30" a="1"/>
  <c r="BB32" i="30" a="1"/>
  <c r="U20" i="30"/>
  <c r="BC32" i="30" a="1"/>
  <c r="U21" i="30"/>
  <c r="BD32" i="30" a="1"/>
  <c r="U22" i="30"/>
  <c r="BE32" i="30" a="1"/>
  <c r="U23" i="30"/>
  <c r="BF32" i="30" a="1"/>
  <c r="U24" i="30"/>
  <c r="BG32" i="30" a="1"/>
  <c r="U25" i="30"/>
  <c r="BH32" i="30" a="1"/>
  <c r="V19" i="30"/>
  <c r="BI32" i="30" a="1"/>
  <c r="BJ32" i="30" a="1"/>
  <c r="V20" i="30"/>
  <c r="BK32" i="30" a="1"/>
  <c r="V21" i="30"/>
  <c r="BL32" i="30" a="1"/>
  <c r="V22" i="30"/>
  <c r="BM32" i="30" a="1"/>
  <c r="V23" i="30"/>
  <c r="BN32" i="30" a="1"/>
  <c r="V24" i="30"/>
  <c r="BO32" i="30" a="1"/>
  <c r="V25" i="30"/>
  <c r="BP32" i="30" a="1"/>
  <c r="G32" i="30"/>
  <c r="H32" i="30"/>
  <c r="I32" i="30"/>
  <c r="J32" i="30"/>
  <c r="K32" i="30"/>
  <c r="L32" i="30"/>
  <c r="M32" i="30"/>
  <c r="N32" i="30"/>
  <c r="O32" i="30"/>
  <c r="P32" i="30"/>
  <c r="Q32" i="30"/>
  <c r="R32" i="30"/>
  <c r="S32" i="30"/>
  <c r="T32" i="30"/>
  <c r="U32" i="30"/>
  <c r="V32" i="30"/>
  <c r="W32" i="30"/>
  <c r="X32" i="30"/>
  <c r="Y32" i="30"/>
  <c r="Z32" i="30"/>
  <c r="AA32" i="30"/>
  <c r="AB32" i="30"/>
  <c r="AC32" i="30"/>
  <c r="AD32" i="30"/>
  <c r="AE32" i="30"/>
  <c r="AF32" i="30"/>
  <c r="AG32" i="30"/>
  <c r="AH32" i="30"/>
  <c r="AI32" i="30"/>
  <c r="AJ32" i="30"/>
  <c r="AK32" i="30"/>
  <c r="AL32" i="30"/>
  <c r="AM32" i="30"/>
  <c r="AN32" i="30"/>
  <c r="AO32" i="30"/>
  <c r="AP32" i="30"/>
  <c r="AQ32" i="30"/>
  <c r="AR32" i="30"/>
  <c r="AS32" i="30"/>
  <c r="AT32" i="30"/>
  <c r="AU32" i="30"/>
  <c r="AV32" i="30"/>
  <c r="AW32" i="30"/>
  <c r="AX32" i="30"/>
  <c r="AY32" i="30"/>
  <c r="AZ32" i="30"/>
  <c r="BA32" i="30"/>
  <c r="BB32" i="30"/>
  <c r="BC32" i="30"/>
  <c r="BD32" i="30"/>
  <c r="BE32" i="30"/>
  <c r="BF32" i="30"/>
  <c r="BG32" i="30"/>
  <c r="BH32" i="30"/>
  <c r="BI32" i="30"/>
  <c r="BJ32" i="30"/>
  <c r="BK32" i="30"/>
  <c r="BL32" i="30"/>
  <c r="BM32" i="30"/>
  <c r="BN32" i="30"/>
  <c r="BO32" i="30"/>
  <c r="BP32" i="30"/>
  <c r="AA19" i="30"/>
  <c r="BR41" i="30"/>
  <c r="BS40" i="30"/>
  <c r="BT40" i="30"/>
  <c r="BR30" i="30"/>
  <c r="BT29" i="30"/>
  <c r="BT30" i="30"/>
  <c r="BR31" i="30"/>
  <c r="BS29" i="30"/>
  <c r="BS31" i="30"/>
  <c r="BT41" i="30"/>
  <c r="BU40" i="30"/>
  <c r="BU29" i="30"/>
  <c r="BU30" i="30"/>
  <c r="BR32" i="30"/>
  <c r="BS32" i="30"/>
  <c r="BU41" i="30"/>
  <c r="BV40" i="30"/>
  <c r="BV29" i="30"/>
  <c r="BV30" i="30"/>
  <c r="BR33" i="30"/>
  <c r="BS33" i="30"/>
  <c r="BV41" i="30"/>
  <c r="BW30" i="30"/>
  <c r="BS34" i="30"/>
  <c r="BW41" i="30"/>
  <c r="BX30" i="30"/>
  <c r="BS35" i="30"/>
  <c r="BX41" i="30"/>
  <c r="BY30" i="30"/>
  <c r="BS36" i="30"/>
  <c r="BY41" i="30"/>
  <c r="BZ30" i="30"/>
  <c r="BS37" i="30"/>
  <c r="BZ41" i="30"/>
  <c r="CA30" i="30"/>
  <c r="BS38" i="30"/>
  <c r="CA41" i="30"/>
  <c r="BR42" i="30"/>
  <c r="BS42" i="30"/>
  <c r="BU31" i="30"/>
  <c r="BT32" i="30"/>
  <c r="BU42" i="30"/>
  <c r="BV31" i="30"/>
  <c r="BT33" i="30"/>
  <c r="BV42" i="30"/>
  <c r="BW31" i="30"/>
  <c r="BT34" i="30"/>
  <c r="BW42" i="30"/>
  <c r="BX31" i="30"/>
  <c r="BT35" i="30"/>
  <c r="BX42" i="30"/>
  <c r="BY31" i="30"/>
  <c r="BT36" i="30"/>
  <c r="BY42" i="30"/>
  <c r="BZ31" i="30"/>
  <c r="BT37" i="30"/>
  <c r="BZ42" i="30"/>
  <c r="CA31" i="30"/>
  <c r="BT38" i="30"/>
  <c r="CA42" i="30"/>
  <c r="BR43" i="30"/>
  <c r="BS43" i="30"/>
  <c r="BT43" i="30"/>
  <c r="BV32" i="30"/>
  <c r="BU33" i="30"/>
  <c r="BV43" i="30"/>
  <c r="BW32" i="30"/>
  <c r="BU34" i="30"/>
  <c r="BW43" i="30"/>
  <c r="BX32" i="30"/>
  <c r="BU35" i="30"/>
  <c r="BX43" i="30"/>
  <c r="BY32" i="30"/>
  <c r="BU36" i="30"/>
  <c r="BY43" i="30"/>
  <c r="BZ32" i="30"/>
  <c r="BU37" i="30"/>
  <c r="BZ43" i="30"/>
  <c r="CA32" i="30"/>
  <c r="BU38" i="30"/>
  <c r="CA43" i="30"/>
  <c r="BR44" i="30"/>
  <c r="BS44" i="30"/>
  <c r="BT44" i="30"/>
  <c r="BU44" i="30"/>
  <c r="BW33" i="30"/>
  <c r="BV34" i="30"/>
  <c r="BW44" i="30"/>
  <c r="BX33" i="30"/>
  <c r="BV35" i="30"/>
  <c r="BX44" i="30"/>
  <c r="BY33" i="30"/>
  <c r="BV36" i="30"/>
  <c r="BY44" i="30"/>
  <c r="BZ33" i="30"/>
  <c r="BV37" i="30"/>
  <c r="BZ44" i="30"/>
  <c r="CA33" i="30"/>
  <c r="BV38" i="30"/>
  <c r="CA44" i="30"/>
  <c r="BS45" i="30"/>
  <c r="BT45" i="30"/>
  <c r="BU45" i="30"/>
  <c r="BV45" i="30"/>
  <c r="BX34" i="30"/>
  <c r="BW35" i="30"/>
  <c r="BX45" i="30"/>
  <c r="BY34" i="30"/>
  <c r="BW36" i="30"/>
  <c r="BY45" i="30"/>
  <c r="BZ34" i="30"/>
  <c r="BW37" i="30"/>
  <c r="BZ45" i="30"/>
  <c r="CA34" i="30"/>
  <c r="BW38" i="30"/>
  <c r="CA45" i="30"/>
  <c r="BS46" i="30"/>
  <c r="BT46" i="30"/>
  <c r="BU46" i="30"/>
  <c r="BV46" i="30"/>
  <c r="BW46" i="30"/>
  <c r="BY35" i="30"/>
  <c r="BX36" i="30"/>
  <c r="BY46" i="30"/>
  <c r="BZ35" i="30"/>
  <c r="BX37" i="30"/>
  <c r="BZ46" i="30"/>
  <c r="CA35" i="30"/>
  <c r="BX38" i="30"/>
  <c r="CA46" i="30"/>
  <c r="BS47" i="30"/>
  <c r="BT47" i="30"/>
  <c r="BU47" i="30"/>
  <c r="BV47" i="30"/>
  <c r="BW47" i="30"/>
  <c r="BX47" i="30"/>
  <c r="BZ36" i="30"/>
  <c r="BY37" i="30"/>
  <c r="BZ47" i="30"/>
  <c r="CA36" i="30"/>
  <c r="BY38" i="30"/>
  <c r="CA47" i="30"/>
  <c r="BS48" i="30"/>
  <c r="BT48" i="30"/>
  <c r="BU48" i="30"/>
  <c r="BV48" i="30"/>
  <c r="BW48" i="30"/>
  <c r="BX48" i="30"/>
  <c r="BY48" i="30"/>
  <c r="CA37" i="30"/>
  <c r="BZ38" i="30"/>
  <c r="CA48" i="30"/>
  <c r="BS49" i="30"/>
  <c r="BT49" i="30"/>
  <c r="BU49" i="30"/>
  <c r="BV49" i="30"/>
  <c r="BW49" i="30"/>
  <c r="BX49" i="30"/>
  <c r="BY49" i="30"/>
  <c r="BZ49" i="30"/>
  <c r="E43" i="30" a="1"/>
  <c r="E43" i="30"/>
  <c r="F43" i="30" a="1"/>
  <c r="F43" i="30"/>
  <c r="G43" i="30" a="1"/>
  <c r="H43" i="30" a="1"/>
  <c r="I43" i="30" a="1"/>
  <c r="J43" i="30" a="1"/>
  <c r="K43" i="30" a="1"/>
  <c r="L43" i="30" a="1"/>
  <c r="M43" i="30" a="1"/>
  <c r="N43" i="30" a="1"/>
  <c r="O43" i="30" a="1"/>
  <c r="P43" i="30" a="1"/>
  <c r="Q43" i="30" a="1"/>
  <c r="R43" i="30" a="1"/>
  <c r="S43" i="30" a="1"/>
  <c r="T43" i="30" a="1"/>
  <c r="U43" i="30" a="1"/>
  <c r="V43" i="30" a="1"/>
  <c r="W43" i="30" a="1"/>
  <c r="X43" i="30" a="1"/>
  <c r="Y43" i="30" a="1"/>
  <c r="Z43" i="30" a="1"/>
  <c r="AA43" i="30" a="1"/>
  <c r="AB43" i="30" a="1"/>
  <c r="AC43" i="30" a="1"/>
  <c r="AD43" i="30" a="1"/>
  <c r="AE43" i="30" a="1"/>
  <c r="AF43" i="30" a="1"/>
  <c r="AG43" i="30" a="1"/>
  <c r="AH43" i="30" a="1"/>
  <c r="AI43" i="30" a="1"/>
  <c r="AJ43" i="30" a="1"/>
  <c r="AK43" i="30" a="1"/>
  <c r="AL43" i="30" a="1"/>
  <c r="AM43" i="30" a="1"/>
  <c r="AN43" i="30" a="1"/>
  <c r="AO43" i="30" a="1"/>
  <c r="AP43" i="30" a="1"/>
  <c r="AQ43" i="30" a="1"/>
  <c r="AR43" i="30" a="1"/>
  <c r="AS43" i="30" a="1"/>
  <c r="AT43" i="30" a="1"/>
  <c r="AU43" i="30" a="1"/>
  <c r="AV43" i="30" a="1"/>
  <c r="AW43" i="30" a="1"/>
  <c r="AX43" i="30" a="1"/>
  <c r="AY43" i="30" a="1"/>
  <c r="AZ43" i="30" a="1"/>
  <c r="BA43" i="30" a="1"/>
  <c r="BB43" i="30" a="1"/>
  <c r="BC43" i="30" a="1"/>
  <c r="BD43" i="30" a="1"/>
  <c r="BE43" i="30" a="1"/>
  <c r="BF43" i="30" a="1"/>
  <c r="BG43" i="30" a="1"/>
  <c r="BH43" i="30" a="1"/>
  <c r="BI43" i="30" a="1"/>
  <c r="BJ43" i="30" a="1"/>
  <c r="BK43" i="30" a="1"/>
  <c r="BL43" i="30" a="1"/>
  <c r="BM43" i="30" a="1"/>
  <c r="BN43" i="30" a="1"/>
  <c r="BO43" i="30" a="1"/>
  <c r="BP43" i="30" a="1"/>
  <c r="G43" i="30"/>
  <c r="H43" i="30"/>
  <c r="I43" i="30"/>
  <c r="J43" i="30"/>
  <c r="K43" i="30"/>
  <c r="L43" i="30"/>
  <c r="M43" i="30"/>
  <c r="N43" i="30"/>
  <c r="O43" i="30"/>
  <c r="P43" i="30"/>
  <c r="Q43" i="30"/>
  <c r="R43" i="30"/>
  <c r="S43" i="30"/>
  <c r="T43" i="30"/>
  <c r="U43" i="30"/>
  <c r="V43" i="30"/>
  <c r="W43" i="30"/>
  <c r="X43" i="30"/>
  <c r="Y43" i="30"/>
  <c r="Z43" i="30"/>
  <c r="AA43" i="30"/>
  <c r="AB43" i="30"/>
  <c r="AC43" i="30"/>
  <c r="AD43" i="30"/>
  <c r="AE43" i="30"/>
  <c r="AF43" i="30"/>
  <c r="AG43" i="30"/>
  <c r="AH43" i="30"/>
  <c r="AI43" i="30"/>
  <c r="AJ43" i="30"/>
  <c r="AK43" i="30"/>
  <c r="AL43" i="30"/>
  <c r="AM43" i="30"/>
  <c r="AN43" i="30"/>
  <c r="AO43" i="30"/>
  <c r="AP43" i="30"/>
  <c r="AQ43" i="30"/>
  <c r="AR43" i="30"/>
  <c r="AS43" i="30"/>
  <c r="AT43" i="30"/>
  <c r="AU43" i="30"/>
  <c r="AV43" i="30"/>
  <c r="AW43" i="30"/>
  <c r="AX43" i="30"/>
  <c r="AY43" i="30"/>
  <c r="AZ43" i="30"/>
  <c r="BA43" i="30"/>
  <c r="BB43" i="30"/>
  <c r="BC43" i="30"/>
  <c r="BD43" i="30"/>
  <c r="BE43" i="30"/>
  <c r="BF43" i="30"/>
  <c r="BG43" i="30"/>
  <c r="BH43" i="30"/>
  <c r="BI43" i="30"/>
  <c r="BJ43" i="30"/>
  <c r="BK43" i="30"/>
  <c r="BL43" i="30"/>
  <c r="BM43" i="30"/>
  <c r="BN43" i="30"/>
  <c r="BO43" i="30"/>
  <c r="BP43" i="30"/>
  <c r="AB19" i="30"/>
  <c r="W19" i="30"/>
  <c r="E33" i="30" a="1"/>
  <c r="E33" i="30"/>
  <c r="F33" i="30" a="1"/>
  <c r="F33" i="30"/>
  <c r="G33" i="30" a="1"/>
  <c r="H33" i="30" a="1"/>
  <c r="I33" i="30" a="1"/>
  <c r="J33" i="30" a="1"/>
  <c r="K33" i="30" a="1"/>
  <c r="L33" i="30" a="1"/>
  <c r="M33" i="30" a="1"/>
  <c r="N33" i="30" a="1"/>
  <c r="O33" i="30" a="1"/>
  <c r="P33" i="30" a="1"/>
  <c r="Q33" i="30" a="1"/>
  <c r="R33" i="30" a="1"/>
  <c r="S33" i="30" a="1"/>
  <c r="T33" i="30" a="1"/>
  <c r="U33" i="30" a="1"/>
  <c r="V33" i="30" a="1"/>
  <c r="W33" i="30" a="1"/>
  <c r="X33" i="30" a="1"/>
  <c r="Y33" i="30" a="1"/>
  <c r="Z33" i="30" a="1"/>
  <c r="AA33" i="30" a="1"/>
  <c r="AB33" i="30" a="1"/>
  <c r="AC33" i="30" a="1"/>
  <c r="AD33" i="30" a="1"/>
  <c r="AE33" i="30" a="1"/>
  <c r="AF33" i="30" a="1"/>
  <c r="AG33" i="30" a="1"/>
  <c r="AH33" i="30" a="1"/>
  <c r="AI33" i="30" a="1"/>
  <c r="AJ33" i="30" a="1"/>
  <c r="AK33" i="30" a="1"/>
  <c r="AL33" i="30" a="1"/>
  <c r="AM33" i="30" a="1"/>
  <c r="AN33" i="30" a="1"/>
  <c r="AO33" i="30" a="1"/>
  <c r="AP33" i="30" a="1"/>
  <c r="AQ33" i="30" a="1"/>
  <c r="AR33" i="30" a="1"/>
  <c r="AS33" i="30" a="1"/>
  <c r="AT33" i="30" a="1"/>
  <c r="AU33" i="30" a="1"/>
  <c r="AV33" i="30" a="1"/>
  <c r="AW33" i="30" a="1"/>
  <c r="AX33" i="30" a="1"/>
  <c r="AY33" i="30" a="1"/>
  <c r="AZ33" i="30" a="1"/>
  <c r="BA33" i="30" a="1"/>
  <c r="BB33" i="30" a="1"/>
  <c r="BC33" i="30" a="1"/>
  <c r="BD33" i="30" a="1"/>
  <c r="BE33" i="30" a="1"/>
  <c r="BF33" i="30" a="1"/>
  <c r="BG33" i="30" a="1"/>
  <c r="BH33" i="30" a="1"/>
  <c r="BI33" i="30" a="1"/>
  <c r="BJ33" i="30" a="1"/>
  <c r="BK33" i="30" a="1"/>
  <c r="BL33" i="30" a="1"/>
  <c r="BM33" i="30" a="1"/>
  <c r="BN33" i="30" a="1"/>
  <c r="BO33" i="30" a="1"/>
  <c r="BP33" i="30" a="1"/>
  <c r="G33" i="30"/>
  <c r="H33" i="30"/>
  <c r="I33" i="30"/>
  <c r="J33" i="30"/>
  <c r="K33" i="30"/>
  <c r="L33" i="30"/>
  <c r="M33" i="30"/>
  <c r="N33" i="30"/>
  <c r="O33" i="30"/>
  <c r="P33" i="30"/>
  <c r="Q33" i="30"/>
  <c r="R33" i="30"/>
  <c r="S33" i="30"/>
  <c r="T33" i="30"/>
  <c r="U33" i="30"/>
  <c r="V33" i="30"/>
  <c r="W33" i="30"/>
  <c r="X33" i="30"/>
  <c r="Y33" i="30"/>
  <c r="Z33" i="30"/>
  <c r="AA33" i="30"/>
  <c r="AB33" i="30"/>
  <c r="AC33" i="30"/>
  <c r="AD33" i="30"/>
  <c r="AE33" i="30"/>
  <c r="AF33" i="30"/>
  <c r="AG33" i="30"/>
  <c r="AH33" i="30"/>
  <c r="AI33" i="30"/>
  <c r="AJ33" i="30"/>
  <c r="AK33" i="30"/>
  <c r="AL33" i="30"/>
  <c r="AM33" i="30"/>
  <c r="AN33" i="30"/>
  <c r="AO33" i="30"/>
  <c r="AP33" i="30"/>
  <c r="AQ33" i="30"/>
  <c r="AR33" i="30"/>
  <c r="AS33" i="30"/>
  <c r="AT33" i="30"/>
  <c r="AU33" i="30"/>
  <c r="AV33" i="30"/>
  <c r="AW33" i="30"/>
  <c r="AX33" i="30"/>
  <c r="AY33" i="30"/>
  <c r="AZ33" i="30"/>
  <c r="BA33" i="30"/>
  <c r="BB33" i="30"/>
  <c r="BC33" i="30"/>
  <c r="BD33" i="30"/>
  <c r="BE33" i="30"/>
  <c r="BF33" i="30"/>
  <c r="BG33" i="30"/>
  <c r="BH33" i="30"/>
  <c r="BI33" i="30"/>
  <c r="BJ33" i="30"/>
  <c r="BK33" i="30"/>
  <c r="BL33" i="30"/>
  <c r="BM33" i="30"/>
  <c r="BN33" i="30"/>
  <c r="BO33" i="30"/>
  <c r="BP33" i="30"/>
  <c r="AA20" i="30"/>
  <c r="E44" i="30" a="1"/>
  <c r="E44" i="30"/>
  <c r="F44" i="30" a="1"/>
  <c r="F44" i="30"/>
  <c r="G44" i="30" a="1"/>
  <c r="H44" i="30" a="1"/>
  <c r="I44" i="30" a="1"/>
  <c r="J44" i="30" a="1"/>
  <c r="K44" i="30" a="1"/>
  <c r="L44" i="30" a="1"/>
  <c r="M44" i="30" a="1"/>
  <c r="N44" i="30" a="1"/>
  <c r="O44" i="30" a="1"/>
  <c r="P44" i="30" a="1"/>
  <c r="Q44" i="30" a="1"/>
  <c r="R44" i="30" a="1"/>
  <c r="S44" i="30" a="1"/>
  <c r="T44" i="30" a="1"/>
  <c r="U44" i="30" a="1"/>
  <c r="V44" i="30" a="1"/>
  <c r="W44" i="30" a="1"/>
  <c r="X44" i="30" a="1"/>
  <c r="Y44" i="30" a="1"/>
  <c r="Z44" i="30" a="1"/>
  <c r="AA44" i="30" a="1"/>
  <c r="AB44" i="30" a="1"/>
  <c r="AC44" i="30" a="1"/>
  <c r="AD44" i="30" a="1"/>
  <c r="AE44" i="30" a="1"/>
  <c r="AF44" i="30" a="1"/>
  <c r="AG44" i="30" a="1"/>
  <c r="AH44" i="30" a="1"/>
  <c r="AI44" i="30" a="1"/>
  <c r="AJ44" i="30" a="1"/>
  <c r="AK44" i="30" a="1"/>
  <c r="AL44" i="30" a="1"/>
  <c r="AM44" i="30" a="1"/>
  <c r="AN44" i="30" a="1"/>
  <c r="AO44" i="30" a="1"/>
  <c r="AP44" i="30" a="1"/>
  <c r="AQ44" i="30" a="1"/>
  <c r="AR44" i="30" a="1"/>
  <c r="AS44" i="30" a="1"/>
  <c r="AT44" i="30" a="1"/>
  <c r="AU44" i="30" a="1"/>
  <c r="AV44" i="30" a="1"/>
  <c r="AW44" i="30" a="1"/>
  <c r="AX44" i="30" a="1"/>
  <c r="AY44" i="30" a="1"/>
  <c r="AZ44" i="30" a="1"/>
  <c r="BA44" i="30" a="1"/>
  <c r="BB44" i="30" a="1"/>
  <c r="BC44" i="30" a="1"/>
  <c r="BD44" i="30" a="1"/>
  <c r="BE44" i="30" a="1"/>
  <c r="BF44" i="30" a="1"/>
  <c r="BG44" i="30" a="1"/>
  <c r="BH44" i="30" a="1"/>
  <c r="BI44" i="30" a="1"/>
  <c r="BJ44" i="30" a="1"/>
  <c r="BK44" i="30" a="1"/>
  <c r="BL44" i="30" a="1"/>
  <c r="BM44" i="30" a="1"/>
  <c r="BN44" i="30" a="1"/>
  <c r="BO44" i="30" a="1"/>
  <c r="BP44" i="30" a="1"/>
  <c r="G44" i="30"/>
  <c r="H44" i="30"/>
  <c r="I44" i="30"/>
  <c r="J44" i="30"/>
  <c r="K44" i="30"/>
  <c r="L44" i="30"/>
  <c r="M44" i="30"/>
  <c r="N44" i="30"/>
  <c r="O44" i="30"/>
  <c r="P44" i="30"/>
  <c r="Q44" i="30"/>
  <c r="R44" i="30"/>
  <c r="S44" i="30"/>
  <c r="T44" i="30"/>
  <c r="U44" i="30"/>
  <c r="V44" i="30"/>
  <c r="W44" i="30"/>
  <c r="X44" i="30"/>
  <c r="Y44" i="30"/>
  <c r="Z44" i="30"/>
  <c r="AA44" i="30"/>
  <c r="AB44" i="30"/>
  <c r="AC44" i="30"/>
  <c r="AD44" i="30"/>
  <c r="AE44" i="30"/>
  <c r="AF44" i="30"/>
  <c r="AG44" i="30"/>
  <c r="AH44" i="30"/>
  <c r="AI44" i="30"/>
  <c r="AJ44" i="30"/>
  <c r="AK44" i="30"/>
  <c r="AL44" i="30"/>
  <c r="AM44" i="30"/>
  <c r="AN44" i="30"/>
  <c r="AO44" i="30"/>
  <c r="AP44" i="30"/>
  <c r="AQ44" i="30"/>
  <c r="AR44" i="30"/>
  <c r="AS44" i="30"/>
  <c r="AT44" i="30"/>
  <c r="AU44" i="30"/>
  <c r="AV44" i="30"/>
  <c r="AW44" i="30"/>
  <c r="AX44" i="30"/>
  <c r="AY44" i="30"/>
  <c r="AZ44" i="30"/>
  <c r="BA44" i="30"/>
  <c r="BB44" i="30"/>
  <c r="BC44" i="30"/>
  <c r="BD44" i="30"/>
  <c r="BE44" i="30"/>
  <c r="BF44" i="30"/>
  <c r="BG44" i="30"/>
  <c r="BH44" i="30"/>
  <c r="BI44" i="30"/>
  <c r="BJ44" i="30"/>
  <c r="BK44" i="30"/>
  <c r="BL44" i="30"/>
  <c r="BM44" i="30"/>
  <c r="BN44" i="30"/>
  <c r="BO44" i="30"/>
  <c r="BP44" i="30"/>
  <c r="AB20" i="30"/>
  <c r="W20" i="30"/>
  <c r="E34" i="30" a="1"/>
  <c r="E34" i="30"/>
  <c r="F34" i="30" a="1"/>
  <c r="F34" i="30"/>
  <c r="G34" i="30" a="1"/>
  <c r="H34" i="30" a="1"/>
  <c r="I34" i="30" a="1"/>
  <c r="J34" i="30" a="1"/>
  <c r="K34" i="30" a="1"/>
  <c r="L34" i="30" a="1"/>
  <c r="M34" i="30" a="1"/>
  <c r="N34" i="30" a="1"/>
  <c r="O34" i="30" a="1"/>
  <c r="P34" i="30" a="1"/>
  <c r="Q34" i="30" a="1"/>
  <c r="R34" i="30" a="1"/>
  <c r="S34" i="30" a="1"/>
  <c r="T34" i="30" a="1"/>
  <c r="U34" i="30" a="1"/>
  <c r="V34" i="30" a="1"/>
  <c r="W34" i="30" a="1"/>
  <c r="X34" i="30" a="1"/>
  <c r="Y34" i="30" a="1"/>
  <c r="Z34" i="30" a="1"/>
  <c r="AA34" i="30" a="1"/>
  <c r="AB34" i="30" a="1"/>
  <c r="AC34" i="30" a="1"/>
  <c r="AD34" i="30" a="1"/>
  <c r="AE34" i="30" a="1"/>
  <c r="AF34" i="30" a="1"/>
  <c r="AG34" i="30" a="1"/>
  <c r="AH34" i="30" a="1"/>
  <c r="AI34" i="30" a="1"/>
  <c r="AJ34" i="30" a="1"/>
  <c r="AK34" i="30" a="1"/>
  <c r="AL34" i="30" a="1"/>
  <c r="AM34" i="30" a="1"/>
  <c r="AN34" i="30" a="1"/>
  <c r="AO34" i="30" a="1"/>
  <c r="AP34" i="30" a="1"/>
  <c r="AQ34" i="30" a="1"/>
  <c r="AR34" i="30" a="1"/>
  <c r="AS34" i="30" a="1"/>
  <c r="AT34" i="30" a="1"/>
  <c r="AU34" i="30" a="1"/>
  <c r="AV34" i="30" a="1"/>
  <c r="AW34" i="30" a="1"/>
  <c r="AX34" i="30" a="1"/>
  <c r="AY34" i="30" a="1"/>
  <c r="AZ34" i="30" a="1"/>
  <c r="BA34" i="30" a="1"/>
  <c r="BB34" i="30" a="1"/>
  <c r="BC34" i="30" a="1"/>
  <c r="BD34" i="30" a="1"/>
  <c r="BE34" i="30" a="1"/>
  <c r="BF34" i="30" a="1"/>
  <c r="BG34" i="30" a="1"/>
  <c r="BH34" i="30" a="1"/>
  <c r="BI34" i="30" a="1"/>
  <c r="BJ34" i="30" a="1"/>
  <c r="BK34" i="30" a="1"/>
  <c r="BL34" i="30" a="1"/>
  <c r="BM34" i="30" a="1"/>
  <c r="BN34" i="30" a="1"/>
  <c r="BO34" i="30" a="1"/>
  <c r="BP34" i="30" a="1"/>
  <c r="G34" i="30"/>
  <c r="H34" i="30"/>
  <c r="I34" i="30"/>
  <c r="J34" i="30"/>
  <c r="K34" i="30"/>
  <c r="L34" i="30"/>
  <c r="M34" i="30"/>
  <c r="N34" i="30"/>
  <c r="O34" i="30"/>
  <c r="P34" i="30"/>
  <c r="Q34" i="30"/>
  <c r="R34" i="30"/>
  <c r="S34" i="30"/>
  <c r="T34" i="30"/>
  <c r="U34" i="30"/>
  <c r="V34" i="30"/>
  <c r="W34" i="30"/>
  <c r="X34" i="30"/>
  <c r="Y34" i="30"/>
  <c r="Z34" i="30"/>
  <c r="AA34" i="30"/>
  <c r="AB34" i="30"/>
  <c r="AC34" i="30"/>
  <c r="AD34" i="30"/>
  <c r="AE34" i="30"/>
  <c r="AF34" i="30"/>
  <c r="AG34" i="30"/>
  <c r="AH34" i="30"/>
  <c r="AI34" i="30"/>
  <c r="AJ34" i="30"/>
  <c r="AK34" i="30"/>
  <c r="AL34" i="30"/>
  <c r="AM34" i="30"/>
  <c r="AN34" i="30"/>
  <c r="AO34" i="30"/>
  <c r="AP34" i="30"/>
  <c r="AQ34" i="30"/>
  <c r="AR34" i="30"/>
  <c r="AS34" i="30"/>
  <c r="AT34" i="30"/>
  <c r="AU34" i="30"/>
  <c r="AV34" i="30"/>
  <c r="AW34" i="30"/>
  <c r="AX34" i="30"/>
  <c r="AY34" i="30"/>
  <c r="AZ34" i="30"/>
  <c r="BA34" i="30"/>
  <c r="BB34" i="30"/>
  <c r="BC34" i="30"/>
  <c r="BD34" i="30"/>
  <c r="BE34" i="30"/>
  <c r="BF34" i="30"/>
  <c r="BG34" i="30"/>
  <c r="BH34" i="30"/>
  <c r="BI34" i="30"/>
  <c r="BJ34" i="30"/>
  <c r="BK34" i="30"/>
  <c r="BL34" i="30"/>
  <c r="BM34" i="30"/>
  <c r="BN34" i="30"/>
  <c r="BO34" i="30"/>
  <c r="BP34" i="30"/>
  <c r="AA21" i="30"/>
  <c r="E45" i="30" a="1"/>
  <c r="E45" i="30"/>
  <c r="F45" i="30" a="1"/>
  <c r="F45" i="30"/>
  <c r="G45" i="30" a="1"/>
  <c r="H45" i="30" a="1"/>
  <c r="I45" i="30" a="1"/>
  <c r="J45" i="30" a="1"/>
  <c r="K45" i="30" a="1"/>
  <c r="L45" i="30" a="1"/>
  <c r="M45" i="30" a="1"/>
  <c r="N45" i="30" a="1"/>
  <c r="O45" i="30" a="1"/>
  <c r="P45" i="30" a="1"/>
  <c r="Q45" i="30" a="1"/>
  <c r="R45" i="30" a="1"/>
  <c r="S45" i="30" a="1"/>
  <c r="T45" i="30" a="1"/>
  <c r="U45" i="30" a="1"/>
  <c r="V45" i="30" a="1"/>
  <c r="W45" i="30" a="1"/>
  <c r="X45" i="30" a="1"/>
  <c r="Y45" i="30" a="1"/>
  <c r="Z45" i="30" a="1"/>
  <c r="AA45" i="30" a="1"/>
  <c r="AB45" i="30" a="1"/>
  <c r="AC45" i="30" a="1"/>
  <c r="AD45" i="30" a="1"/>
  <c r="AE45" i="30" a="1"/>
  <c r="AF45" i="30" a="1"/>
  <c r="AG45" i="30" a="1"/>
  <c r="AH45" i="30" a="1"/>
  <c r="AI45" i="30" a="1"/>
  <c r="AJ45" i="30" a="1"/>
  <c r="AK45" i="30" a="1"/>
  <c r="AL45" i="30" a="1"/>
  <c r="AM45" i="30" a="1"/>
  <c r="AN45" i="30" a="1"/>
  <c r="AO45" i="30" a="1"/>
  <c r="AP45" i="30" a="1"/>
  <c r="AQ45" i="30" a="1"/>
  <c r="AR45" i="30" a="1"/>
  <c r="AS45" i="30" a="1"/>
  <c r="AT45" i="30" a="1"/>
  <c r="AU45" i="30" a="1"/>
  <c r="AV45" i="30" a="1"/>
  <c r="AW45" i="30" a="1"/>
  <c r="AX45" i="30" a="1"/>
  <c r="AY45" i="30" a="1"/>
  <c r="AZ45" i="30" a="1"/>
  <c r="BA45" i="30" a="1"/>
  <c r="BB45" i="30" a="1"/>
  <c r="BC45" i="30" a="1"/>
  <c r="BD45" i="30" a="1"/>
  <c r="BE45" i="30" a="1"/>
  <c r="BF45" i="30" a="1"/>
  <c r="BG45" i="30" a="1"/>
  <c r="BH45" i="30" a="1"/>
  <c r="BI45" i="30" a="1"/>
  <c r="BJ45" i="30" a="1"/>
  <c r="BK45" i="30" a="1"/>
  <c r="BL45" i="30" a="1"/>
  <c r="BM45" i="30" a="1"/>
  <c r="BN45" i="30" a="1"/>
  <c r="BO45" i="30" a="1"/>
  <c r="BP45" i="30" a="1"/>
  <c r="G45" i="30"/>
  <c r="H45" i="30"/>
  <c r="I45" i="30"/>
  <c r="J45" i="30"/>
  <c r="K45" i="30"/>
  <c r="L45" i="30"/>
  <c r="M45" i="30"/>
  <c r="N45" i="30"/>
  <c r="O45" i="30"/>
  <c r="P45" i="30"/>
  <c r="Q45" i="30"/>
  <c r="R45" i="30"/>
  <c r="S45" i="30"/>
  <c r="T45" i="30"/>
  <c r="U45" i="30"/>
  <c r="V45" i="30"/>
  <c r="W45" i="30"/>
  <c r="X45" i="30"/>
  <c r="Y45" i="30"/>
  <c r="Z45" i="30"/>
  <c r="AA45" i="30"/>
  <c r="AB45" i="30"/>
  <c r="AC45" i="30"/>
  <c r="AD45" i="30"/>
  <c r="AE45" i="30"/>
  <c r="AF45" i="30"/>
  <c r="AG45" i="30"/>
  <c r="AH45" i="30"/>
  <c r="AI45" i="30"/>
  <c r="AJ45" i="30"/>
  <c r="AK45" i="30"/>
  <c r="AL45" i="30"/>
  <c r="AM45" i="30"/>
  <c r="AN45" i="30"/>
  <c r="AO45" i="30"/>
  <c r="AP45" i="30"/>
  <c r="AQ45" i="30"/>
  <c r="AR45" i="30"/>
  <c r="AS45" i="30"/>
  <c r="AT45" i="30"/>
  <c r="AU45" i="30"/>
  <c r="AV45" i="30"/>
  <c r="AW45" i="30"/>
  <c r="AX45" i="30"/>
  <c r="AY45" i="30"/>
  <c r="AZ45" i="30"/>
  <c r="BA45" i="30"/>
  <c r="BB45" i="30"/>
  <c r="BC45" i="30"/>
  <c r="BD45" i="30"/>
  <c r="BE45" i="30"/>
  <c r="BF45" i="30"/>
  <c r="BG45" i="30"/>
  <c r="BH45" i="30"/>
  <c r="BI45" i="30"/>
  <c r="BJ45" i="30"/>
  <c r="BK45" i="30"/>
  <c r="BL45" i="30"/>
  <c r="BM45" i="30"/>
  <c r="BN45" i="30"/>
  <c r="BO45" i="30"/>
  <c r="BP45" i="30"/>
  <c r="AB21" i="30"/>
  <c r="W21" i="30"/>
  <c r="E35" i="30" a="1"/>
  <c r="E35" i="30"/>
  <c r="F35" i="30" a="1"/>
  <c r="F35" i="30"/>
  <c r="G35" i="30" a="1"/>
  <c r="H35" i="30" a="1"/>
  <c r="I35" i="30" a="1"/>
  <c r="J35" i="30" a="1"/>
  <c r="K35" i="30" a="1"/>
  <c r="L35" i="30" a="1"/>
  <c r="M35" i="30" a="1"/>
  <c r="N35" i="30" a="1"/>
  <c r="O35" i="30" a="1"/>
  <c r="P35" i="30" a="1"/>
  <c r="Q35" i="30" a="1"/>
  <c r="R35" i="30" a="1"/>
  <c r="S35" i="30" a="1"/>
  <c r="T35" i="30" a="1"/>
  <c r="U35" i="30" a="1"/>
  <c r="V35" i="30" a="1"/>
  <c r="W35" i="30" a="1"/>
  <c r="X35" i="30" a="1"/>
  <c r="Y35" i="30" a="1"/>
  <c r="Z35" i="30" a="1"/>
  <c r="AA35" i="30" a="1"/>
  <c r="AB35" i="30" a="1"/>
  <c r="AC35" i="30" a="1"/>
  <c r="AD35" i="30" a="1"/>
  <c r="AE35" i="30" a="1"/>
  <c r="AF35" i="30" a="1"/>
  <c r="AG35" i="30" a="1"/>
  <c r="AH35" i="30" a="1"/>
  <c r="AI35" i="30" a="1"/>
  <c r="AJ35" i="30" a="1"/>
  <c r="AK35" i="30" a="1"/>
  <c r="AL35" i="30" a="1"/>
  <c r="AM35" i="30" a="1"/>
  <c r="AN35" i="30" a="1"/>
  <c r="AO35" i="30" a="1"/>
  <c r="AP35" i="30" a="1"/>
  <c r="AQ35" i="30" a="1"/>
  <c r="AR35" i="30" a="1"/>
  <c r="AS35" i="30" a="1"/>
  <c r="AT35" i="30" a="1"/>
  <c r="AU35" i="30" a="1"/>
  <c r="AV35" i="30" a="1"/>
  <c r="AW35" i="30" a="1"/>
  <c r="AX35" i="30" a="1"/>
  <c r="AY35" i="30" a="1"/>
  <c r="AZ35" i="30" a="1"/>
  <c r="BA35" i="30" a="1"/>
  <c r="BB35" i="30" a="1"/>
  <c r="BC35" i="30" a="1"/>
  <c r="BD35" i="30" a="1"/>
  <c r="BE35" i="30" a="1"/>
  <c r="BF35" i="30" a="1"/>
  <c r="BG35" i="30" a="1"/>
  <c r="BH35" i="30" a="1"/>
  <c r="BI35" i="30" a="1"/>
  <c r="BJ35" i="30" a="1"/>
  <c r="BK35" i="30" a="1"/>
  <c r="BL35" i="30" a="1"/>
  <c r="BM35" i="30" a="1"/>
  <c r="BN35" i="30" a="1"/>
  <c r="BO35" i="30" a="1"/>
  <c r="BP35" i="30" a="1"/>
  <c r="G35" i="30"/>
  <c r="H35" i="30"/>
  <c r="I35" i="30"/>
  <c r="J35" i="30"/>
  <c r="K35" i="30"/>
  <c r="L35" i="30"/>
  <c r="M35" i="30"/>
  <c r="N35" i="30"/>
  <c r="O35" i="30"/>
  <c r="P35" i="30"/>
  <c r="Q35" i="30"/>
  <c r="R35" i="30"/>
  <c r="S35" i="30"/>
  <c r="T35" i="30"/>
  <c r="U35" i="30"/>
  <c r="V35" i="30"/>
  <c r="W35" i="30"/>
  <c r="X35" i="30"/>
  <c r="Y35" i="30"/>
  <c r="Z35" i="30"/>
  <c r="AA35" i="30"/>
  <c r="AB35" i="30"/>
  <c r="AC35" i="30"/>
  <c r="AD35" i="30"/>
  <c r="AE35" i="30"/>
  <c r="AF35" i="30"/>
  <c r="AG35" i="30"/>
  <c r="AH35" i="30"/>
  <c r="AI35" i="30"/>
  <c r="AJ35" i="30"/>
  <c r="AK35" i="30"/>
  <c r="AL35" i="30"/>
  <c r="AM35" i="30"/>
  <c r="AN35" i="30"/>
  <c r="AO35" i="30"/>
  <c r="AP35" i="30"/>
  <c r="AQ35" i="30"/>
  <c r="AR35" i="30"/>
  <c r="AS35" i="30"/>
  <c r="AT35" i="30"/>
  <c r="AU35" i="30"/>
  <c r="AV35" i="30"/>
  <c r="AW35" i="30"/>
  <c r="AX35" i="30"/>
  <c r="AY35" i="30"/>
  <c r="AZ35" i="30"/>
  <c r="BA35" i="30"/>
  <c r="BB35" i="30"/>
  <c r="BC35" i="30"/>
  <c r="BD35" i="30"/>
  <c r="BE35" i="30"/>
  <c r="BF35" i="30"/>
  <c r="BG35" i="30"/>
  <c r="BH35" i="30"/>
  <c r="BI35" i="30"/>
  <c r="BJ35" i="30"/>
  <c r="BK35" i="30"/>
  <c r="BL35" i="30"/>
  <c r="BM35" i="30"/>
  <c r="BN35" i="30"/>
  <c r="BO35" i="30"/>
  <c r="BP35" i="30"/>
  <c r="AA22" i="30"/>
  <c r="E46" i="30" a="1"/>
  <c r="E46" i="30"/>
  <c r="F46" i="30" a="1"/>
  <c r="F46" i="30"/>
  <c r="G46" i="30" a="1"/>
  <c r="H46" i="30" a="1"/>
  <c r="I46" i="30" a="1"/>
  <c r="J46" i="30" a="1"/>
  <c r="K46" i="30" a="1"/>
  <c r="L46" i="30" a="1"/>
  <c r="M46" i="30" a="1"/>
  <c r="N46" i="30" a="1"/>
  <c r="O46" i="30" a="1"/>
  <c r="P46" i="30" a="1"/>
  <c r="Q46" i="30" a="1"/>
  <c r="R46" i="30" a="1"/>
  <c r="S46" i="30" a="1"/>
  <c r="T46" i="30" a="1"/>
  <c r="U46" i="30" a="1"/>
  <c r="V46" i="30" a="1"/>
  <c r="W46" i="30" a="1"/>
  <c r="X46" i="30" a="1"/>
  <c r="Y46" i="30" a="1"/>
  <c r="Z46" i="30" a="1"/>
  <c r="AA46" i="30" a="1"/>
  <c r="AB46" i="30" a="1"/>
  <c r="AC46" i="30" a="1"/>
  <c r="AD46" i="30" a="1"/>
  <c r="AE46" i="30" a="1"/>
  <c r="AF46" i="30" a="1"/>
  <c r="AG46" i="30" a="1"/>
  <c r="AH46" i="30" a="1"/>
  <c r="AI46" i="30" a="1"/>
  <c r="AJ46" i="30" a="1"/>
  <c r="AK46" i="30" a="1"/>
  <c r="AL46" i="30" a="1"/>
  <c r="AM46" i="30" a="1"/>
  <c r="AN46" i="30" a="1"/>
  <c r="AO46" i="30" a="1"/>
  <c r="AP46" i="30" a="1"/>
  <c r="AQ46" i="30" a="1"/>
  <c r="AR46" i="30" a="1"/>
  <c r="AS46" i="30" a="1"/>
  <c r="AT46" i="30" a="1"/>
  <c r="AU46" i="30" a="1"/>
  <c r="AV46" i="30" a="1"/>
  <c r="AW46" i="30" a="1"/>
  <c r="AX46" i="30" a="1"/>
  <c r="AY46" i="30" a="1"/>
  <c r="AZ46" i="30" a="1"/>
  <c r="BA46" i="30" a="1"/>
  <c r="BB46" i="30" a="1"/>
  <c r="BC46" i="30" a="1"/>
  <c r="BD46" i="30" a="1"/>
  <c r="BE46" i="30" a="1"/>
  <c r="BF46" i="30" a="1"/>
  <c r="BG46" i="30" a="1"/>
  <c r="BH46" i="30" a="1"/>
  <c r="BI46" i="30" a="1"/>
  <c r="BJ46" i="30" a="1"/>
  <c r="BK46" i="30" a="1"/>
  <c r="BL46" i="30" a="1"/>
  <c r="BM46" i="30" a="1"/>
  <c r="BN46" i="30" a="1"/>
  <c r="BO46" i="30" a="1"/>
  <c r="BP46" i="30" a="1"/>
  <c r="G46" i="30"/>
  <c r="H46" i="30"/>
  <c r="I46" i="30"/>
  <c r="J46" i="30"/>
  <c r="K46" i="30"/>
  <c r="L46" i="30"/>
  <c r="M46" i="30"/>
  <c r="N46" i="30"/>
  <c r="O46" i="30"/>
  <c r="P46" i="30"/>
  <c r="Q46" i="30"/>
  <c r="R46" i="30"/>
  <c r="S46" i="30"/>
  <c r="T46" i="30"/>
  <c r="U46" i="30"/>
  <c r="V46" i="30"/>
  <c r="W46" i="30"/>
  <c r="X46" i="30"/>
  <c r="Y46" i="30"/>
  <c r="Z46" i="30"/>
  <c r="AA46" i="30"/>
  <c r="AB46" i="30"/>
  <c r="AC46" i="30"/>
  <c r="AD46" i="30"/>
  <c r="AE46" i="30"/>
  <c r="AF46" i="30"/>
  <c r="AG46" i="30"/>
  <c r="AH46" i="30"/>
  <c r="AI46" i="30"/>
  <c r="AJ46" i="30"/>
  <c r="AK46" i="30"/>
  <c r="AL46" i="30"/>
  <c r="AM46" i="30"/>
  <c r="AN46" i="30"/>
  <c r="AO46" i="30"/>
  <c r="AP46" i="30"/>
  <c r="AQ46" i="30"/>
  <c r="AR46" i="30"/>
  <c r="AS46" i="30"/>
  <c r="AT46" i="30"/>
  <c r="AU46" i="30"/>
  <c r="AV46" i="30"/>
  <c r="AW46" i="30"/>
  <c r="AX46" i="30"/>
  <c r="AY46" i="30"/>
  <c r="AZ46" i="30"/>
  <c r="BA46" i="30"/>
  <c r="BB46" i="30"/>
  <c r="BC46" i="30"/>
  <c r="BD46" i="30"/>
  <c r="BE46" i="30"/>
  <c r="BF46" i="30"/>
  <c r="BG46" i="30"/>
  <c r="BH46" i="30"/>
  <c r="BI46" i="30"/>
  <c r="BJ46" i="30"/>
  <c r="BK46" i="30"/>
  <c r="BL46" i="30"/>
  <c r="BM46" i="30"/>
  <c r="BN46" i="30"/>
  <c r="BO46" i="30"/>
  <c r="BP46" i="30"/>
  <c r="AB22" i="30"/>
  <c r="W22" i="30"/>
  <c r="E36" i="30" a="1"/>
  <c r="E36" i="30"/>
  <c r="F36" i="30" a="1"/>
  <c r="F36" i="30"/>
  <c r="G36" i="30" a="1"/>
  <c r="H36" i="30" a="1"/>
  <c r="I36" i="30" a="1"/>
  <c r="J36" i="30" a="1"/>
  <c r="K36" i="30" a="1"/>
  <c r="L36" i="30" a="1"/>
  <c r="M36" i="30" a="1"/>
  <c r="N36" i="30" a="1"/>
  <c r="O36" i="30" a="1"/>
  <c r="P36" i="30" a="1"/>
  <c r="Q36" i="30" a="1"/>
  <c r="R36" i="30" a="1"/>
  <c r="S36" i="30" a="1"/>
  <c r="T36" i="30" a="1"/>
  <c r="U36" i="30" a="1"/>
  <c r="V36" i="30" a="1"/>
  <c r="W36" i="30" a="1"/>
  <c r="X36" i="30" a="1"/>
  <c r="Y36" i="30" a="1"/>
  <c r="Z36" i="30" a="1"/>
  <c r="AA36" i="30" a="1"/>
  <c r="AB36" i="30" a="1"/>
  <c r="AC36" i="30" a="1"/>
  <c r="AD36" i="30" a="1"/>
  <c r="AE36" i="30" a="1"/>
  <c r="AF36" i="30" a="1"/>
  <c r="AG36" i="30" a="1"/>
  <c r="AH36" i="30" a="1"/>
  <c r="AI36" i="30" a="1"/>
  <c r="AJ36" i="30" a="1"/>
  <c r="AK36" i="30" a="1"/>
  <c r="AL36" i="30" a="1"/>
  <c r="AM36" i="30" a="1"/>
  <c r="AN36" i="30" a="1"/>
  <c r="AO36" i="30" a="1"/>
  <c r="AP36" i="30" a="1"/>
  <c r="AQ36" i="30" a="1"/>
  <c r="AR36" i="30" a="1"/>
  <c r="AS36" i="30" a="1"/>
  <c r="AT36" i="30" a="1"/>
  <c r="AU36" i="30" a="1"/>
  <c r="AV36" i="30" a="1"/>
  <c r="AW36" i="30" a="1"/>
  <c r="AX36" i="30" a="1"/>
  <c r="AY36" i="30" a="1"/>
  <c r="AZ36" i="30" a="1"/>
  <c r="BA36" i="30" a="1"/>
  <c r="BB36" i="30" a="1"/>
  <c r="BC36" i="30" a="1"/>
  <c r="BD36" i="30" a="1"/>
  <c r="BE36" i="30" a="1"/>
  <c r="BF36" i="30" a="1"/>
  <c r="BG36" i="30" a="1"/>
  <c r="BH36" i="30" a="1"/>
  <c r="BI36" i="30" a="1"/>
  <c r="BJ36" i="30" a="1"/>
  <c r="BK36" i="30" a="1"/>
  <c r="BL36" i="30" a="1"/>
  <c r="BM36" i="30" a="1"/>
  <c r="BN36" i="30" a="1"/>
  <c r="BO36" i="30" a="1"/>
  <c r="BP36" i="30" a="1"/>
  <c r="G36" i="30"/>
  <c r="H36" i="30"/>
  <c r="I36" i="30"/>
  <c r="J36" i="30"/>
  <c r="K36" i="30"/>
  <c r="L36" i="30"/>
  <c r="M36" i="30"/>
  <c r="N36" i="30"/>
  <c r="O36" i="30"/>
  <c r="P36" i="30"/>
  <c r="Q36" i="30"/>
  <c r="R36" i="30"/>
  <c r="S36" i="30"/>
  <c r="T36" i="30"/>
  <c r="U36" i="30"/>
  <c r="V36" i="30"/>
  <c r="W36" i="30"/>
  <c r="X36" i="30"/>
  <c r="Y36" i="30"/>
  <c r="Z36" i="30"/>
  <c r="AA36" i="30"/>
  <c r="AB36" i="30"/>
  <c r="AC36" i="30"/>
  <c r="AD36" i="30"/>
  <c r="AE36" i="30"/>
  <c r="AF36" i="30"/>
  <c r="AG36" i="30"/>
  <c r="AH36" i="30"/>
  <c r="AI36" i="30"/>
  <c r="AJ36" i="30"/>
  <c r="AK36" i="30"/>
  <c r="AL36" i="30"/>
  <c r="AM36" i="30"/>
  <c r="AN36" i="30"/>
  <c r="AO36" i="30"/>
  <c r="AP36" i="30"/>
  <c r="AQ36" i="30"/>
  <c r="AR36" i="30"/>
  <c r="AS36" i="30"/>
  <c r="AT36" i="30"/>
  <c r="AU36" i="30"/>
  <c r="AV36" i="30"/>
  <c r="AW36" i="30"/>
  <c r="AX36" i="30"/>
  <c r="AY36" i="30"/>
  <c r="AZ36" i="30"/>
  <c r="BA36" i="30"/>
  <c r="BB36" i="30"/>
  <c r="BC36" i="30"/>
  <c r="BD36" i="30"/>
  <c r="BE36" i="30"/>
  <c r="BF36" i="30"/>
  <c r="BG36" i="30"/>
  <c r="BH36" i="30"/>
  <c r="BI36" i="30"/>
  <c r="BJ36" i="30"/>
  <c r="BK36" i="30"/>
  <c r="BL36" i="30"/>
  <c r="BM36" i="30"/>
  <c r="BN36" i="30"/>
  <c r="BO36" i="30"/>
  <c r="BP36" i="30"/>
  <c r="AA23" i="30"/>
  <c r="E47" i="30" a="1"/>
  <c r="E47" i="30"/>
  <c r="F47" i="30" a="1"/>
  <c r="F47" i="30"/>
  <c r="G47" i="30" a="1"/>
  <c r="H47" i="30" a="1"/>
  <c r="I47" i="30" a="1"/>
  <c r="J47" i="30" a="1"/>
  <c r="K47" i="30" a="1"/>
  <c r="L47" i="30" a="1"/>
  <c r="M47" i="30" a="1"/>
  <c r="N47" i="30" a="1"/>
  <c r="O47" i="30" a="1"/>
  <c r="P47" i="30" a="1"/>
  <c r="Q47" i="30" a="1"/>
  <c r="R47" i="30" a="1"/>
  <c r="S47" i="30" a="1"/>
  <c r="T47" i="30" a="1"/>
  <c r="U47" i="30" a="1"/>
  <c r="V47" i="30" a="1"/>
  <c r="W47" i="30" a="1"/>
  <c r="X47" i="30" a="1"/>
  <c r="Y47" i="30" a="1"/>
  <c r="Z47" i="30" a="1"/>
  <c r="AA47" i="30" a="1"/>
  <c r="AB47" i="30" a="1"/>
  <c r="AC47" i="30" a="1"/>
  <c r="AD47" i="30" a="1"/>
  <c r="AE47" i="30" a="1"/>
  <c r="AF47" i="30" a="1"/>
  <c r="AG47" i="30" a="1"/>
  <c r="AH47" i="30" a="1"/>
  <c r="AI47" i="30" a="1"/>
  <c r="AJ47" i="30" a="1"/>
  <c r="AK47" i="30" a="1"/>
  <c r="AL47" i="30" a="1"/>
  <c r="AM47" i="30" a="1"/>
  <c r="AN47" i="30" a="1"/>
  <c r="AO47" i="30" a="1"/>
  <c r="AP47" i="30" a="1"/>
  <c r="AQ47" i="30" a="1"/>
  <c r="AR47" i="30" a="1"/>
  <c r="AS47" i="30" a="1"/>
  <c r="AT47" i="30" a="1"/>
  <c r="AU47" i="30" a="1"/>
  <c r="AV47" i="30" a="1"/>
  <c r="AW47" i="30" a="1"/>
  <c r="AX47" i="30" a="1"/>
  <c r="AY47" i="30" a="1"/>
  <c r="AZ47" i="30" a="1"/>
  <c r="BA47" i="30" a="1"/>
  <c r="BB47" i="30" a="1"/>
  <c r="BC47" i="30" a="1"/>
  <c r="BD47" i="30" a="1"/>
  <c r="BE47" i="30" a="1"/>
  <c r="BF47" i="30" a="1"/>
  <c r="BG47" i="30" a="1"/>
  <c r="BH47" i="30" a="1"/>
  <c r="BI47" i="30" a="1"/>
  <c r="BJ47" i="30" a="1"/>
  <c r="BK47" i="30" a="1"/>
  <c r="BL47" i="30" a="1"/>
  <c r="BM47" i="30" a="1"/>
  <c r="BN47" i="30" a="1"/>
  <c r="BO47" i="30" a="1"/>
  <c r="BP47" i="30" a="1"/>
  <c r="G47" i="30"/>
  <c r="H47" i="30"/>
  <c r="I47" i="30"/>
  <c r="J47" i="30"/>
  <c r="K47" i="30"/>
  <c r="L47" i="30"/>
  <c r="M47" i="30"/>
  <c r="N47" i="30"/>
  <c r="O47" i="30"/>
  <c r="P47" i="30"/>
  <c r="Q47" i="30"/>
  <c r="R47" i="30"/>
  <c r="S47" i="30"/>
  <c r="T47" i="30"/>
  <c r="U47" i="30"/>
  <c r="V47" i="30"/>
  <c r="W47" i="30"/>
  <c r="X47" i="30"/>
  <c r="Y47" i="30"/>
  <c r="Z47" i="30"/>
  <c r="AA47" i="30"/>
  <c r="AB47" i="30"/>
  <c r="AC47" i="30"/>
  <c r="AD47" i="30"/>
  <c r="AE47" i="30"/>
  <c r="AF47" i="30"/>
  <c r="AG47" i="30"/>
  <c r="AH47" i="30"/>
  <c r="AI47" i="30"/>
  <c r="AJ47" i="30"/>
  <c r="AK47" i="30"/>
  <c r="AL47" i="30"/>
  <c r="AM47" i="30"/>
  <c r="AN47" i="30"/>
  <c r="AO47" i="30"/>
  <c r="AP47" i="30"/>
  <c r="AQ47" i="30"/>
  <c r="AR47" i="30"/>
  <c r="AS47" i="30"/>
  <c r="AT47" i="30"/>
  <c r="AU47" i="30"/>
  <c r="AV47" i="30"/>
  <c r="AW47" i="30"/>
  <c r="AX47" i="30"/>
  <c r="AY47" i="30"/>
  <c r="AZ47" i="30"/>
  <c r="BA47" i="30"/>
  <c r="BB47" i="30"/>
  <c r="BC47" i="30"/>
  <c r="BD47" i="30"/>
  <c r="BE47" i="30"/>
  <c r="BF47" i="30"/>
  <c r="BG47" i="30"/>
  <c r="BH47" i="30"/>
  <c r="BI47" i="30"/>
  <c r="BJ47" i="30"/>
  <c r="BK47" i="30"/>
  <c r="BL47" i="30"/>
  <c r="BM47" i="30"/>
  <c r="BN47" i="30"/>
  <c r="BO47" i="30"/>
  <c r="BP47" i="30"/>
  <c r="AB23" i="30"/>
  <c r="W23" i="30"/>
  <c r="E37" i="30" a="1"/>
  <c r="E37" i="30"/>
  <c r="F37" i="30" a="1"/>
  <c r="F37" i="30"/>
  <c r="G37" i="30" a="1"/>
  <c r="H37" i="30" a="1"/>
  <c r="I37" i="30" a="1"/>
  <c r="J37" i="30" a="1"/>
  <c r="K37" i="30" a="1"/>
  <c r="L37" i="30" a="1"/>
  <c r="M37" i="30" a="1"/>
  <c r="N37" i="30" a="1"/>
  <c r="O37" i="30" a="1"/>
  <c r="P37" i="30" a="1"/>
  <c r="Q37" i="30" a="1"/>
  <c r="R37" i="30" a="1"/>
  <c r="S37" i="30" a="1"/>
  <c r="T37" i="30" a="1"/>
  <c r="U37" i="30" a="1"/>
  <c r="V37" i="30" a="1"/>
  <c r="W37" i="30" a="1"/>
  <c r="X37" i="30" a="1"/>
  <c r="Y37" i="30" a="1"/>
  <c r="Z37" i="30" a="1"/>
  <c r="AA37" i="30" a="1"/>
  <c r="AB37" i="30" a="1"/>
  <c r="AC37" i="30" a="1"/>
  <c r="AD37" i="30" a="1"/>
  <c r="AE37" i="30" a="1"/>
  <c r="AF37" i="30" a="1"/>
  <c r="AG37" i="30" a="1"/>
  <c r="AH37" i="30" a="1"/>
  <c r="AI37" i="30" a="1"/>
  <c r="AJ37" i="30" a="1"/>
  <c r="AK37" i="30" a="1"/>
  <c r="AL37" i="30" a="1"/>
  <c r="AM37" i="30" a="1"/>
  <c r="AN37" i="30" a="1"/>
  <c r="AO37" i="30" a="1"/>
  <c r="AP37" i="30" a="1"/>
  <c r="AQ37" i="30" a="1"/>
  <c r="AR37" i="30" a="1"/>
  <c r="AS37" i="30" a="1"/>
  <c r="AT37" i="30" a="1"/>
  <c r="AU37" i="30" a="1"/>
  <c r="AV37" i="30" a="1"/>
  <c r="AW37" i="30" a="1"/>
  <c r="AX37" i="30" a="1"/>
  <c r="AY37" i="30" a="1"/>
  <c r="AZ37" i="30" a="1"/>
  <c r="BA37" i="30" a="1"/>
  <c r="BB37" i="30" a="1"/>
  <c r="BC37" i="30" a="1"/>
  <c r="BD37" i="30" a="1"/>
  <c r="BE37" i="30" a="1"/>
  <c r="BF37" i="30" a="1"/>
  <c r="BG37" i="30" a="1"/>
  <c r="BH37" i="30" a="1"/>
  <c r="BI37" i="30" a="1"/>
  <c r="BJ37" i="30" a="1"/>
  <c r="BK37" i="30" a="1"/>
  <c r="BL37" i="30" a="1"/>
  <c r="BM37" i="30" a="1"/>
  <c r="BN37" i="30" a="1"/>
  <c r="BO37" i="30" a="1"/>
  <c r="BP37" i="30" a="1"/>
  <c r="G37" i="30"/>
  <c r="H37" i="30"/>
  <c r="I37" i="30"/>
  <c r="J37" i="30"/>
  <c r="K37" i="30"/>
  <c r="L37" i="30"/>
  <c r="M37" i="30"/>
  <c r="N37" i="30"/>
  <c r="O37" i="30"/>
  <c r="P37" i="30"/>
  <c r="Q37" i="30"/>
  <c r="R37" i="30"/>
  <c r="S37" i="30"/>
  <c r="T37" i="30"/>
  <c r="U37" i="30"/>
  <c r="V37" i="30"/>
  <c r="W37" i="30"/>
  <c r="X37" i="30"/>
  <c r="Y37" i="30"/>
  <c r="Z37" i="30"/>
  <c r="AA37" i="30"/>
  <c r="AB37" i="30"/>
  <c r="AC37" i="30"/>
  <c r="AD37" i="30"/>
  <c r="AE37" i="30"/>
  <c r="AF37" i="30"/>
  <c r="AG37" i="30"/>
  <c r="AH37" i="30"/>
  <c r="AI37" i="30"/>
  <c r="AJ37" i="30"/>
  <c r="AK37" i="30"/>
  <c r="AL37" i="30"/>
  <c r="AM37" i="30"/>
  <c r="AN37" i="30"/>
  <c r="AO37" i="30"/>
  <c r="AP37" i="30"/>
  <c r="AQ37" i="30"/>
  <c r="AR37" i="30"/>
  <c r="AS37" i="30"/>
  <c r="AT37" i="30"/>
  <c r="AU37" i="30"/>
  <c r="AV37" i="30"/>
  <c r="AW37" i="30"/>
  <c r="AX37" i="30"/>
  <c r="AY37" i="30"/>
  <c r="AZ37" i="30"/>
  <c r="BA37" i="30"/>
  <c r="BB37" i="30"/>
  <c r="BC37" i="30"/>
  <c r="BD37" i="30"/>
  <c r="BE37" i="30"/>
  <c r="BF37" i="30"/>
  <c r="BG37" i="30"/>
  <c r="BH37" i="30"/>
  <c r="BI37" i="30"/>
  <c r="BJ37" i="30"/>
  <c r="BK37" i="30"/>
  <c r="BL37" i="30"/>
  <c r="BM37" i="30"/>
  <c r="BN37" i="30"/>
  <c r="BO37" i="30"/>
  <c r="BP37" i="30"/>
  <c r="AA24" i="30"/>
  <c r="E48" i="30" a="1"/>
  <c r="E48" i="30"/>
  <c r="F48" i="30" a="1"/>
  <c r="F48" i="30"/>
  <c r="G48" i="30" a="1"/>
  <c r="H48" i="30" a="1"/>
  <c r="I48" i="30" a="1"/>
  <c r="J48" i="30" a="1"/>
  <c r="K48" i="30" a="1"/>
  <c r="L48" i="30" a="1"/>
  <c r="M48" i="30" a="1"/>
  <c r="N48" i="30" a="1"/>
  <c r="O48" i="30" a="1"/>
  <c r="P48" i="30" a="1"/>
  <c r="Q48" i="30" a="1"/>
  <c r="R48" i="30" a="1"/>
  <c r="S48" i="30" a="1"/>
  <c r="T48" i="30" a="1"/>
  <c r="U48" i="30" a="1"/>
  <c r="V48" i="30" a="1"/>
  <c r="W48" i="30" a="1"/>
  <c r="X48" i="30" a="1"/>
  <c r="Y48" i="30" a="1"/>
  <c r="Z48" i="30" a="1"/>
  <c r="AA48" i="30" a="1"/>
  <c r="AB48" i="30" a="1"/>
  <c r="AC48" i="30" a="1"/>
  <c r="AD48" i="30" a="1"/>
  <c r="AE48" i="30" a="1"/>
  <c r="AF48" i="30" a="1"/>
  <c r="AG48" i="30" a="1"/>
  <c r="AH48" i="30" a="1"/>
  <c r="AI48" i="30" a="1"/>
  <c r="AJ48" i="30" a="1"/>
  <c r="AK48" i="30" a="1"/>
  <c r="AL48" i="30" a="1"/>
  <c r="AM48" i="30" a="1"/>
  <c r="AN48" i="30" a="1"/>
  <c r="AO48" i="30" a="1"/>
  <c r="AP48" i="30" a="1"/>
  <c r="AQ48" i="30" a="1"/>
  <c r="AR48" i="30" a="1"/>
  <c r="AS48" i="30" a="1"/>
  <c r="AT48" i="30" a="1"/>
  <c r="AU48" i="30" a="1"/>
  <c r="AV48" i="30" a="1"/>
  <c r="AW48" i="30" a="1"/>
  <c r="AX48" i="30" a="1"/>
  <c r="AY48" i="30" a="1"/>
  <c r="AZ48" i="30" a="1"/>
  <c r="BA48" i="30" a="1"/>
  <c r="BB48" i="30" a="1"/>
  <c r="BC48" i="30" a="1"/>
  <c r="BD48" i="30" a="1"/>
  <c r="BE48" i="30" a="1"/>
  <c r="BF48" i="30" a="1"/>
  <c r="BG48" i="30" a="1"/>
  <c r="BH48" i="30" a="1"/>
  <c r="BI48" i="30" a="1"/>
  <c r="BJ48" i="30" a="1"/>
  <c r="BK48" i="30" a="1"/>
  <c r="BL48" i="30" a="1"/>
  <c r="BM48" i="30" a="1"/>
  <c r="BN48" i="30" a="1"/>
  <c r="BO48" i="30" a="1"/>
  <c r="BP48" i="30" a="1"/>
  <c r="G48" i="30"/>
  <c r="H48" i="30"/>
  <c r="I48" i="30"/>
  <c r="J48" i="30"/>
  <c r="K48" i="30"/>
  <c r="L48" i="30"/>
  <c r="M48" i="30"/>
  <c r="N48" i="30"/>
  <c r="O48" i="30"/>
  <c r="P48" i="30"/>
  <c r="Q48" i="30"/>
  <c r="R48" i="30"/>
  <c r="S48" i="30"/>
  <c r="T48" i="30"/>
  <c r="U48" i="30"/>
  <c r="V48" i="30"/>
  <c r="W48" i="30"/>
  <c r="X48" i="30"/>
  <c r="Y48" i="30"/>
  <c r="Z48" i="30"/>
  <c r="AA48" i="30"/>
  <c r="AB48" i="30"/>
  <c r="AC48" i="30"/>
  <c r="AD48" i="30"/>
  <c r="AE48" i="30"/>
  <c r="AF48" i="30"/>
  <c r="AG48" i="30"/>
  <c r="AH48" i="30"/>
  <c r="AI48" i="30"/>
  <c r="AJ48" i="30"/>
  <c r="AK48" i="30"/>
  <c r="AL48" i="30"/>
  <c r="AM48" i="30"/>
  <c r="AN48" i="30"/>
  <c r="AO48" i="30"/>
  <c r="AP48" i="30"/>
  <c r="AQ48" i="30"/>
  <c r="AR48" i="30"/>
  <c r="AS48" i="30"/>
  <c r="AT48" i="30"/>
  <c r="AU48" i="30"/>
  <c r="AV48" i="30"/>
  <c r="AW48" i="30"/>
  <c r="AX48" i="30"/>
  <c r="AY48" i="30"/>
  <c r="AZ48" i="30"/>
  <c r="BA48" i="30"/>
  <c r="BB48" i="30"/>
  <c r="BC48" i="30"/>
  <c r="BD48" i="30"/>
  <c r="BE48" i="30"/>
  <c r="BF48" i="30"/>
  <c r="BG48" i="30"/>
  <c r="BH48" i="30"/>
  <c r="BI48" i="30"/>
  <c r="BJ48" i="30"/>
  <c r="BK48" i="30"/>
  <c r="BL48" i="30"/>
  <c r="BM48" i="30"/>
  <c r="BN48" i="30"/>
  <c r="BO48" i="30"/>
  <c r="BP48" i="30"/>
  <c r="AB24" i="30"/>
  <c r="W24" i="30"/>
  <c r="E38" i="30" a="1"/>
  <c r="E38" i="30"/>
  <c r="F38" i="30" a="1"/>
  <c r="F38" i="30"/>
  <c r="G38" i="30" a="1"/>
  <c r="H38" i="30" a="1"/>
  <c r="I38" i="30" a="1"/>
  <c r="J38" i="30" a="1"/>
  <c r="K38" i="30" a="1"/>
  <c r="L38" i="30" a="1"/>
  <c r="M38" i="30" a="1"/>
  <c r="N38" i="30" a="1"/>
  <c r="O38" i="30" a="1"/>
  <c r="P38" i="30" a="1"/>
  <c r="Q38" i="30" a="1"/>
  <c r="R38" i="30" a="1"/>
  <c r="S38" i="30" a="1"/>
  <c r="T38" i="30" a="1"/>
  <c r="U38" i="30" a="1"/>
  <c r="V38" i="30" a="1"/>
  <c r="W38" i="30" a="1"/>
  <c r="X38" i="30" a="1"/>
  <c r="Y38" i="30" a="1"/>
  <c r="Z38" i="30" a="1"/>
  <c r="AA38" i="30" a="1"/>
  <c r="AB38" i="30" a="1"/>
  <c r="AC38" i="30" a="1"/>
  <c r="AD38" i="30" a="1"/>
  <c r="AE38" i="30" a="1"/>
  <c r="AF38" i="30" a="1"/>
  <c r="AG38" i="30" a="1"/>
  <c r="AH38" i="30" a="1"/>
  <c r="AI38" i="30" a="1"/>
  <c r="AJ38" i="30" a="1"/>
  <c r="AK38" i="30" a="1"/>
  <c r="AL38" i="30" a="1"/>
  <c r="AM38" i="30" a="1"/>
  <c r="AN38" i="30" a="1"/>
  <c r="AO38" i="30" a="1"/>
  <c r="AP38" i="30" a="1"/>
  <c r="AQ38" i="30" a="1"/>
  <c r="AR38" i="30" a="1"/>
  <c r="AS38" i="30" a="1"/>
  <c r="AT38" i="30" a="1"/>
  <c r="AU38" i="30" a="1"/>
  <c r="AV38" i="30" a="1"/>
  <c r="AW38" i="30" a="1"/>
  <c r="AX38" i="30" a="1"/>
  <c r="AY38" i="30" a="1"/>
  <c r="AZ38" i="30" a="1"/>
  <c r="BA38" i="30" a="1"/>
  <c r="BB38" i="30" a="1"/>
  <c r="BC38" i="30" a="1"/>
  <c r="BD38" i="30" a="1"/>
  <c r="BE38" i="30" a="1"/>
  <c r="BF38" i="30" a="1"/>
  <c r="BG38" i="30" a="1"/>
  <c r="BH38" i="30" a="1"/>
  <c r="BI38" i="30" a="1"/>
  <c r="BJ38" i="30" a="1"/>
  <c r="BK38" i="30" a="1"/>
  <c r="BL38" i="30" a="1"/>
  <c r="BM38" i="30" a="1"/>
  <c r="BN38" i="30" a="1"/>
  <c r="BO38" i="30" a="1"/>
  <c r="BP38" i="30" a="1"/>
  <c r="G38" i="30"/>
  <c r="H38" i="30"/>
  <c r="I38" i="30"/>
  <c r="J38" i="30"/>
  <c r="K38" i="30"/>
  <c r="L38" i="30"/>
  <c r="M38" i="30"/>
  <c r="N38" i="30"/>
  <c r="O38" i="30"/>
  <c r="P38" i="30"/>
  <c r="Q38" i="30"/>
  <c r="R38" i="30"/>
  <c r="S38" i="30"/>
  <c r="T38" i="30"/>
  <c r="U38" i="30"/>
  <c r="V38" i="30"/>
  <c r="W38" i="30"/>
  <c r="X38" i="30"/>
  <c r="Y38" i="30"/>
  <c r="Z38" i="30"/>
  <c r="AA38" i="30"/>
  <c r="AB38" i="30"/>
  <c r="AC38" i="30"/>
  <c r="AD38" i="30"/>
  <c r="AE38" i="30"/>
  <c r="AF38" i="30"/>
  <c r="AG38" i="30"/>
  <c r="AH38" i="30"/>
  <c r="AI38" i="30"/>
  <c r="AJ38" i="30"/>
  <c r="AK38" i="30"/>
  <c r="AL38" i="30"/>
  <c r="AM38" i="30"/>
  <c r="AN38" i="30"/>
  <c r="AO38" i="30"/>
  <c r="AP38" i="30"/>
  <c r="AQ38" i="30"/>
  <c r="AR38" i="30"/>
  <c r="AS38" i="30"/>
  <c r="AT38" i="30"/>
  <c r="AU38" i="30"/>
  <c r="AV38" i="30"/>
  <c r="AW38" i="30"/>
  <c r="AX38" i="30"/>
  <c r="AY38" i="30"/>
  <c r="AZ38" i="30"/>
  <c r="BA38" i="30"/>
  <c r="BB38" i="30"/>
  <c r="BC38" i="30"/>
  <c r="BD38" i="30"/>
  <c r="BE38" i="30"/>
  <c r="BF38" i="30"/>
  <c r="BG38" i="30"/>
  <c r="BH38" i="30"/>
  <c r="BI38" i="30"/>
  <c r="BJ38" i="30"/>
  <c r="BK38" i="30"/>
  <c r="BL38" i="30"/>
  <c r="BM38" i="30"/>
  <c r="BN38" i="30"/>
  <c r="BO38" i="30"/>
  <c r="BP38" i="30"/>
  <c r="AA25" i="30"/>
  <c r="E49" i="30" a="1"/>
  <c r="E49" i="30"/>
  <c r="F49" i="30" a="1"/>
  <c r="F49" i="30"/>
  <c r="G49" i="30" a="1"/>
  <c r="H49" i="30" a="1"/>
  <c r="I49" i="30" a="1"/>
  <c r="J49" i="30" a="1"/>
  <c r="K49" i="30" a="1"/>
  <c r="L49" i="30" a="1"/>
  <c r="M49" i="30" a="1"/>
  <c r="N49" i="30" a="1"/>
  <c r="O49" i="30" a="1"/>
  <c r="P49" i="30" a="1"/>
  <c r="Q49" i="30" a="1"/>
  <c r="R49" i="30" a="1"/>
  <c r="S49" i="30" a="1"/>
  <c r="T49" i="30" a="1"/>
  <c r="U49" i="30" a="1"/>
  <c r="V49" i="30" a="1"/>
  <c r="W49" i="30" a="1"/>
  <c r="X49" i="30" a="1"/>
  <c r="Y49" i="30" a="1"/>
  <c r="Z49" i="30" a="1"/>
  <c r="AA49" i="30" a="1"/>
  <c r="AB49" i="30" a="1"/>
  <c r="AC49" i="30" a="1"/>
  <c r="AD49" i="30" a="1"/>
  <c r="AE49" i="30" a="1"/>
  <c r="AF49" i="30" a="1"/>
  <c r="AG49" i="30" a="1"/>
  <c r="AH49" i="30" a="1"/>
  <c r="AI49" i="30" a="1"/>
  <c r="AJ49" i="30" a="1"/>
  <c r="AK49" i="30" a="1"/>
  <c r="AL49" i="30" a="1"/>
  <c r="AM49" i="30" a="1"/>
  <c r="AN49" i="30" a="1"/>
  <c r="AO49" i="30" a="1"/>
  <c r="AP49" i="30" a="1"/>
  <c r="AQ49" i="30" a="1"/>
  <c r="AR49" i="30" a="1"/>
  <c r="AS49" i="30" a="1"/>
  <c r="AT49" i="30" a="1"/>
  <c r="AU49" i="30" a="1"/>
  <c r="AV49" i="30" a="1"/>
  <c r="AW49" i="30" a="1"/>
  <c r="AX49" i="30" a="1"/>
  <c r="AY49" i="30" a="1"/>
  <c r="AZ49" i="30" a="1"/>
  <c r="BA49" i="30" a="1"/>
  <c r="BB49" i="30" a="1"/>
  <c r="BC49" i="30" a="1"/>
  <c r="BD49" i="30" a="1"/>
  <c r="BE49" i="30" a="1"/>
  <c r="BF49" i="30" a="1"/>
  <c r="BG49" i="30" a="1"/>
  <c r="BH49" i="30" a="1"/>
  <c r="BI49" i="30" a="1"/>
  <c r="BJ49" i="30" a="1"/>
  <c r="BK49" i="30" a="1"/>
  <c r="BL49" i="30" a="1"/>
  <c r="BM49" i="30" a="1"/>
  <c r="BN49" i="30" a="1"/>
  <c r="BO49" i="30" a="1"/>
  <c r="BP49" i="30" a="1"/>
  <c r="G49" i="30"/>
  <c r="H49" i="30"/>
  <c r="I49" i="30"/>
  <c r="J49" i="30"/>
  <c r="K49" i="30"/>
  <c r="L49" i="30"/>
  <c r="M49" i="30"/>
  <c r="N49" i="30"/>
  <c r="O49" i="30"/>
  <c r="P49" i="30"/>
  <c r="Q49" i="30"/>
  <c r="R49" i="30"/>
  <c r="S49" i="30"/>
  <c r="T49" i="30"/>
  <c r="U49" i="30"/>
  <c r="V49" i="30"/>
  <c r="W49" i="30"/>
  <c r="X49" i="30"/>
  <c r="Y49" i="30"/>
  <c r="Z49" i="30"/>
  <c r="AA49" i="30"/>
  <c r="AB49" i="30"/>
  <c r="AC49" i="30"/>
  <c r="AD49" i="30"/>
  <c r="AE49" i="30"/>
  <c r="AF49" i="30"/>
  <c r="AG49" i="30"/>
  <c r="AH49" i="30"/>
  <c r="AI49" i="30"/>
  <c r="AJ49" i="30"/>
  <c r="AK49" i="30"/>
  <c r="AL49" i="30"/>
  <c r="AM49" i="30"/>
  <c r="AN49" i="30"/>
  <c r="AO49" i="30"/>
  <c r="AP49" i="30"/>
  <c r="AQ49" i="30"/>
  <c r="AR49" i="30"/>
  <c r="AS49" i="30"/>
  <c r="AT49" i="30"/>
  <c r="AU49" i="30"/>
  <c r="AV49" i="30"/>
  <c r="AW49" i="30"/>
  <c r="AX49" i="30"/>
  <c r="AY49" i="30"/>
  <c r="AZ49" i="30"/>
  <c r="BA49" i="30"/>
  <c r="BB49" i="30"/>
  <c r="BC49" i="30"/>
  <c r="BD49" i="30"/>
  <c r="BE49" i="30"/>
  <c r="BF49" i="30"/>
  <c r="BG49" i="30"/>
  <c r="BH49" i="30"/>
  <c r="BI49" i="30"/>
  <c r="BJ49" i="30"/>
  <c r="BK49" i="30"/>
  <c r="BL49" i="30"/>
  <c r="BM49" i="30"/>
  <c r="BN49" i="30"/>
  <c r="BO49" i="30"/>
  <c r="BP49" i="30"/>
  <c r="AB25" i="30"/>
  <c r="W25" i="30"/>
  <c r="AD17" i="30"/>
  <c r="Y17" i="30"/>
  <c r="X17" i="30"/>
  <c r="AD18" i="30"/>
  <c r="Y18" i="30"/>
  <c r="X18" i="30"/>
  <c r="AD19" i="30"/>
  <c r="Y19" i="30"/>
  <c r="X19" i="30"/>
  <c r="AD20" i="30"/>
  <c r="Y20" i="30"/>
  <c r="X20" i="30"/>
  <c r="X21" i="30"/>
  <c r="X22" i="30"/>
  <c r="X23" i="30"/>
  <c r="X24" i="30"/>
  <c r="X25" i="30"/>
  <c r="E4" i="30"/>
  <c r="D4" i="30"/>
  <c r="E5" i="30"/>
  <c r="D5" i="30"/>
  <c r="E6" i="30"/>
  <c r="D6" i="30"/>
  <c r="E7" i="30"/>
  <c r="D7" i="30"/>
  <c r="E8" i="30"/>
  <c r="D8" i="30"/>
  <c r="E9" i="30"/>
  <c r="D9" i="30"/>
  <c r="E10" i="30"/>
  <c r="D10" i="30"/>
  <c r="E11" i="30"/>
  <c r="D11" i="30"/>
  <c r="E12" i="30"/>
  <c r="D12" i="30"/>
  <c r="C4" i="30"/>
  <c r="AB26" i="27"/>
  <c r="I49" i="27"/>
  <c r="C5" i="30"/>
  <c r="C6" i="30"/>
  <c r="C7" i="30"/>
  <c r="AB29" i="27"/>
  <c r="I52" i="27"/>
  <c r="AB28" i="27"/>
  <c r="I51" i="27"/>
  <c r="AB27" i="27"/>
  <c r="I50" i="27"/>
  <c r="AB22" i="27"/>
  <c r="I48" i="27"/>
  <c r="N7" i="30"/>
  <c r="AF29" i="27"/>
  <c r="AE29" i="27"/>
  <c r="AD29" i="27"/>
  <c r="AC29" i="27"/>
  <c r="N6" i="30"/>
  <c r="AF28" i="27"/>
  <c r="AE28" i="27"/>
  <c r="AD28" i="27"/>
  <c r="AC28" i="27"/>
  <c r="N5" i="30"/>
  <c r="AF27" i="27"/>
  <c r="AE27" i="27"/>
  <c r="AD27" i="27"/>
  <c r="AC27" i="27"/>
  <c r="N4" i="30"/>
  <c r="AF26" i="27"/>
  <c r="AE26" i="27"/>
  <c r="AD26" i="27"/>
  <c r="AC26" i="27"/>
  <c r="AF22" i="27"/>
  <c r="AE22" i="27"/>
  <c r="AD22" i="27"/>
  <c r="AC22" i="27"/>
  <c r="AF21" i="27"/>
  <c r="AE21" i="27"/>
  <c r="AD21" i="27"/>
  <c r="AC21" i="27"/>
  <c r="AF20" i="27"/>
  <c r="AE20" i="27"/>
  <c r="AD20" i="27"/>
  <c r="AC20" i="27"/>
  <c r="AF19" i="27"/>
  <c r="AE19" i="27"/>
  <c r="AD19" i="27"/>
  <c r="AC19" i="27"/>
  <c r="AA26" i="27"/>
  <c r="AA27" i="27"/>
  <c r="AA28" i="27"/>
  <c r="AA29" i="27"/>
  <c r="AA19" i="27"/>
  <c r="AA20" i="27"/>
  <c r="AA21" i="27"/>
  <c r="AA22" i="27"/>
  <c r="C13" i="21" a="1"/>
  <c r="C13" i="21"/>
  <c r="E13" i="21"/>
  <c r="C18" i="32" a="1"/>
  <c r="C18" i="32"/>
  <c r="E18" i="32"/>
  <c r="C17" i="32" a="1"/>
  <c r="C17" i="32"/>
  <c r="E17" i="32"/>
  <c r="C16" i="32" a="1"/>
  <c r="C16" i="32"/>
  <c r="E16" i="32"/>
  <c r="C15" i="32" a="1"/>
  <c r="C15" i="32"/>
  <c r="E15" i="32"/>
  <c r="C14" i="32" a="1"/>
  <c r="C14" i="32"/>
  <c r="E14" i="32"/>
  <c r="C20" i="32" a="1"/>
  <c r="C20" i="32"/>
  <c r="C23" i="32"/>
  <c r="C21" i="32"/>
  <c r="E21" i="32"/>
  <c r="E20" i="32"/>
  <c r="C24" i="32"/>
  <c r="AB34" i="27"/>
  <c r="I54" i="27"/>
  <c r="AB35" i="27"/>
  <c r="I55" i="27"/>
  <c r="I58" i="27"/>
  <c r="AB41" i="27"/>
  <c r="C6" i="34"/>
  <c r="C5" i="34"/>
  <c r="C4" i="34"/>
  <c r="P12" i="35"/>
  <c r="O12" i="35"/>
  <c r="U12" i="35"/>
  <c r="T12" i="35"/>
  <c r="AE12" i="35"/>
  <c r="AD12" i="35"/>
  <c r="AJ12" i="35"/>
  <c r="AI12" i="35"/>
  <c r="P13" i="35"/>
  <c r="O13" i="35"/>
  <c r="U13" i="35"/>
  <c r="T13" i="35"/>
  <c r="Z13" i="35"/>
  <c r="Y13" i="35"/>
  <c r="U14" i="35"/>
  <c r="T14" i="35"/>
  <c r="Z14" i="35"/>
  <c r="Y14" i="35"/>
  <c r="AE14" i="35"/>
  <c r="AD14" i="35"/>
  <c r="U15" i="35"/>
  <c r="T15" i="35"/>
  <c r="AE15" i="35"/>
  <c r="AD15" i="35"/>
  <c r="AJ16" i="35"/>
  <c r="AI16" i="35"/>
  <c r="U17" i="35"/>
  <c r="T17" i="35"/>
  <c r="AE17" i="35"/>
  <c r="AD17" i="35"/>
  <c r="U18" i="35"/>
  <c r="T18" i="35"/>
  <c r="Z18" i="35"/>
  <c r="Y18" i="35"/>
  <c r="AJ18" i="35"/>
  <c r="AI18" i="35"/>
  <c r="P20" i="35"/>
  <c r="O20" i="35"/>
  <c r="U29" i="35"/>
  <c r="T29" i="35"/>
  <c r="AE29" i="35"/>
  <c r="AD29" i="35"/>
  <c r="BN12" i="35"/>
  <c r="BM12" i="35"/>
  <c r="BN13" i="35"/>
  <c r="BM13" i="35"/>
  <c r="BN14" i="35"/>
  <c r="BM14" i="35"/>
  <c r="BN17" i="35"/>
  <c r="BM17" i="35"/>
  <c r="BN18" i="35"/>
  <c r="BM18" i="35"/>
  <c r="BN29" i="35"/>
  <c r="BM29" i="35"/>
  <c r="U30" i="35"/>
  <c r="T30" i="35"/>
  <c r="Z30" i="35"/>
  <c r="Y30" i="35"/>
  <c r="AJ30" i="35"/>
  <c r="AI30" i="35"/>
  <c r="BI30" i="35"/>
  <c r="BH30" i="35"/>
  <c r="BN30" i="35"/>
  <c r="BM30" i="35"/>
  <c r="P32" i="35"/>
  <c r="O32" i="35"/>
  <c r="BI32" i="35"/>
  <c r="BH32" i="35"/>
  <c r="P33" i="35"/>
  <c r="O33" i="35"/>
  <c r="U33" i="35"/>
  <c r="T33" i="35"/>
  <c r="Z33" i="35"/>
  <c r="Y33" i="35"/>
  <c r="BI33" i="35"/>
  <c r="BH33" i="35"/>
  <c r="BN33" i="35"/>
  <c r="BM33" i="35"/>
  <c r="AE34" i="35"/>
  <c r="AD34" i="35"/>
  <c r="U35" i="35"/>
  <c r="T35" i="35"/>
  <c r="AE35" i="35"/>
  <c r="AD35" i="35"/>
  <c r="AJ36" i="35"/>
  <c r="AI36" i="35"/>
  <c r="BS34" i="35"/>
  <c r="BR34" i="35"/>
  <c r="BS33" i="35"/>
  <c r="BR33" i="35"/>
  <c r="BS18" i="35"/>
  <c r="BR18" i="35"/>
  <c r="BS17" i="35"/>
  <c r="BR17" i="35"/>
  <c r="BS12" i="35"/>
  <c r="BR12" i="35"/>
  <c r="C14" i="21" a="1"/>
  <c r="C14" i="21"/>
  <c r="E14" i="21"/>
  <c r="C19" i="21" a="1"/>
  <c r="C19" i="21"/>
  <c r="E19" i="21"/>
  <c r="C18" i="21" a="1"/>
  <c r="C18" i="21"/>
  <c r="E18" i="21"/>
  <c r="C17" i="21" a="1"/>
  <c r="C17" i="21"/>
  <c r="E17" i="21"/>
  <c r="C16" i="21" a="1"/>
  <c r="C16" i="21"/>
  <c r="E16" i="21"/>
  <c r="C15" i="21" a="1"/>
  <c r="C15" i="21"/>
  <c r="E15" i="21"/>
  <c r="C20" i="21" a="1"/>
  <c r="C20" i="21"/>
  <c r="E20" i="21"/>
  <c r="C18" i="36" a="1"/>
  <c r="C18" i="36"/>
  <c r="C27" i="36"/>
  <c r="C28" i="36"/>
  <c r="C24" i="36"/>
  <c r="C25" i="36"/>
  <c r="C22" i="36"/>
  <c r="E22" i="36"/>
  <c r="C19" i="36"/>
  <c r="E19" i="36"/>
  <c r="E18" i="36"/>
  <c r="C21" i="36"/>
  <c r="E21" i="36"/>
  <c r="C16" i="36" a="1"/>
  <c r="C16" i="36"/>
  <c r="E16" i="36"/>
  <c r="C15" i="36" a="1"/>
  <c r="C15" i="36"/>
  <c r="E15" i="36"/>
  <c r="C14" i="36" a="1"/>
  <c r="C14" i="36"/>
  <c r="E14" i="36"/>
  <c r="C13" i="36" a="1"/>
  <c r="C13" i="36"/>
  <c r="E13" i="36"/>
  <c r="C36" i="27" a="1"/>
  <c r="C36" i="27"/>
  <c r="D36" i="27" a="1"/>
  <c r="D36" i="27"/>
  <c r="K38" i="27"/>
  <c r="S19" i="22"/>
  <c r="CC12" i="35"/>
  <c r="CA12" i="35"/>
  <c r="BZ12" i="35"/>
  <c r="CA13" i="35"/>
  <c r="BZ13" i="35"/>
  <c r="CC14" i="35"/>
  <c r="CA14" i="35"/>
  <c r="BZ14" i="35"/>
  <c r="CC15" i="35"/>
  <c r="CA15" i="35"/>
  <c r="BZ15" i="35"/>
  <c r="CC16" i="35"/>
  <c r="CA16" i="35"/>
  <c r="BZ16" i="35"/>
  <c r="CC17" i="35"/>
  <c r="CA17" i="35"/>
  <c r="BZ17" i="35"/>
  <c r="CC18" i="35"/>
  <c r="CA18" i="35"/>
  <c r="BZ18" i="35"/>
  <c r="CC19" i="35"/>
  <c r="C19" i="27" a="1"/>
  <c r="C19" i="27"/>
  <c r="D19" i="27" a="1"/>
  <c r="D19" i="27"/>
  <c r="CA19" i="35"/>
  <c r="BZ19" i="35"/>
  <c r="CA20" i="35"/>
  <c r="BZ20" i="35"/>
  <c r="CC21" i="35"/>
  <c r="CA21" i="35"/>
  <c r="BZ21" i="35"/>
  <c r="CC22" i="35"/>
  <c r="CA22" i="35"/>
  <c r="BZ22" i="35"/>
  <c r="CC23" i="35"/>
  <c r="CA23" i="35"/>
  <c r="BZ23" i="35"/>
  <c r="CC24" i="35"/>
  <c r="CA24" i="35"/>
  <c r="BZ24" i="35"/>
  <c r="CC25" i="35"/>
  <c r="CA25" i="35"/>
  <c r="BZ25" i="35"/>
  <c r="CC26" i="35"/>
  <c r="CA26" i="35"/>
  <c r="BZ26" i="35"/>
  <c r="CC27" i="35"/>
  <c r="C27" i="27" a="1"/>
  <c r="C27" i="27"/>
  <c r="D27" i="27" a="1"/>
  <c r="D27" i="27"/>
  <c r="CA27" i="35"/>
  <c r="BZ27" i="35"/>
  <c r="CC28" i="35"/>
  <c r="CA28" i="35"/>
  <c r="BZ28" i="35"/>
  <c r="CA29" i="35"/>
  <c r="BZ29" i="35"/>
  <c r="CC30" i="35"/>
  <c r="CA30" i="35"/>
  <c r="BZ30" i="35"/>
  <c r="CC31" i="35"/>
  <c r="CA31" i="35"/>
  <c r="BZ31" i="35"/>
  <c r="CC32" i="35"/>
  <c r="CA32" i="35"/>
  <c r="BZ32" i="35"/>
  <c r="CC33" i="35"/>
  <c r="CA33" i="35"/>
  <c r="BZ33" i="35"/>
  <c r="CC34" i="35"/>
  <c r="CA34" i="35"/>
  <c r="BZ34" i="35"/>
  <c r="CC35" i="35"/>
  <c r="C35" i="27" a="1"/>
  <c r="C35" i="27"/>
  <c r="D35" i="27" a="1"/>
  <c r="D35" i="27"/>
  <c r="CA35" i="35"/>
  <c r="BZ35" i="35"/>
  <c r="CA36" i="35"/>
  <c r="BZ36" i="35"/>
  <c r="CD12" i="35"/>
  <c r="L19" i="35"/>
  <c r="E70" i="35"/>
  <c r="CD14" i="35"/>
  <c r="F72" i="35"/>
  <c r="J73" i="35"/>
  <c r="F70" i="35"/>
  <c r="J69" i="35"/>
  <c r="CD36" i="35"/>
  <c r="CD35" i="35"/>
  <c r="CD34" i="35"/>
  <c r="CD33" i="35"/>
  <c r="CD32" i="35"/>
  <c r="CD31" i="35"/>
  <c r="CD30" i="35"/>
  <c r="CD29" i="35"/>
  <c r="CD28" i="35"/>
  <c r="CD27" i="35"/>
  <c r="CD26" i="35"/>
  <c r="CD25" i="35"/>
  <c r="CD24" i="35"/>
  <c r="CD23" i="35"/>
  <c r="CD22" i="35"/>
  <c r="CD21" i="35"/>
  <c r="CD20" i="35"/>
  <c r="CD19" i="35"/>
  <c r="CD18" i="35"/>
  <c r="CD17" i="35"/>
  <c r="CD16" i="35"/>
  <c r="CD15" i="35"/>
  <c r="E19" i="27"/>
  <c r="CB19" i="35"/>
  <c r="G70" i="35"/>
  <c r="CB15" i="35"/>
  <c r="CB16" i="35"/>
  <c r="CB17" i="35"/>
  <c r="CB18" i="35"/>
  <c r="CB14" i="35"/>
  <c r="CB12" i="35"/>
  <c r="H70" i="35"/>
  <c r="CD13" i="35"/>
  <c r="E27" i="27"/>
  <c r="CB27" i="35"/>
  <c r="G71" i="35"/>
  <c r="H71" i="35"/>
  <c r="E35" i="27"/>
  <c r="CB35" i="35"/>
  <c r="G72" i="35"/>
  <c r="CB31" i="35"/>
  <c r="CB32" i="35"/>
  <c r="CB33" i="35"/>
  <c r="CB34" i="35"/>
  <c r="CB30" i="35"/>
  <c r="H72" i="35"/>
  <c r="F71" i="35"/>
  <c r="J70" i="35"/>
  <c r="K70" i="35"/>
  <c r="L27" i="35"/>
  <c r="E71" i="35"/>
  <c r="J71" i="35"/>
  <c r="K71" i="35"/>
  <c r="L35" i="35"/>
  <c r="E72" i="35"/>
  <c r="J72" i="35"/>
  <c r="K72" i="35"/>
  <c r="D21" i="36"/>
  <c r="D18" i="36"/>
  <c r="D15" i="36"/>
  <c r="D13" i="36"/>
  <c r="D22" i="36"/>
  <c r="D24" i="36"/>
  <c r="D25" i="36"/>
  <c r="D20" i="21" a="1"/>
  <c r="D20" i="21"/>
  <c r="I22" i="21"/>
  <c r="S15" i="22"/>
  <c r="D14" i="21" a="1"/>
  <c r="D14" i="21"/>
  <c r="D19" i="21" a="1"/>
  <c r="D19" i="21"/>
  <c r="D15" i="21" a="1"/>
  <c r="D15" i="21"/>
  <c r="D16" i="21" a="1"/>
  <c r="D16" i="21"/>
  <c r="D18" i="21" a="1"/>
  <c r="D18" i="21"/>
  <c r="D17" i="21" a="1"/>
  <c r="D17" i="21"/>
  <c r="C25" i="27" a="1"/>
  <c r="C25" i="27"/>
  <c r="E25" i="27"/>
  <c r="L25" i="35"/>
  <c r="D25" i="27" a="1"/>
  <c r="D25" i="27"/>
  <c r="BV12" i="35"/>
  <c r="BU12" i="35"/>
  <c r="BV13" i="35"/>
  <c r="BU13" i="35"/>
  <c r="BV14" i="35"/>
  <c r="BU14" i="35"/>
  <c r="BX15" i="35"/>
  <c r="BV15" i="35"/>
  <c r="BU15" i="35"/>
  <c r="BX16" i="35"/>
  <c r="C16" i="27" a="1"/>
  <c r="C16" i="27"/>
  <c r="D16" i="27" a="1"/>
  <c r="D16" i="27"/>
  <c r="BV16" i="35"/>
  <c r="BU16" i="35"/>
  <c r="BV17" i="35"/>
  <c r="BU17" i="35"/>
  <c r="BV18" i="35"/>
  <c r="BU18" i="35"/>
  <c r="BX19" i="35"/>
  <c r="BV19" i="35"/>
  <c r="BU19" i="35"/>
  <c r="BX20" i="35"/>
  <c r="BV20" i="35"/>
  <c r="BU20" i="35"/>
  <c r="BX21" i="35"/>
  <c r="BV21" i="35"/>
  <c r="BU21" i="35"/>
  <c r="BX22" i="35"/>
  <c r="BV22" i="35"/>
  <c r="BU22" i="35"/>
  <c r="BX23" i="35"/>
  <c r="BV23" i="35"/>
  <c r="BU23" i="35"/>
  <c r="BX24" i="35"/>
  <c r="BV24" i="35"/>
  <c r="BU24" i="35"/>
  <c r="BX25" i="35"/>
  <c r="BV25" i="35"/>
  <c r="BU25" i="35"/>
  <c r="BX26" i="35"/>
  <c r="BV26" i="35"/>
  <c r="BU26" i="35"/>
  <c r="BX27" i="35"/>
  <c r="BV27" i="35"/>
  <c r="BU27" i="35"/>
  <c r="BX28" i="35"/>
  <c r="C28" i="27" a="1"/>
  <c r="C28" i="27"/>
  <c r="D28" i="27" a="1"/>
  <c r="D28" i="27"/>
  <c r="BV28" i="35"/>
  <c r="BU28" i="35"/>
  <c r="BV29" i="35"/>
  <c r="BU29" i="35"/>
  <c r="BV30" i="35"/>
  <c r="BU30" i="35"/>
  <c r="BX31" i="35"/>
  <c r="BV31" i="35"/>
  <c r="BU31" i="35"/>
  <c r="BX32" i="35"/>
  <c r="C32" i="27" a="1"/>
  <c r="C32" i="27"/>
  <c r="D32" i="27" a="1"/>
  <c r="D32" i="27"/>
  <c r="BV32" i="35"/>
  <c r="BU32" i="35"/>
  <c r="BV33" i="35"/>
  <c r="BU33" i="35"/>
  <c r="BX34" i="35"/>
  <c r="BV34" i="35"/>
  <c r="BU34" i="35"/>
  <c r="BX35" i="35"/>
  <c r="BV35" i="35"/>
  <c r="BU35" i="35"/>
  <c r="BX36" i="35"/>
  <c r="BV36" i="35"/>
  <c r="BU36" i="35"/>
  <c r="BY14" i="35"/>
  <c r="L32" i="35"/>
  <c r="E67" i="35"/>
  <c r="F67" i="35"/>
  <c r="BY13" i="35"/>
  <c r="F66" i="35"/>
  <c r="J67" i="35"/>
  <c r="K67" i="35"/>
  <c r="L28" i="35"/>
  <c r="E66" i="35"/>
  <c r="BY12" i="35"/>
  <c r="F65" i="35"/>
  <c r="J66" i="35"/>
  <c r="K66" i="35"/>
  <c r="J65" i="35"/>
  <c r="K65" i="35"/>
  <c r="H67" i="35"/>
  <c r="E32" i="27"/>
  <c r="BW32" i="35"/>
  <c r="G67" i="35"/>
  <c r="BW35" i="35"/>
  <c r="BW36" i="35"/>
  <c r="BW31" i="35"/>
  <c r="H66" i="35"/>
  <c r="E28" i="27"/>
  <c r="BW28" i="35"/>
  <c r="G66" i="35"/>
  <c r="H65" i="35"/>
  <c r="E16" i="27"/>
  <c r="BW16" i="35"/>
  <c r="G65" i="35"/>
  <c r="BW19" i="35"/>
  <c r="BW34" i="35"/>
  <c r="BW20" i="35"/>
  <c r="BW15" i="35"/>
  <c r="BL12" i="35"/>
  <c r="BK12" i="35"/>
  <c r="BL13" i="35"/>
  <c r="BK13" i="35"/>
  <c r="BL14" i="35"/>
  <c r="BK14" i="35"/>
  <c r="BN15" i="35"/>
  <c r="BL15" i="35"/>
  <c r="BK15" i="35"/>
  <c r="BN16" i="35"/>
  <c r="BL16" i="35"/>
  <c r="BK16" i="35"/>
  <c r="BL17" i="35"/>
  <c r="BK17" i="35"/>
  <c r="BL18" i="35"/>
  <c r="BK18" i="35"/>
  <c r="BN19" i="35"/>
  <c r="BL19" i="35"/>
  <c r="BK19" i="35"/>
  <c r="BN20" i="35"/>
  <c r="BL20" i="35"/>
  <c r="BK20" i="35"/>
  <c r="BN21" i="35"/>
  <c r="BL21" i="35"/>
  <c r="BK21" i="35"/>
  <c r="BN22" i="35"/>
  <c r="BL22" i="35"/>
  <c r="BK22" i="35"/>
  <c r="BN23" i="35"/>
  <c r="BL23" i="35"/>
  <c r="BK23" i="35"/>
  <c r="BN24" i="35"/>
  <c r="BL24" i="35"/>
  <c r="BK24" i="35"/>
  <c r="BN25" i="35"/>
  <c r="BL25" i="35"/>
  <c r="BK25" i="35"/>
  <c r="BN26" i="35"/>
  <c r="BL26" i="35"/>
  <c r="BK26" i="35"/>
  <c r="BN27" i="35"/>
  <c r="BL27" i="35"/>
  <c r="BK27" i="35"/>
  <c r="BN28" i="35"/>
  <c r="BL28" i="35"/>
  <c r="BK28" i="35"/>
  <c r="BL29" i="35"/>
  <c r="BK29" i="35"/>
  <c r="BL30" i="35"/>
  <c r="BK30" i="35"/>
  <c r="BN31" i="35"/>
  <c r="BL31" i="35"/>
  <c r="BK31" i="35"/>
  <c r="BN32" i="35"/>
  <c r="BL32" i="35"/>
  <c r="BK32" i="35"/>
  <c r="BL33" i="35"/>
  <c r="BK33" i="35"/>
  <c r="BN34" i="35"/>
  <c r="C34" i="27" a="1"/>
  <c r="C34" i="27"/>
  <c r="D34" i="27" a="1"/>
  <c r="D34" i="27"/>
  <c r="BL34" i="35"/>
  <c r="BK34" i="35"/>
  <c r="BN35" i="35"/>
  <c r="BL35" i="35"/>
  <c r="BK35" i="35"/>
  <c r="BN36" i="35"/>
  <c r="BL36" i="35"/>
  <c r="BK36" i="35"/>
  <c r="BO36" i="35"/>
  <c r="BG12" i="35"/>
  <c r="BF12" i="35"/>
  <c r="BG13" i="35"/>
  <c r="BF13" i="35"/>
  <c r="BG14" i="35"/>
  <c r="BF14" i="35"/>
  <c r="BI15" i="35"/>
  <c r="BG15" i="35"/>
  <c r="BF15" i="35"/>
  <c r="BG16" i="35"/>
  <c r="BF16" i="35"/>
  <c r="BG17" i="35"/>
  <c r="BF17" i="35"/>
  <c r="BI18" i="35"/>
  <c r="BG18" i="35"/>
  <c r="BF18" i="35"/>
  <c r="BI19" i="35"/>
  <c r="BG19" i="35"/>
  <c r="BF19" i="35"/>
  <c r="BI20" i="35"/>
  <c r="C20" i="27" a="1"/>
  <c r="C20" i="27"/>
  <c r="D20" i="27" a="1"/>
  <c r="D20" i="27"/>
  <c r="BG20" i="35"/>
  <c r="BF20" i="35"/>
  <c r="BI21" i="35"/>
  <c r="BG21" i="35"/>
  <c r="BF21" i="35"/>
  <c r="BI22" i="35"/>
  <c r="BG22" i="35"/>
  <c r="BF22" i="35"/>
  <c r="BI23" i="35"/>
  <c r="BG23" i="35"/>
  <c r="BF23" i="35"/>
  <c r="BI24" i="35"/>
  <c r="BG24" i="35"/>
  <c r="BF24" i="35"/>
  <c r="BI25" i="35"/>
  <c r="BG25" i="35"/>
  <c r="BF25" i="35"/>
  <c r="BI26" i="35"/>
  <c r="BG26" i="35"/>
  <c r="BF26" i="35"/>
  <c r="BI27" i="35"/>
  <c r="BG27" i="35"/>
  <c r="BF27" i="35"/>
  <c r="BI28" i="35"/>
  <c r="BG28" i="35"/>
  <c r="BF28" i="35"/>
  <c r="BG29" i="35"/>
  <c r="BF29" i="35"/>
  <c r="BG30" i="35"/>
  <c r="BF30" i="35"/>
  <c r="BI31" i="35"/>
  <c r="BG31" i="35"/>
  <c r="BF31" i="35"/>
  <c r="BG32" i="35"/>
  <c r="BF32" i="35"/>
  <c r="BG33" i="35"/>
  <c r="BF33" i="35"/>
  <c r="BI34" i="35"/>
  <c r="BG34" i="35"/>
  <c r="BF34" i="35"/>
  <c r="BI35" i="35"/>
  <c r="BG35" i="35"/>
  <c r="BF35" i="35"/>
  <c r="BI36" i="35"/>
  <c r="BG36" i="35"/>
  <c r="BF36" i="35"/>
  <c r="BJ36" i="35"/>
  <c r="AH12" i="35"/>
  <c r="AG12" i="35"/>
  <c r="AJ13" i="35"/>
  <c r="AH13" i="35"/>
  <c r="AG13" i="35"/>
  <c r="AJ14" i="35"/>
  <c r="AH14" i="35"/>
  <c r="AG14" i="35"/>
  <c r="AJ15" i="35"/>
  <c r="C15" i="27" a="1"/>
  <c r="C15" i="27"/>
  <c r="D15" i="27" a="1"/>
  <c r="D15" i="27"/>
  <c r="AH15" i="35"/>
  <c r="AG15" i="35"/>
  <c r="AH16" i="35"/>
  <c r="AG16" i="35"/>
  <c r="AJ17" i="35"/>
  <c r="AH17" i="35"/>
  <c r="AG17" i="35"/>
  <c r="AH18" i="35"/>
  <c r="AG18" i="35"/>
  <c r="AJ19" i="35"/>
  <c r="AH19" i="35"/>
  <c r="AG19" i="35"/>
  <c r="AJ20" i="35"/>
  <c r="AH20" i="35"/>
  <c r="AG20" i="35"/>
  <c r="AJ21" i="35"/>
  <c r="AH21" i="35"/>
  <c r="AG21" i="35"/>
  <c r="AJ22" i="35"/>
  <c r="AH22" i="35"/>
  <c r="AG22" i="35"/>
  <c r="AJ23" i="35"/>
  <c r="C23" i="27" a="1"/>
  <c r="C23" i="27"/>
  <c r="D23" i="27" a="1"/>
  <c r="D23" i="27"/>
  <c r="AH23" i="35"/>
  <c r="AG23" i="35"/>
  <c r="AJ24" i="35"/>
  <c r="AH24" i="35"/>
  <c r="AG24" i="35"/>
  <c r="AJ25" i="35"/>
  <c r="AH25" i="35"/>
  <c r="AG25" i="35"/>
  <c r="AJ26" i="35"/>
  <c r="AH26" i="35"/>
  <c r="AG26" i="35"/>
  <c r="AJ27" i="35"/>
  <c r="AH27" i="35"/>
  <c r="AG27" i="35"/>
  <c r="AJ28" i="35"/>
  <c r="AH28" i="35"/>
  <c r="AG28" i="35"/>
  <c r="AJ29" i="35"/>
  <c r="AH29" i="35"/>
  <c r="AG29" i="35"/>
  <c r="AH30" i="35"/>
  <c r="AG30" i="35"/>
  <c r="AJ31" i="35"/>
  <c r="AH31" i="35"/>
  <c r="AG31" i="35"/>
  <c r="AJ32" i="35"/>
  <c r="AH32" i="35"/>
  <c r="AG32" i="35"/>
  <c r="AJ33" i="35"/>
  <c r="AH33" i="35"/>
  <c r="AG33" i="35"/>
  <c r="AJ34" i="35"/>
  <c r="AH34" i="35"/>
  <c r="AG34" i="35"/>
  <c r="AJ35" i="35"/>
  <c r="AH35" i="35"/>
  <c r="AG35" i="35"/>
  <c r="AH36" i="35"/>
  <c r="AG36" i="35"/>
  <c r="AK36" i="35"/>
  <c r="AC12" i="35"/>
  <c r="AB12" i="35"/>
  <c r="AE13" i="35"/>
  <c r="AC13" i="35"/>
  <c r="AB13" i="35"/>
  <c r="AC14" i="35"/>
  <c r="AB14" i="35"/>
  <c r="AC15" i="35"/>
  <c r="AB15" i="35"/>
  <c r="AE16" i="35"/>
  <c r="AC16" i="35"/>
  <c r="AB16" i="35"/>
  <c r="AC17" i="35"/>
  <c r="AB17" i="35"/>
  <c r="AE18" i="35"/>
  <c r="AC18" i="35"/>
  <c r="AB18" i="35"/>
  <c r="AE19" i="35"/>
  <c r="AC19" i="35"/>
  <c r="AB19" i="35"/>
  <c r="AE20" i="35"/>
  <c r="AC20" i="35"/>
  <c r="AB20" i="35"/>
  <c r="AE21" i="35"/>
  <c r="AC21" i="35"/>
  <c r="AB21" i="35"/>
  <c r="AE22" i="35"/>
  <c r="AC22" i="35"/>
  <c r="AB22" i="35"/>
  <c r="AE23" i="35"/>
  <c r="AC23" i="35"/>
  <c r="AB23" i="35"/>
  <c r="AE24" i="35"/>
  <c r="C24" i="27" a="1"/>
  <c r="C24" i="27"/>
  <c r="D24" i="27" a="1"/>
  <c r="D24" i="27"/>
  <c r="AC24" i="35"/>
  <c r="AB24" i="35"/>
  <c r="AE25" i="35"/>
  <c r="AC25" i="35"/>
  <c r="AB25" i="35"/>
  <c r="AE26" i="35"/>
  <c r="AC26" i="35"/>
  <c r="AB26" i="35"/>
  <c r="AE27" i="35"/>
  <c r="AC27" i="35"/>
  <c r="AB27" i="35"/>
  <c r="AE28" i="35"/>
  <c r="AC28" i="35"/>
  <c r="AB28" i="35"/>
  <c r="AC29" i="35"/>
  <c r="AB29" i="35"/>
  <c r="AE30" i="35"/>
  <c r="AC30" i="35"/>
  <c r="AB30" i="35"/>
  <c r="AE31" i="35"/>
  <c r="AC31" i="35"/>
  <c r="AB31" i="35"/>
  <c r="AE32" i="35"/>
  <c r="AC32" i="35"/>
  <c r="AB32" i="35"/>
  <c r="AE33" i="35"/>
  <c r="AC33" i="35"/>
  <c r="AB33" i="35"/>
  <c r="AC34" i="35"/>
  <c r="AB34" i="35"/>
  <c r="AC35" i="35"/>
  <c r="AB35" i="35"/>
  <c r="AE36" i="35"/>
  <c r="AC36" i="35"/>
  <c r="AB36" i="35"/>
  <c r="AF36" i="35"/>
  <c r="Z12" i="35"/>
  <c r="X12" i="35"/>
  <c r="W12" i="35"/>
  <c r="X13" i="35"/>
  <c r="W13" i="35"/>
  <c r="X14" i="35"/>
  <c r="W14" i="35"/>
  <c r="Z15" i="35"/>
  <c r="X15" i="35"/>
  <c r="W15" i="35"/>
  <c r="Z16" i="35"/>
  <c r="X16" i="35"/>
  <c r="W16" i="35"/>
  <c r="Z17" i="35"/>
  <c r="X17" i="35"/>
  <c r="W17" i="35"/>
  <c r="X18" i="35"/>
  <c r="W18" i="35"/>
  <c r="Z19" i="35"/>
  <c r="X19" i="35"/>
  <c r="W19" i="35"/>
  <c r="Z20" i="35"/>
  <c r="X20" i="35"/>
  <c r="W20" i="35"/>
  <c r="Z21" i="35"/>
  <c r="X21" i="35"/>
  <c r="W21" i="35"/>
  <c r="Z22" i="35"/>
  <c r="X22" i="35"/>
  <c r="W22" i="35"/>
  <c r="Z23" i="35"/>
  <c r="X23" i="35"/>
  <c r="W23" i="35"/>
  <c r="Z24" i="35"/>
  <c r="X24" i="35"/>
  <c r="W24" i="35"/>
  <c r="Z25" i="35"/>
  <c r="X25" i="35"/>
  <c r="W25" i="35"/>
  <c r="Z26" i="35"/>
  <c r="X26" i="35"/>
  <c r="W26" i="35"/>
  <c r="Z27" i="35"/>
  <c r="X27" i="35"/>
  <c r="W27" i="35"/>
  <c r="Z28" i="35"/>
  <c r="X28" i="35"/>
  <c r="W28" i="35"/>
  <c r="Z29" i="35"/>
  <c r="X29" i="35"/>
  <c r="W29" i="35"/>
  <c r="X30" i="35"/>
  <c r="W30" i="35"/>
  <c r="Z31" i="35"/>
  <c r="X31" i="35"/>
  <c r="W31" i="35"/>
  <c r="Z32" i="35"/>
  <c r="X32" i="35"/>
  <c r="W32" i="35"/>
  <c r="X33" i="35"/>
  <c r="W33" i="35"/>
  <c r="Z34" i="35"/>
  <c r="X34" i="35"/>
  <c r="W34" i="35"/>
  <c r="Z35" i="35"/>
  <c r="X35" i="35"/>
  <c r="W35" i="35"/>
  <c r="Z36" i="35"/>
  <c r="X36" i="35"/>
  <c r="W36" i="35"/>
  <c r="AA36" i="35"/>
  <c r="S12" i="35"/>
  <c r="R12" i="35"/>
  <c r="S13" i="35"/>
  <c r="R13" i="35"/>
  <c r="S14" i="35"/>
  <c r="R14" i="35"/>
  <c r="S15" i="35"/>
  <c r="R15" i="35"/>
  <c r="U16" i="35"/>
  <c r="S16" i="35"/>
  <c r="R16" i="35"/>
  <c r="S17" i="35"/>
  <c r="R17" i="35"/>
  <c r="S18" i="35"/>
  <c r="R18" i="35"/>
  <c r="U19" i="35"/>
  <c r="S19" i="35"/>
  <c r="R19" i="35"/>
  <c r="U20" i="35"/>
  <c r="S20" i="35"/>
  <c r="R20" i="35"/>
  <c r="U21" i="35"/>
  <c r="S21" i="35"/>
  <c r="R21" i="35"/>
  <c r="U22" i="35"/>
  <c r="S22" i="35"/>
  <c r="R22" i="35"/>
  <c r="U23" i="35"/>
  <c r="S23" i="35"/>
  <c r="R23" i="35"/>
  <c r="U24" i="35"/>
  <c r="S24" i="35"/>
  <c r="R24" i="35"/>
  <c r="U25" i="35"/>
  <c r="S25" i="35"/>
  <c r="R25" i="35"/>
  <c r="U26" i="35"/>
  <c r="S26" i="35"/>
  <c r="R26" i="35"/>
  <c r="U27" i="35"/>
  <c r="S27" i="35"/>
  <c r="R27" i="35"/>
  <c r="U28" i="35"/>
  <c r="S28" i="35"/>
  <c r="R28" i="35"/>
  <c r="S29" i="35"/>
  <c r="R29" i="35"/>
  <c r="S30" i="35"/>
  <c r="R30" i="35"/>
  <c r="U31" i="35"/>
  <c r="S31" i="35"/>
  <c r="R31" i="35"/>
  <c r="U32" i="35"/>
  <c r="S32" i="35"/>
  <c r="R32" i="35"/>
  <c r="S33" i="35"/>
  <c r="R33" i="35"/>
  <c r="U34" i="35"/>
  <c r="S34" i="35"/>
  <c r="R34" i="35"/>
  <c r="S35" i="35"/>
  <c r="R35" i="35"/>
  <c r="U36" i="35"/>
  <c r="S36" i="35"/>
  <c r="R36" i="35"/>
  <c r="V36" i="35"/>
  <c r="N12" i="35"/>
  <c r="M12" i="35"/>
  <c r="N13" i="35"/>
  <c r="M13" i="35"/>
  <c r="P14" i="35"/>
  <c r="N14" i="35"/>
  <c r="M14" i="35"/>
  <c r="P15" i="35"/>
  <c r="N15" i="35"/>
  <c r="M15" i="35"/>
  <c r="P16" i="35"/>
  <c r="N16" i="35"/>
  <c r="M16" i="35"/>
  <c r="P17" i="35"/>
  <c r="N17" i="35"/>
  <c r="M17" i="35"/>
  <c r="P18" i="35"/>
  <c r="N18" i="35"/>
  <c r="M18" i="35"/>
  <c r="P19" i="35"/>
  <c r="N19" i="35"/>
  <c r="M19" i="35"/>
  <c r="N20" i="35"/>
  <c r="M20" i="35"/>
  <c r="P21" i="35"/>
  <c r="N21" i="35"/>
  <c r="M21" i="35"/>
  <c r="P22" i="35"/>
  <c r="N22" i="35"/>
  <c r="M22" i="35"/>
  <c r="P23" i="35"/>
  <c r="N23" i="35"/>
  <c r="M23" i="35"/>
  <c r="P24" i="35"/>
  <c r="N24" i="35"/>
  <c r="M24" i="35"/>
  <c r="P25" i="35"/>
  <c r="N25" i="35"/>
  <c r="M25" i="35"/>
  <c r="P26" i="35"/>
  <c r="N26" i="35"/>
  <c r="M26" i="35"/>
  <c r="P27" i="35"/>
  <c r="N27" i="35"/>
  <c r="M27" i="35"/>
  <c r="P28" i="35"/>
  <c r="N28" i="35"/>
  <c r="M28" i="35"/>
  <c r="P29" i="35"/>
  <c r="N29" i="35"/>
  <c r="M29" i="35"/>
  <c r="P30" i="35"/>
  <c r="N30" i="35"/>
  <c r="M30" i="35"/>
  <c r="P31" i="35"/>
  <c r="C31" i="27" a="1"/>
  <c r="C31" i="27"/>
  <c r="D31" i="27" a="1"/>
  <c r="D31" i="27"/>
  <c r="N31" i="35"/>
  <c r="M31" i="35"/>
  <c r="N32" i="35"/>
  <c r="M32" i="35"/>
  <c r="N33" i="35"/>
  <c r="M33" i="35"/>
  <c r="P34" i="35"/>
  <c r="N34" i="35"/>
  <c r="M34" i="35"/>
  <c r="P35" i="35"/>
  <c r="N35" i="35"/>
  <c r="M35" i="35"/>
  <c r="P36" i="35"/>
  <c r="N36" i="35"/>
  <c r="M36" i="35"/>
  <c r="Q36" i="35"/>
  <c r="BO35" i="35"/>
  <c r="BJ35" i="35"/>
  <c r="AK35" i="35"/>
  <c r="AF35" i="35"/>
  <c r="AA35" i="35"/>
  <c r="V35" i="35"/>
  <c r="Q35" i="35"/>
  <c r="BO34" i="35"/>
  <c r="BJ34" i="35"/>
  <c r="AK34" i="35"/>
  <c r="AF34" i="35"/>
  <c r="AA34" i="35"/>
  <c r="V34" i="35"/>
  <c r="Q34" i="35"/>
  <c r="BO33" i="35"/>
  <c r="BJ33" i="35"/>
  <c r="AK33" i="35"/>
  <c r="AF33" i="35"/>
  <c r="AA33" i="35"/>
  <c r="V33" i="35"/>
  <c r="Q33" i="35"/>
  <c r="BO32" i="35"/>
  <c r="BJ32" i="35"/>
  <c r="AK32" i="35"/>
  <c r="AF32" i="35"/>
  <c r="AA32" i="35"/>
  <c r="V32" i="35"/>
  <c r="Q32" i="35"/>
  <c r="BO31" i="35"/>
  <c r="BJ31" i="35"/>
  <c r="AK31" i="35"/>
  <c r="AF31" i="35"/>
  <c r="AA31" i="35"/>
  <c r="V31" i="35"/>
  <c r="Q31" i="35"/>
  <c r="BO30" i="35"/>
  <c r="BJ30" i="35"/>
  <c r="AK30" i="35"/>
  <c r="AF30" i="35"/>
  <c r="AA30" i="35"/>
  <c r="V30" i="35"/>
  <c r="Q30" i="35"/>
  <c r="BO29" i="35"/>
  <c r="BO28" i="35"/>
  <c r="BO27" i="35"/>
  <c r="BO26" i="35"/>
  <c r="BO25" i="35"/>
  <c r="BO24" i="35"/>
  <c r="BO23" i="35"/>
  <c r="BO22" i="35"/>
  <c r="BO21" i="35"/>
  <c r="BO20" i="35"/>
  <c r="BO19" i="35"/>
  <c r="BO18" i="35"/>
  <c r="BO17" i="35"/>
  <c r="BO16" i="35"/>
  <c r="BO15" i="35"/>
  <c r="BO14" i="35"/>
  <c r="F57" i="35"/>
  <c r="J58" i="35"/>
  <c r="BO13" i="35"/>
  <c r="F56" i="35"/>
  <c r="J57" i="35"/>
  <c r="K57" i="35"/>
  <c r="BO12" i="35"/>
  <c r="F55" i="35"/>
  <c r="J56" i="35"/>
  <c r="K56" i="35"/>
  <c r="J55" i="35"/>
  <c r="K55" i="35"/>
  <c r="J54" i="35"/>
  <c r="AF29" i="35"/>
  <c r="AF28" i="35"/>
  <c r="AF27" i="35"/>
  <c r="AF26" i="35"/>
  <c r="AF25" i="35"/>
  <c r="AF24" i="35"/>
  <c r="AF23" i="35"/>
  <c r="AF22" i="35"/>
  <c r="AF21" i="35"/>
  <c r="AF20" i="35"/>
  <c r="AF19" i="35"/>
  <c r="AF18" i="35"/>
  <c r="AF17" i="35"/>
  <c r="AF16" i="35"/>
  <c r="AF15" i="35"/>
  <c r="V29" i="35"/>
  <c r="V28" i="35"/>
  <c r="V27" i="35"/>
  <c r="V26" i="35"/>
  <c r="V25" i="35"/>
  <c r="V24" i="35"/>
  <c r="V23" i="35"/>
  <c r="V22" i="35"/>
  <c r="V21" i="35"/>
  <c r="V20" i="35"/>
  <c r="V19" i="35"/>
  <c r="V18" i="35"/>
  <c r="V17" i="35"/>
  <c r="V16" i="35"/>
  <c r="V15" i="35"/>
  <c r="Q12" i="35"/>
  <c r="E5" i="35"/>
  <c r="F5" i="35"/>
  <c r="Q13" i="35"/>
  <c r="F6" i="35"/>
  <c r="J5" i="35"/>
  <c r="K5" i="35"/>
  <c r="L23" i="35"/>
  <c r="E6" i="35"/>
  <c r="Q14" i="35"/>
  <c r="F7" i="35"/>
  <c r="J6" i="35"/>
  <c r="K6" i="35"/>
  <c r="J7" i="35"/>
  <c r="K7" i="35"/>
  <c r="J8" i="35"/>
  <c r="V12" i="35"/>
  <c r="F10" i="35"/>
  <c r="J9" i="35"/>
  <c r="L34" i="35"/>
  <c r="E10" i="35"/>
  <c r="V13" i="35"/>
  <c r="F11" i="35"/>
  <c r="J10" i="35"/>
  <c r="K10" i="35"/>
  <c r="E11" i="35"/>
  <c r="V14" i="35"/>
  <c r="F12" i="35"/>
  <c r="J11" i="35"/>
  <c r="K11" i="35"/>
  <c r="J12" i="35"/>
  <c r="K12" i="35"/>
  <c r="J13" i="35"/>
  <c r="AA12" i="35"/>
  <c r="F15" i="35"/>
  <c r="J14" i="35"/>
  <c r="AA13" i="35"/>
  <c r="F16" i="35"/>
  <c r="J15" i="35"/>
  <c r="K15" i="35"/>
  <c r="L16" i="35"/>
  <c r="E15" i="35"/>
  <c r="AA14" i="35"/>
  <c r="F17" i="35"/>
  <c r="J16" i="35"/>
  <c r="K16" i="35"/>
  <c r="L24" i="35"/>
  <c r="E16" i="35"/>
  <c r="J17" i="35"/>
  <c r="K17" i="35"/>
  <c r="J18" i="35"/>
  <c r="AF12" i="35"/>
  <c r="F20" i="35"/>
  <c r="J19" i="35"/>
  <c r="L20" i="35"/>
  <c r="E20" i="35"/>
  <c r="C13" i="27" a="1"/>
  <c r="C13" i="27"/>
  <c r="L13" i="35"/>
  <c r="AF13" i="35"/>
  <c r="F21" i="35"/>
  <c r="J20" i="35"/>
  <c r="K20" i="35"/>
  <c r="E21" i="35"/>
  <c r="AF14" i="35"/>
  <c r="F22" i="35"/>
  <c r="J21" i="35"/>
  <c r="K21" i="35"/>
  <c r="J22" i="35"/>
  <c r="K22" i="35"/>
  <c r="J23" i="35"/>
  <c r="AK12" i="35"/>
  <c r="F25" i="35"/>
  <c r="J24" i="35"/>
  <c r="L15" i="35"/>
  <c r="E25" i="35"/>
  <c r="C17" i="27" a="1"/>
  <c r="C17" i="27"/>
  <c r="L17" i="35"/>
  <c r="AK13" i="35"/>
  <c r="F26" i="35"/>
  <c r="J25" i="35"/>
  <c r="K25" i="35"/>
  <c r="E26" i="35"/>
  <c r="C21" i="27" a="1"/>
  <c r="C21" i="27"/>
  <c r="L21" i="35"/>
  <c r="AK14" i="35"/>
  <c r="F27" i="35"/>
  <c r="J26" i="35"/>
  <c r="K26" i="35"/>
  <c r="J27" i="35"/>
  <c r="K27" i="35"/>
  <c r="J28" i="35"/>
  <c r="D21" i="32" a="1"/>
  <c r="D21" i="32"/>
  <c r="D23" i="32"/>
  <c r="D24" i="32"/>
  <c r="I26" i="32"/>
  <c r="S16" i="22"/>
  <c r="D20" i="32" a="1"/>
  <c r="D20" i="32"/>
  <c r="D14" i="32" a="1"/>
  <c r="D14" i="32"/>
  <c r="D15" i="32" a="1"/>
  <c r="D15" i="32"/>
  <c r="D16" i="32" a="1"/>
  <c r="D16" i="32"/>
  <c r="D17" i="32" a="1"/>
  <c r="D17" i="32"/>
  <c r="D18" i="32" a="1"/>
  <c r="D18" i="32"/>
  <c r="D13" i="21" a="1"/>
  <c r="D13" i="21"/>
  <c r="D13" i="32" a="1"/>
  <c r="D13" i="32"/>
  <c r="Q15" i="35"/>
  <c r="Q16" i="35"/>
  <c r="Q17" i="35"/>
  <c r="Q18" i="35"/>
  <c r="Q19" i="35"/>
  <c r="Q20" i="35"/>
  <c r="Q21" i="35"/>
  <c r="Q22" i="35"/>
  <c r="Q23" i="35"/>
  <c r="Q24" i="35"/>
  <c r="Q25" i="35"/>
  <c r="Q26" i="35"/>
  <c r="Q27" i="35"/>
  <c r="Q28" i="35"/>
  <c r="Q29" i="35"/>
  <c r="AA15" i="35"/>
  <c r="AA16" i="35"/>
  <c r="AA17" i="35"/>
  <c r="AA18" i="35"/>
  <c r="AA19" i="35"/>
  <c r="AA20" i="35"/>
  <c r="AA21" i="35"/>
  <c r="AA22" i="35"/>
  <c r="AA23" i="35"/>
  <c r="AA24" i="35"/>
  <c r="AA25" i="35"/>
  <c r="AA26" i="35"/>
  <c r="AA27" i="35"/>
  <c r="AA28" i="35"/>
  <c r="AA29" i="35"/>
  <c r="AK15" i="35"/>
  <c r="AK16" i="35"/>
  <c r="AK17" i="35"/>
  <c r="AK18" i="35"/>
  <c r="AK19" i="35"/>
  <c r="AK20" i="35"/>
  <c r="AK21" i="35"/>
  <c r="AK22" i="35"/>
  <c r="AK23" i="35"/>
  <c r="AK24" i="35"/>
  <c r="AK25" i="35"/>
  <c r="AK26" i="35"/>
  <c r="AK27" i="35"/>
  <c r="AK28" i="35"/>
  <c r="AK29" i="35"/>
  <c r="BJ12" i="35"/>
  <c r="F50" i="35"/>
  <c r="J49" i="35"/>
  <c r="BJ13" i="35"/>
  <c r="F51" i="35"/>
  <c r="J50" i="35"/>
  <c r="K50" i="35"/>
  <c r="BJ14" i="35"/>
  <c r="F52" i="35"/>
  <c r="J51" i="35"/>
  <c r="K51" i="35"/>
  <c r="J52" i="35"/>
  <c r="K52" i="35"/>
  <c r="J53" i="35"/>
  <c r="BJ15" i="35"/>
  <c r="BJ16" i="35"/>
  <c r="BJ17" i="35"/>
  <c r="BJ18" i="35"/>
  <c r="BJ19" i="35"/>
  <c r="BJ20" i="35"/>
  <c r="BJ21" i="35"/>
  <c r="BJ22" i="35"/>
  <c r="BJ23" i="35"/>
  <c r="BJ24" i="35"/>
  <c r="BJ25" i="35"/>
  <c r="BJ26" i="35"/>
  <c r="BJ27" i="35"/>
  <c r="BJ28" i="35"/>
  <c r="BJ29" i="35"/>
  <c r="BQ12" i="35"/>
  <c r="BP12" i="35"/>
  <c r="BS13" i="35"/>
  <c r="BQ13" i="35"/>
  <c r="BP13" i="35"/>
  <c r="BS14" i="35"/>
  <c r="BQ14" i="35"/>
  <c r="BP14" i="35"/>
  <c r="BS15" i="35"/>
  <c r="BQ15" i="35"/>
  <c r="BP15" i="35"/>
  <c r="BS16" i="35"/>
  <c r="BQ16" i="35"/>
  <c r="BP16" i="35"/>
  <c r="BQ17" i="35"/>
  <c r="BP17" i="35"/>
  <c r="BQ18" i="35"/>
  <c r="BP18" i="35"/>
  <c r="BS19" i="35"/>
  <c r="BQ19" i="35"/>
  <c r="BP19" i="35"/>
  <c r="BS20" i="35"/>
  <c r="BQ20" i="35"/>
  <c r="BP20" i="35"/>
  <c r="BS21" i="35"/>
  <c r="BQ21" i="35"/>
  <c r="BP21" i="35"/>
  <c r="BS22" i="35"/>
  <c r="BQ22" i="35"/>
  <c r="BP22" i="35"/>
  <c r="BS23" i="35"/>
  <c r="BQ23" i="35"/>
  <c r="BP23" i="35"/>
  <c r="BS24" i="35"/>
  <c r="BQ24" i="35"/>
  <c r="BP24" i="35"/>
  <c r="BS25" i="35"/>
  <c r="BQ25" i="35"/>
  <c r="BP25" i="35"/>
  <c r="BS26" i="35"/>
  <c r="BQ26" i="35"/>
  <c r="BP26" i="35"/>
  <c r="BS27" i="35"/>
  <c r="BQ27" i="35"/>
  <c r="BP27" i="35"/>
  <c r="BS28" i="35"/>
  <c r="BQ28" i="35"/>
  <c r="BP28" i="35"/>
  <c r="BS29" i="35"/>
  <c r="BQ29" i="35"/>
  <c r="BP29" i="35"/>
  <c r="BS30" i="35"/>
  <c r="BQ30" i="35"/>
  <c r="BP30" i="35"/>
  <c r="BS31" i="35"/>
  <c r="BQ31" i="35"/>
  <c r="BP31" i="35"/>
  <c r="BS32" i="35"/>
  <c r="BQ32" i="35"/>
  <c r="BP32" i="35"/>
  <c r="BQ33" i="35"/>
  <c r="BP33" i="35"/>
  <c r="BQ34" i="35"/>
  <c r="BP34" i="35"/>
  <c r="BS35" i="35"/>
  <c r="BQ35" i="35"/>
  <c r="BP35" i="35"/>
  <c r="BS36" i="35"/>
  <c r="BQ36" i="35"/>
  <c r="BP36" i="35"/>
  <c r="BT12" i="35"/>
  <c r="F60" i="35"/>
  <c r="J59" i="35"/>
  <c r="BT13" i="35"/>
  <c r="F61" i="35"/>
  <c r="J60" i="35"/>
  <c r="K60" i="35"/>
  <c r="E61" i="35"/>
  <c r="BT14" i="35"/>
  <c r="F62" i="35"/>
  <c r="J61" i="35"/>
  <c r="K61" i="35"/>
  <c r="L31" i="35"/>
  <c r="E62" i="35"/>
  <c r="J62" i="35"/>
  <c r="K62" i="35"/>
  <c r="O16" i="35"/>
  <c r="O14" i="35"/>
  <c r="O15" i="35"/>
  <c r="O19" i="35"/>
  <c r="G5" i="35"/>
  <c r="O18" i="35"/>
  <c r="O17" i="35"/>
  <c r="H5" i="35"/>
  <c r="E23" i="27"/>
  <c r="O23" i="35"/>
  <c r="G6" i="35"/>
  <c r="H6" i="35"/>
  <c r="E7" i="35"/>
  <c r="O36" i="35"/>
  <c r="O35" i="35"/>
  <c r="E31" i="27"/>
  <c r="O31" i="35"/>
  <c r="G7" i="35"/>
  <c r="O30" i="35"/>
  <c r="O29" i="35"/>
  <c r="O34" i="35"/>
  <c r="H7" i="35"/>
  <c r="T20" i="35"/>
  <c r="E34" i="27"/>
  <c r="T34" i="35"/>
  <c r="G10" i="35"/>
  <c r="T19" i="35"/>
  <c r="T16" i="35"/>
  <c r="H10" i="35"/>
  <c r="G11" i="35"/>
  <c r="T23" i="35"/>
  <c r="H11" i="35"/>
  <c r="E12" i="35"/>
  <c r="T32" i="35"/>
  <c r="G12" i="35"/>
  <c r="T31" i="35"/>
  <c r="T36" i="35"/>
  <c r="H12" i="35"/>
  <c r="Y15" i="35"/>
  <c r="Y20" i="35"/>
  <c r="Y16" i="35"/>
  <c r="G15" i="35"/>
  <c r="Y19" i="35"/>
  <c r="Y34" i="35"/>
  <c r="Y17" i="35"/>
  <c r="Y12" i="35"/>
  <c r="H15" i="35"/>
  <c r="E24" i="27"/>
  <c r="Y24" i="35"/>
  <c r="G16" i="35"/>
  <c r="H16" i="35"/>
  <c r="L36" i="35"/>
  <c r="E17" i="35"/>
  <c r="Y35" i="35"/>
  <c r="Y32" i="35"/>
  <c r="E36" i="27"/>
  <c r="Y36" i="35"/>
  <c r="G17" i="35"/>
  <c r="Y31" i="35"/>
  <c r="Y29" i="35"/>
  <c r="H17" i="35"/>
  <c r="AD16" i="35"/>
  <c r="E20" i="27"/>
  <c r="AD20" i="35"/>
  <c r="G20" i="35"/>
  <c r="AD19" i="35"/>
  <c r="AD13" i="35"/>
  <c r="E13" i="27"/>
  <c r="AD18" i="35"/>
  <c r="H20" i="35"/>
  <c r="AD24" i="35"/>
  <c r="G21" i="35"/>
  <c r="H21" i="35"/>
  <c r="E22" i="35"/>
  <c r="C33" i="27" a="1"/>
  <c r="C33" i="27"/>
  <c r="L33" i="35"/>
  <c r="AD36" i="35"/>
  <c r="AD32" i="35"/>
  <c r="G22" i="35"/>
  <c r="AD31" i="35"/>
  <c r="AD33" i="35"/>
  <c r="E33" i="27"/>
  <c r="AD30" i="35"/>
  <c r="H22" i="35"/>
  <c r="D33" i="27" a="1"/>
  <c r="D33" i="27"/>
  <c r="D13" i="27" a="1"/>
  <c r="D13" i="27"/>
  <c r="AI13" i="35"/>
  <c r="AI19" i="35"/>
  <c r="E15" i="27"/>
  <c r="AI15" i="35"/>
  <c r="G25" i="35"/>
  <c r="AI34" i="35"/>
  <c r="AI14" i="35"/>
  <c r="AI17" i="35"/>
  <c r="E17" i="27"/>
  <c r="AI20" i="35"/>
  <c r="H25" i="35"/>
  <c r="AI23" i="35"/>
  <c r="G26" i="35"/>
  <c r="E21" i="27"/>
  <c r="H26" i="35"/>
  <c r="E27" i="35"/>
  <c r="C29" i="27" a="1"/>
  <c r="C29" i="27"/>
  <c r="L29" i="35"/>
  <c r="AI31" i="35"/>
  <c r="AI35" i="35"/>
  <c r="G27" i="35"/>
  <c r="AI29" i="35"/>
  <c r="E29" i="27"/>
  <c r="AI33" i="35"/>
  <c r="AI32" i="35"/>
  <c r="H27" i="35"/>
  <c r="D29" i="27" a="1"/>
  <c r="D29" i="27"/>
  <c r="D21" i="27" a="1"/>
  <c r="D21" i="27"/>
  <c r="D17" i="27" a="1"/>
  <c r="D17" i="27"/>
  <c r="C22" i="27" a="1"/>
  <c r="C22" i="27"/>
  <c r="L22" i="35"/>
  <c r="E22" i="27"/>
  <c r="D22" i="27" a="1"/>
  <c r="D22" i="27"/>
  <c r="E50" i="35"/>
  <c r="C18" i="27" a="1"/>
  <c r="C18" i="27"/>
  <c r="L18" i="35"/>
  <c r="BH20" i="35"/>
  <c r="G50" i="35"/>
  <c r="BH19" i="35"/>
  <c r="BH18" i="35"/>
  <c r="E18" i="27"/>
  <c r="BH15" i="35"/>
  <c r="H50" i="35"/>
  <c r="E51" i="35"/>
  <c r="BH28" i="35"/>
  <c r="G51" i="35"/>
  <c r="H51" i="35"/>
  <c r="E52" i="35"/>
  <c r="BH36" i="35"/>
  <c r="G52" i="35"/>
  <c r="BH35" i="35"/>
  <c r="BH34" i="35"/>
  <c r="BH31" i="35"/>
  <c r="H52" i="35"/>
  <c r="D18" i="27" a="1"/>
  <c r="D18" i="27"/>
  <c r="E55" i="35"/>
  <c r="BM34" i="35"/>
  <c r="G55" i="35"/>
  <c r="BM15" i="35"/>
  <c r="BM16" i="35"/>
  <c r="BM19" i="35"/>
  <c r="BM20" i="35"/>
  <c r="H55" i="35"/>
  <c r="E56" i="35"/>
  <c r="G56" i="35"/>
  <c r="H56" i="35"/>
  <c r="E57" i="35"/>
  <c r="G57" i="35"/>
  <c r="BM31" i="35"/>
  <c r="BM32" i="35"/>
  <c r="BM35" i="35"/>
  <c r="BM36" i="35"/>
  <c r="H57" i="35"/>
  <c r="E60" i="35"/>
  <c r="BR15" i="35"/>
  <c r="G60" i="35"/>
  <c r="BR16" i="35"/>
  <c r="BR20" i="35"/>
  <c r="BR14" i="35"/>
  <c r="BR19" i="35"/>
  <c r="BR13" i="35"/>
  <c r="H60" i="35"/>
  <c r="BR27" i="35"/>
  <c r="G61" i="35"/>
  <c r="H61" i="35"/>
  <c r="BR31" i="35"/>
  <c r="G62" i="35"/>
  <c r="BR32" i="35"/>
  <c r="BR36" i="35"/>
  <c r="BR30" i="35"/>
  <c r="BR35" i="35"/>
  <c r="BR29" i="35"/>
  <c r="H62" i="35"/>
  <c r="J68" i="35"/>
  <c r="J64" i="35"/>
  <c r="J63" i="35"/>
  <c r="E65" i="35"/>
  <c r="BY36" i="35"/>
  <c r="BT36" i="35"/>
  <c r="BY35" i="35"/>
  <c r="BT35" i="35"/>
  <c r="BY34" i="35"/>
  <c r="BT34" i="35"/>
  <c r="BY33" i="35"/>
  <c r="BT33" i="35"/>
  <c r="BY32" i="35"/>
  <c r="BT32" i="35"/>
  <c r="BY31" i="35"/>
  <c r="BT31" i="35"/>
  <c r="BY30" i="35"/>
  <c r="BT30" i="35"/>
  <c r="BY29" i="35"/>
  <c r="BT29" i="35"/>
  <c r="BY28" i="35"/>
  <c r="BT28" i="35"/>
  <c r="BY27" i="35"/>
  <c r="BT27" i="35"/>
  <c r="BY26" i="35"/>
  <c r="BT26" i="35"/>
  <c r="BY25" i="35"/>
  <c r="BT25" i="35"/>
  <c r="BY24" i="35"/>
  <c r="BT24" i="35"/>
  <c r="BY23" i="35"/>
  <c r="BT23" i="35"/>
  <c r="BY22" i="35"/>
  <c r="BT22" i="35"/>
  <c r="BY21" i="35"/>
  <c r="BT21" i="35"/>
  <c r="BY20" i="35"/>
  <c r="BT20" i="35"/>
  <c r="BY19" i="35"/>
  <c r="BT19" i="35"/>
  <c r="BY18" i="35"/>
  <c r="BT18" i="35"/>
  <c r="BY17" i="35"/>
  <c r="BT17" i="35"/>
  <c r="BY16" i="35"/>
  <c r="BT16" i="35"/>
  <c r="BY15" i="35"/>
  <c r="BT15" i="35"/>
  <c r="D14" i="36"/>
  <c r="D16" i="36"/>
  <c r="D19" i="36"/>
  <c r="D27" i="36"/>
  <c r="D28" i="36"/>
  <c r="I30" i="36"/>
  <c r="S17" i="22"/>
  <c r="X20" i="21"/>
  <c r="G27" i="21"/>
  <c r="X17" i="21"/>
  <c r="G33" i="21"/>
  <c r="X17" i="32"/>
  <c r="G37" i="32"/>
  <c r="X28" i="36"/>
  <c r="G35" i="36"/>
  <c r="X27" i="36"/>
  <c r="G37" i="36"/>
  <c r="X25" i="36"/>
  <c r="G39" i="36"/>
  <c r="X24" i="36"/>
  <c r="G41" i="36"/>
  <c r="X16" i="36"/>
  <c r="G43" i="36"/>
  <c r="X16" i="26"/>
  <c r="G23" i="26"/>
  <c r="X15" i="26"/>
  <c r="G25" i="26"/>
  <c r="AC12" i="27"/>
  <c r="AC13" i="27"/>
  <c r="AC14" i="27"/>
  <c r="AC15" i="27"/>
  <c r="AD12" i="27"/>
  <c r="AD13" i="27"/>
  <c r="AD14" i="27"/>
  <c r="AD15" i="27"/>
  <c r="AE12" i="27"/>
  <c r="AE13" i="27"/>
  <c r="AE14" i="27"/>
  <c r="AE15" i="27"/>
  <c r="AF14" i="27"/>
  <c r="AF15" i="27"/>
  <c r="AF12" i="27"/>
  <c r="AF13" i="27"/>
  <c r="AA12" i="27"/>
  <c r="AA13" i="27"/>
  <c r="AA14" i="27"/>
  <c r="AA15" i="27"/>
  <c r="AB15" i="27"/>
  <c r="I44" i="27"/>
  <c r="AB14" i="27"/>
  <c r="I43" i="27"/>
  <c r="AB13" i="27"/>
  <c r="I42" i="27"/>
  <c r="AB12" i="27"/>
  <c r="I41" i="27"/>
  <c r="Z18" i="28"/>
  <c r="Z21" i="28"/>
  <c r="Z17" i="28"/>
  <c r="E53" i="28" a="1"/>
  <c r="E53" i="28"/>
  <c r="F53" i="28" a="1"/>
  <c r="F53" i="28"/>
  <c r="G53" i="28" a="1"/>
  <c r="H53" i="28" a="1"/>
  <c r="I53" i="28" a="1"/>
  <c r="J53" i="28" a="1"/>
  <c r="K53" i="28" a="1"/>
  <c r="L53" i="28" a="1"/>
  <c r="M53" i="28" a="1"/>
  <c r="N53" i="28" a="1"/>
  <c r="O53" i="28" a="1"/>
  <c r="P53" i="28" a="1"/>
  <c r="Q53" i="28" a="1"/>
  <c r="R53" i="28" a="1"/>
  <c r="S53" i="28" a="1"/>
  <c r="T53" i="28" a="1"/>
  <c r="U53" i="28" a="1"/>
  <c r="V53" i="28" a="1"/>
  <c r="W53" i="28" a="1"/>
  <c r="X53" i="28" a="1"/>
  <c r="Y53" i="28" a="1"/>
  <c r="Z53" i="28" a="1"/>
  <c r="AA53" i="28" a="1"/>
  <c r="AB53" i="28" a="1"/>
  <c r="AC53" i="28" a="1"/>
  <c r="AD53" i="28" a="1"/>
  <c r="AE53" i="28" a="1"/>
  <c r="AF53" i="28" a="1"/>
  <c r="AG53" i="28" a="1"/>
  <c r="AH53" i="28" a="1"/>
  <c r="AI53" i="28" a="1"/>
  <c r="AJ53" i="28" a="1"/>
  <c r="AK53" i="28" a="1"/>
  <c r="AL53" i="28" a="1"/>
  <c r="AM53" i="28" a="1"/>
  <c r="AN53" i="28" a="1"/>
  <c r="AO53" i="28" a="1"/>
  <c r="AP53" i="28" a="1"/>
  <c r="AQ53" i="28" a="1"/>
  <c r="AR53" i="28" a="1"/>
  <c r="AS53" i="28" a="1"/>
  <c r="AT53" i="28" a="1"/>
  <c r="AU53" i="28" a="1"/>
  <c r="AV53" i="28" a="1"/>
  <c r="AW53" i="28" a="1"/>
  <c r="AX53" i="28" a="1"/>
  <c r="AY53" i="28" a="1"/>
  <c r="AZ53" i="28" a="1"/>
  <c r="BA53" i="28" a="1"/>
  <c r="BB53" i="28" a="1"/>
  <c r="BC53" i="28" a="1"/>
  <c r="BD53" i="28" a="1"/>
  <c r="BE53" i="28" a="1"/>
  <c r="BF53" i="28" a="1"/>
  <c r="BG53" i="28" a="1"/>
  <c r="BH53" i="28" a="1"/>
  <c r="BI53" i="28" a="1"/>
  <c r="BJ53" i="28" a="1"/>
  <c r="BK53" i="28" a="1"/>
  <c r="BL53" i="28" a="1"/>
  <c r="BM53" i="28" a="1"/>
  <c r="BN53" i="28" a="1"/>
  <c r="BO53" i="28" a="1"/>
  <c r="BP53" i="28" a="1"/>
  <c r="G53" i="28"/>
  <c r="H53" i="28"/>
  <c r="I53" i="28"/>
  <c r="J53" i="28"/>
  <c r="K53" i="28"/>
  <c r="L53" i="28"/>
  <c r="M53" i="28"/>
  <c r="N53" i="28"/>
  <c r="O53" i="28"/>
  <c r="P53" i="28"/>
  <c r="Q53" i="28"/>
  <c r="R53" i="28"/>
  <c r="S53" i="28"/>
  <c r="T53" i="28"/>
  <c r="U53" i="28"/>
  <c r="V53" i="28"/>
  <c r="W53" i="28"/>
  <c r="X53" i="28"/>
  <c r="Y53" i="28"/>
  <c r="Z53" i="28"/>
  <c r="AA53" i="28"/>
  <c r="AB53" i="28"/>
  <c r="AC53" i="28"/>
  <c r="AD53" i="28"/>
  <c r="AE53" i="28"/>
  <c r="AF53" i="28"/>
  <c r="AG53" i="28"/>
  <c r="AH53" i="28"/>
  <c r="AI53" i="28"/>
  <c r="AJ53" i="28"/>
  <c r="AK53" i="28"/>
  <c r="AL53" i="28"/>
  <c r="AM53" i="28"/>
  <c r="AN53" i="28"/>
  <c r="AO53" i="28"/>
  <c r="AP53" i="28"/>
  <c r="AQ53" i="28"/>
  <c r="AR53" i="28"/>
  <c r="AS53" i="28"/>
  <c r="AT53" i="28"/>
  <c r="AU53" i="28"/>
  <c r="AV53" i="28"/>
  <c r="AW53" i="28"/>
  <c r="AX53" i="28"/>
  <c r="AY53" i="28"/>
  <c r="AZ53" i="28"/>
  <c r="BA53" i="28"/>
  <c r="BB53" i="28"/>
  <c r="BC53" i="28"/>
  <c r="BD53" i="28"/>
  <c r="BE53" i="28"/>
  <c r="BF53" i="28"/>
  <c r="BG53" i="28"/>
  <c r="BH53" i="28"/>
  <c r="BI53" i="28"/>
  <c r="BJ53" i="28"/>
  <c r="BK53" i="28"/>
  <c r="BL53" i="28"/>
  <c r="BM53" i="28"/>
  <c r="BN53" i="28"/>
  <c r="BO53" i="28"/>
  <c r="BP53" i="28"/>
  <c r="AC18" i="28"/>
  <c r="Z19" i="28"/>
  <c r="Z20" i="28"/>
  <c r="E56" i="28" a="1"/>
  <c r="E56" i="28"/>
  <c r="F56" i="28" a="1"/>
  <c r="F56" i="28"/>
  <c r="G56" i="28" a="1"/>
  <c r="H56" i="28" a="1"/>
  <c r="I56" i="28" a="1"/>
  <c r="J56" i="28" a="1"/>
  <c r="K56" i="28" a="1"/>
  <c r="L56" i="28" a="1"/>
  <c r="M56" i="28" a="1"/>
  <c r="N56" i="28" a="1"/>
  <c r="O56" i="28" a="1"/>
  <c r="P56" i="28" a="1"/>
  <c r="Q56" i="28" a="1"/>
  <c r="R56" i="28" a="1"/>
  <c r="S56" i="28" a="1"/>
  <c r="T56" i="28" a="1"/>
  <c r="U56" i="28" a="1"/>
  <c r="V56" i="28" a="1"/>
  <c r="W56" i="28" a="1"/>
  <c r="X56" i="28" a="1"/>
  <c r="Y56" i="28" a="1"/>
  <c r="Z56" i="28" a="1"/>
  <c r="AA56" i="28" a="1"/>
  <c r="AB56" i="28" a="1"/>
  <c r="AC56" i="28" a="1"/>
  <c r="AD56" i="28" a="1"/>
  <c r="AE56" i="28" a="1"/>
  <c r="AF56" i="28" a="1"/>
  <c r="AG56" i="28" a="1"/>
  <c r="AH56" i="28" a="1"/>
  <c r="AI56" i="28" a="1"/>
  <c r="AJ56" i="28" a="1"/>
  <c r="AK56" i="28" a="1"/>
  <c r="AL56" i="28" a="1"/>
  <c r="AM56" i="28" a="1"/>
  <c r="AN56" i="28" a="1"/>
  <c r="AO56" i="28" a="1"/>
  <c r="AP56" i="28" a="1"/>
  <c r="AQ56" i="28" a="1"/>
  <c r="AR56" i="28" a="1"/>
  <c r="AS56" i="28" a="1"/>
  <c r="AT56" i="28" a="1"/>
  <c r="AU56" i="28" a="1"/>
  <c r="AV56" i="28" a="1"/>
  <c r="AW56" i="28" a="1"/>
  <c r="AX56" i="28" a="1"/>
  <c r="AY56" i="28" a="1"/>
  <c r="AZ56" i="28" a="1"/>
  <c r="BA56" i="28" a="1"/>
  <c r="BB56" i="28" a="1"/>
  <c r="BC56" i="28" a="1"/>
  <c r="BD56" i="28" a="1"/>
  <c r="BE56" i="28" a="1"/>
  <c r="BF56" i="28" a="1"/>
  <c r="BG56" i="28" a="1"/>
  <c r="BH56" i="28" a="1"/>
  <c r="BI56" i="28" a="1"/>
  <c r="BJ56" i="28" a="1"/>
  <c r="BK56" i="28" a="1"/>
  <c r="BL56" i="28" a="1"/>
  <c r="BM56" i="28" a="1"/>
  <c r="BN56" i="28" a="1"/>
  <c r="BO56" i="28" a="1"/>
  <c r="BP56" i="28" a="1"/>
  <c r="G56" i="28"/>
  <c r="H56" i="28"/>
  <c r="I56" i="28"/>
  <c r="J56" i="28"/>
  <c r="K56" i="28"/>
  <c r="L56" i="28"/>
  <c r="M56" i="28"/>
  <c r="N56" i="28"/>
  <c r="O56" i="28"/>
  <c r="P56" i="28"/>
  <c r="Q56" i="28"/>
  <c r="R56" i="28"/>
  <c r="S56" i="28"/>
  <c r="T56" i="28"/>
  <c r="U56" i="28"/>
  <c r="V56" i="28"/>
  <c r="W56" i="28"/>
  <c r="X56" i="28"/>
  <c r="Y56" i="28"/>
  <c r="Z56" i="28"/>
  <c r="AA56" i="28"/>
  <c r="AB56" i="28"/>
  <c r="AC56" i="28"/>
  <c r="AD56" i="28"/>
  <c r="AE56" i="28"/>
  <c r="AF56" i="28"/>
  <c r="AG56" i="28"/>
  <c r="AH56" i="28"/>
  <c r="AI56" i="28"/>
  <c r="AJ56" i="28"/>
  <c r="AK56" i="28"/>
  <c r="AL56" i="28"/>
  <c r="AM56" i="28"/>
  <c r="AN56" i="28"/>
  <c r="AO56" i="28"/>
  <c r="AP56" i="28"/>
  <c r="AQ56" i="28"/>
  <c r="AR56" i="28"/>
  <c r="AS56" i="28"/>
  <c r="AT56" i="28"/>
  <c r="AU56" i="28"/>
  <c r="AV56" i="28"/>
  <c r="AW56" i="28"/>
  <c r="AX56" i="28"/>
  <c r="AY56" i="28"/>
  <c r="AZ56" i="28"/>
  <c r="BA56" i="28"/>
  <c r="BB56" i="28"/>
  <c r="BC56" i="28"/>
  <c r="BD56" i="28"/>
  <c r="BE56" i="28"/>
  <c r="BF56" i="28"/>
  <c r="BG56" i="28"/>
  <c r="BH56" i="28"/>
  <c r="BI56" i="28"/>
  <c r="BJ56" i="28"/>
  <c r="BK56" i="28"/>
  <c r="BL56" i="28"/>
  <c r="BM56" i="28"/>
  <c r="BN56" i="28"/>
  <c r="BO56" i="28"/>
  <c r="BP56" i="28"/>
  <c r="AC21" i="28"/>
  <c r="Z22" i="28"/>
  <c r="E57" i="28" a="1"/>
  <c r="E57" i="28"/>
  <c r="F57" i="28" a="1"/>
  <c r="F57" i="28"/>
  <c r="G57" i="28" a="1"/>
  <c r="H57" i="28" a="1"/>
  <c r="I57" i="28" a="1"/>
  <c r="J57" i="28" a="1"/>
  <c r="K57" i="28" a="1"/>
  <c r="L57" i="28" a="1"/>
  <c r="M57" i="28" a="1"/>
  <c r="N57" i="28" a="1"/>
  <c r="O57" i="28" a="1"/>
  <c r="P57" i="28" a="1"/>
  <c r="Q57" i="28" a="1"/>
  <c r="R57" i="28" a="1"/>
  <c r="S57" i="28" a="1"/>
  <c r="T57" i="28" a="1"/>
  <c r="U57" i="28" a="1"/>
  <c r="V57" i="28" a="1"/>
  <c r="W57" i="28" a="1"/>
  <c r="X57" i="28" a="1"/>
  <c r="Y57" i="28" a="1"/>
  <c r="Z57" i="28" a="1"/>
  <c r="AA57" i="28" a="1"/>
  <c r="AB57" i="28" a="1"/>
  <c r="AC57" i="28" a="1"/>
  <c r="AD57" i="28" a="1"/>
  <c r="AE57" i="28" a="1"/>
  <c r="AF57" i="28" a="1"/>
  <c r="AG57" i="28" a="1"/>
  <c r="AH57" i="28" a="1"/>
  <c r="AI57" i="28" a="1"/>
  <c r="AJ57" i="28" a="1"/>
  <c r="AK57" i="28" a="1"/>
  <c r="AL57" i="28" a="1"/>
  <c r="AM57" i="28" a="1"/>
  <c r="AN57" i="28" a="1"/>
  <c r="AO57" i="28" a="1"/>
  <c r="AP57" i="28" a="1"/>
  <c r="AQ57" i="28" a="1"/>
  <c r="AR57" i="28" a="1"/>
  <c r="AS57" i="28" a="1"/>
  <c r="AT57" i="28" a="1"/>
  <c r="AU57" i="28" a="1"/>
  <c r="AV57" i="28" a="1"/>
  <c r="AW57" i="28" a="1"/>
  <c r="AX57" i="28" a="1"/>
  <c r="AY57" i="28" a="1"/>
  <c r="AZ57" i="28" a="1"/>
  <c r="BA57" i="28" a="1"/>
  <c r="BB57" i="28" a="1"/>
  <c r="BC57" i="28" a="1"/>
  <c r="BD57" i="28" a="1"/>
  <c r="BE57" i="28" a="1"/>
  <c r="BF57" i="28" a="1"/>
  <c r="BG57" i="28" a="1"/>
  <c r="BH57" i="28" a="1"/>
  <c r="BI57" i="28" a="1"/>
  <c r="BJ57" i="28" a="1"/>
  <c r="BK57" i="28" a="1"/>
  <c r="BL57" i="28" a="1"/>
  <c r="BM57" i="28" a="1"/>
  <c r="BN57" i="28" a="1"/>
  <c r="BO57" i="28" a="1"/>
  <c r="BP57" i="28" a="1"/>
  <c r="G57" i="28"/>
  <c r="H57" i="28"/>
  <c r="I57" i="28"/>
  <c r="J57" i="28"/>
  <c r="K57" i="28"/>
  <c r="L57" i="28"/>
  <c r="M57" i="28"/>
  <c r="N57" i="28"/>
  <c r="O57" i="28"/>
  <c r="P57" i="28"/>
  <c r="Q57" i="28"/>
  <c r="R57" i="28"/>
  <c r="S57" i="28"/>
  <c r="T57" i="28"/>
  <c r="U57" i="28"/>
  <c r="V57" i="28"/>
  <c r="W57" i="28"/>
  <c r="X57" i="28"/>
  <c r="Y57" i="28"/>
  <c r="Z57" i="28"/>
  <c r="AA57" i="28"/>
  <c r="AB57" i="28"/>
  <c r="AC57" i="28"/>
  <c r="AD57" i="28"/>
  <c r="AE57" i="28"/>
  <c r="AF57" i="28"/>
  <c r="AG57" i="28"/>
  <c r="AH57" i="28"/>
  <c r="AI57" i="28"/>
  <c r="AJ57" i="28"/>
  <c r="AK57" i="28"/>
  <c r="AL57" i="28"/>
  <c r="AM57" i="28"/>
  <c r="AN57" i="28"/>
  <c r="AO57" i="28"/>
  <c r="AP57" i="28"/>
  <c r="AQ57" i="28"/>
  <c r="AR57" i="28"/>
  <c r="AS57" i="28"/>
  <c r="AT57" i="28"/>
  <c r="AU57" i="28"/>
  <c r="AV57" i="28"/>
  <c r="AW57" i="28"/>
  <c r="AX57" i="28"/>
  <c r="AY57" i="28"/>
  <c r="AZ57" i="28"/>
  <c r="BA57" i="28"/>
  <c r="BB57" i="28"/>
  <c r="BC57" i="28"/>
  <c r="BD57" i="28"/>
  <c r="BE57" i="28"/>
  <c r="BF57" i="28"/>
  <c r="BG57" i="28"/>
  <c r="BH57" i="28"/>
  <c r="BI57" i="28"/>
  <c r="BJ57" i="28"/>
  <c r="BK57" i="28"/>
  <c r="BL57" i="28"/>
  <c r="BM57" i="28"/>
  <c r="BN57" i="28"/>
  <c r="BO57" i="28"/>
  <c r="BP57" i="28"/>
  <c r="AC22" i="28"/>
  <c r="Z23" i="28"/>
  <c r="E58" i="28" a="1"/>
  <c r="E58" i="28"/>
  <c r="F58" i="28" a="1"/>
  <c r="F58" i="28"/>
  <c r="G58" i="28" a="1"/>
  <c r="H58" i="28" a="1"/>
  <c r="I58" i="28" a="1"/>
  <c r="J58" i="28" a="1"/>
  <c r="K58" i="28" a="1"/>
  <c r="L58" i="28" a="1"/>
  <c r="M58" i="28" a="1"/>
  <c r="N58" i="28" a="1"/>
  <c r="O58" i="28" a="1"/>
  <c r="P58" i="28" a="1"/>
  <c r="Q58" i="28" a="1"/>
  <c r="R58" i="28" a="1"/>
  <c r="S58" i="28" a="1"/>
  <c r="T58" i="28" a="1"/>
  <c r="U58" i="28" a="1"/>
  <c r="V58" i="28" a="1"/>
  <c r="W58" i="28" a="1"/>
  <c r="X58" i="28" a="1"/>
  <c r="Y58" i="28" a="1"/>
  <c r="Z58" i="28" a="1"/>
  <c r="AA58" i="28" a="1"/>
  <c r="AB58" i="28" a="1"/>
  <c r="AC58" i="28" a="1"/>
  <c r="AD58" i="28" a="1"/>
  <c r="AE58" i="28" a="1"/>
  <c r="AF58" i="28" a="1"/>
  <c r="AG58" i="28" a="1"/>
  <c r="AH58" i="28" a="1"/>
  <c r="AI58" i="28" a="1"/>
  <c r="AJ58" i="28" a="1"/>
  <c r="AK58" i="28" a="1"/>
  <c r="AL58" i="28" a="1"/>
  <c r="AM58" i="28" a="1"/>
  <c r="AN58" i="28" a="1"/>
  <c r="AO58" i="28" a="1"/>
  <c r="AP58" i="28" a="1"/>
  <c r="AQ58" i="28" a="1"/>
  <c r="AR58" i="28" a="1"/>
  <c r="AS58" i="28" a="1"/>
  <c r="AT58" i="28" a="1"/>
  <c r="AU58" i="28" a="1"/>
  <c r="AV58" i="28" a="1"/>
  <c r="AW58" i="28" a="1"/>
  <c r="AX58" i="28" a="1"/>
  <c r="AY58" i="28" a="1"/>
  <c r="AZ58" i="28" a="1"/>
  <c r="BA58" i="28" a="1"/>
  <c r="BB58" i="28" a="1"/>
  <c r="BC58" i="28" a="1"/>
  <c r="BD58" i="28" a="1"/>
  <c r="BE58" i="28" a="1"/>
  <c r="BF58" i="28" a="1"/>
  <c r="BG58" i="28" a="1"/>
  <c r="BH58" i="28" a="1"/>
  <c r="BI58" i="28" a="1"/>
  <c r="BJ58" i="28" a="1"/>
  <c r="BK58" i="28" a="1"/>
  <c r="BL58" i="28" a="1"/>
  <c r="BM58" i="28" a="1"/>
  <c r="BN58" i="28" a="1"/>
  <c r="BO58" i="28" a="1"/>
  <c r="BP58" i="28" a="1"/>
  <c r="G58" i="28"/>
  <c r="H58" i="28"/>
  <c r="I58" i="28"/>
  <c r="J58" i="28"/>
  <c r="K58" i="28"/>
  <c r="L58" i="28"/>
  <c r="M58" i="28"/>
  <c r="N58" i="28"/>
  <c r="O58" i="28"/>
  <c r="P58" i="28"/>
  <c r="Q58" i="28"/>
  <c r="R58" i="28"/>
  <c r="S58" i="28"/>
  <c r="T58" i="28"/>
  <c r="U58" i="28"/>
  <c r="V58" i="28"/>
  <c r="W58" i="28"/>
  <c r="X58" i="28"/>
  <c r="Y58" i="28"/>
  <c r="Z58" i="28"/>
  <c r="AA58" i="28"/>
  <c r="AB58" i="28"/>
  <c r="AC58" i="28"/>
  <c r="AD58" i="28"/>
  <c r="AE58" i="28"/>
  <c r="AF58" i="28"/>
  <c r="AG58" i="28"/>
  <c r="AH58" i="28"/>
  <c r="AI58" i="28"/>
  <c r="AJ58" i="28"/>
  <c r="AK58" i="28"/>
  <c r="AL58" i="28"/>
  <c r="AM58" i="28"/>
  <c r="AN58" i="28"/>
  <c r="AO58" i="28"/>
  <c r="AP58" i="28"/>
  <c r="AQ58" i="28"/>
  <c r="AR58" i="28"/>
  <c r="AS58" i="28"/>
  <c r="AT58" i="28"/>
  <c r="AU58" i="28"/>
  <c r="AV58" i="28"/>
  <c r="AW58" i="28"/>
  <c r="AX58" i="28"/>
  <c r="AY58" i="28"/>
  <c r="AZ58" i="28"/>
  <c r="BA58" i="28"/>
  <c r="BB58" i="28"/>
  <c r="BC58" i="28"/>
  <c r="BD58" i="28"/>
  <c r="BE58" i="28"/>
  <c r="BF58" i="28"/>
  <c r="BG58" i="28"/>
  <c r="BH58" i="28"/>
  <c r="BI58" i="28"/>
  <c r="BJ58" i="28"/>
  <c r="BK58" i="28"/>
  <c r="BL58" i="28"/>
  <c r="BM58" i="28"/>
  <c r="BN58" i="28"/>
  <c r="BO58" i="28"/>
  <c r="BP58" i="28"/>
  <c r="AC23" i="28"/>
  <c r="Z24" i="28"/>
  <c r="E59" i="28" a="1"/>
  <c r="E59" i="28"/>
  <c r="F59" i="28" a="1"/>
  <c r="F59" i="28"/>
  <c r="G59" i="28" a="1"/>
  <c r="H59" i="28" a="1"/>
  <c r="I59" i="28" a="1"/>
  <c r="J59" i="28" a="1"/>
  <c r="K59" i="28" a="1"/>
  <c r="L59" i="28" a="1"/>
  <c r="M59" i="28" a="1"/>
  <c r="N59" i="28" a="1"/>
  <c r="O59" i="28" a="1"/>
  <c r="P59" i="28" a="1"/>
  <c r="Q59" i="28" a="1"/>
  <c r="R59" i="28" a="1"/>
  <c r="S59" i="28" a="1"/>
  <c r="T59" i="28" a="1"/>
  <c r="U59" i="28" a="1"/>
  <c r="V59" i="28" a="1"/>
  <c r="W59" i="28" a="1"/>
  <c r="X59" i="28" a="1"/>
  <c r="Y59" i="28" a="1"/>
  <c r="Z59" i="28" a="1"/>
  <c r="AA59" i="28" a="1"/>
  <c r="AB59" i="28" a="1"/>
  <c r="AC59" i="28" a="1"/>
  <c r="AD59" i="28" a="1"/>
  <c r="AE59" i="28" a="1"/>
  <c r="AF59" i="28" a="1"/>
  <c r="AG59" i="28" a="1"/>
  <c r="AH59" i="28" a="1"/>
  <c r="AI59" i="28" a="1"/>
  <c r="AJ59" i="28" a="1"/>
  <c r="AK59" i="28" a="1"/>
  <c r="AL59" i="28" a="1"/>
  <c r="AM59" i="28" a="1"/>
  <c r="AN59" i="28" a="1"/>
  <c r="AO59" i="28" a="1"/>
  <c r="AP59" i="28" a="1"/>
  <c r="AQ59" i="28" a="1"/>
  <c r="AR59" i="28" a="1"/>
  <c r="AS59" i="28" a="1"/>
  <c r="AT59" i="28" a="1"/>
  <c r="AU59" i="28" a="1"/>
  <c r="AV59" i="28" a="1"/>
  <c r="AW59" i="28" a="1"/>
  <c r="AX59" i="28" a="1"/>
  <c r="AY59" i="28" a="1"/>
  <c r="AZ59" i="28" a="1"/>
  <c r="BA59" i="28" a="1"/>
  <c r="BB59" i="28" a="1"/>
  <c r="BC59" i="28" a="1"/>
  <c r="BD59" i="28" a="1"/>
  <c r="BE59" i="28" a="1"/>
  <c r="BF59" i="28" a="1"/>
  <c r="BG59" i="28" a="1"/>
  <c r="BH59" i="28" a="1"/>
  <c r="BI59" i="28" a="1"/>
  <c r="BJ59" i="28" a="1"/>
  <c r="BK59" i="28" a="1"/>
  <c r="BL59" i="28" a="1"/>
  <c r="BM59" i="28" a="1"/>
  <c r="BN59" i="28" a="1"/>
  <c r="BO59" i="28" a="1"/>
  <c r="BP59" i="28" a="1"/>
  <c r="G59" i="28"/>
  <c r="H59" i="28"/>
  <c r="I59" i="28"/>
  <c r="J59" i="28"/>
  <c r="K59" i="28"/>
  <c r="L59" i="28"/>
  <c r="M59" i="28"/>
  <c r="N59" i="28"/>
  <c r="O59" i="28"/>
  <c r="P59" i="28"/>
  <c r="Q59" i="28"/>
  <c r="R59" i="28"/>
  <c r="S59" i="28"/>
  <c r="T59" i="28"/>
  <c r="U59" i="28"/>
  <c r="V59" i="28"/>
  <c r="W59" i="28"/>
  <c r="X59" i="28"/>
  <c r="Y59" i="28"/>
  <c r="Z59" i="28"/>
  <c r="AA59" i="28"/>
  <c r="AB59" i="28"/>
  <c r="AC59" i="28"/>
  <c r="AD59" i="28"/>
  <c r="AE59" i="28"/>
  <c r="AF59" i="28"/>
  <c r="AG59" i="28"/>
  <c r="AH59" i="28"/>
  <c r="AI59" i="28"/>
  <c r="AJ59" i="28"/>
  <c r="AK59" i="28"/>
  <c r="AL59" i="28"/>
  <c r="AM59" i="28"/>
  <c r="AN59" i="28"/>
  <c r="AO59" i="28"/>
  <c r="AP59" i="28"/>
  <c r="AQ59" i="28"/>
  <c r="AR59" i="28"/>
  <c r="AS59" i="28"/>
  <c r="AT59" i="28"/>
  <c r="AU59" i="28"/>
  <c r="AV59" i="28"/>
  <c r="AW59" i="28"/>
  <c r="AX59" i="28"/>
  <c r="AY59" i="28"/>
  <c r="AZ59" i="28"/>
  <c r="BA59" i="28"/>
  <c r="BB59" i="28"/>
  <c r="BC59" i="28"/>
  <c r="BD59" i="28"/>
  <c r="BE59" i="28"/>
  <c r="BF59" i="28"/>
  <c r="BG59" i="28"/>
  <c r="BH59" i="28"/>
  <c r="BI59" i="28"/>
  <c r="BJ59" i="28"/>
  <c r="BK59" i="28"/>
  <c r="BL59" i="28"/>
  <c r="BM59" i="28"/>
  <c r="BN59" i="28"/>
  <c r="BO59" i="28"/>
  <c r="BP59" i="28"/>
  <c r="AC24" i="28"/>
  <c r="Z25" i="28"/>
  <c r="E60" i="28" a="1"/>
  <c r="E60" i="28"/>
  <c r="F60" i="28" a="1"/>
  <c r="F60" i="28"/>
  <c r="G60" i="28" a="1"/>
  <c r="H60" i="28" a="1"/>
  <c r="I60" i="28" a="1"/>
  <c r="J60" i="28" a="1"/>
  <c r="K60" i="28" a="1"/>
  <c r="L60" i="28" a="1"/>
  <c r="M60" i="28" a="1"/>
  <c r="N60" i="28" a="1"/>
  <c r="O60" i="28" a="1"/>
  <c r="P60" i="28" a="1"/>
  <c r="Q60" i="28" a="1"/>
  <c r="R60" i="28" a="1"/>
  <c r="S60" i="28" a="1"/>
  <c r="T60" i="28" a="1"/>
  <c r="U60" i="28" a="1"/>
  <c r="V60" i="28" a="1"/>
  <c r="W60" i="28" a="1"/>
  <c r="X60" i="28" a="1"/>
  <c r="Y60" i="28" a="1"/>
  <c r="Z60" i="28" a="1"/>
  <c r="AA60" i="28" a="1"/>
  <c r="AB60" i="28" a="1"/>
  <c r="AC60" i="28" a="1"/>
  <c r="AD60" i="28" a="1"/>
  <c r="AE60" i="28" a="1"/>
  <c r="AF60" i="28" a="1"/>
  <c r="AG60" i="28" a="1"/>
  <c r="AH60" i="28" a="1"/>
  <c r="AI60" i="28" a="1"/>
  <c r="AJ60" i="28" a="1"/>
  <c r="AK60" i="28" a="1"/>
  <c r="AL60" i="28" a="1"/>
  <c r="AM60" i="28" a="1"/>
  <c r="AN60" i="28" a="1"/>
  <c r="AO60" i="28" a="1"/>
  <c r="AP60" i="28" a="1"/>
  <c r="AQ60" i="28" a="1"/>
  <c r="AR60" i="28" a="1"/>
  <c r="AS60" i="28" a="1"/>
  <c r="AT60" i="28" a="1"/>
  <c r="AU60" i="28" a="1"/>
  <c r="AV60" i="28" a="1"/>
  <c r="AW60" i="28" a="1"/>
  <c r="AX60" i="28" a="1"/>
  <c r="AY60" i="28" a="1"/>
  <c r="AZ60" i="28" a="1"/>
  <c r="BA60" i="28" a="1"/>
  <c r="BB60" i="28" a="1"/>
  <c r="BC60" i="28" a="1"/>
  <c r="BD60" i="28" a="1"/>
  <c r="BE60" i="28" a="1"/>
  <c r="BF60" i="28" a="1"/>
  <c r="BG60" i="28" a="1"/>
  <c r="BH60" i="28" a="1"/>
  <c r="BI60" i="28" a="1"/>
  <c r="BJ60" i="28" a="1"/>
  <c r="BK60" i="28" a="1"/>
  <c r="BL60" i="28" a="1"/>
  <c r="BM60" i="28" a="1"/>
  <c r="BN60" i="28" a="1"/>
  <c r="BO60" i="28" a="1"/>
  <c r="BP60" i="28" a="1"/>
  <c r="G60" i="28"/>
  <c r="H60" i="28"/>
  <c r="I60" i="28"/>
  <c r="J60" i="28"/>
  <c r="K60" i="28"/>
  <c r="L60" i="28"/>
  <c r="M60" i="28"/>
  <c r="N60" i="28"/>
  <c r="O60" i="28"/>
  <c r="P60" i="28"/>
  <c r="Q60" i="28"/>
  <c r="R60" i="28"/>
  <c r="S60" i="28"/>
  <c r="T60" i="28"/>
  <c r="U60" i="28"/>
  <c r="V60" i="28"/>
  <c r="W60" i="28"/>
  <c r="X60" i="28"/>
  <c r="Y60" i="28"/>
  <c r="Z60" i="28"/>
  <c r="AA60" i="28"/>
  <c r="AB60" i="28"/>
  <c r="AC60" i="28"/>
  <c r="AD60" i="28"/>
  <c r="AE60" i="28"/>
  <c r="AF60" i="28"/>
  <c r="AG60" i="28"/>
  <c r="AH60" i="28"/>
  <c r="AI60" i="28"/>
  <c r="AJ60" i="28"/>
  <c r="AK60" i="28"/>
  <c r="AL60" i="28"/>
  <c r="AM60" i="28"/>
  <c r="AN60" i="28"/>
  <c r="AO60" i="28"/>
  <c r="AP60" i="28"/>
  <c r="AQ60" i="28"/>
  <c r="AR60" i="28"/>
  <c r="AS60" i="28"/>
  <c r="AT60" i="28"/>
  <c r="AU60" i="28"/>
  <c r="AV60" i="28"/>
  <c r="AW60" i="28"/>
  <c r="AX60" i="28"/>
  <c r="AY60" i="28"/>
  <c r="AZ60" i="28"/>
  <c r="BA60" i="28"/>
  <c r="BB60" i="28"/>
  <c r="BC60" i="28"/>
  <c r="BD60" i="28"/>
  <c r="BE60" i="28"/>
  <c r="BF60" i="28"/>
  <c r="BG60" i="28"/>
  <c r="BH60" i="28"/>
  <c r="BI60" i="28"/>
  <c r="BJ60" i="28"/>
  <c r="BK60" i="28"/>
  <c r="BL60" i="28"/>
  <c r="BM60" i="28"/>
  <c r="BN60" i="28"/>
  <c r="BO60" i="28"/>
  <c r="BP60" i="28"/>
  <c r="AC25" i="28"/>
  <c r="D21" i="28"/>
  <c r="E21" i="28"/>
  <c r="F21" i="28"/>
  <c r="G21" i="28"/>
  <c r="H21" i="28"/>
  <c r="I21" i="28"/>
  <c r="J21" i="28"/>
  <c r="D22" i="28"/>
  <c r="E22" i="28"/>
  <c r="F22" i="28"/>
  <c r="G22" i="28"/>
  <c r="H22" i="28"/>
  <c r="I22" i="28"/>
  <c r="J22" i="28"/>
  <c r="D23" i="28"/>
  <c r="E23" i="28"/>
  <c r="F23" i="28"/>
  <c r="G23" i="28"/>
  <c r="H23" i="28"/>
  <c r="I23" i="28"/>
  <c r="J23" i="28"/>
  <c r="D24" i="28"/>
  <c r="E24" i="28"/>
  <c r="F24" i="28"/>
  <c r="G24" i="28"/>
  <c r="H24" i="28"/>
  <c r="I24" i="28"/>
  <c r="J24" i="28"/>
  <c r="D25" i="28"/>
  <c r="E25" i="28"/>
  <c r="F25" i="28"/>
  <c r="G25" i="28"/>
  <c r="H25" i="28"/>
  <c r="I25" i="28"/>
  <c r="J25" i="28"/>
  <c r="Z64" i="28"/>
  <c r="AB64" i="28"/>
  <c r="AC64" i="28"/>
  <c r="AL64" i="28"/>
  <c r="AM64" i="28"/>
  <c r="Z136" i="28"/>
  <c r="AA136" i="28"/>
  <c r="AB136" i="28"/>
  <c r="AC136" i="28"/>
  <c r="X64" i="28"/>
  <c r="AE64" i="28"/>
  <c r="AG64" i="28"/>
  <c r="AV8" i="30"/>
  <c r="AV9" i="30"/>
  <c r="AV10" i="30"/>
  <c r="AV11" i="30"/>
  <c r="AV12" i="30"/>
  <c r="B13" i="30"/>
  <c r="D17" i="30"/>
  <c r="E17" i="30"/>
  <c r="F17" i="30"/>
  <c r="G17" i="30"/>
  <c r="H17" i="30"/>
  <c r="I17" i="30"/>
  <c r="J17" i="30"/>
  <c r="Z17" i="30"/>
  <c r="E52" i="30" a="1"/>
  <c r="E52" i="30"/>
  <c r="F52" i="30" a="1"/>
  <c r="F52" i="30"/>
  <c r="G52" i="30" a="1"/>
  <c r="H52" i="30" a="1"/>
  <c r="I52" i="30" a="1"/>
  <c r="J52" i="30" a="1"/>
  <c r="K52" i="30" a="1"/>
  <c r="L52" i="30" a="1"/>
  <c r="M52" i="30" a="1"/>
  <c r="N52" i="30" a="1"/>
  <c r="O52" i="30" a="1"/>
  <c r="P52" i="30" a="1"/>
  <c r="Q52" i="30" a="1"/>
  <c r="R52" i="30" a="1"/>
  <c r="S52" i="30" a="1"/>
  <c r="T52" i="30" a="1"/>
  <c r="U52" i="30" a="1"/>
  <c r="V52" i="30" a="1"/>
  <c r="W52" i="30" a="1"/>
  <c r="X52" i="30" a="1"/>
  <c r="Y52" i="30" a="1"/>
  <c r="Z52" i="30" a="1"/>
  <c r="AA52" i="30" a="1"/>
  <c r="AB52" i="30" a="1"/>
  <c r="AC52" i="30" a="1"/>
  <c r="AD52" i="30" a="1"/>
  <c r="AE52" i="30" a="1"/>
  <c r="AF52" i="30" a="1"/>
  <c r="AG52" i="30" a="1"/>
  <c r="AH52" i="30" a="1"/>
  <c r="AI52" i="30" a="1"/>
  <c r="AJ52" i="30" a="1"/>
  <c r="AK52" i="30" a="1"/>
  <c r="AL52" i="30" a="1"/>
  <c r="AM52" i="30" a="1"/>
  <c r="AN52" i="30" a="1"/>
  <c r="AO52" i="30" a="1"/>
  <c r="AP52" i="30" a="1"/>
  <c r="AQ52" i="30" a="1"/>
  <c r="AR52" i="30" a="1"/>
  <c r="AS52" i="30" a="1"/>
  <c r="AT52" i="30" a="1"/>
  <c r="AU52" i="30" a="1"/>
  <c r="AV52" i="30" a="1"/>
  <c r="AW52" i="30" a="1"/>
  <c r="AX52" i="30" a="1"/>
  <c r="AY52" i="30" a="1"/>
  <c r="AZ52" i="30" a="1"/>
  <c r="BA52" i="30" a="1"/>
  <c r="BB52" i="30" a="1"/>
  <c r="BC52" i="30" a="1"/>
  <c r="BD52" i="30" a="1"/>
  <c r="BE52" i="30" a="1"/>
  <c r="BF52" i="30" a="1"/>
  <c r="BG52" i="30" a="1"/>
  <c r="BH52" i="30" a="1"/>
  <c r="BI52" i="30" a="1"/>
  <c r="BJ52" i="30" a="1"/>
  <c r="BK52" i="30" a="1"/>
  <c r="BL52" i="30" a="1"/>
  <c r="BM52" i="30" a="1"/>
  <c r="BN52" i="30" a="1"/>
  <c r="BO52" i="30" a="1"/>
  <c r="BP52" i="30" a="1"/>
  <c r="G52" i="30"/>
  <c r="H52" i="30"/>
  <c r="I52" i="30"/>
  <c r="J52" i="30"/>
  <c r="K52" i="30"/>
  <c r="L52" i="30"/>
  <c r="M52" i="30"/>
  <c r="N52" i="30"/>
  <c r="O52" i="30"/>
  <c r="P52" i="30"/>
  <c r="Q52" i="30"/>
  <c r="R52" i="30"/>
  <c r="S52" i="30"/>
  <c r="T52" i="30"/>
  <c r="U52" i="30"/>
  <c r="V52" i="30"/>
  <c r="W52" i="30"/>
  <c r="X52" i="30"/>
  <c r="Y52" i="30"/>
  <c r="Z52" i="30"/>
  <c r="AA52" i="30"/>
  <c r="AB52" i="30"/>
  <c r="AC52" i="30"/>
  <c r="AD52" i="30"/>
  <c r="AE52" i="30"/>
  <c r="AF52" i="30"/>
  <c r="AG52" i="30"/>
  <c r="AH52" i="30"/>
  <c r="AI52" i="30"/>
  <c r="AJ52" i="30"/>
  <c r="AK52" i="30"/>
  <c r="AL52" i="30"/>
  <c r="AM52" i="30"/>
  <c r="AN52" i="30"/>
  <c r="AO52" i="30"/>
  <c r="AP52" i="30"/>
  <c r="AQ52" i="30"/>
  <c r="AR52" i="30"/>
  <c r="AS52" i="30"/>
  <c r="AT52" i="30"/>
  <c r="AU52" i="30"/>
  <c r="AV52" i="30"/>
  <c r="AW52" i="30"/>
  <c r="AX52" i="30"/>
  <c r="AY52" i="30"/>
  <c r="AZ52" i="30"/>
  <c r="BA52" i="30"/>
  <c r="BB52" i="30"/>
  <c r="BC52" i="30"/>
  <c r="BD52" i="30"/>
  <c r="BE52" i="30"/>
  <c r="BF52" i="30"/>
  <c r="BG52" i="30"/>
  <c r="BH52" i="30"/>
  <c r="BI52" i="30"/>
  <c r="BJ52" i="30"/>
  <c r="BK52" i="30"/>
  <c r="BL52" i="30"/>
  <c r="BM52" i="30"/>
  <c r="BN52" i="30"/>
  <c r="BO52" i="30"/>
  <c r="BP52" i="30"/>
  <c r="AC17" i="30"/>
  <c r="D18" i="30"/>
  <c r="E18" i="30"/>
  <c r="F18" i="30"/>
  <c r="G18" i="30"/>
  <c r="H18" i="30"/>
  <c r="I18" i="30"/>
  <c r="J18" i="30"/>
  <c r="Z18" i="30"/>
  <c r="E53" i="30" a="1"/>
  <c r="E53" i="30"/>
  <c r="F53" i="30" a="1"/>
  <c r="F53" i="30"/>
  <c r="G53" i="30" a="1"/>
  <c r="H53" i="30" a="1"/>
  <c r="I53" i="30" a="1"/>
  <c r="J53" i="30" a="1"/>
  <c r="K53" i="30" a="1"/>
  <c r="L53" i="30" a="1"/>
  <c r="M53" i="30" a="1"/>
  <c r="N53" i="30" a="1"/>
  <c r="O53" i="30" a="1"/>
  <c r="P53" i="30" a="1"/>
  <c r="Q53" i="30" a="1"/>
  <c r="R53" i="30" a="1"/>
  <c r="S53" i="30" a="1"/>
  <c r="T53" i="30" a="1"/>
  <c r="U53" i="30" a="1"/>
  <c r="V53" i="30" a="1"/>
  <c r="W53" i="30" a="1"/>
  <c r="X53" i="30" a="1"/>
  <c r="Y53" i="30" a="1"/>
  <c r="Z53" i="30" a="1"/>
  <c r="AA53" i="30" a="1"/>
  <c r="AB53" i="30" a="1"/>
  <c r="AC53" i="30" a="1"/>
  <c r="AD53" i="30" a="1"/>
  <c r="AE53" i="30" a="1"/>
  <c r="AF53" i="30" a="1"/>
  <c r="AG53" i="30" a="1"/>
  <c r="AH53" i="30" a="1"/>
  <c r="AI53" i="30" a="1"/>
  <c r="AJ53" i="30" a="1"/>
  <c r="AK53" i="30" a="1"/>
  <c r="AL53" i="30" a="1"/>
  <c r="AM53" i="30" a="1"/>
  <c r="AN53" i="30" a="1"/>
  <c r="AO53" i="30" a="1"/>
  <c r="AP53" i="30" a="1"/>
  <c r="AQ53" i="30" a="1"/>
  <c r="AR53" i="30" a="1"/>
  <c r="AS53" i="30" a="1"/>
  <c r="AT53" i="30" a="1"/>
  <c r="AU53" i="30" a="1"/>
  <c r="AV53" i="30" a="1"/>
  <c r="AW53" i="30" a="1"/>
  <c r="AX53" i="30" a="1"/>
  <c r="AY53" i="30" a="1"/>
  <c r="AZ53" i="30" a="1"/>
  <c r="BA53" i="30" a="1"/>
  <c r="BB53" i="30" a="1"/>
  <c r="BC53" i="30" a="1"/>
  <c r="BD53" i="30" a="1"/>
  <c r="BE53" i="30" a="1"/>
  <c r="BF53" i="30" a="1"/>
  <c r="BG53" i="30" a="1"/>
  <c r="BH53" i="30" a="1"/>
  <c r="BI53" i="30" a="1"/>
  <c r="BJ53" i="30" a="1"/>
  <c r="BK53" i="30" a="1"/>
  <c r="BL53" i="30" a="1"/>
  <c r="BM53" i="30" a="1"/>
  <c r="BN53" i="30" a="1"/>
  <c r="BO53" i="30" a="1"/>
  <c r="BP53" i="30" a="1"/>
  <c r="G53" i="30"/>
  <c r="H53" i="30"/>
  <c r="I53" i="30"/>
  <c r="J53" i="30"/>
  <c r="K53" i="30"/>
  <c r="L53" i="30"/>
  <c r="M53" i="30"/>
  <c r="N53" i="30"/>
  <c r="O53" i="30"/>
  <c r="P53" i="30"/>
  <c r="Q53" i="30"/>
  <c r="R53" i="30"/>
  <c r="S53" i="30"/>
  <c r="T53" i="30"/>
  <c r="U53" i="30"/>
  <c r="V53" i="30"/>
  <c r="W53" i="30"/>
  <c r="X53" i="30"/>
  <c r="Y53" i="30"/>
  <c r="Z53" i="30"/>
  <c r="AA53" i="30"/>
  <c r="AB53" i="30"/>
  <c r="AC53" i="30"/>
  <c r="AD53" i="30"/>
  <c r="AE53" i="30"/>
  <c r="AF53" i="30"/>
  <c r="AG53" i="30"/>
  <c r="AH53" i="30"/>
  <c r="AI53" i="30"/>
  <c r="AJ53" i="30"/>
  <c r="AK53" i="30"/>
  <c r="AL53" i="30"/>
  <c r="AM53" i="30"/>
  <c r="AN53" i="30"/>
  <c r="AO53" i="30"/>
  <c r="AP53" i="30"/>
  <c r="AQ53" i="30"/>
  <c r="AR53" i="30"/>
  <c r="AS53" i="30"/>
  <c r="AT53" i="30"/>
  <c r="AU53" i="30"/>
  <c r="AV53" i="30"/>
  <c r="AW53" i="30"/>
  <c r="AX53" i="30"/>
  <c r="AY53" i="30"/>
  <c r="AZ53" i="30"/>
  <c r="BA53" i="30"/>
  <c r="BB53" i="30"/>
  <c r="BC53" i="30"/>
  <c r="BD53" i="30"/>
  <c r="BE53" i="30"/>
  <c r="BF53" i="30"/>
  <c r="BG53" i="30"/>
  <c r="BH53" i="30"/>
  <c r="BI53" i="30"/>
  <c r="BJ53" i="30"/>
  <c r="BK53" i="30"/>
  <c r="BL53" i="30"/>
  <c r="BM53" i="30"/>
  <c r="BN53" i="30"/>
  <c r="BO53" i="30"/>
  <c r="BP53" i="30"/>
  <c r="AC18" i="30"/>
  <c r="D19" i="30"/>
  <c r="E19" i="30"/>
  <c r="F19" i="30"/>
  <c r="G19" i="30"/>
  <c r="H19" i="30"/>
  <c r="I19" i="30"/>
  <c r="J19" i="30"/>
  <c r="Z19" i="30"/>
  <c r="E54" i="30" a="1"/>
  <c r="E54" i="30"/>
  <c r="F54" i="30" a="1"/>
  <c r="F54" i="30"/>
  <c r="G54" i="30" a="1"/>
  <c r="H54" i="30" a="1"/>
  <c r="I54" i="30" a="1"/>
  <c r="J54" i="30" a="1"/>
  <c r="K54" i="30" a="1"/>
  <c r="L54" i="30" a="1"/>
  <c r="M54" i="30" a="1"/>
  <c r="N54" i="30" a="1"/>
  <c r="O54" i="30" a="1"/>
  <c r="P54" i="30" a="1"/>
  <c r="Q54" i="30" a="1"/>
  <c r="R54" i="30" a="1"/>
  <c r="S54" i="30" a="1"/>
  <c r="T54" i="30" a="1"/>
  <c r="U54" i="30" a="1"/>
  <c r="V54" i="30" a="1"/>
  <c r="W54" i="30" a="1"/>
  <c r="X54" i="30" a="1"/>
  <c r="Y54" i="30" a="1"/>
  <c r="Z54" i="30" a="1"/>
  <c r="AA54" i="30" a="1"/>
  <c r="AB54" i="30" a="1"/>
  <c r="AC54" i="30" a="1"/>
  <c r="AD54" i="30" a="1"/>
  <c r="AE54" i="30" a="1"/>
  <c r="AF54" i="30" a="1"/>
  <c r="AG54" i="30" a="1"/>
  <c r="AH54" i="30" a="1"/>
  <c r="AI54" i="30" a="1"/>
  <c r="AJ54" i="30" a="1"/>
  <c r="AK54" i="30" a="1"/>
  <c r="AL54" i="30" a="1"/>
  <c r="AM54" i="30" a="1"/>
  <c r="AN54" i="30" a="1"/>
  <c r="AO54" i="30" a="1"/>
  <c r="AP54" i="30" a="1"/>
  <c r="AQ54" i="30" a="1"/>
  <c r="AR54" i="30" a="1"/>
  <c r="AS54" i="30" a="1"/>
  <c r="AT54" i="30" a="1"/>
  <c r="AU54" i="30" a="1"/>
  <c r="AV54" i="30" a="1"/>
  <c r="AW54" i="30" a="1"/>
  <c r="AX54" i="30" a="1"/>
  <c r="AY54" i="30" a="1"/>
  <c r="AZ54" i="30" a="1"/>
  <c r="BA54" i="30" a="1"/>
  <c r="BB54" i="30" a="1"/>
  <c r="BC54" i="30" a="1"/>
  <c r="BD54" i="30" a="1"/>
  <c r="BE54" i="30" a="1"/>
  <c r="BF54" i="30" a="1"/>
  <c r="BG54" i="30" a="1"/>
  <c r="BH54" i="30" a="1"/>
  <c r="BI54" i="30" a="1"/>
  <c r="BJ54" i="30" a="1"/>
  <c r="BK54" i="30" a="1"/>
  <c r="BL54" i="30" a="1"/>
  <c r="BM54" i="30" a="1"/>
  <c r="BN54" i="30" a="1"/>
  <c r="BO54" i="30" a="1"/>
  <c r="BP54" i="30" a="1"/>
  <c r="G54" i="30"/>
  <c r="H54" i="30"/>
  <c r="I54" i="30"/>
  <c r="J54" i="30"/>
  <c r="K54" i="30"/>
  <c r="L54" i="30"/>
  <c r="M54" i="30"/>
  <c r="N54" i="30"/>
  <c r="O54" i="30"/>
  <c r="P54" i="30"/>
  <c r="Q54" i="30"/>
  <c r="R54" i="30"/>
  <c r="S54" i="30"/>
  <c r="T54" i="30"/>
  <c r="U54" i="30"/>
  <c r="V54" i="30"/>
  <c r="W54" i="30"/>
  <c r="X54" i="30"/>
  <c r="Y54" i="30"/>
  <c r="Z54" i="30"/>
  <c r="AA54" i="30"/>
  <c r="AB54" i="30"/>
  <c r="AC54" i="30"/>
  <c r="AD54" i="30"/>
  <c r="AE54" i="30"/>
  <c r="AF54" i="30"/>
  <c r="AG54" i="30"/>
  <c r="AH54" i="30"/>
  <c r="AI54" i="30"/>
  <c r="AJ54" i="30"/>
  <c r="AK54" i="30"/>
  <c r="AL54" i="30"/>
  <c r="AM54" i="30"/>
  <c r="AN54" i="30"/>
  <c r="AO54" i="30"/>
  <c r="AP54" i="30"/>
  <c r="AQ54" i="30"/>
  <c r="AR54" i="30"/>
  <c r="AS54" i="30"/>
  <c r="AT54" i="30"/>
  <c r="AU54" i="30"/>
  <c r="AV54" i="30"/>
  <c r="AW54" i="30"/>
  <c r="AX54" i="30"/>
  <c r="AY54" i="30"/>
  <c r="AZ54" i="30"/>
  <c r="BA54" i="30"/>
  <c r="BB54" i="30"/>
  <c r="BC54" i="30"/>
  <c r="BD54" i="30"/>
  <c r="BE54" i="30"/>
  <c r="BF54" i="30"/>
  <c r="BG54" i="30"/>
  <c r="BH54" i="30"/>
  <c r="BI54" i="30"/>
  <c r="BJ54" i="30"/>
  <c r="BK54" i="30"/>
  <c r="BL54" i="30"/>
  <c r="BM54" i="30"/>
  <c r="BN54" i="30"/>
  <c r="BO54" i="30"/>
  <c r="BP54" i="30"/>
  <c r="AC19" i="30"/>
  <c r="D20" i="30"/>
  <c r="E20" i="30"/>
  <c r="F20" i="30"/>
  <c r="G20" i="30"/>
  <c r="H20" i="30"/>
  <c r="I20" i="30"/>
  <c r="J20" i="30"/>
  <c r="Z20" i="30"/>
  <c r="E55" i="30" a="1"/>
  <c r="E55" i="30"/>
  <c r="F55" i="30" a="1"/>
  <c r="F55" i="30"/>
  <c r="G55" i="30" a="1"/>
  <c r="H55" i="30" a="1"/>
  <c r="I55" i="30" a="1"/>
  <c r="J55" i="30" a="1"/>
  <c r="K55" i="30" a="1"/>
  <c r="L55" i="30" a="1"/>
  <c r="M55" i="30" a="1"/>
  <c r="N55" i="30" a="1"/>
  <c r="O55" i="30" a="1"/>
  <c r="P55" i="30" a="1"/>
  <c r="Q55" i="30" a="1"/>
  <c r="R55" i="30" a="1"/>
  <c r="S55" i="30" a="1"/>
  <c r="T55" i="30" a="1"/>
  <c r="U55" i="30" a="1"/>
  <c r="V55" i="30" a="1"/>
  <c r="W55" i="30" a="1"/>
  <c r="X55" i="30" a="1"/>
  <c r="Y55" i="30" a="1"/>
  <c r="Z55" i="30" a="1"/>
  <c r="AA55" i="30" a="1"/>
  <c r="AB55" i="30" a="1"/>
  <c r="AC55" i="30" a="1"/>
  <c r="AD55" i="30" a="1"/>
  <c r="AE55" i="30" a="1"/>
  <c r="AF55" i="30" a="1"/>
  <c r="AG55" i="30" a="1"/>
  <c r="AH55" i="30" a="1"/>
  <c r="AI55" i="30" a="1"/>
  <c r="AJ55" i="30" a="1"/>
  <c r="AK55" i="30" a="1"/>
  <c r="AL55" i="30" a="1"/>
  <c r="AM55" i="30" a="1"/>
  <c r="AN55" i="30" a="1"/>
  <c r="AO55" i="30" a="1"/>
  <c r="AP55" i="30" a="1"/>
  <c r="AQ55" i="30" a="1"/>
  <c r="AR55" i="30" a="1"/>
  <c r="AS55" i="30" a="1"/>
  <c r="AT55" i="30" a="1"/>
  <c r="AU55" i="30" a="1"/>
  <c r="AV55" i="30" a="1"/>
  <c r="AW55" i="30" a="1"/>
  <c r="AX55" i="30" a="1"/>
  <c r="AY55" i="30" a="1"/>
  <c r="AZ55" i="30" a="1"/>
  <c r="BA55" i="30" a="1"/>
  <c r="BB55" i="30" a="1"/>
  <c r="BC55" i="30" a="1"/>
  <c r="BD55" i="30" a="1"/>
  <c r="BE55" i="30" a="1"/>
  <c r="BF55" i="30" a="1"/>
  <c r="BG55" i="30" a="1"/>
  <c r="BH55" i="30" a="1"/>
  <c r="BI55" i="30" a="1"/>
  <c r="BJ55" i="30" a="1"/>
  <c r="BK55" i="30" a="1"/>
  <c r="BL55" i="30" a="1"/>
  <c r="BM55" i="30" a="1"/>
  <c r="BN55" i="30" a="1"/>
  <c r="BO55" i="30" a="1"/>
  <c r="BP55" i="30" a="1"/>
  <c r="G55" i="30"/>
  <c r="H55" i="30"/>
  <c r="I55" i="30"/>
  <c r="J55" i="30"/>
  <c r="K55" i="30"/>
  <c r="L55" i="30"/>
  <c r="M55" i="30"/>
  <c r="N55" i="30"/>
  <c r="O55" i="30"/>
  <c r="P55" i="30"/>
  <c r="Q55" i="30"/>
  <c r="R55" i="30"/>
  <c r="S55" i="30"/>
  <c r="T55" i="30"/>
  <c r="U55" i="30"/>
  <c r="V55" i="30"/>
  <c r="W55" i="30"/>
  <c r="X55" i="30"/>
  <c r="Y55" i="30"/>
  <c r="Z55" i="30"/>
  <c r="AA55" i="30"/>
  <c r="AB55" i="30"/>
  <c r="AC55" i="30"/>
  <c r="AD55" i="30"/>
  <c r="AE55" i="30"/>
  <c r="AF55" i="30"/>
  <c r="AG55" i="30"/>
  <c r="AH55" i="30"/>
  <c r="AI55" i="30"/>
  <c r="AJ55" i="30"/>
  <c r="AK55" i="30"/>
  <c r="AL55" i="30"/>
  <c r="AM55" i="30"/>
  <c r="AN55" i="30"/>
  <c r="AO55" i="30"/>
  <c r="AP55" i="30"/>
  <c r="AQ55" i="30"/>
  <c r="AR55" i="30"/>
  <c r="AS55" i="30"/>
  <c r="AT55" i="30"/>
  <c r="AU55" i="30"/>
  <c r="AV55" i="30"/>
  <c r="AW55" i="30"/>
  <c r="AX55" i="30"/>
  <c r="AY55" i="30"/>
  <c r="AZ55" i="30"/>
  <c r="BA55" i="30"/>
  <c r="BB55" i="30"/>
  <c r="BC55" i="30"/>
  <c r="BD55" i="30"/>
  <c r="BE55" i="30"/>
  <c r="BF55" i="30"/>
  <c r="BG55" i="30"/>
  <c r="BH55" i="30"/>
  <c r="BI55" i="30"/>
  <c r="BJ55" i="30"/>
  <c r="BK55" i="30"/>
  <c r="BL55" i="30"/>
  <c r="BM55" i="30"/>
  <c r="BN55" i="30"/>
  <c r="BO55" i="30"/>
  <c r="BP55" i="30"/>
  <c r="AC20" i="30"/>
  <c r="D21" i="30"/>
  <c r="E21" i="30"/>
  <c r="F21" i="30"/>
  <c r="N8" i="30"/>
  <c r="G21" i="30"/>
  <c r="H21" i="30"/>
  <c r="I21" i="30"/>
  <c r="J21" i="30"/>
  <c r="Z21" i="30"/>
  <c r="E56" i="30" a="1"/>
  <c r="E56" i="30"/>
  <c r="F56" i="30" a="1"/>
  <c r="F56" i="30"/>
  <c r="G56" i="30" a="1"/>
  <c r="H56" i="30" a="1"/>
  <c r="I56" i="30" a="1"/>
  <c r="J56" i="30" a="1"/>
  <c r="K56" i="30" a="1"/>
  <c r="L56" i="30" a="1"/>
  <c r="M56" i="30" a="1"/>
  <c r="N56" i="30" a="1"/>
  <c r="O56" i="30" a="1"/>
  <c r="P56" i="30" a="1"/>
  <c r="Q56" i="30" a="1"/>
  <c r="R56" i="30" a="1"/>
  <c r="S56" i="30" a="1"/>
  <c r="T56" i="30" a="1"/>
  <c r="U56" i="30" a="1"/>
  <c r="V56" i="30" a="1"/>
  <c r="W56" i="30" a="1"/>
  <c r="X56" i="30" a="1"/>
  <c r="Y56" i="30" a="1"/>
  <c r="Z56" i="30" a="1"/>
  <c r="AA56" i="30" a="1"/>
  <c r="AB56" i="30" a="1"/>
  <c r="AC56" i="30" a="1"/>
  <c r="AD56" i="30" a="1"/>
  <c r="AE56" i="30" a="1"/>
  <c r="AF56" i="30" a="1"/>
  <c r="AG56" i="30" a="1"/>
  <c r="AH56" i="30" a="1"/>
  <c r="AI56" i="30" a="1"/>
  <c r="AJ56" i="30" a="1"/>
  <c r="AK56" i="30" a="1"/>
  <c r="AL56" i="30" a="1"/>
  <c r="AM56" i="30" a="1"/>
  <c r="AN56" i="30" a="1"/>
  <c r="AO56" i="30" a="1"/>
  <c r="AP56" i="30" a="1"/>
  <c r="AQ56" i="30" a="1"/>
  <c r="AR56" i="30" a="1"/>
  <c r="AS56" i="30" a="1"/>
  <c r="AT56" i="30" a="1"/>
  <c r="AU56" i="30" a="1"/>
  <c r="AV56" i="30" a="1"/>
  <c r="AW56" i="30" a="1"/>
  <c r="AX56" i="30" a="1"/>
  <c r="AY56" i="30" a="1"/>
  <c r="AZ56" i="30" a="1"/>
  <c r="BA56" i="30" a="1"/>
  <c r="BB56" i="30" a="1"/>
  <c r="BC56" i="30" a="1"/>
  <c r="BD56" i="30" a="1"/>
  <c r="BE56" i="30" a="1"/>
  <c r="BF56" i="30" a="1"/>
  <c r="BG56" i="30" a="1"/>
  <c r="BH56" i="30" a="1"/>
  <c r="BI56" i="30" a="1"/>
  <c r="BJ56" i="30" a="1"/>
  <c r="BK56" i="30" a="1"/>
  <c r="BL56" i="30" a="1"/>
  <c r="BM56" i="30" a="1"/>
  <c r="BN56" i="30" a="1"/>
  <c r="BO56" i="30" a="1"/>
  <c r="BP56" i="30" a="1"/>
  <c r="G56" i="30"/>
  <c r="H56" i="30"/>
  <c r="I56" i="30"/>
  <c r="J56" i="30"/>
  <c r="K56" i="30"/>
  <c r="L56" i="30"/>
  <c r="M56" i="30"/>
  <c r="N56" i="30"/>
  <c r="O56" i="30"/>
  <c r="P56" i="30"/>
  <c r="Q56" i="30"/>
  <c r="R56" i="30"/>
  <c r="S56" i="30"/>
  <c r="T56" i="30"/>
  <c r="U56" i="30"/>
  <c r="V56" i="30"/>
  <c r="W56" i="30"/>
  <c r="X56" i="30"/>
  <c r="Y56" i="30"/>
  <c r="Z56" i="30"/>
  <c r="AA56" i="30"/>
  <c r="AB56" i="30"/>
  <c r="AC56" i="30"/>
  <c r="AD56" i="30"/>
  <c r="AE56" i="30"/>
  <c r="AF56" i="30"/>
  <c r="AG56" i="30"/>
  <c r="AH56" i="30"/>
  <c r="AI56" i="30"/>
  <c r="AJ56" i="30"/>
  <c r="AK56" i="30"/>
  <c r="AL56" i="30"/>
  <c r="AM56" i="30"/>
  <c r="AN56" i="30"/>
  <c r="AO56" i="30"/>
  <c r="AP56" i="30"/>
  <c r="AQ56" i="30"/>
  <c r="AR56" i="30"/>
  <c r="AS56" i="30"/>
  <c r="AT56" i="30"/>
  <c r="AU56" i="30"/>
  <c r="AV56" i="30"/>
  <c r="AW56" i="30"/>
  <c r="AX56" i="30"/>
  <c r="AY56" i="30"/>
  <c r="AZ56" i="30"/>
  <c r="BA56" i="30"/>
  <c r="BB56" i="30"/>
  <c r="BC56" i="30"/>
  <c r="BD56" i="30"/>
  <c r="BE56" i="30"/>
  <c r="BF56" i="30"/>
  <c r="BG56" i="30"/>
  <c r="BH56" i="30"/>
  <c r="BI56" i="30"/>
  <c r="BJ56" i="30"/>
  <c r="BK56" i="30"/>
  <c r="BL56" i="30"/>
  <c r="BM56" i="30"/>
  <c r="BN56" i="30"/>
  <c r="BO56" i="30"/>
  <c r="BP56" i="30"/>
  <c r="AC21" i="30"/>
  <c r="D22" i="30"/>
  <c r="E22" i="30"/>
  <c r="F22" i="30"/>
  <c r="N9" i="30"/>
  <c r="G22" i="30"/>
  <c r="H22" i="30"/>
  <c r="I22" i="30"/>
  <c r="J22" i="30"/>
  <c r="Z22" i="30"/>
  <c r="E57" i="30" a="1"/>
  <c r="E57" i="30"/>
  <c r="F57" i="30" a="1"/>
  <c r="F57" i="30"/>
  <c r="G57" i="30" a="1"/>
  <c r="H57" i="30" a="1"/>
  <c r="I57" i="30" a="1"/>
  <c r="J57" i="30" a="1"/>
  <c r="K57" i="30" a="1"/>
  <c r="L57" i="30" a="1"/>
  <c r="M57" i="30" a="1"/>
  <c r="N57" i="30" a="1"/>
  <c r="O57" i="30" a="1"/>
  <c r="P57" i="30" a="1"/>
  <c r="Q57" i="30" a="1"/>
  <c r="R57" i="30" a="1"/>
  <c r="S57" i="30" a="1"/>
  <c r="T57" i="30" a="1"/>
  <c r="U57" i="30" a="1"/>
  <c r="V57" i="30" a="1"/>
  <c r="W57" i="30" a="1"/>
  <c r="X57" i="30" a="1"/>
  <c r="Y57" i="30" a="1"/>
  <c r="Z57" i="30" a="1"/>
  <c r="AA57" i="30" a="1"/>
  <c r="AB57" i="30" a="1"/>
  <c r="AC57" i="30" a="1"/>
  <c r="AD57" i="30" a="1"/>
  <c r="AE57" i="30" a="1"/>
  <c r="AF57" i="30" a="1"/>
  <c r="AG57" i="30" a="1"/>
  <c r="AH57" i="30" a="1"/>
  <c r="AI57" i="30" a="1"/>
  <c r="AJ57" i="30" a="1"/>
  <c r="AK57" i="30" a="1"/>
  <c r="AL57" i="30" a="1"/>
  <c r="AM57" i="30" a="1"/>
  <c r="AN57" i="30" a="1"/>
  <c r="AO57" i="30" a="1"/>
  <c r="AP57" i="30" a="1"/>
  <c r="AQ57" i="30" a="1"/>
  <c r="AR57" i="30" a="1"/>
  <c r="AS57" i="30" a="1"/>
  <c r="AT57" i="30" a="1"/>
  <c r="AU57" i="30" a="1"/>
  <c r="AV57" i="30" a="1"/>
  <c r="AW57" i="30" a="1"/>
  <c r="AX57" i="30" a="1"/>
  <c r="AY57" i="30" a="1"/>
  <c r="AZ57" i="30" a="1"/>
  <c r="BA57" i="30" a="1"/>
  <c r="BB57" i="30" a="1"/>
  <c r="BC57" i="30" a="1"/>
  <c r="BD57" i="30" a="1"/>
  <c r="BE57" i="30" a="1"/>
  <c r="BF57" i="30" a="1"/>
  <c r="BG57" i="30" a="1"/>
  <c r="BH57" i="30" a="1"/>
  <c r="BI57" i="30" a="1"/>
  <c r="BJ57" i="30" a="1"/>
  <c r="BK57" i="30" a="1"/>
  <c r="BL57" i="30" a="1"/>
  <c r="BM57" i="30" a="1"/>
  <c r="BN57" i="30" a="1"/>
  <c r="BO57" i="30" a="1"/>
  <c r="BP57" i="30" a="1"/>
  <c r="G57" i="30"/>
  <c r="H57" i="30"/>
  <c r="I57" i="30"/>
  <c r="J57" i="30"/>
  <c r="K57" i="30"/>
  <c r="L57" i="30"/>
  <c r="M57" i="30"/>
  <c r="N57" i="30"/>
  <c r="O57" i="30"/>
  <c r="P57" i="30"/>
  <c r="Q57" i="30"/>
  <c r="R57" i="30"/>
  <c r="S57" i="30"/>
  <c r="T57" i="30"/>
  <c r="U57" i="30"/>
  <c r="V57" i="30"/>
  <c r="W57" i="30"/>
  <c r="X57" i="30"/>
  <c r="Y57" i="30"/>
  <c r="Z57" i="30"/>
  <c r="AA57" i="30"/>
  <c r="AB57" i="30"/>
  <c r="AC57" i="30"/>
  <c r="AD57" i="30"/>
  <c r="AE57" i="30"/>
  <c r="AF57" i="30"/>
  <c r="AG57" i="30"/>
  <c r="AH57" i="30"/>
  <c r="AI57" i="30"/>
  <c r="AJ57" i="30"/>
  <c r="AK57" i="30"/>
  <c r="AL57" i="30"/>
  <c r="AM57" i="30"/>
  <c r="AN57" i="30"/>
  <c r="AO57" i="30"/>
  <c r="AP57" i="30"/>
  <c r="AQ57" i="30"/>
  <c r="AR57" i="30"/>
  <c r="AS57" i="30"/>
  <c r="AT57" i="30"/>
  <c r="AU57" i="30"/>
  <c r="AV57" i="30"/>
  <c r="AW57" i="30"/>
  <c r="AX57" i="30"/>
  <c r="AY57" i="30"/>
  <c r="AZ57" i="30"/>
  <c r="BA57" i="30"/>
  <c r="BB57" i="30"/>
  <c r="BC57" i="30"/>
  <c r="BD57" i="30"/>
  <c r="BE57" i="30"/>
  <c r="BF57" i="30"/>
  <c r="BG57" i="30"/>
  <c r="BH57" i="30"/>
  <c r="BI57" i="30"/>
  <c r="BJ57" i="30"/>
  <c r="BK57" i="30"/>
  <c r="BL57" i="30"/>
  <c r="BM57" i="30"/>
  <c r="BN57" i="30"/>
  <c r="BO57" i="30"/>
  <c r="BP57" i="30"/>
  <c r="AC22" i="30"/>
  <c r="D23" i="30"/>
  <c r="E23" i="30"/>
  <c r="F23" i="30"/>
  <c r="N10" i="30"/>
  <c r="G23" i="30"/>
  <c r="H23" i="30"/>
  <c r="I23" i="30"/>
  <c r="J23" i="30"/>
  <c r="Z23" i="30"/>
  <c r="E58" i="30" a="1"/>
  <c r="E58" i="30"/>
  <c r="F58" i="30" a="1"/>
  <c r="F58" i="30"/>
  <c r="G58" i="30" a="1"/>
  <c r="H58" i="30" a="1"/>
  <c r="I58" i="30" a="1"/>
  <c r="J58" i="30" a="1"/>
  <c r="K58" i="30" a="1"/>
  <c r="L58" i="30" a="1"/>
  <c r="M58" i="30" a="1"/>
  <c r="N58" i="30" a="1"/>
  <c r="O58" i="30" a="1"/>
  <c r="P58" i="30" a="1"/>
  <c r="Q58" i="30" a="1"/>
  <c r="R58" i="30" a="1"/>
  <c r="S58" i="30" a="1"/>
  <c r="T58" i="30" a="1"/>
  <c r="U58" i="30" a="1"/>
  <c r="V58" i="30" a="1"/>
  <c r="W58" i="30" a="1"/>
  <c r="X58" i="30" a="1"/>
  <c r="Y58" i="30" a="1"/>
  <c r="Z58" i="30" a="1"/>
  <c r="AA58" i="30" a="1"/>
  <c r="AB58" i="30" a="1"/>
  <c r="AC58" i="30" a="1"/>
  <c r="AD58" i="30" a="1"/>
  <c r="AE58" i="30" a="1"/>
  <c r="AF58" i="30" a="1"/>
  <c r="AG58" i="30" a="1"/>
  <c r="AH58" i="30" a="1"/>
  <c r="AI58" i="30" a="1"/>
  <c r="AJ58" i="30" a="1"/>
  <c r="AK58" i="30" a="1"/>
  <c r="AL58" i="30" a="1"/>
  <c r="AM58" i="30" a="1"/>
  <c r="AN58" i="30" a="1"/>
  <c r="AO58" i="30" a="1"/>
  <c r="AP58" i="30" a="1"/>
  <c r="AQ58" i="30" a="1"/>
  <c r="AR58" i="30" a="1"/>
  <c r="AS58" i="30" a="1"/>
  <c r="AT58" i="30" a="1"/>
  <c r="AU58" i="30" a="1"/>
  <c r="AV58" i="30" a="1"/>
  <c r="AW58" i="30" a="1"/>
  <c r="AX58" i="30" a="1"/>
  <c r="AY58" i="30" a="1"/>
  <c r="AZ58" i="30" a="1"/>
  <c r="BA58" i="30" a="1"/>
  <c r="BB58" i="30" a="1"/>
  <c r="BC58" i="30" a="1"/>
  <c r="BD58" i="30" a="1"/>
  <c r="BE58" i="30" a="1"/>
  <c r="BF58" i="30" a="1"/>
  <c r="BG58" i="30" a="1"/>
  <c r="BH58" i="30" a="1"/>
  <c r="BI58" i="30" a="1"/>
  <c r="BJ58" i="30" a="1"/>
  <c r="BK58" i="30" a="1"/>
  <c r="BL58" i="30" a="1"/>
  <c r="BM58" i="30" a="1"/>
  <c r="BN58" i="30" a="1"/>
  <c r="BO58" i="30" a="1"/>
  <c r="BP58" i="30" a="1"/>
  <c r="G58" i="30"/>
  <c r="H58" i="30"/>
  <c r="I58" i="30"/>
  <c r="J58" i="30"/>
  <c r="K58" i="30"/>
  <c r="L58" i="30"/>
  <c r="M58" i="30"/>
  <c r="N58" i="30"/>
  <c r="O58" i="30"/>
  <c r="P58" i="30"/>
  <c r="Q58" i="30"/>
  <c r="R58" i="30"/>
  <c r="S58" i="30"/>
  <c r="T58" i="30"/>
  <c r="U58" i="30"/>
  <c r="V58" i="30"/>
  <c r="W58" i="30"/>
  <c r="X58" i="30"/>
  <c r="Y58" i="30"/>
  <c r="Z58" i="30"/>
  <c r="AA58" i="30"/>
  <c r="AB58" i="30"/>
  <c r="AC58" i="30"/>
  <c r="AD58" i="30"/>
  <c r="AE58" i="30"/>
  <c r="AF58" i="30"/>
  <c r="AG58" i="30"/>
  <c r="AH58" i="30"/>
  <c r="AI58" i="30"/>
  <c r="AJ58" i="30"/>
  <c r="AK58" i="30"/>
  <c r="AL58" i="30"/>
  <c r="AM58" i="30"/>
  <c r="AN58" i="30"/>
  <c r="AO58" i="30"/>
  <c r="AP58" i="30"/>
  <c r="AQ58" i="30"/>
  <c r="AR58" i="30"/>
  <c r="AS58" i="30"/>
  <c r="AT58" i="30"/>
  <c r="AU58" i="30"/>
  <c r="AV58" i="30"/>
  <c r="AW58" i="30"/>
  <c r="AX58" i="30"/>
  <c r="AY58" i="30"/>
  <c r="AZ58" i="30"/>
  <c r="BA58" i="30"/>
  <c r="BB58" i="30"/>
  <c r="BC58" i="30"/>
  <c r="BD58" i="30"/>
  <c r="BE58" i="30"/>
  <c r="BF58" i="30"/>
  <c r="BG58" i="30"/>
  <c r="BH58" i="30"/>
  <c r="BI58" i="30"/>
  <c r="BJ58" i="30"/>
  <c r="BK58" i="30"/>
  <c r="BL58" i="30"/>
  <c r="BM58" i="30"/>
  <c r="BN58" i="30"/>
  <c r="BO58" i="30"/>
  <c r="BP58" i="30"/>
  <c r="AC23" i="30"/>
  <c r="D24" i="30"/>
  <c r="E24" i="30"/>
  <c r="F24" i="30"/>
  <c r="N11" i="30"/>
  <c r="G24" i="30"/>
  <c r="H24" i="30"/>
  <c r="I24" i="30"/>
  <c r="J24" i="30"/>
  <c r="Z24" i="30"/>
  <c r="E59" i="30" a="1"/>
  <c r="E59" i="30"/>
  <c r="F59" i="30" a="1"/>
  <c r="F59" i="30"/>
  <c r="G59" i="30" a="1"/>
  <c r="H59" i="30" a="1"/>
  <c r="I59" i="30" a="1"/>
  <c r="J59" i="30" a="1"/>
  <c r="K59" i="30" a="1"/>
  <c r="L59" i="30" a="1"/>
  <c r="M59" i="30" a="1"/>
  <c r="N59" i="30" a="1"/>
  <c r="O59" i="30" a="1"/>
  <c r="P59" i="30" a="1"/>
  <c r="Q59" i="30" a="1"/>
  <c r="R59" i="30" a="1"/>
  <c r="S59" i="30" a="1"/>
  <c r="T59" i="30" a="1"/>
  <c r="U59" i="30" a="1"/>
  <c r="V59" i="30" a="1"/>
  <c r="W59" i="30" a="1"/>
  <c r="X59" i="30" a="1"/>
  <c r="Y59" i="30" a="1"/>
  <c r="Z59" i="30" a="1"/>
  <c r="AA59" i="30" a="1"/>
  <c r="AB59" i="30" a="1"/>
  <c r="AC59" i="30" a="1"/>
  <c r="AD59" i="30" a="1"/>
  <c r="AE59" i="30" a="1"/>
  <c r="AF59" i="30" a="1"/>
  <c r="AG59" i="30" a="1"/>
  <c r="AH59" i="30" a="1"/>
  <c r="AI59" i="30" a="1"/>
  <c r="AJ59" i="30" a="1"/>
  <c r="AK59" i="30" a="1"/>
  <c r="AL59" i="30" a="1"/>
  <c r="AM59" i="30" a="1"/>
  <c r="AN59" i="30" a="1"/>
  <c r="AO59" i="30" a="1"/>
  <c r="AP59" i="30" a="1"/>
  <c r="AQ59" i="30" a="1"/>
  <c r="AR59" i="30" a="1"/>
  <c r="AS59" i="30" a="1"/>
  <c r="AT59" i="30" a="1"/>
  <c r="AU59" i="30" a="1"/>
  <c r="AV59" i="30" a="1"/>
  <c r="AW59" i="30" a="1"/>
  <c r="AX59" i="30" a="1"/>
  <c r="AY59" i="30" a="1"/>
  <c r="AZ59" i="30" a="1"/>
  <c r="BA59" i="30" a="1"/>
  <c r="BB59" i="30" a="1"/>
  <c r="BC59" i="30" a="1"/>
  <c r="BD59" i="30" a="1"/>
  <c r="BE59" i="30" a="1"/>
  <c r="BF59" i="30" a="1"/>
  <c r="BG59" i="30" a="1"/>
  <c r="BH59" i="30" a="1"/>
  <c r="BI59" i="30" a="1"/>
  <c r="BJ59" i="30" a="1"/>
  <c r="BK59" i="30" a="1"/>
  <c r="BL59" i="30" a="1"/>
  <c r="BM59" i="30" a="1"/>
  <c r="BN59" i="30" a="1"/>
  <c r="BO59" i="30" a="1"/>
  <c r="BP59" i="30" a="1"/>
  <c r="G59" i="30"/>
  <c r="H59" i="30"/>
  <c r="I59" i="30"/>
  <c r="J59" i="30"/>
  <c r="K59" i="30"/>
  <c r="L59" i="30"/>
  <c r="M59" i="30"/>
  <c r="N59" i="30"/>
  <c r="O59" i="30"/>
  <c r="P59" i="30"/>
  <c r="Q59" i="30"/>
  <c r="R59" i="30"/>
  <c r="S59" i="30"/>
  <c r="T59" i="30"/>
  <c r="U59" i="30"/>
  <c r="V59" i="30"/>
  <c r="W59" i="30"/>
  <c r="X59" i="30"/>
  <c r="Y59" i="30"/>
  <c r="Z59" i="30"/>
  <c r="AA59" i="30"/>
  <c r="AB59" i="30"/>
  <c r="AC59" i="30"/>
  <c r="AD59" i="30"/>
  <c r="AE59" i="30"/>
  <c r="AF59" i="30"/>
  <c r="AG59" i="30"/>
  <c r="AH59" i="30"/>
  <c r="AI59" i="30"/>
  <c r="AJ59" i="30"/>
  <c r="AK59" i="30"/>
  <c r="AL59" i="30"/>
  <c r="AM59" i="30"/>
  <c r="AN59" i="30"/>
  <c r="AO59" i="30"/>
  <c r="AP59" i="30"/>
  <c r="AQ59" i="30"/>
  <c r="AR59" i="30"/>
  <c r="AS59" i="30"/>
  <c r="AT59" i="30"/>
  <c r="AU59" i="30"/>
  <c r="AV59" i="30"/>
  <c r="AW59" i="30"/>
  <c r="AX59" i="30"/>
  <c r="AY59" i="30"/>
  <c r="AZ59" i="30"/>
  <c r="BA59" i="30"/>
  <c r="BB59" i="30"/>
  <c r="BC59" i="30"/>
  <c r="BD59" i="30"/>
  <c r="BE59" i="30"/>
  <c r="BF59" i="30"/>
  <c r="BG59" i="30"/>
  <c r="BH59" i="30"/>
  <c r="BI59" i="30"/>
  <c r="BJ59" i="30"/>
  <c r="BK59" i="30"/>
  <c r="BL59" i="30"/>
  <c r="BM59" i="30"/>
  <c r="BN59" i="30"/>
  <c r="BO59" i="30"/>
  <c r="BP59" i="30"/>
  <c r="AC24" i="30"/>
  <c r="D25" i="30"/>
  <c r="E25" i="30"/>
  <c r="F25" i="30"/>
  <c r="N12" i="30"/>
  <c r="G25" i="30"/>
  <c r="H25" i="30"/>
  <c r="I25" i="30"/>
  <c r="J25" i="30"/>
  <c r="Z25" i="30"/>
  <c r="E60" i="30" a="1"/>
  <c r="E60" i="30"/>
  <c r="F60" i="30" a="1"/>
  <c r="F60" i="30"/>
  <c r="G60" i="30" a="1"/>
  <c r="H60" i="30" a="1"/>
  <c r="I60" i="30" a="1"/>
  <c r="J60" i="30" a="1"/>
  <c r="K60" i="30" a="1"/>
  <c r="L60" i="30" a="1"/>
  <c r="M60" i="30" a="1"/>
  <c r="N60" i="30" a="1"/>
  <c r="O60" i="30" a="1"/>
  <c r="P60" i="30" a="1"/>
  <c r="Q60" i="30" a="1"/>
  <c r="R60" i="30" a="1"/>
  <c r="S60" i="30" a="1"/>
  <c r="T60" i="30" a="1"/>
  <c r="U60" i="30" a="1"/>
  <c r="V60" i="30" a="1"/>
  <c r="W60" i="30" a="1"/>
  <c r="X60" i="30" a="1"/>
  <c r="Y60" i="30" a="1"/>
  <c r="Z60" i="30" a="1"/>
  <c r="AA60" i="30" a="1"/>
  <c r="AB60" i="30" a="1"/>
  <c r="AC60" i="30" a="1"/>
  <c r="AD60" i="30" a="1"/>
  <c r="AE60" i="30" a="1"/>
  <c r="AF60" i="30" a="1"/>
  <c r="AG60" i="30" a="1"/>
  <c r="AH60" i="30" a="1"/>
  <c r="AI60" i="30" a="1"/>
  <c r="AJ60" i="30" a="1"/>
  <c r="AK60" i="30" a="1"/>
  <c r="AL60" i="30" a="1"/>
  <c r="AM60" i="30" a="1"/>
  <c r="AN60" i="30" a="1"/>
  <c r="AO60" i="30" a="1"/>
  <c r="AP60" i="30" a="1"/>
  <c r="AQ60" i="30" a="1"/>
  <c r="AR60" i="30" a="1"/>
  <c r="AS60" i="30" a="1"/>
  <c r="AT60" i="30" a="1"/>
  <c r="AU60" i="30" a="1"/>
  <c r="AV60" i="30" a="1"/>
  <c r="AW60" i="30" a="1"/>
  <c r="AX60" i="30" a="1"/>
  <c r="AY60" i="30" a="1"/>
  <c r="AZ60" i="30" a="1"/>
  <c r="BA60" i="30" a="1"/>
  <c r="BB60" i="30" a="1"/>
  <c r="BC60" i="30" a="1"/>
  <c r="BD60" i="30" a="1"/>
  <c r="BE60" i="30" a="1"/>
  <c r="BF60" i="30" a="1"/>
  <c r="BG60" i="30" a="1"/>
  <c r="BH60" i="30" a="1"/>
  <c r="BI60" i="30" a="1"/>
  <c r="BJ60" i="30" a="1"/>
  <c r="BK60" i="30" a="1"/>
  <c r="BL60" i="30" a="1"/>
  <c r="BM60" i="30" a="1"/>
  <c r="BN60" i="30" a="1"/>
  <c r="BO60" i="30" a="1"/>
  <c r="BP60" i="30" a="1"/>
  <c r="G60" i="30"/>
  <c r="H60" i="30"/>
  <c r="I60" i="30"/>
  <c r="J60" i="30"/>
  <c r="K60" i="30"/>
  <c r="L60" i="30"/>
  <c r="M60" i="30"/>
  <c r="N60" i="30"/>
  <c r="O60" i="30"/>
  <c r="P60" i="30"/>
  <c r="Q60" i="30"/>
  <c r="R60" i="30"/>
  <c r="S60" i="30"/>
  <c r="T60" i="30"/>
  <c r="U60" i="30"/>
  <c r="V60" i="30"/>
  <c r="W60" i="30"/>
  <c r="X60" i="30"/>
  <c r="Y60" i="30"/>
  <c r="Z60" i="30"/>
  <c r="AA60" i="30"/>
  <c r="AB60" i="30"/>
  <c r="AC60" i="30"/>
  <c r="AD60" i="30"/>
  <c r="AE60" i="30"/>
  <c r="AF60" i="30"/>
  <c r="AG60" i="30"/>
  <c r="AH60" i="30"/>
  <c r="AI60" i="30"/>
  <c r="AJ60" i="30"/>
  <c r="AK60" i="30"/>
  <c r="AL60" i="30"/>
  <c r="AM60" i="30"/>
  <c r="AN60" i="30"/>
  <c r="AO60" i="30"/>
  <c r="AP60" i="30"/>
  <c r="AQ60" i="30"/>
  <c r="AR60" i="30"/>
  <c r="AS60" i="30"/>
  <c r="AT60" i="30"/>
  <c r="AU60" i="30"/>
  <c r="AV60" i="30"/>
  <c r="AW60" i="30"/>
  <c r="AX60" i="30"/>
  <c r="AY60" i="30"/>
  <c r="AZ60" i="30"/>
  <c r="BA60" i="30"/>
  <c r="BB60" i="30"/>
  <c r="BC60" i="30"/>
  <c r="BD60" i="30"/>
  <c r="BE60" i="30"/>
  <c r="BF60" i="30"/>
  <c r="BG60" i="30"/>
  <c r="BH60" i="30"/>
  <c r="BI60" i="30"/>
  <c r="BJ60" i="30"/>
  <c r="BK60" i="30"/>
  <c r="BL60" i="30"/>
  <c r="BM60" i="30"/>
  <c r="BN60" i="30"/>
  <c r="BO60" i="30"/>
  <c r="BP60" i="30"/>
  <c r="AC25" i="30"/>
  <c r="X64" i="30"/>
  <c r="Y64" i="30"/>
  <c r="Z64" i="30"/>
  <c r="AB64" i="30"/>
  <c r="AC64" i="30"/>
  <c r="AD64" i="30"/>
  <c r="AE64" i="30"/>
  <c r="AF64" i="30"/>
  <c r="AG64" i="30"/>
  <c r="AL64" i="30"/>
  <c r="AM64" i="30"/>
  <c r="X65" i="30"/>
  <c r="Y65" i="30"/>
  <c r="Z65" i="30"/>
  <c r="AB65" i="30"/>
  <c r="AC65" i="30"/>
  <c r="AD65" i="30"/>
  <c r="AE65" i="30"/>
  <c r="AF65" i="30"/>
  <c r="AG65" i="30"/>
  <c r="AL65" i="30"/>
  <c r="AM65" i="30"/>
  <c r="X66" i="30"/>
  <c r="Y66" i="30"/>
  <c r="Z66" i="30"/>
  <c r="AB66" i="30"/>
  <c r="AC66" i="30"/>
  <c r="AD66" i="30"/>
  <c r="AE66" i="30"/>
  <c r="AF66" i="30"/>
  <c r="AG66" i="30"/>
  <c r="AL66" i="30"/>
  <c r="AM66" i="30"/>
  <c r="Z67" i="30"/>
  <c r="AB67" i="30"/>
  <c r="AC67" i="30"/>
  <c r="AL67" i="30"/>
  <c r="AM67" i="30"/>
  <c r="Z68" i="30"/>
  <c r="AB68" i="30"/>
  <c r="AC68" i="30"/>
  <c r="AL68" i="30"/>
  <c r="AM68" i="30"/>
  <c r="X69" i="30"/>
  <c r="Y69" i="30"/>
  <c r="Z69" i="30"/>
  <c r="AB69" i="30"/>
  <c r="AC69" i="30"/>
  <c r="AD69" i="30"/>
  <c r="AE69" i="30"/>
  <c r="AF69" i="30"/>
  <c r="AG69" i="30"/>
  <c r="AL69" i="30"/>
  <c r="AM69" i="30"/>
  <c r="X70" i="30"/>
  <c r="Y70" i="30"/>
  <c r="Z70" i="30"/>
  <c r="AB70" i="30"/>
  <c r="AC70" i="30"/>
  <c r="AD70" i="30"/>
  <c r="AE70" i="30"/>
  <c r="AF70" i="30"/>
  <c r="AG70" i="30"/>
  <c r="AL70" i="30"/>
  <c r="AM70" i="30"/>
  <c r="Z71" i="30"/>
  <c r="AB71" i="30"/>
  <c r="AC71" i="30"/>
  <c r="AL71" i="30"/>
  <c r="AM71" i="30"/>
  <c r="Z72" i="30"/>
  <c r="AB72" i="30"/>
  <c r="AC72" i="30"/>
  <c r="AL72" i="30"/>
  <c r="AM72" i="30"/>
  <c r="X81" i="30"/>
  <c r="Y81" i="30"/>
  <c r="Z81" i="30"/>
  <c r="AB81" i="30"/>
  <c r="AC81" i="30"/>
  <c r="AD81" i="30"/>
  <c r="AE81" i="30"/>
  <c r="AF81" i="30"/>
  <c r="AG81" i="30"/>
  <c r="AL81" i="30"/>
  <c r="AM81" i="30"/>
  <c r="X82" i="30"/>
  <c r="Y82" i="30"/>
  <c r="Z82" i="30"/>
  <c r="AB82" i="30"/>
  <c r="AC82" i="30"/>
  <c r="AD82" i="30"/>
  <c r="AE82" i="30"/>
  <c r="AF82" i="30"/>
  <c r="AG82" i="30"/>
  <c r="AL82" i="30"/>
  <c r="AM82" i="30"/>
  <c r="Z83" i="30"/>
  <c r="AB83" i="30"/>
  <c r="AC83" i="30"/>
  <c r="AL83" i="30"/>
  <c r="AM83" i="30"/>
  <c r="Z84" i="30"/>
  <c r="AB84" i="30"/>
  <c r="AC84" i="30"/>
  <c r="AL84" i="30"/>
  <c r="AM84" i="30"/>
  <c r="X85" i="30"/>
  <c r="Y85" i="30"/>
  <c r="Z85" i="30"/>
  <c r="AB85" i="30"/>
  <c r="AC85" i="30"/>
  <c r="AD85" i="30"/>
  <c r="AE85" i="30"/>
  <c r="AF85" i="30"/>
  <c r="AG85" i="30"/>
  <c r="AL85" i="30"/>
  <c r="AM85" i="30"/>
  <c r="Z86" i="30"/>
  <c r="AB86" i="30"/>
  <c r="AC86" i="30"/>
  <c r="AL86" i="30"/>
  <c r="AM86" i="30"/>
  <c r="Z87" i="30"/>
  <c r="AB87" i="30"/>
  <c r="AC87" i="30"/>
  <c r="AL87" i="30"/>
  <c r="AM87" i="30"/>
  <c r="Z88" i="30"/>
  <c r="AB88" i="30"/>
  <c r="AC88" i="30"/>
  <c r="AL88" i="30"/>
  <c r="AM88" i="30"/>
  <c r="Z136" i="30"/>
  <c r="AA136" i="30"/>
  <c r="AB136" i="30"/>
  <c r="AC136" i="30"/>
  <c r="Z137" i="30"/>
  <c r="AA137" i="30"/>
  <c r="AB137" i="30"/>
  <c r="AC137" i="30"/>
  <c r="Z138" i="30"/>
  <c r="AA138" i="30"/>
  <c r="AB138" i="30"/>
  <c r="AC138" i="30"/>
  <c r="Z139" i="30"/>
  <c r="AA139" i="30"/>
  <c r="AB139" i="30"/>
  <c r="AC139" i="30"/>
  <c r="Z140" i="30"/>
  <c r="AA140" i="30"/>
  <c r="AB140" i="30"/>
  <c r="AC140" i="30"/>
  <c r="Z141" i="30"/>
  <c r="AA141" i="30"/>
  <c r="AB141" i="30"/>
  <c r="AC141" i="30"/>
  <c r="Z142" i="30"/>
  <c r="AA142" i="30"/>
  <c r="AB142" i="30"/>
  <c r="AC142" i="30"/>
  <c r="Z143" i="30"/>
  <c r="AA143" i="30"/>
  <c r="AB143" i="30"/>
  <c r="AC143" i="30"/>
  <c r="Z144" i="30"/>
  <c r="AA144" i="30"/>
  <c r="AB144" i="30"/>
  <c r="AC144" i="30"/>
  <c r="Z153" i="30"/>
  <c r="AA153" i="30"/>
  <c r="AB153" i="30"/>
  <c r="AC153" i="30"/>
  <c r="Z154" i="30"/>
  <c r="AA154" i="30"/>
  <c r="AB154" i="30"/>
  <c r="AC154" i="30"/>
  <c r="Z155" i="30"/>
  <c r="AA155" i="30"/>
  <c r="AB155" i="30"/>
  <c r="AC155" i="30"/>
  <c r="Z156" i="30"/>
  <c r="AA156" i="30"/>
  <c r="AB156" i="30"/>
  <c r="AC156" i="30"/>
  <c r="Z157" i="30"/>
  <c r="AA157" i="30"/>
  <c r="AB157" i="30"/>
  <c r="AC157" i="30"/>
  <c r="Z158" i="30"/>
  <c r="AA158" i="30"/>
  <c r="AB158" i="30"/>
  <c r="AC158" i="30"/>
  <c r="Z159" i="30"/>
  <c r="AA159" i="30"/>
  <c r="AB159" i="30"/>
  <c r="AC159" i="30"/>
  <c r="Z160" i="30"/>
  <c r="AA160" i="30"/>
  <c r="AB160" i="30"/>
  <c r="AC160" i="30"/>
  <c r="AV4" i="34"/>
  <c r="AV5" i="34"/>
  <c r="AV6" i="34"/>
  <c r="AV7" i="34"/>
  <c r="C8" i="34"/>
  <c r="AV8" i="34"/>
  <c r="C9" i="34"/>
  <c r="AV9" i="34"/>
  <c r="C10" i="34"/>
  <c r="AV10" i="34"/>
  <c r="C11" i="34"/>
  <c r="AV11" i="34"/>
  <c r="C12" i="34"/>
  <c r="AV12" i="34"/>
  <c r="B13" i="34"/>
  <c r="D17" i="34"/>
  <c r="E17" i="34"/>
  <c r="F17" i="34"/>
  <c r="N4" i="34"/>
  <c r="G17" i="34"/>
  <c r="H17" i="34"/>
  <c r="I17" i="34"/>
  <c r="J17" i="34"/>
  <c r="Z17" i="34"/>
  <c r="E52" i="34" a="1"/>
  <c r="E52" i="34"/>
  <c r="F52" i="34" a="1"/>
  <c r="F52" i="34"/>
  <c r="G52" i="34" a="1"/>
  <c r="H52" i="34" a="1"/>
  <c r="I52" i="34" a="1"/>
  <c r="J52" i="34" a="1"/>
  <c r="K52" i="34" a="1"/>
  <c r="L52" i="34" a="1"/>
  <c r="M52" i="34" a="1"/>
  <c r="N52" i="34" a="1"/>
  <c r="O52" i="34" a="1"/>
  <c r="P52" i="34" a="1"/>
  <c r="Q52" i="34" a="1"/>
  <c r="R52" i="34" a="1"/>
  <c r="S52" i="34" a="1"/>
  <c r="T52" i="34" a="1"/>
  <c r="U52" i="34" a="1"/>
  <c r="V52" i="34" a="1"/>
  <c r="W52" i="34" a="1"/>
  <c r="X52" i="34" a="1"/>
  <c r="Y52" i="34" a="1"/>
  <c r="Z52" i="34" a="1"/>
  <c r="AA52" i="34" a="1"/>
  <c r="AB52" i="34" a="1"/>
  <c r="AC52" i="34" a="1"/>
  <c r="AD52" i="34" a="1"/>
  <c r="AE52" i="34" a="1"/>
  <c r="AF52" i="34" a="1"/>
  <c r="AG52" i="34" a="1"/>
  <c r="AH52" i="34" a="1"/>
  <c r="AI52" i="34" a="1"/>
  <c r="AJ52" i="34" a="1"/>
  <c r="AK52" i="34" a="1"/>
  <c r="AL52" i="34" a="1"/>
  <c r="AM52" i="34" a="1"/>
  <c r="AN52" i="34" a="1"/>
  <c r="AO52" i="34" a="1"/>
  <c r="AP52" i="34" a="1"/>
  <c r="AQ52" i="34" a="1"/>
  <c r="AR52" i="34" a="1"/>
  <c r="AS52" i="34" a="1"/>
  <c r="AT52" i="34" a="1"/>
  <c r="AU52" i="34" a="1"/>
  <c r="AV52" i="34" a="1"/>
  <c r="AW52" i="34" a="1"/>
  <c r="AX52" i="34" a="1"/>
  <c r="AY52" i="34" a="1"/>
  <c r="AZ52" i="34" a="1"/>
  <c r="BA52" i="34" a="1"/>
  <c r="BB52" i="34" a="1"/>
  <c r="BC52" i="34" a="1"/>
  <c r="BD52" i="34" a="1"/>
  <c r="BE52" i="34" a="1"/>
  <c r="BF52" i="34" a="1"/>
  <c r="BG52" i="34" a="1"/>
  <c r="BH52" i="34" a="1"/>
  <c r="BI52" i="34" a="1"/>
  <c r="BJ52" i="34" a="1"/>
  <c r="BK52" i="34" a="1"/>
  <c r="BL52" i="34" a="1"/>
  <c r="BM52" i="34" a="1"/>
  <c r="BN52" i="34" a="1"/>
  <c r="BO52" i="34" a="1"/>
  <c r="BP52" i="34" a="1"/>
  <c r="G52" i="34"/>
  <c r="H52" i="34"/>
  <c r="I52" i="34"/>
  <c r="J52" i="34"/>
  <c r="K52" i="34"/>
  <c r="L52" i="34"/>
  <c r="M52" i="34"/>
  <c r="N52" i="34"/>
  <c r="O52" i="34"/>
  <c r="P52" i="34"/>
  <c r="Q52" i="34"/>
  <c r="R52" i="34"/>
  <c r="S52" i="34"/>
  <c r="T52" i="34"/>
  <c r="U52" i="34"/>
  <c r="V52" i="34"/>
  <c r="W52" i="34"/>
  <c r="X52" i="34"/>
  <c r="Y52" i="34"/>
  <c r="Z52" i="34"/>
  <c r="AA52" i="34"/>
  <c r="AB52" i="34"/>
  <c r="AC52" i="34"/>
  <c r="AD52" i="34"/>
  <c r="AE52" i="34"/>
  <c r="AF52" i="34"/>
  <c r="AG52" i="34"/>
  <c r="AH52" i="34"/>
  <c r="AI52" i="34"/>
  <c r="AJ52" i="34"/>
  <c r="AK52" i="34"/>
  <c r="AL52" i="34"/>
  <c r="AM52" i="34"/>
  <c r="AN52" i="34"/>
  <c r="AO52" i="34"/>
  <c r="AP52" i="34"/>
  <c r="AQ52" i="34"/>
  <c r="AR52" i="34"/>
  <c r="AS52" i="34"/>
  <c r="AT52" i="34"/>
  <c r="AU52" i="34"/>
  <c r="AV52" i="34"/>
  <c r="AW52" i="34"/>
  <c r="AX52" i="34"/>
  <c r="AY52" i="34"/>
  <c r="AZ52" i="34"/>
  <c r="BA52" i="34"/>
  <c r="BB52" i="34"/>
  <c r="BC52" i="34"/>
  <c r="BD52" i="34"/>
  <c r="BE52" i="34"/>
  <c r="BF52" i="34"/>
  <c r="BG52" i="34"/>
  <c r="BH52" i="34"/>
  <c r="BI52" i="34"/>
  <c r="BJ52" i="34"/>
  <c r="BK52" i="34"/>
  <c r="BL52" i="34"/>
  <c r="BM52" i="34"/>
  <c r="BN52" i="34"/>
  <c r="BO52" i="34"/>
  <c r="BP52" i="34"/>
  <c r="AC17" i="34"/>
  <c r="D18" i="34"/>
  <c r="E18" i="34"/>
  <c r="F18" i="34"/>
  <c r="N5" i="34"/>
  <c r="G18" i="34"/>
  <c r="H18" i="34"/>
  <c r="I18" i="34"/>
  <c r="J18" i="34"/>
  <c r="Z18" i="34"/>
  <c r="E53" i="34" a="1"/>
  <c r="E53" i="34"/>
  <c r="F53" i="34" a="1"/>
  <c r="F53" i="34"/>
  <c r="G53" i="34" a="1"/>
  <c r="H53" i="34" a="1"/>
  <c r="I53" i="34" a="1"/>
  <c r="J53" i="34" a="1"/>
  <c r="K53" i="34" a="1"/>
  <c r="L53" i="34" a="1"/>
  <c r="M53" i="34" a="1"/>
  <c r="N53" i="34" a="1"/>
  <c r="O53" i="34" a="1"/>
  <c r="P53" i="34" a="1"/>
  <c r="Q53" i="34" a="1"/>
  <c r="R53" i="34" a="1"/>
  <c r="S53" i="34" a="1"/>
  <c r="T53" i="34" a="1"/>
  <c r="U53" i="34" a="1"/>
  <c r="V53" i="34" a="1"/>
  <c r="W53" i="34" a="1"/>
  <c r="X53" i="34" a="1"/>
  <c r="Y53" i="34" a="1"/>
  <c r="Z53" i="34" a="1"/>
  <c r="AA53" i="34" a="1"/>
  <c r="AB53" i="34" a="1"/>
  <c r="AC53" i="34" a="1"/>
  <c r="AD53" i="34" a="1"/>
  <c r="AE53" i="34" a="1"/>
  <c r="AF53" i="34" a="1"/>
  <c r="AG53" i="34" a="1"/>
  <c r="AH53" i="34" a="1"/>
  <c r="AI53" i="34" a="1"/>
  <c r="AJ53" i="34" a="1"/>
  <c r="AK53" i="34" a="1"/>
  <c r="AL53" i="34" a="1"/>
  <c r="AM53" i="34" a="1"/>
  <c r="AN53" i="34" a="1"/>
  <c r="AO53" i="34" a="1"/>
  <c r="AP53" i="34" a="1"/>
  <c r="AQ53" i="34" a="1"/>
  <c r="AR53" i="34" a="1"/>
  <c r="AS53" i="34" a="1"/>
  <c r="AT53" i="34" a="1"/>
  <c r="AU53" i="34" a="1"/>
  <c r="AV53" i="34" a="1"/>
  <c r="AW53" i="34" a="1"/>
  <c r="AX53" i="34" a="1"/>
  <c r="AY53" i="34" a="1"/>
  <c r="AZ53" i="34" a="1"/>
  <c r="BA53" i="34" a="1"/>
  <c r="BB53" i="34" a="1"/>
  <c r="BC53" i="34" a="1"/>
  <c r="BD53" i="34" a="1"/>
  <c r="BE53" i="34" a="1"/>
  <c r="BF53" i="34" a="1"/>
  <c r="BG53" i="34" a="1"/>
  <c r="BH53" i="34" a="1"/>
  <c r="BI53" i="34" a="1"/>
  <c r="BJ53" i="34" a="1"/>
  <c r="BK53" i="34" a="1"/>
  <c r="BL53" i="34" a="1"/>
  <c r="BM53" i="34" a="1"/>
  <c r="BN53" i="34" a="1"/>
  <c r="BO53" i="34" a="1"/>
  <c r="BP53" i="34" a="1"/>
  <c r="G53" i="34"/>
  <c r="H53" i="34"/>
  <c r="I53" i="34"/>
  <c r="J53" i="34"/>
  <c r="K53" i="34"/>
  <c r="L53" i="34"/>
  <c r="M53" i="34"/>
  <c r="N53" i="34"/>
  <c r="O53" i="34"/>
  <c r="P53" i="34"/>
  <c r="Q53" i="34"/>
  <c r="R53" i="34"/>
  <c r="S53" i="34"/>
  <c r="T53" i="34"/>
  <c r="U53" i="34"/>
  <c r="V53" i="34"/>
  <c r="W53" i="34"/>
  <c r="X53" i="34"/>
  <c r="Y53" i="34"/>
  <c r="Z53" i="34"/>
  <c r="AA53" i="34"/>
  <c r="AB53" i="34"/>
  <c r="AC53" i="34"/>
  <c r="AD53" i="34"/>
  <c r="AE53" i="34"/>
  <c r="AF53" i="34"/>
  <c r="AG53" i="34"/>
  <c r="AH53" i="34"/>
  <c r="AI53" i="34"/>
  <c r="AJ53" i="34"/>
  <c r="AK53" i="34"/>
  <c r="AL53" i="34"/>
  <c r="AM53" i="34"/>
  <c r="AN53" i="34"/>
  <c r="AO53" i="34"/>
  <c r="AP53" i="34"/>
  <c r="AQ53" i="34"/>
  <c r="AR53" i="34"/>
  <c r="AS53" i="34"/>
  <c r="AT53" i="34"/>
  <c r="AU53" i="34"/>
  <c r="AV53" i="34"/>
  <c r="AW53" i="34"/>
  <c r="AX53" i="34"/>
  <c r="AY53" i="34"/>
  <c r="AZ53" i="34"/>
  <c r="BA53" i="34"/>
  <c r="BB53" i="34"/>
  <c r="BC53" i="34"/>
  <c r="BD53" i="34"/>
  <c r="BE53" i="34"/>
  <c r="BF53" i="34"/>
  <c r="BG53" i="34"/>
  <c r="BH53" i="34"/>
  <c r="BI53" i="34"/>
  <c r="BJ53" i="34"/>
  <c r="BK53" i="34"/>
  <c r="BL53" i="34"/>
  <c r="BM53" i="34"/>
  <c r="BN53" i="34"/>
  <c r="BO53" i="34"/>
  <c r="BP53" i="34"/>
  <c r="AC18" i="34"/>
  <c r="D19" i="34"/>
  <c r="E19" i="34"/>
  <c r="F19" i="34"/>
  <c r="N6" i="34"/>
  <c r="G19" i="34"/>
  <c r="H19" i="34"/>
  <c r="I19" i="34"/>
  <c r="J19" i="34"/>
  <c r="Z19" i="34"/>
  <c r="E54" i="34" a="1"/>
  <c r="E54" i="34"/>
  <c r="F54" i="34" a="1"/>
  <c r="F54" i="34"/>
  <c r="G54" i="34" a="1"/>
  <c r="H54" i="34" a="1"/>
  <c r="I54" i="34" a="1"/>
  <c r="J54" i="34" a="1"/>
  <c r="K54" i="34" a="1"/>
  <c r="L54" i="34" a="1"/>
  <c r="M54" i="34" a="1"/>
  <c r="N54" i="34" a="1"/>
  <c r="O54" i="34" a="1"/>
  <c r="P54" i="34" a="1"/>
  <c r="Q54" i="34" a="1"/>
  <c r="R54" i="34" a="1"/>
  <c r="S54" i="34" a="1"/>
  <c r="T54" i="34" a="1"/>
  <c r="U54" i="34" a="1"/>
  <c r="V54" i="34" a="1"/>
  <c r="W54" i="34" a="1"/>
  <c r="X54" i="34" a="1"/>
  <c r="Y54" i="34" a="1"/>
  <c r="Z54" i="34" a="1"/>
  <c r="AA54" i="34" a="1"/>
  <c r="AB54" i="34" a="1"/>
  <c r="AC54" i="34" a="1"/>
  <c r="AD54" i="34" a="1"/>
  <c r="AE54" i="34" a="1"/>
  <c r="AF54" i="34" a="1"/>
  <c r="AG54" i="34" a="1"/>
  <c r="AH54" i="34" a="1"/>
  <c r="AI54" i="34" a="1"/>
  <c r="AJ54" i="34" a="1"/>
  <c r="AK54" i="34" a="1"/>
  <c r="AL54" i="34" a="1"/>
  <c r="AM54" i="34" a="1"/>
  <c r="AN54" i="34" a="1"/>
  <c r="AO54" i="34" a="1"/>
  <c r="AP54" i="34" a="1"/>
  <c r="AQ54" i="34" a="1"/>
  <c r="AR54" i="34" a="1"/>
  <c r="AS54" i="34" a="1"/>
  <c r="AT54" i="34" a="1"/>
  <c r="AU54" i="34" a="1"/>
  <c r="AV54" i="34" a="1"/>
  <c r="AW54" i="34" a="1"/>
  <c r="AX54" i="34" a="1"/>
  <c r="AY54" i="34" a="1"/>
  <c r="AZ54" i="34" a="1"/>
  <c r="BA54" i="34" a="1"/>
  <c r="BB54" i="34" a="1"/>
  <c r="BC54" i="34" a="1"/>
  <c r="BD54" i="34" a="1"/>
  <c r="BE54" i="34" a="1"/>
  <c r="BF54" i="34" a="1"/>
  <c r="BG54" i="34" a="1"/>
  <c r="BH54" i="34" a="1"/>
  <c r="BI54" i="34" a="1"/>
  <c r="BJ54" i="34" a="1"/>
  <c r="BK54" i="34" a="1"/>
  <c r="BL54" i="34" a="1"/>
  <c r="BM54" i="34" a="1"/>
  <c r="BN54" i="34" a="1"/>
  <c r="BO54" i="34" a="1"/>
  <c r="BP54" i="34" a="1"/>
  <c r="G54" i="34"/>
  <c r="H54" i="34"/>
  <c r="I54" i="34"/>
  <c r="J54" i="34"/>
  <c r="K54" i="34"/>
  <c r="L54" i="34"/>
  <c r="M54" i="34"/>
  <c r="N54" i="34"/>
  <c r="O54" i="34"/>
  <c r="P54" i="34"/>
  <c r="Q54" i="34"/>
  <c r="R54" i="34"/>
  <c r="S54" i="34"/>
  <c r="T54" i="34"/>
  <c r="U54" i="34"/>
  <c r="V54" i="34"/>
  <c r="W54" i="34"/>
  <c r="X54" i="34"/>
  <c r="Y54" i="34"/>
  <c r="Z54" i="34"/>
  <c r="AA54" i="34"/>
  <c r="AB54" i="34"/>
  <c r="AC54" i="34"/>
  <c r="AD54" i="34"/>
  <c r="AE54" i="34"/>
  <c r="AF54" i="34"/>
  <c r="AG54" i="34"/>
  <c r="AH54" i="34"/>
  <c r="AI54" i="34"/>
  <c r="AJ54" i="34"/>
  <c r="AK54" i="34"/>
  <c r="AL54" i="34"/>
  <c r="AM54" i="34"/>
  <c r="AN54" i="34"/>
  <c r="AO54" i="34"/>
  <c r="AP54" i="34"/>
  <c r="AQ54" i="34"/>
  <c r="AR54" i="34"/>
  <c r="AS54" i="34"/>
  <c r="AT54" i="34"/>
  <c r="AU54" i="34"/>
  <c r="AV54" i="34"/>
  <c r="AW54" i="34"/>
  <c r="AX54" i="34"/>
  <c r="AY54" i="34"/>
  <c r="AZ54" i="34"/>
  <c r="BA54" i="34"/>
  <c r="BB54" i="34"/>
  <c r="BC54" i="34"/>
  <c r="BD54" i="34"/>
  <c r="BE54" i="34"/>
  <c r="BF54" i="34"/>
  <c r="BG54" i="34"/>
  <c r="BH54" i="34"/>
  <c r="BI54" i="34"/>
  <c r="BJ54" i="34"/>
  <c r="BK54" i="34"/>
  <c r="BL54" i="34"/>
  <c r="BM54" i="34"/>
  <c r="BN54" i="34"/>
  <c r="BO54" i="34"/>
  <c r="BP54" i="34"/>
  <c r="AC19" i="34"/>
  <c r="D20" i="34"/>
  <c r="E20" i="34"/>
  <c r="F20" i="34"/>
  <c r="N7" i="34"/>
  <c r="G20" i="34"/>
  <c r="H20" i="34"/>
  <c r="I20" i="34"/>
  <c r="J20" i="34"/>
  <c r="Z20" i="34"/>
  <c r="E55" i="34" a="1"/>
  <c r="E55" i="34"/>
  <c r="F55" i="34" a="1"/>
  <c r="F55" i="34"/>
  <c r="G55" i="34" a="1"/>
  <c r="H55" i="34" a="1"/>
  <c r="I55" i="34" a="1"/>
  <c r="J55" i="34" a="1"/>
  <c r="K55" i="34" a="1"/>
  <c r="L55" i="34" a="1"/>
  <c r="M55" i="34" a="1"/>
  <c r="N55" i="34" a="1"/>
  <c r="O55" i="34" a="1"/>
  <c r="P55" i="34" a="1"/>
  <c r="Q55" i="34" a="1"/>
  <c r="R55" i="34" a="1"/>
  <c r="S55" i="34" a="1"/>
  <c r="T55" i="34" a="1"/>
  <c r="U55" i="34" a="1"/>
  <c r="V55" i="34" a="1"/>
  <c r="W55" i="34" a="1"/>
  <c r="X55" i="34" a="1"/>
  <c r="Y55" i="34" a="1"/>
  <c r="Z55" i="34" a="1"/>
  <c r="AA55" i="34" a="1"/>
  <c r="AB55" i="34" a="1"/>
  <c r="AC55" i="34" a="1"/>
  <c r="AD55" i="34" a="1"/>
  <c r="AE55" i="34" a="1"/>
  <c r="AF55" i="34" a="1"/>
  <c r="AG55" i="34" a="1"/>
  <c r="AH55" i="34" a="1"/>
  <c r="AI55" i="34" a="1"/>
  <c r="AJ55" i="34" a="1"/>
  <c r="AK55" i="34" a="1"/>
  <c r="AL55" i="34" a="1"/>
  <c r="AM55" i="34" a="1"/>
  <c r="AN55" i="34" a="1"/>
  <c r="AO55" i="34" a="1"/>
  <c r="AP55" i="34" a="1"/>
  <c r="AQ55" i="34" a="1"/>
  <c r="AR55" i="34" a="1"/>
  <c r="AS55" i="34" a="1"/>
  <c r="AT55" i="34" a="1"/>
  <c r="AU55" i="34" a="1"/>
  <c r="AV55" i="34" a="1"/>
  <c r="AW55" i="34" a="1"/>
  <c r="AX55" i="34" a="1"/>
  <c r="AY55" i="34" a="1"/>
  <c r="AZ55" i="34" a="1"/>
  <c r="BA55" i="34" a="1"/>
  <c r="BB55" i="34" a="1"/>
  <c r="BC55" i="34" a="1"/>
  <c r="BD55" i="34" a="1"/>
  <c r="BE55" i="34" a="1"/>
  <c r="BF55" i="34" a="1"/>
  <c r="BG55" i="34" a="1"/>
  <c r="BH55" i="34" a="1"/>
  <c r="BI55" i="34" a="1"/>
  <c r="BJ55" i="34" a="1"/>
  <c r="BK55" i="34" a="1"/>
  <c r="BL55" i="34" a="1"/>
  <c r="BM55" i="34" a="1"/>
  <c r="BN55" i="34" a="1"/>
  <c r="BO55" i="34" a="1"/>
  <c r="BP55" i="34" a="1"/>
  <c r="G55" i="34"/>
  <c r="H55" i="34"/>
  <c r="I55" i="34"/>
  <c r="J55" i="34"/>
  <c r="K55" i="34"/>
  <c r="L55" i="34"/>
  <c r="M55" i="34"/>
  <c r="N55" i="34"/>
  <c r="O55" i="34"/>
  <c r="P55" i="34"/>
  <c r="Q55" i="34"/>
  <c r="R55" i="34"/>
  <c r="S55" i="34"/>
  <c r="T55" i="34"/>
  <c r="U55" i="34"/>
  <c r="V55" i="34"/>
  <c r="W55" i="34"/>
  <c r="X55" i="34"/>
  <c r="Y55" i="34"/>
  <c r="Z55" i="34"/>
  <c r="AA55" i="34"/>
  <c r="AB55" i="34"/>
  <c r="AC55" i="34"/>
  <c r="AD55" i="34"/>
  <c r="AE55" i="34"/>
  <c r="AF55" i="34"/>
  <c r="AG55" i="34"/>
  <c r="AH55" i="34"/>
  <c r="AI55" i="34"/>
  <c r="AJ55" i="34"/>
  <c r="AK55" i="34"/>
  <c r="AL55" i="34"/>
  <c r="AM55" i="34"/>
  <c r="AN55" i="34"/>
  <c r="AO55" i="34"/>
  <c r="AP55" i="34"/>
  <c r="AQ55" i="34"/>
  <c r="AR55" i="34"/>
  <c r="AS55" i="34"/>
  <c r="AT55" i="34"/>
  <c r="AU55" i="34"/>
  <c r="AV55" i="34"/>
  <c r="AW55" i="34"/>
  <c r="AX55" i="34"/>
  <c r="AY55" i="34"/>
  <c r="AZ55" i="34"/>
  <c r="BA55" i="34"/>
  <c r="BB55" i="34"/>
  <c r="BC55" i="34"/>
  <c r="BD55" i="34"/>
  <c r="BE55" i="34"/>
  <c r="BF55" i="34"/>
  <c r="BG55" i="34"/>
  <c r="BH55" i="34"/>
  <c r="BI55" i="34"/>
  <c r="BJ55" i="34"/>
  <c r="BK55" i="34"/>
  <c r="BL55" i="34"/>
  <c r="BM55" i="34"/>
  <c r="BN55" i="34"/>
  <c r="BO55" i="34"/>
  <c r="BP55" i="34"/>
  <c r="AC20" i="34"/>
  <c r="D21" i="34"/>
  <c r="E21" i="34"/>
  <c r="F21" i="34"/>
  <c r="N8" i="34"/>
  <c r="G21" i="34"/>
  <c r="H21" i="34"/>
  <c r="I21" i="34"/>
  <c r="J21" i="34"/>
  <c r="Z21" i="34"/>
  <c r="E56" i="34" a="1"/>
  <c r="E56" i="34"/>
  <c r="F56" i="34" a="1"/>
  <c r="F56" i="34"/>
  <c r="G56" i="34" a="1"/>
  <c r="H56" i="34" a="1"/>
  <c r="I56" i="34" a="1"/>
  <c r="J56" i="34" a="1"/>
  <c r="K56" i="34" a="1"/>
  <c r="L56" i="34" a="1"/>
  <c r="M56" i="34" a="1"/>
  <c r="N56" i="34" a="1"/>
  <c r="O56" i="34" a="1"/>
  <c r="P56" i="34" a="1"/>
  <c r="Q56" i="34" a="1"/>
  <c r="R56" i="34" a="1"/>
  <c r="S56" i="34" a="1"/>
  <c r="T56" i="34" a="1"/>
  <c r="U56" i="34" a="1"/>
  <c r="V56" i="34" a="1"/>
  <c r="W56" i="34" a="1"/>
  <c r="X56" i="34" a="1"/>
  <c r="Y56" i="34" a="1"/>
  <c r="Z56" i="34" a="1"/>
  <c r="AA56" i="34" a="1"/>
  <c r="AB56" i="34" a="1"/>
  <c r="AC56" i="34" a="1"/>
  <c r="AD56" i="34" a="1"/>
  <c r="AE56" i="34" a="1"/>
  <c r="AF56" i="34" a="1"/>
  <c r="AG56" i="34" a="1"/>
  <c r="AH56" i="34" a="1"/>
  <c r="AI56" i="34" a="1"/>
  <c r="AJ56" i="34" a="1"/>
  <c r="AK56" i="34" a="1"/>
  <c r="AL56" i="34" a="1"/>
  <c r="AM56" i="34" a="1"/>
  <c r="AN56" i="34" a="1"/>
  <c r="AO56" i="34" a="1"/>
  <c r="AP56" i="34" a="1"/>
  <c r="AQ56" i="34" a="1"/>
  <c r="AR56" i="34" a="1"/>
  <c r="AS56" i="34" a="1"/>
  <c r="AT56" i="34" a="1"/>
  <c r="AU56" i="34" a="1"/>
  <c r="AV56" i="34" a="1"/>
  <c r="AW56" i="34" a="1"/>
  <c r="AX56" i="34" a="1"/>
  <c r="AY56" i="34" a="1"/>
  <c r="AZ56" i="34" a="1"/>
  <c r="BA56" i="34" a="1"/>
  <c r="BB56" i="34" a="1"/>
  <c r="BC56" i="34" a="1"/>
  <c r="BD56" i="34" a="1"/>
  <c r="BE56" i="34" a="1"/>
  <c r="BF56" i="34" a="1"/>
  <c r="BG56" i="34" a="1"/>
  <c r="BH56" i="34" a="1"/>
  <c r="BI56" i="34" a="1"/>
  <c r="BJ56" i="34" a="1"/>
  <c r="BK56" i="34" a="1"/>
  <c r="BL56" i="34" a="1"/>
  <c r="BM56" i="34" a="1"/>
  <c r="BN56" i="34" a="1"/>
  <c r="BO56" i="34" a="1"/>
  <c r="BP56" i="34" a="1"/>
  <c r="G56" i="34"/>
  <c r="H56" i="34"/>
  <c r="I56" i="34"/>
  <c r="J56" i="34"/>
  <c r="K56" i="34"/>
  <c r="L56" i="34"/>
  <c r="M56" i="34"/>
  <c r="N56" i="34"/>
  <c r="O56" i="34"/>
  <c r="P56" i="34"/>
  <c r="Q56" i="34"/>
  <c r="R56" i="34"/>
  <c r="S56" i="34"/>
  <c r="T56" i="34"/>
  <c r="U56" i="34"/>
  <c r="V56" i="34"/>
  <c r="W56" i="34"/>
  <c r="X56" i="34"/>
  <c r="Y56" i="34"/>
  <c r="Z56" i="34"/>
  <c r="AA56" i="34"/>
  <c r="AB56" i="34"/>
  <c r="AC56" i="34"/>
  <c r="AD56" i="34"/>
  <c r="AE56" i="34"/>
  <c r="AF56" i="34"/>
  <c r="AG56" i="34"/>
  <c r="AH56" i="34"/>
  <c r="AI56" i="34"/>
  <c r="AJ56" i="34"/>
  <c r="AK56" i="34"/>
  <c r="AL56" i="34"/>
  <c r="AM56" i="34"/>
  <c r="AN56" i="34"/>
  <c r="AO56" i="34"/>
  <c r="AP56" i="34"/>
  <c r="AQ56" i="34"/>
  <c r="AR56" i="34"/>
  <c r="AS56" i="34"/>
  <c r="AT56" i="34"/>
  <c r="AU56" i="34"/>
  <c r="AV56" i="34"/>
  <c r="AW56" i="34"/>
  <c r="AX56" i="34"/>
  <c r="AY56" i="34"/>
  <c r="AZ56" i="34"/>
  <c r="BA56" i="34"/>
  <c r="BB56" i="34"/>
  <c r="BC56" i="34"/>
  <c r="BD56" i="34"/>
  <c r="BE56" i="34"/>
  <c r="BF56" i="34"/>
  <c r="BG56" i="34"/>
  <c r="BH56" i="34"/>
  <c r="BI56" i="34"/>
  <c r="BJ56" i="34"/>
  <c r="BK56" i="34"/>
  <c r="BL56" i="34"/>
  <c r="BM56" i="34"/>
  <c r="BN56" i="34"/>
  <c r="BO56" i="34"/>
  <c r="BP56" i="34"/>
  <c r="AC21" i="34"/>
  <c r="D22" i="34"/>
  <c r="E22" i="34"/>
  <c r="F22" i="34"/>
  <c r="N9" i="34"/>
  <c r="G22" i="34"/>
  <c r="H22" i="34"/>
  <c r="I22" i="34"/>
  <c r="J22" i="34"/>
  <c r="Z22" i="34"/>
  <c r="E57" i="34" a="1"/>
  <c r="E57" i="34"/>
  <c r="F57" i="34" a="1"/>
  <c r="F57" i="34"/>
  <c r="G57" i="34" a="1"/>
  <c r="H57" i="34" a="1"/>
  <c r="I57" i="34" a="1"/>
  <c r="J57" i="34" a="1"/>
  <c r="K57" i="34" a="1"/>
  <c r="L57" i="34" a="1"/>
  <c r="M57" i="34" a="1"/>
  <c r="N57" i="34" a="1"/>
  <c r="O57" i="34" a="1"/>
  <c r="P57" i="34" a="1"/>
  <c r="Q57" i="34" a="1"/>
  <c r="R57" i="34" a="1"/>
  <c r="S57" i="34" a="1"/>
  <c r="T57" i="34" a="1"/>
  <c r="U57" i="34" a="1"/>
  <c r="V57" i="34" a="1"/>
  <c r="W57" i="34" a="1"/>
  <c r="X57" i="34" a="1"/>
  <c r="Y57" i="34" a="1"/>
  <c r="Z57" i="34" a="1"/>
  <c r="AA57" i="34" a="1"/>
  <c r="AB57" i="34" a="1"/>
  <c r="AC57" i="34" a="1"/>
  <c r="AD57" i="34" a="1"/>
  <c r="AE57" i="34" a="1"/>
  <c r="AF57" i="34" a="1"/>
  <c r="AG57" i="34" a="1"/>
  <c r="AH57" i="34" a="1"/>
  <c r="AI57" i="34" a="1"/>
  <c r="AJ57" i="34" a="1"/>
  <c r="AK57" i="34" a="1"/>
  <c r="AL57" i="34" a="1"/>
  <c r="AM57" i="34" a="1"/>
  <c r="AN57" i="34" a="1"/>
  <c r="AO57" i="34" a="1"/>
  <c r="AP57" i="34" a="1"/>
  <c r="AQ57" i="34" a="1"/>
  <c r="AR57" i="34" a="1"/>
  <c r="AS57" i="34" a="1"/>
  <c r="AT57" i="34" a="1"/>
  <c r="AU57" i="34" a="1"/>
  <c r="AV57" i="34" a="1"/>
  <c r="AW57" i="34" a="1"/>
  <c r="AX57" i="34" a="1"/>
  <c r="AY57" i="34" a="1"/>
  <c r="AZ57" i="34" a="1"/>
  <c r="BA57" i="34" a="1"/>
  <c r="BB57" i="34" a="1"/>
  <c r="BC57" i="34" a="1"/>
  <c r="BD57" i="34" a="1"/>
  <c r="BE57" i="34" a="1"/>
  <c r="BF57" i="34" a="1"/>
  <c r="BG57" i="34" a="1"/>
  <c r="BH57" i="34" a="1"/>
  <c r="BI57" i="34" a="1"/>
  <c r="BJ57" i="34" a="1"/>
  <c r="BK57" i="34" a="1"/>
  <c r="BL57" i="34" a="1"/>
  <c r="BM57" i="34" a="1"/>
  <c r="BN57" i="34" a="1"/>
  <c r="BO57" i="34" a="1"/>
  <c r="BP57" i="34" a="1"/>
  <c r="G57" i="34"/>
  <c r="H57" i="34"/>
  <c r="I57" i="34"/>
  <c r="J57" i="34"/>
  <c r="K57" i="34"/>
  <c r="L57" i="34"/>
  <c r="M57" i="34"/>
  <c r="N57" i="34"/>
  <c r="O57" i="34"/>
  <c r="P57" i="34"/>
  <c r="Q57" i="34"/>
  <c r="R57" i="34"/>
  <c r="S57" i="34"/>
  <c r="T57" i="34"/>
  <c r="U57" i="34"/>
  <c r="V57" i="34"/>
  <c r="W57" i="34"/>
  <c r="X57" i="34"/>
  <c r="Y57" i="34"/>
  <c r="Z57" i="34"/>
  <c r="AA57" i="34"/>
  <c r="AB57" i="34"/>
  <c r="AC57" i="34"/>
  <c r="AD57" i="34"/>
  <c r="AE57" i="34"/>
  <c r="AF57" i="34"/>
  <c r="AG57" i="34"/>
  <c r="AH57" i="34"/>
  <c r="AI57" i="34"/>
  <c r="AJ57" i="34"/>
  <c r="AK57" i="34"/>
  <c r="AL57" i="34"/>
  <c r="AM57" i="34"/>
  <c r="AN57" i="34"/>
  <c r="AO57" i="34"/>
  <c r="AP57" i="34"/>
  <c r="AQ57" i="34"/>
  <c r="AR57" i="34"/>
  <c r="AS57" i="34"/>
  <c r="AT57" i="34"/>
  <c r="AU57" i="34"/>
  <c r="AV57" i="34"/>
  <c r="AW57" i="34"/>
  <c r="AX57" i="34"/>
  <c r="AY57" i="34"/>
  <c r="AZ57" i="34"/>
  <c r="BA57" i="34"/>
  <c r="BB57" i="34"/>
  <c r="BC57" i="34"/>
  <c r="BD57" i="34"/>
  <c r="BE57" i="34"/>
  <c r="BF57" i="34"/>
  <c r="BG57" i="34"/>
  <c r="BH57" i="34"/>
  <c r="BI57" i="34"/>
  <c r="BJ57" i="34"/>
  <c r="BK57" i="34"/>
  <c r="BL57" i="34"/>
  <c r="BM57" i="34"/>
  <c r="BN57" i="34"/>
  <c r="BO57" i="34"/>
  <c r="BP57" i="34"/>
  <c r="AC22" i="34"/>
  <c r="D23" i="34"/>
  <c r="E23" i="34"/>
  <c r="F23" i="34"/>
  <c r="N10" i="34"/>
  <c r="G23" i="34"/>
  <c r="H23" i="34"/>
  <c r="I23" i="34"/>
  <c r="J23" i="34"/>
  <c r="Z23" i="34"/>
  <c r="E58" i="34" a="1"/>
  <c r="E58" i="34"/>
  <c r="F58" i="34" a="1"/>
  <c r="F58" i="34"/>
  <c r="G58" i="34" a="1"/>
  <c r="H58" i="34" a="1"/>
  <c r="I58" i="34" a="1"/>
  <c r="J58" i="34" a="1"/>
  <c r="K58" i="34" a="1"/>
  <c r="L58" i="34" a="1"/>
  <c r="M58" i="34" a="1"/>
  <c r="N58" i="34" a="1"/>
  <c r="O58" i="34" a="1"/>
  <c r="P58" i="34" a="1"/>
  <c r="Q58" i="34" a="1"/>
  <c r="R58" i="34" a="1"/>
  <c r="S58" i="34" a="1"/>
  <c r="T58" i="34" a="1"/>
  <c r="U58" i="34" a="1"/>
  <c r="V58" i="34" a="1"/>
  <c r="W58" i="34" a="1"/>
  <c r="X58" i="34" a="1"/>
  <c r="Y58" i="34" a="1"/>
  <c r="Z58" i="34" a="1"/>
  <c r="AA58" i="34" a="1"/>
  <c r="AB58" i="34" a="1"/>
  <c r="AC58" i="34" a="1"/>
  <c r="AD58" i="34" a="1"/>
  <c r="AE58" i="34" a="1"/>
  <c r="AF58" i="34" a="1"/>
  <c r="AG58" i="34" a="1"/>
  <c r="AH58" i="34" a="1"/>
  <c r="AI58" i="34" a="1"/>
  <c r="AJ58" i="34" a="1"/>
  <c r="AK58" i="34" a="1"/>
  <c r="AL58" i="34" a="1"/>
  <c r="AM58" i="34" a="1"/>
  <c r="AN58" i="34" a="1"/>
  <c r="AO58" i="34" a="1"/>
  <c r="AP58" i="34" a="1"/>
  <c r="AQ58" i="34" a="1"/>
  <c r="AR58" i="34" a="1"/>
  <c r="AS58" i="34" a="1"/>
  <c r="AT58" i="34" a="1"/>
  <c r="AU58" i="34" a="1"/>
  <c r="AV58" i="34" a="1"/>
  <c r="AW58" i="34" a="1"/>
  <c r="AX58" i="34" a="1"/>
  <c r="AY58" i="34" a="1"/>
  <c r="AZ58" i="34" a="1"/>
  <c r="BA58" i="34" a="1"/>
  <c r="BB58" i="34" a="1"/>
  <c r="BC58" i="34" a="1"/>
  <c r="BD58" i="34" a="1"/>
  <c r="BE58" i="34" a="1"/>
  <c r="BF58" i="34" a="1"/>
  <c r="BG58" i="34" a="1"/>
  <c r="BH58" i="34" a="1"/>
  <c r="BI58" i="34" a="1"/>
  <c r="BJ58" i="34" a="1"/>
  <c r="BK58" i="34" a="1"/>
  <c r="BL58" i="34" a="1"/>
  <c r="BM58" i="34" a="1"/>
  <c r="BN58" i="34" a="1"/>
  <c r="BO58" i="34" a="1"/>
  <c r="BP58" i="34" a="1"/>
  <c r="G58" i="34"/>
  <c r="H58" i="34"/>
  <c r="I58" i="34"/>
  <c r="J58" i="34"/>
  <c r="K58" i="34"/>
  <c r="L58" i="34"/>
  <c r="M58" i="34"/>
  <c r="N58" i="34"/>
  <c r="O58" i="34"/>
  <c r="P58" i="34"/>
  <c r="Q58" i="34"/>
  <c r="R58" i="34"/>
  <c r="S58" i="34"/>
  <c r="T58" i="34"/>
  <c r="U58" i="34"/>
  <c r="V58" i="34"/>
  <c r="W58" i="34"/>
  <c r="X58" i="34"/>
  <c r="Y58" i="34"/>
  <c r="Z58" i="34"/>
  <c r="AA58" i="34"/>
  <c r="AB58" i="34"/>
  <c r="AC58" i="34"/>
  <c r="AD58" i="34"/>
  <c r="AE58" i="34"/>
  <c r="AF58" i="34"/>
  <c r="AG58" i="34"/>
  <c r="AH58" i="34"/>
  <c r="AI58" i="34"/>
  <c r="AJ58" i="34"/>
  <c r="AK58" i="34"/>
  <c r="AL58" i="34"/>
  <c r="AM58" i="34"/>
  <c r="AN58" i="34"/>
  <c r="AO58" i="34"/>
  <c r="AP58" i="34"/>
  <c r="AQ58" i="34"/>
  <c r="AR58" i="34"/>
  <c r="AS58" i="34"/>
  <c r="AT58" i="34"/>
  <c r="AU58" i="34"/>
  <c r="AV58" i="34"/>
  <c r="AW58" i="34"/>
  <c r="AX58" i="34"/>
  <c r="AY58" i="34"/>
  <c r="AZ58" i="34"/>
  <c r="BA58" i="34"/>
  <c r="BB58" i="34"/>
  <c r="BC58" i="34"/>
  <c r="BD58" i="34"/>
  <c r="BE58" i="34"/>
  <c r="BF58" i="34"/>
  <c r="BG58" i="34"/>
  <c r="BH58" i="34"/>
  <c r="BI58" i="34"/>
  <c r="BJ58" i="34"/>
  <c r="BK58" i="34"/>
  <c r="BL58" i="34"/>
  <c r="BM58" i="34"/>
  <c r="BN58" i="34"/>
  <c r="BO58" i="34"/>
  <c r="BP58" i="34"/>
  <c r="AC23" i="34"/>
  <c r="D24" i="34"/>
  <c r="E24" i="34"/>
  <c r="F24" i="34"/>
  <c r="N11" i="34"/>
  <c r="G24" i="34"/>
  <c r="H24" i="34"/>
  <c r="I24" i="34"/>
  <c r="J24" i="34"/>
  <c r="Z24" i="34"/>
  <c r="E59" i="34" a="1"/>
  <c r="E59" i="34"/>
  <c r="F59" i="34" a="1"/>
  <c r="F59" i="34"/>
  <c r="G59" i="34" a="1"/>
  <c r="H59" i="34" a="1"/>
  <c r="I59" i="34" a="1"/>
  <c r="J59" i="34" a="1"/>
  <c r="K59" i="34" a="1"/>
  <c r="L59" i="34" a="1"/>
  <c r="M59" i="34" a="1"/>
  <c r="N59" i="34" a="1"/>
  <c r="O59" i="34" a="1"/>
  <c r="P59" i="34" a="1"/>
  <c r="Q59" i="34" a="1"/>
  <c r="R59" i="34" a="1"/>
  <c r="S59" i="34" a="1"/>
  <c r="T59" i="34" a="1"/>
  <c r="U59" i="34" a="1"/>
  <c r="V59" i="34" a="1"/>
  <c r="W59" i="34" a="1"/>
  <c r="X59" i="34" a="1"/>
  <c r="Y59" i="34" a="1"/>
  <c r="Z59" i="34" a="1"/>
  <c r="AA59" i="34" a="1"/>
  <c r="AB59" i="34" a="1"/>
  <c r="AC59" i="34" a="1"/>
  <c r="AD59" i="34" a="1"/>
  <c r="AE59" i="34" a="1"/>
  <c r="AF59" i="34" a="1"/>
  <c r="AG59" i="34" a="1"/>
  <c r="AH59" i="34" a="1"/>
  <c r="AI59" i="34" a="1"/>
  <c r="AJ59" i="34" a="1"/>
  <c r="AK59" i="34" a="1"/>
  <c r="AL59" i="34" a="1"/>
  <c r="AM59" i="34" a="1"/>
  <c r="AN59" i="34" a="1"/>
  <c r="AO59" i="34" a="1"/>
  <c r="AP59" i="34" a="1"/>
  <c r="AQ59" i="34" a="1"/>
  <c r="AR59" i="34" a="1"/>
  <c r="AS59" i="34" a="1"/>
  <c r="AT59" i="34" a="1"/>
  <c r="AU59" i="34" a="1"/>
  <c r="AV59" i="34" a="1"/>
  <c r="AW59" i="34" a="1"/>
  <c r="AX59" i="34" a="1"/>
  <c r="AY59" i="34" a="1"/>
  <c r="AZ59" i="34" a="1"/>
  <c r="BA59" i="34" a="1"/>
  <c r="BB59" i="34" a="1"/>
  <c r="BC59" i="34" a="1"/>
  <c r="BD59" i="34" a="1"/>
  <c r="BE59" i="34" a="1"/>
  <c r="BF59" i="34" a="1"/>
  <c r="BG59" i="34" a="1"/>
  <c r="BH59" i="34" a="1"/>
  <c r="BI59" i="34" a="1"/>
  <c r="BJ59" i="34" a="1"/>
  <c r="BK59" i="34" a="1"/>
  <c r="BL59" i="34" a="1"/>
  <c r="BM59" i="34" a="1"/>
  <c r="BN59" i="34" a="1"/>
  <c r="BO59" i="34" a="1"/>
  <c r="BP59" i="34" a="1"/>
  <c r="G59" i="34"/>
  <c r="H59" i="34"/>
  <c r="I59" i="34"/>
  <c r="J59" i="34"/>
  <c r="K59" i="34"/>
  <c r="L59" i="34"/>
  <c r="M59" i="34"/>
  <c r="N59" i="34"/>
  <c r="O59" i="34"/>
  <c r="P59" i="34"/>
  <c r="Q59" i="34"/>
  <c r="R59" i="34"/>
  <c r="S59" i="34"/>
  <c r="T59" i="34"/>
  <c r="U59" i="34"/>
  <c r="V59" i="34"/>
  <c r="W59" i="34"/>
  <c r="X59" i="34"/>
  <c r="Y59" i="34"/>
  <c r="Z59" i="34"/>
  <c r="AA59" i="34"/>
  <c r="AB59" i="34"/>
  <c r="AC59" i="34"/>
  <c r="AD59" i="34"/>
  <c r="AE59" i="34"/>
  <c r="AF59" i="34"/>
  <c r="AG59" i="34"/>
  <c r="AH59" i="34"/>
  <c r="AI59" i="34"/>
  <c r="AJ59" i="34"/>
  <c r="AK59" i="34"/>
  <c r="AL59" i="34"/>
  <c r="AM59" i="34"/>
  <c r="AN59" i="34"/>
  <c r="AO59" i="34"/>
  <c r="AP59" i="34"/>
  <c r="AQ59" i="34"/>
  <c r="AR59" i="34"/>
  <c r="AS59" i="34"/>
  <c r="AT59" i="34"/>
  <c r="AU59" i="34"/>
  <c r="AV59" i="34"/>
  <c r="AW59" i="34"/>
  <c r="AX59" i="34"/>
  <c r="AY59" i="34"/>
  <c r="AZ59" i="34"/>
  <c r="BA59" i="34"/>
  <c r="BB59" i="34"/>
  <c r="BC59" i="34"/>
  <c r="BD59" i="34"/>
  <c r="BE59" i="34"/>
  <c r="BF59" i="34"/>
  <c r="BG59" i="34"/>
  <c r="BH59" i="34"/>
  <c r="BI59" i="34"/>
  <c r="BJ59" i="34"/>
  <c r="BK59" i="34"/>
  <c r="BL59" i="34"/>
  <c r="BM59" i="34"/>
  <c r="BN59" i="34"/>
  <c r="BO59" i="34"/>
  <c r="BP59" i="34"/>
  <c r="AC24" i="34"/>
  <c r="D25" i="34"/>
  <c r="E25" i="34"/>
  <c r="F25" i="34"/>
  <c r="N12" i="34"/>
  <c r="G25" i="34"/>
  <c r="H25" i="34"/>
  <c r="I25" i="34"/>
  <c r="J25" i="34"/>
  <c r="Z25" i="34"/>
  <c r="E60" i="34" a="1"/>
  <c r="E60" i="34"/>
  <c r="F60" i="34" a="1"/>
  <c r="F60" i="34"/>
  <c r="G60" i="34" a="1"/>
  <c r="H60" i="34" a="1"/>
  <c r="I60" i="34" a="1"/>
  <c r="J60" i="34" a="1"/>
  <c r="K60" i="34" a="1"/>
  <c r="L60" i="34" a="1"/>
  <c r="M60" i="34" a="1"/>
  <c r="N60" i="34" a="1"/>
  <c r="O60" i="34" a="1"/>
  <c r="P60" i="34" a="1"/>
  <c r="Q60" i="34" a="1"/>
  <c r="R60" i="34" a="1"/>
  <c r="S60" i="34" a="1"/>
  <c r="T60" i="34" a="1"/>
  <c r="U60" i="34" a="1"/>
  <c r="V60" i="34" a="1"/>
  <c r="W60" i="34" a="1"/>
  <c r="X60" i="34" a="1"/>
  <c r="Y60" i="34" a="1"/>
  <c r="Z60" i="34" a="1"/>
  <c r="AA60" i="34" a="1"/>
  <c r="AB60" i="34" a="1"/>
  <c r="AC60" i="34" a="1"/>
  <c r="AD60" i="34" a="1"/>
  <c r="AE60" i="34" a="1"/>
  <c r="AF60" i="34" a="1"/>
  <c r="AG60" i="34" a="1"/>
  <c r="AH60" i="34" a="1"/>
  <c r="AI60" i="34" a="1"/>
  <c r="AJ60" i="34" a="1"/>
  <c r="AK60" i="34" a="1"/>
  <c r="AL60" i="34" a="1"/>
  <c r="AM60" i="34" a="1"/>
  <c r="AN60" i="34" a="1"/>
  <c r="AO60" i="34" a="1"/>
  <c r="AP60" i="34" a="1"/>
  <c r="AQ60" i="34" a="1"/>
  <c r="AR60" i="34" a="1"/>
  <c r="AS60" i="34" a="1"/>
  <c r="AT60" i="34" a="1"/>
  <c r="AU60" i="34" a="1"/>
  <c r="AV60" i="34" a="1"/>
  <c r="AW60" i="34" a="1"/>
  <c r="AX60" i="34" a="1"/>
  <c r="AY60" i="34" a="1"/>
  <c r="AZ60" i="34" a="1"/>
  <c r="BA60" i="34" a="1"/>
  <c r="BB60" i="34" a="1"/>
  <c r="BC60" i="34" a="1"/>
  <c r="BD60" i="34" a="1"/>
  <c r="BE60" i="34" a="1"/>
  <c r="BF60" i="34" a="1"/>
  <c r="BG60" i="34" a="1"/>
  <c r="BH60" i="34" a="1"/>
  <c r="BI60" i="34" a="1"/>
  <c r="BJ60" i="34" a="1"/>
  <c r="BK60" i="34" a="1"/>
  <c r="BL60" i="34" a="1"/>
  <c r="BM60" i="34" a="1"/>
  <c r="BN60" i="34" a="1"/>
  <c r="BO60" i="34" a="1"/>
  <c r="BP60" i="34" a="1"/>
  <c r="G60" i="34"/>
  <c r="H60" i="34"/>
  <c r="I60" i="34"/>
  <c r="J60" i="34"/>
  <c r="K60" i="34"/>
  <c r="L60" i="34"/>
  <c r="M60" i="34"/>
  <c r="N60" i="34"/>
  <c r="O60" i="34"/>
  <c r="P60" i="34"/>
  <c r="Q60" i="34"/>
  <c r="R60" i="34"/>
  <c r="S60" i="34"/>
  <c r="T60" i="34"/>
  <c r="U60" i="34"/>
  <c r="V60" i="34"/>
  <c r="W60" i="34"/>
  <c r="X60" i="34"/>
  <c r="Y60" i="34"/>
  <c r="Z60" i="34"/>
  <c r="AA60" i="34"/>
  <c r="AB60" i="34"/>
  <c r="AC60" i="34"/>
  <c r="AD60" i="34"/>
  <c r="AE60" i="34"/>
  <c r="AF60" i="34"/>
  <c r="AG60" i="34"/>
  <c r="AH60" i="34"/>
  <c r="AI60" i="34"/>
  <c r="AJ60" i="34"/>
  <c r="AK60" i="34"/>
  <c r="AL60" i="34"/>
  <c r="AM60" i="34"/>
  <c r="AN60" i="34"/>
  <c r="AO60" i="34"/>
  <c r="AP60" i="34"/>
  <c r="AQ60" i="34"/>
  <c r="AR60" i="34"/>
  <c r="AS60" i="34"/>
  <c r="AT60" i="34"/>
  <c r="AU60" i="34"/>
  <c r="AV60" i="34"/>
  <c r="AW60" i="34"/>
  <c r="AX60" i="34"/>
  <c r="AY60" i="34"/>
  <c r="AZ60" i="34"/>
  <c r="BA60" i="34"/>
  <c r="BB60" i="34"/>
  <c r="BC60" i="34"/>
  <c r="BD60" i="34"/>
  <c r="BE60" i="34"/>
  <c r="BF60" i="34"/>
  <c r="BG60" i="34"/>
  <c r="BH60" i="34"/>
  <c r="BI60" i="34"/>
  <c r="BJ60" i="34"/>
  <c r="BK60" i="34"/>
  <c r="BL60" i="34"/>
  <c r="BM60" i="34"/>
  <c r="BN60" i="34"/>
  <c r="BO60" i="34"/>
  <c r="BP60" i="34"/>
  <c r="AC25" i="34"/>
  <c r="X64" i="34"/>
  <c r="Y64" i="34"/>
  <c r="Z64" i="34"/>
  <c r="AB64" i="34"/>
  <c r="AC64" i="34"/>
  <c r="AD64" i="34"/>
  <c r="AE64" i="34"/>
  <c r="AF64" i="34"/>
  <c r="AG64" i="34"/>
  <c r="AL64" i="34"/>
  <c r="AM64" i="34"/>
  <c r="X65" i="34"/>
  <c r="Y65" i="34"/>
  <c r="Z65" i="34"/>
  <c r="AB65" i="34"/>
  <c r="AC65" i="34"/>
  <c r="AD65" i="34"/>
  <c r="AE65" i="34"/>
  <c r="AF65" i="34"/>
  <c r="AG65" i="34"/>
  <c r="AL65" i="34"/>
  <c r="AM65" i="34"/>
  <c r="X66" i="34"/>
  <c r="Y66" i="34"/>
  <c r="Z66" i="34"/>
  <c r="AB66" i="34"/>
  <c r="AC66" i="34"/>
  <c r="AD66" i="34"/>
  <c r="AE66" i="34"/>
  <c r="AF66" i="34"/>
  <c r="AG66" i="34"/>
  <c r="AL66" i="34"/>
  <c r="AM66" i="34"/>
  <c r="Z67" i="34"/>
  <c r="AB67" i="34"/>
  <c r="AC67" i="34"/>
  <c r="AL67" i="34"/>
  <c r="AM67" i="34"/>
  <c r="Z68" i="34"/>
  <c r="AB68" i="34"/>
  <c r="AC68" i="34"/>
  <c r="AL68" i="34"/>
  <c r="AM68" i="34"/>
  <c r="X69" i="34"/>
  <c r="Y69" i="34"/>
  <c r="Z69" i="34"/>
  <c r="AB69" i="34"/>
  <c r="AC69" i="34"/>
  <c r="AD69" i="34"/>
  <c r="AE69" i="34"/>
  <c r="AF69" i="34"/>
  <c r="AG69" i="34"/>
  <c r="AL69" i="34"/>
  <c r="AM69" i="34"/>
  <c r="X70" i="34"/>
  <c r="Y70" i="34"/>
  <c r="Z70" i="34"/>
  <c r="AB70" i="34"/>
  <c r="AC70" i="34"/>
  <c r="AD70" i="34"/>
  <c r="AE70" i="34"/>
  <c r="AF70" i="34"/>
  <c r="AG70" i="34"/>
  <c r="AL70" i="34"/>
  <c r="AM70" i="34"/>
  <c r="Z71" i="34"/>
  <c r="AB71" i="34"/>
  <c r="AC71" i="34"/>
  <c r="AL71" i="34"/>
  <c r="AM71" i="34"/>
  <c r="Z72" i="34"/>
  <c r="AB72" i="34"/>
  <c r="AC72" i="34"/>
  <c r="AL72" i="34"/>
  <c r="AM72" i="34"/>
  <c r="X81" i="34"/>
  <c r="Y81" i="34"/>
  <c r="Z81" i="34"/>
  <c r="AB81" i="34"/>
  <c r="AC81" i="34"/>
  <c r="AD81" i="34"/>
  <c r="AE81" i="34"/>
  <c r="AF81" i="34"/>
  <c r="AG81" i="34"/>
  <c r="AL81" i="34"/>
  <c r="AM81" i="34"/>
  <c r="X82" i="34"/>
  <c r="Y82" i="34"/>
  <c r="Z82" i="34"/>
  <c r="AB82" i="34"/>
  <c r="AC82" i="34"/>
  <c r="AD82" i="34"/>
  <c r="AE82" i="34"/>
  <c r="AF82" i="34"/>
  <c r="AG82" i="34"/>
  <c r="AL82" i="34"/>
  <c r="AM82" i="34"/>
  <c r="Z83" i="34"/>
  <c r="AB83" i="34"/>
  <c r="AC83" i="34"/>
  <c r="AL83" i="34"/>
  <c r="AM83" i="34"/>
  <c r="Z84" i="34"/>
  <c r="AB84" i="34"/>
  <c r="AC84" i="34"/>
  <c r="AL84" i="34"/>
  <c r="AM84" i="34"/>
  <c r="X85" i="34"/>
  <c r="Y85" i="34"/>
  <c r="Z85" i="34"/>
  <c r="AB85" i="34"/>
  <c r="AC85" i="34"/>
  <c r="AD85" i="34"/>
  <c r="AE85" i="34"/>
  <c r="AF85" i="34"/>
  <c r="AG85" i="34"/>
  <c r="AL85" i="34"/>
  <c r="AM85" i="34"/>
  <c r="Z86" i="34"/>
  <c r="AB86" i="34"/>
  <c r="AC86" i="34"/>
  <c r="AL86" i="34"/>
  <c r="AM86" i="34"/>
  <c r="Z87" i="34"/>
  <c r="AB87" i="34"/>
  <c r="AC87" i="34"/>
  <c r="AL87" i="34"/>
  <c r="AM87" i="34"/>
  <c r="Z88" i="34"/>
  <c r="AB88" i="34"/>
  <c r="AC88" i="34"/>
  <c r="AL88" i="34"/>
  <c r="AM88" i="34"/>
  <c r="Z136" i="34"/>
  <c r="AA136" i="34"/>
  <c r="AB136" i="34"/>
  <c r="AC136" i="34"/>
  <c r="Z137" i="34"/>
  <c r="AA137" i="34"/>
  <c r="AB137" i="34"/>
  <c r="AC137" i="34"/>
  <c r="Z138" i="34"/>
  <c r="AA138" i="34"/>
  <c r="AB138" i="34"/>
  <c r="AC138" i="34"/>
  <c r="Z139" i="34"/>
  <c r="AA139" i="34"/>
  <c r="AB139" i="34"/>
  <c r="AC139" i="34"/>
  <c r="Z140" i="34"/>
  <c r="AA140" i="34"/>
  <c r="AB140" i="34"/>
  <c r="AC140" i="34"/>
  <c r="Z141" i="34"/>
  <c r="AA141" i="34"/>
  <c r="AB141" i="34"/>
  <c r="AC141" i="34"/>
  <c r="Z142" i="34"/>
  <c r="AA142" i="34"/>
  <c r="AB142" i="34"/>
  <c r="AC142" i="34"/>
  <c r="Z143" i="34"/>
  <c r="AA143" i="34"/>
  <c r="AB143" i="34"/>
  <c r="AC143" i="34"/>
  <c r="Z144" i="34"/>
  <c r="AA144" i="34"/>
  <c r="AB144" i="34"/>
  <c r="AC144" i="34"/>
  <c r="Z153" i="34"/>
  <c r="AA153" i="34"/>
  <c r="AB153" i="34"/>
  <c r="AC153" i="34"/>
  <c r="Z154" i="34"/>
  <c r="AA154" i="34"/>
  <c r="AB154" i="34"/>
  <c r="AC154" i="34"/>
  <c r="Z155" i="34"/>
  <c r="AA155" i="34"/>
  <c r="AB155" i="34"/>
  <c r="AC155" i="34"/>
  <c r="Z156" i="34"/>
  <c r="AA156" i="34"/>
  <c r="AB156" i="34"/>
  <c r="AC156" i="34"/>
  <c r="Z157" i="34"/>
  <c r="AA157" i="34"/>
  <c r="AB157" i="34"/>
  <c r="AC157" i="34"/>
  <c r="Z158" i="34"/>
  <c r="AA158" i="34"/>
  <c r="AB158" i="34"/>
  <c r="AC158" i="34"/>
  <c r="Z159" i="34"/>
  <c r="AA159" i="34"/>
  <c r="AB159" i="34"/>
  <c r="AC159" i="34"/>
  <c r="Z160" i="34"/>
  <c r="AA160" i="34"/>
  <c r="AB160" i="34"/>
  <c r="AC160" i="34"/>
  <c r="AO12" i="27"/>
  <c r="AK12" i="27"/>
  <c r="AK13" i="27"/>
  <c r="AM13" i="27"/>
  <c r="AK14" i="27"/>
  <c r="AM14" i="27"/>
  <c r="AK15" i="27"/>
  <c r="AM15" i="27"/>
  <c r="AV12" i="28"/>
  <c r="AV11" i="28"/>
  <c r="AV10" i="28"/>
  <c r="AV9" i="28"/>
  <c r="AV8" i="28"/>
  <c r="AG26" i="27"/>
  <c r="AI26" i="27"/>
  <c r="AJ26" i="27"/>
  <c r="AK26" i="27"/>
  <c r="AM26" i="27"/>
  <c r="AV4" i="30"/>
  <c r="AN26" i="27"/>
  <c r="AO26" i="27"/>
  <c r="AG27" i="27"/>
  <c r="AI27" i="27"/>
  <c r="AJ27" i="27"/>
  <c r="AK27" i="27"/>
  <c r="AM27" i="27"/>
  <c r="AV5" i="30"/>
  <c r="AN27" i="27"/>
  <c r="AO27" i="27"/>
  <c r="AG28" i="27"/>
  <c r="AI28" i="27"/>
  <c r="AJ28" i="27"/>
  <c r="AK28" i="27"/>
  <c r="AM28" i="27"/>
  <c r="AV6" i="30"/>
  <c r="AN28" i="27"/>
  <c r="AO28" i="27"/>
  <c r="AG29" i="27"/>
  <c r="AI29" i="27"/>
  <c r="AJ29" i="27"/>
  <c r="AK29" i="27"/>
  <c r="AM29" i="27"/>
  <c r="AV7" i="30"/>
  <c r="AN29" i="27"/>
  <c r="AO29" i="27"/>
  <c r="C12" i="30"/>
  <c r="C11" i="30"/>
  <c r="C10" i="30"/>
  <c r="C9" i="30"/>
  <c r="C8" i="30"/>
  <c r="AG40" i="27"/>
  <c r="AI40" i="27"/>
  <c r="AJ40" i="27"/>
  <c r="AK40" i="27"/>
  <c r="AM40" i="27"/>
  <c r="AN40" i="27"/>
  <c r="AO40" i="27"/>
  <c r="AG41" i="27"/>
  <c r="AI41" i="27"/>
  <c r="AJ41" i="27"/>
  <c r="AK41" i="27"/>
  <c r="AM41" i="27"/>
  <c r="AN41" i="27"/>
  <c r="AO41" i="27"/>
  <c r="AC148" i="34"/>
  <c r="AB148" i="34"/>
  <c r="AA148" i="34"/>
  <c r="Z148" i="34"/>
  <c r="AC147" i="34"/>
  <c r="AB147" i="34"/>
  <c r="AA147" i="34"/>
  <c r="Z147" i="34"/>
  <c r="AC146" i="34"/>
  <c r="AB146" i="34"/>
  <c r="AA146" i="34"/>
  <c r="Z146" i="34"/>
  <c r="AC145" i="34"/>
  <c r="AB145" i="34"/>
  <c r="AA145" i="34"/>
  <c r="Z145" i="34"/>
  <c r="AM76" i="34"/>
  <c r="AL76" i="34"/>
  <c r="AC76" i="34"/>
  <c r="AB76" i="34"/>
  <c r="Z76" i="34"/>
  <c r="AM75" i="34"/>
  <c r="AL75" i="34"/>
  <c r="AC75" i="34"/>
  <c r="AB75" i="34"/>
  <c r="Z75" i="34"/>
  <c r="AM74" i="34"/>
  <c r="AL74" i="34"/>
  <c r="AG74" i="34"/>
  <c r="AF74" i="34"/>
  <c r="AE74" i="34"/>
  <c r="AD74" i="34"/>
  <c r="AC74" i="34"/>
  <c r="AB74" i="34"/>
  <c r="Z74" i="34"/>
  <c r="Y74" i="34"/>
  <c r="X74" i="34"/>
  <c r="AM73" i="34"/>
  <c r="AL73" i="34"/>
  <c r="AG73" i="34"/>
  <c r="AF73" i="34"/>
  <c r="AE73" i="34"/>
  <c r="AD73" i="34"/>
  <c r="AC73" i="34"/>
  <c r="AB73" i="34"/>
  <c r="Z73" i="34"/>
  <c r="Y73" i="34"/>
  <c r="X73" i="34"/>
  <c r="C30" i="34"/>
  <c r="AC148" i="30"/>
  <c r="AB148" i="30"/>
  <c r="AA148" i="30"/>
  <c r="Z148" i="30"/>
  <c r="AC147" i="30"/>
  <c r="AB147" i="30"/>
  <c r="AA147" i="30"/>
  <c r="Z147" i="30"/>
  <c r="AC146" i="30"/>
  <c r="AB146" i="30"/>
  <c r="AA146" i="30"/>
  <c r="Z146" i="30"/>
  <c r="AC145" i="30"/>
  <c r="AB145" i="30"/>
  <c r="AA145" i="30"/>
  <c r="Z145" i="30"/>
  <c r="AM76" i="30"/>
  <c r="AL76" i="30"/>
  <c r="AC76" i="30"/>
  <c r="AB76" i="30"/>
  <c r="Z76" i="30"/>
  <c r="AM75" i="30"/>
  <c r="AL75" i="30"/>
  <c r="AC75" i="30"/>
  <c r="AB75" i="30"/>
  <c r="Z75" i="30"/>
  <c r="AM74" i="30"/>
  <c r="AL74" i="30"/>
  <c r="AG74" i="30"/>
  <c r="AF74" i="30"/>
  <c r="AE74" i="30"/>
  <c r="AD74" i="30"/>
  <c r="AC74" i="30"/>
  <c r="AB74" i="30"/>
  <c r="Z74" i="30"/>
  <c r="Y74" i="30"/>
  <c r="X74" i="30"/>
  <c r="AM73" i="30"/>
  <c r="AL73" i="30"/>
  <c r="AG73" i="30"/>
  <c r="AF73" i="30"/>
  <c r="AE73" i="30"/>
  <c r="AD73" i="30"/>
  <c r="AC73" i="30"/>
  <c r="AB73" i="30"/>
  <c r="Z73" i="30"/>
  <c r="Y73" i="30"/>
  <c r="X73" i="30"/>
  <c r="C32" i="30"/>
  <c r="C30" i="30"/>
  <c r="AM76" i="28"/>
  <c r="AL76" i="28"/>
  <c r="AC76" i="28"/>
  <c r="AB76" i="28"/>
  <c r="Z76" i="28"/>
  <c r="AM75" i="28"/>
  <c r="AL75" i="28"/>
  <c r="AC75" i="28"/>
  <c r="AB75" i="28"/>
  <c r="Z75" i="28"/>
  <c r="AM74" i="28"/>
  <c r="AL74" i="28"/>
  <c r="AG74" i="28"/>
  <c r="AF74" i="28"/>
  <c r="AE74" i="28"/>
  <c r="AD74" i="28"/>
  <c r="AC74" i="28"/>
  <c r="AB74" i="28"/>
  <c r="Z74" i="28"/>
  <c r="Y74" i="28"/>
  <c r="X74" i="28"/>
  <c r="AM73" i="28"/>
  <c r="AL73" i="28"/>
  <c r="AG73" i="28"/>
  <c r="AF73" i="28"/>
  <c r="AE73" i="28"/>
  <c r="AD73" i="28"/>
  <c r="AC73" i="28"/>
  <c r="AB73" i="28"/>
  <c r="Z73" i="28"/>
  <c r="Y73" i="28"/>
  <c r="X73" i="28"/>
  <c r="AC148" i="28"/>
  <c r="AB148" i="28"/>
  <c r="AA148" i="28"/>
  <c r="Z148" i="28"/>
  <c r="AC147" i="28"/>
  <c r="AB147" i="28"/>
  <c r="AA147" i="28"/>
  <c r="Z147" i="28"/>
  <c r="AC146" i="28"/>
  <c r="AB146" i="28"/>
  <c r="AA146" i="28"/>
  <c r="Z146" i="28"/>
  <c r="AC145" i="28"/>
  <c r="AB145" i="28"/>
  <c r="AA145" i="28"/>
  <c r="Z145" i="28"/>
  <c r="C52" i="10"/>
  <c r="G52" i="10"/>
  <c r="F52" i="10"/>
  <c r="E52" i="10"/>
  <c r="C51" i="10"/>
  <c r="G51" i="10"/>
  <c r="F51" i="10"/>
  <c r="E51" i="10"/>
  <c r="C50" i="10"/>
  <c r="G50" i="10"/>
  <c r="F50" i="10"/>
  <c r="E50" i="10"/>
  <c r="C49" i="10"/>
  <c r="G49" i="10"/>
  <c r="F49" i="10"/>
  <c r="E49" i="10"/>
  <c r="C48" i="10"/>
  <c r="G48" i="10"/>
  <c r="F48" i="10"/>
  <c r="E48" i="10"/>
  <c r="C47" i="10"/>
  <c r="G47" i="10"/>
  <c r="F47" i="10"/>
  <c r="E47" i="10"/>
  <c r="C46" i="10"/>
  <c r="G46" i="10"/>
  <c r="F46" i="10"/>
  <c r="E46" i="10"/>
  <c r="C45" i="10"/>
  <c r="G45" i="10"/>
  <c r="F45" i="10"/>
  <c r="E45" i="10"/>
  <c r="C44" i="10"/>
  <c r="G44" i="10"/>
  <c r="F44" i="10"/>
  <c r="E44" i="10"/>
  <c r="C40" i="10"/>
  <c r="G40" i="10"/>
  <c r="F40" i="10"/>
  <c r="E40" i="10"/>
  <c r="C39" i="10"/>
  <c r="G39" i="10"/>
  <c r="F39" i="10"/>
  <c r="E39" i="10"/>
  <c r="C38" i="10"/>
  <c r="G38" i="10"/>
  <c r="F38" i="10"/>
  <c r="E38" i="10"/>
  <c r="C37" i="10"/>
  <c r="G37" i="10"/>
  <c r="F37" i="10"/>
  <c r="E37" i="10"/>
  <c r="C36" i="10"/>
  <c r="G36" i="10"/>
  <c r="F36" i="10"/>
  <c r="E36" i="10"/>
  <c r="C35" i="10"/>
  <c r="G35" i="10"/>
  <c r="F35" i="10"/>
  <c r="E35" i="10"/>
  <c r="C34" i="10"/>
  <c r="G34" i="10"/>
  <c r="F34" i="10"/>
  <c r="E34" i="10"/>
  <c r="C33" i="10"/>
  <c r="G33" i="10"/>
  <c r="F33" i="10"/>
  <c r="E33" i="10"/>
  <c r="C32" i="10"/>
  <c r="G32" i="10"/>
  <c r="F32" i="10"/>
  <c r="E32" i="10"/>
  <c r="C28" i="10"/>
  <c r="G28" i="10"/>
  <c r="F28" i="10"/>
  <c r="E28" i="10"/>
  <c r="C27" i="10"/>
  <c r="G27" i="10"/>
  <c r="F27" i="10"/>
  <c r="E27" i="10"/>
  <c r="C26" i="10"/>
  <c r="G26" i="10"/>
  <c r="F26" i="10"/>
  <c r="E26" i="10"/>
  <c r="C25" i="10"/>
  <c r="G25" i="10"/>
  <c r="F25" i="10"/>
  <c r="E25" i="10"/>
  <c r="C24" i="10"/>
  <c r="G24" i="10"/>
  <c r="F24" i="10"/>
  <c r="E24" i="10"/>
  <c r="C23" i="10"/>
  <c r="G23" i="10"/>
  <c r="F23" i="10"/>
  <c r="E23" i="10"/>
  <c r="C22" i="10"/>
  <c r="G22" i="10"/>
  <c r="F22" i="10"/>
  <c r="E22" i="10"/>
  <c r="C21" i="10"/>
  <c r="G21" i="10"/>
  <c r="F21" i="10"/>
  <c r="E21" i="10"/>
  <c r="C20" i="10"/>
  <c r="G20" i="10"/>
  <c r="F20" i="10"/>
  <c r="E20" i="10"/>
  <c r="C16" i="10"/>
  <c r="G16" i="10"/>
  <c r="F16" i="10"/>
  <c r="E16" i="10"/>
  <c r="C15" i="10"/>
  <c r="G15" i="10"/>
  <c r="F15" i="10"/>
  <c r="E15" i="10"/>
  <c r="C14" i="10"/>
  <c r="G14" i="10"/>
  <c r="F14" i="10"/>
  <c r="E14" i="10"/>
  <c r="C13" i="10"/>
  <c r="G13" i="10"/>
  <c r="F13" i="10"/>
  <c r="E13" i="10"/>
  <c r="C12" i="10"/>
  <c r="G12" i="10"/>
  <c r="F12" i="10"/>
  <c r="E12" i="10"/>
  <c r="C11" i="10"/>
  <c r="G11" i="10"/>
  <c r="F11" i="10"/>
  <c r="E11" i="10"/>
  <c r="C10" i="10"/>
  <c r="G10" i="10"/>
  <c r="F10" i="10"/>
  <c r="E10" i="10"/>
  <c r="C9" i="10"/>
  <c r="G9" i="10"/>
  <c r="E9" i="10"/>
  <c r="F9" i="10"/>
  <c r="O22" i="35"/>
  <c r="T24" i="35"/>
  <c r="AD21" i="35"/>
  <c r="AI21" i="35"/>
  <c r="AS11" i="6"/>
  <c r="AS20" i="6"/>
  <c r="AR11" i="6"/>
  <c r="AR20" i="6"/>
  <c r="AQ11" i="6"/>
  <c r="AQ20" i="6"/>
  <c r="AP11" i="6"/>
  <c r="AP20" i="6"/>
  <c r="AO11" i="6"/>
  <c r="AO20" i="6"/>
  <c r="AN11" i="6"/>
  <c r="AN20" i="6"/>
  <c r="AM11" i="6"/>
  <c r="AM20" i="6"/>
  <c r="AT11" i="6"/>
  <c r="AT19" i="6"/>
  <c r="AR19" i="6"/>
  <c r="AQ19" i="6"/>
  <c r="AP19" i="6"/>
  <c r="AO19" i="6"/>
  <c r="AN19" i="6"/>
  <c r="AM19" i="6"/>
  <c r="AT18" i="6"/>
  <c r="AS18" i="6"/>
  <c r="AQ18" i="6"/>
  <c r="AP18" i="6"/>
  <c r="AO18" i="6"/>
  <c r="AN18" i="6"/>
  <c r="AM18" i="6"/>
  <c r="AT17" i="6"/>
  <c r="AS17" i="6"/>
  <c r="AR17" i="6"/>
  <c r="AP17" i="6"/>
  <c r="AO17" i="6"/>
  <c r="AN17" i="6"/>
  <c r="AM17" i="6"/>
  <c r="AT16" i="6"/>
  <c r="AS16" i="6"/>
  <c r="AR16" i="6"/>
  <c r="AQ16" i="6"/>
  <c r="AO16" i="6"/>
  <c r="AN16" i="6"/>
  <c r="AM16" i="6"/>
  <c r="AT15" i="6"/>
  <c r="AS15" i="6"/>
  <c r="AR15" i="6"/>
  <c r="AQ15" i="6"/>
  <c r="AP15" i="6"/>
  <c r="AN15" i="6"/>
  <c r="AM15" i="6"/>
  <c r="AT14" i="6"/>
  <c r="AS14" i="6"/>
  <c r="AR14" i="6"/>
  <c r="AQ14" i="6"/>
  <c r="AP14" i="6"/>
  <c r="AO14" i="6"/>
  <c r="AM14" i="6"/>
  <c r="AT13" i="6"/>
  <c r="AS13" i="6"/>
  <c r="AR13" i="6"/>
  <c r="AQ13" i="6"/>
  <c r="AP13" i="6"/>
  <c r="AO13" i="6"/>
  <c r="AN13" i="6"/>
  <c r="AL11" i="6"/>
  <c r="AL20" i="6"/>
  <c r="AL19" i="6"/>
  <c r="AL18" i="6"/>
  <c r="AL17" i="6"/>
  <c r="AL16" i="6"/>
  <c r="AL15" i="6"/>
  <c r="AL14" i="6"/>
  <c r="AL13" i="6"/>
  <c r="AJ12" i="6"/>
  <c r="O24" i="35"/>
  <c r="O21" i="35"/>
  <c r="Y23" i="35"/>
  <c r="AD23" i="35"/>
  <c r="AD22" i="35"/>
  <c r="AI22" i="35"/>
  <c r="BR21" i="35"/>
  <c r="BR22" i="35"/>
  <c r="BR23" i="35"/>
  <c r="BR24" i="35"/>
  <c r="BM24" i="35"/>
  <c r="BM23" i="35"/>
  <c r="BM22" i="35"/>
  <c r="BM21" i="35"/>
  <c r="AI24" i="35"/>
  <c r="Y22" i="35"/>
  <c r="T22" i="35"/>
  <c r="Y21" i="35"/>
  <c r="T21" i="35"/>
  <c r="K31" i="10"/>
  <c r="K37" i="10"/>
  <c r="K38" i="10"/>
  <c r="K39" i="10"/>
  <c r="K40" i="10"/>
  <c r="M31" i="10"/>
  <c r="M40" i="10"/>
  <c r="M39" i="10"/>
  <c r="M38" i="10"/>
  <c r="O31" i="10"/>
  <c r="O40" i="10"/>
  <c r="O34" i="10"/>
  <c r="O35" i="10"/>
  <c r="O36" i="10"/>
  <c r="O37" i="10"/>
  <c r="O38" i="10"/>
  <c r="M34" i="10"/>
  <c r="M35" i="10"/>
  <c r="M36" i="10"/>
  <c r="O32" i="10"/>
  <c r="M32" i="10"/>
  <c r="O19" i="10"/>
  <c r="O28" i="10"/>
  <c r="H19" i="10"/>
  <c r="H25" i="10"/>
  <c r="H26" i="10"/>
  <c r="H27" i="10"/>
  <c r="H28" i="10"/>
  <c r="J19" i="10"/>
  <c r="J25" i="10"/>
  <c r="J26" i="10"/>
  <c r="J27" i="10"/>
  <c r="J28" i="10"/>
  <c r="L19" i="10"/>
  <c r="L28" i="10"/>
  <c r="L27" i="10"/>
  <c r="L26" i="10"/>
  <c r="L25" i="10"/>
  <c r="M19" i="10"/>
  <c r="M27" i="10"/>
  <c r="M26" i="10"/>
  <c r="N19" i="10"/>
  <c r="N22" i="10"/>
  <c r="N23" i="10"/>
  <c r="N24" i="10"/>
  <c r="N25" i="10"/>
  <c r="O21" i="10"/>
  <c r="N21" i="10"/>
  <c r="M21" i="10"/>
  <c r="N20" i="10"/>
  <c r="I19" i="10"/>
  <c r="I20" i="10"/>
  <c r="J20" i="10"/>
  <c r="K19" i="10"/>
  <c r="K20" i="10"/>
  <c r="L20" i="10"/>
  <c r="P19" i="10"/>
  <c r="P20" i="10"/>
  <c r="H21" i="10"/>
  <c r="J21" i="10"/>
  <c r="K21" i="10"/>
  <c r="L21" i="10"/>
  <c r="P21" i="10"/>
  <c r="H22" i="10"/>
  <c r="I22" i="10"/>
  <c r="K22" i="10"/>
  <c r="L22" i="10"/>
  <c r="P22" i="10"/>
  <c r="H23" i="10"/>
  <c r="I23" i="10"/>
  <c r="J23" i="10"/>
  <c r="L23" i="10"/>
  <c r="P23" i="10"/>
  <c r="H24" i="10"/>
  <c r="I24" i="10"/>
  <c r="J24" i="10"/>
  <c r="K24" i="10"/>
  <c r="P24" i="10"/>
  <c r="P7" i="10"/>
  <c r="P13" i="10"/>
  <c r="P14" i="10"/>
  <c r="P15" i="10"/>
  <c r="O7" i="10"/>
  <c r="O14" i="10"/>
  <c r="O13" i="10"/>
  <c r="O12" i="10"/>
  <c r="O11" i="10"/>
  <c r="O10" i="10"/>
  <c r="N7" i="10"/>
  <c r="N16" i="10"/>
  <c r="N10" i="10"/>
  <c r="N11" i="10"/>
  <c r="N12" i="10"/>
  <c r="N13" i="10"/>
  <c r="M7" i="10"/>
  <c r="M16" i="10"/>
  <c r="L7" i="10"/>
  <c r="L15" i="10"/>
  <c r="L14" i="10"/>
  <c r="L13" i="10"/>
  <c r="C8" i="10"/>
  <c r="O8" i="10"/>
  <c r="M8" i="10"/>
  <c r="O30" i="10"/>
  <c r="N31" i="10"/>
  <c r="N30" i="10"/>
  <c r="M30" i="10"/>
  <c r="Q37" i="10"/>
  <c r="Q38" i="10"/>
  <c r="Q39" i="10"/>
  <c r="Q25" i="10"/>
  <c r="Q26" i="10"/>
  <c r="Q27" i="10"/>
  <c r="B25" i="10"/>
  <c r="D25" i="10"/>
  <c r="B26" i="10"/>
  <c r="D26" i="10"/>
  <c r="B27" i="10"/>
  <c r="D27" i="10"/>
  <c r="B13" i="10"/>
  <c r="D13" i="10"/>
  <c r="B14" i="10"/>
  <c r="D14" i="10"/>
  <c r="B15" i="10"/>
  <c r="D15" i="10"/>
  <c r="B16" i="10"/>
  <c r="D16" i="10"/>
  <c r="M6" i="10"/>
  <c r="O6" i="10"/>
  <c r="N6" i="10"/>
  <c r="H7" i="10"/>
  <c r="H6" i="10"/>
  <c r="Q40" i="10"/>
  <c r="Q36" i="10"/>
  <c r="Q35" i="10"/>
  <c r="Q34" i="10"/>
  <c r="Q33" i="10"/>
  <c r="Q32" i="10"/>
  <c r="Q28" i="10"/>
  <c r="Q24" i="10"/>
  <c r="Q23" i="10"/>
  <c r="Q22" i="10"/>
  <c r="Q21" i="10"/>
  <c r="Q20" i="10"/>
  <c r="Q9" i="10"/>
  <c r="Q10" i="10"/>
  <c r="Q11" i="10"/>
  <c r="Q12" i="10"/>
  <c r="Q16" i="10"/>
  <c r="Q8" i="10"/>
  <c r="B33" i="10"/>
  <c r="B34" i="10"/>
  <c r="B35" i="10"/>
  <c r="B36" i="10"/>
  <c r="B32" i="10"/>
  <c r="B21" i="10"/>
  <c r="B22" i="10"/>
  <c r="B23" i="10"/>
  <c r="B24" i="10"/>
  <c r="B28" i="10"/>
  <c r="B20" i="10"/>
  <c r="D33" i="10"/>
  <c r="D34" i="10"/>
  <c r="D35" i="10"/>
  <c r="D36" i="10"/>
  <c r="D32" i="10"/>
  <c r="D20" i="10"/>
  <c r="D21" i="10"/>
  <c r="D22" i="10"/>
  <c r="D23" i="10"/>
  <c r="D24" i="10"/>
  <c r="D28" i="10"/>
  <c r="B9" i="10"/>
  <c r="B10" i="10"/>
  <c r="B11" i="10"/>
  <c r="B12" i="10"/>
  <c r="B8" i="10"/>
  <c r="D8" i="10"/>
  <c r="D12" i="10"/>
  <c r="D11" i="10"/>
  <c r="D10" i="10"/>
  <c r="D9" i="10"/>
  <c r="Y12" i="6"/>
  <c r="Z12" i="6"/>
  <c r="AA12" i="6"/>
  <c r="AG12" i="6"/>
  <c r="AI12" i="6"/>
  <c r="Y13" i="6"/>
  <c r="Z13" i="6"/>
  <c r="AA13" i="6"/>
  <c r="AB13" i="6"/>
  <c r="Y14" i="6"/>
  <c r="Z14" i="6"/>
  <c r="AA14" i="6"/>
  <c r="AB14" i="6"/>
  <c r="Y15" i="6"/>
  <c r="Z15" i="6"/>
  <c r="AA15" i="6"/>
  <c r="N4" i="3"/>
  <c r="AB15" i="6"/>
  <c r="Y16" i="6"/>
  <c r="Z16" i="6"/>
  <c r="AA16" i="6"/>
  <c r="AU12" i="6"/>
  <c r="AU16" i="6"/>
  <c r="AU15" i="6"/>
  <c r="AU14" i="6"/>
  <c r="AU13" i="6"/>
  <c r="I7" i="10"/>
  <c r="I6" i="10"/>
  <c r="J7" i="10"/>
  <c r="J6" i="10"/>
  <c r="K7" i="10"/>
  <c r="K6" i="10"/>
  <c r="L6" i="10"/>
  <c r="P6" i="10"/>
  <c r="H18" i="10"/>
  <c r="I18" i="10"/>
  <c r="J18" i="10"/>
  <c r="K18" i="10"/>
  <c r="L18" i="10"/>
  <c r="P18" i="10"/>
  <c r="H31" i="10"/>
  <c r="H30" i="10"/>
  <c r="I31" i="10"/>
  <c r="I30" i="10"/>
  <c r="J31" i="10"/>
  <c r="J30" i="10"/>
  <c r="K30" i="10"/>
  <c r="L31" i="10"/>
  <c r="L30" i="10"/>
  <c r="P31" i="10"/>
  <c r="P30" i="10"/>
  <c r="AB12" i="6"/>
  <c r="AB16" i="6"/>
  <c r="I8" i="10"/>
  <c r="J8" i="10"/>
  <c r="K8" i="10"/>
  <c r="L8" i="10"/>
  <c r="P8" i="10"/>
  <c r="H9" i="10"/>
  <c r="J9" i="10"/>
  <c r="K9" i="10"/>
  <c r="L9" i="10"/>
  <c r="P9" i="10"/>
  <c r="H10" i="10"/>
  <c r="I10" i="10"/>
  <c r="K10" i="10"/>
  <c r="L10" i="10"/>
  <c r="P10" i="10"/>
  <c r="H11" i="10"/>
  <c r="I11" i="10"/>
  <c r="J11" i="10"/>
  <c r="L11" i="10"/>
  <c r="P11" i="10"/>
  <c r="H12" i="10"/>
  <c r="I12" i="10"/>
  <c r="J12" i="10"/>
  <c r="K12" i="10"/>
  <c r="P12" i="10"/>
  <c r="L16" i="10"/>
  <c r="I32" i="10"/>
  <c r="J32" i="10"/>
  <c r="K32" i="10"/>
  <c r="L32" i="10"/>
  <c r="P32" i="10"/>
  <c r="H33" i="10"/>
  <c r="J33" i="10"/>
  <c r="K33" i="10"/>
  <c r="L33" i="10"/>
  <c r="P33" i="10"/>
  <c r="H34" i="10"/>
  <c r="I34" i="10"/>
  <c r="K34" i="10"/>
  <c r="L34" i="10"/>
  <c r="P34" i="10"/>
  <c r="H35" i="10"/>
  <c r="I35" i="10"/>
  <c r="J35" i="10"/>
  <c r="L35" i="10"/>
  <c r="P35" i="10"/>
  <c r="H36" i="10"/>
  <c r="I36" i="10"/>
  <c r="J36" i="10"/>
  <c r="K36" i="10"/>
  <c r="P36" i="10"/>
  <c r="W12" i="6"/>
  <c r="W13" i="6"/>
  <c r="W14" i="6"/>
  <c r="W15" i="6"/>
  <c r="W16" i="6"/>
  <c r="W17" i="6"/>
  <c r="W18" i="6"/>
  <c r="W19" i="6"/>
  <c r="W20" i="6"/>
  <c r="Y20" i="6"/>
  <c r="Z20" i="6"/>
  <c r="AA20" i="6"/>
  <c r="AB20" i="6"/>
  <c r="AU20" i="6"/>
  <c r="Y17" i="6"/>
  <c r="Z17" i="6"/>
  <c r="AA17" i="6"/>
  <c r="AB17" i="6"/>
  <c r="AU17" i="6"/>
  <c r="Y18" i="6"/>
  <c r="Z18" i="6"/>
  <c r="AA18" i="6"/>
  <c r="AB18" i="6"/>
  <c r="AU18" i="6"/>
  <c r="Y19" i="6"/>
  <c r="Z19" i="6"/>
  <c r="AA19" i="6"/>
  <c r="AB19" i="6"/>
  <c r="AU19" i="6"/>
  <c r="Q15" i="10"/>
  <c r="Q14" i="10"/>
  <c r="Q13" i="10"/>
  <c r="D40" i="10"/>
  <c r="B40" i="10"/>
  <c r="D39" i="10"/>
  <c r="B39" i="10"/>
  <c r="D38" i="10"/>
  <c r="B38" i="10"/>
  <c r="D37" i="10"/>
  <c r="B37" i="10"/>
  <c r="M18" i="10"/>
  <c r="N18" i="10"/>
  <c r="O18" i="10"/>
  <c r="N8" i="10"/>
  <c r="K16" i="10"/>
  <c r="J16" i="10"/>
  <c r="I16" i="10"/>
  <c r="H16" i="10"/>
  <c r="K15" i="10"/>
  <c r="J15" i="10"/>
  <c r="I15" i="10"/>
  <c r="H15" i="10"/>
  <c r="K14" i="10"/>
  <c r="J14" i="10"/>
  <c r="I14" i="10"/>
  <c r="H14" i="10"/>
  <c r="K13" i="10"/>
  <c r="J13" i="10"/>
  <c r="I13" i="10"/>
  <c r="H13" i="10"/>
  <c r="M12" i="10"/>
  <c r="M11" i="10"/>
  <c r="M10" i="10"/>
  <c r="M9" i="10"/>
  <c r="M14" i="10"/>
  <c r="M15" i="10"/>
  <c r="N9" i="10"/>
  <c r="N15" i="10"/>
  <c r="O9" i="10"/>
  <c r="O16" i="10"/>
  <c r="M20" i="10"/>
  <c r="O20" i="10"/>
  <c r="M24" i="10"/>
  <c r="M23" i="10"/>
  <c r="M22" i="10"/>
  <c r="O26" i="10"/>
  <c r="O25" i="10"/>
  <c r="O24" i="10"/>
  <c r="O23" i="10"/>
  <c r="O22" i="10"/>
  <c r="M28" i="10"/>
  <c r="K28" i="10"/>
  <c r="K27" i="10"/>
  <c r="K26" i="10"/>
  <c r="K25" i="10"/>
  <c r="I28" i="10"/>
  <c r="I27" i="10"/>
  <c r="I26" i="10"/>
  <c r="I25" i="10"/>
  <c r="N27" i="10"/>
  <c r="N28" i="10"/>
  <c r="P27" i="10"/>
  <c r="P26" i="10"/>
  <c r="P25" i="10"/>
  <c r="N32" i="10"/>
  <c r="M33" i="10"/>
  <c r="N33" i="10"/>
  <c r="O33" i="10"/>
  <c r="N37" i="10"/>
  <c r="N36" i="10"/>
  <c r="N35" i="10"/>
  <c r="N34" i="10"/>
  <c r="P39" i="10"/>
  <c r="P38" i="10"/>
  <c r="P37" i="10"/>
  <c r="N39" i="10"/>
  <c r="N40" i="10"/>
  <c r="L37" i="10"/>
  <c r="L38" i="10"/>
  <c r="L39" i="10"/>
  <c r="L40" i="10"/>
  <c r="J40" i="10"/>
  <c r="I40" i="10"/>
  <c r="H40" i="10"/>
  <c r="J39" i="10"/>
  <c r="I39" i="10"/>
  <c r="H39" i="10"/>
  <c r="J38" i="10"/>
  <c r="I38" i="10"/>
  <c r="H38" i="10"/>
  <c r="J37" i="10"/>
  <c r="I37" i="10"/>
  <c r="H37" i="10"/>
  <c r="L43" i="10"/>
  <c r="L52" i="10"/>
  <c r="L51" i="10"/>
  <c r="L50" i="10"/>
  <c r="L49" i="10"/>
  <c r="N43" i="10"/>
  <c r="N52" i="10"/>
  <c r="N51" i="10"/>
  <c r="P43" i="10"/>
  <c r="P46" i="10"/>
  <c r="P47" i="10"/>
  <c r="P48" i="10"/>
  <c r="P49" i="10"/>
  <c r="P50" i="10"/>
  <c r="P51" i="10"/>
  <c r="N46" i="10"/>
  <c r="N47" i="10"/>
  <c r="N48" i="10"/>
  <c r="N49" i="10"/>
  <c r="O43" i="10"/>
  <c r="O44" i="10"/>
  <c r="M43" i="10"/>
  <c r="M44" i="10"/>
  <c r="O42" i="10"/>
  <c r="N42" i="10"/>
  <c r="M42" i="10"/>
  <c r="B49" i="10"/>
  <c r="D49" i="10"/>
  <c r="B50" i="10"/>
  <c r="D50" i="10"/>
  <c r="B51" i="10"/>
  <c r="D51" i="10"/>
  <c r="B52" i="10"/>
  <c r="D52" i="10"/>
  <c r="K43" i="10"/>
  <c r="K48" i="10"/>
  <c r="J43" i="10"/>
  <c r="J48" i="10"/>
  <c r="I43" i="10"/>
  <c r="I48" i="10"/>
  <c r="H43" i="10"/>
  <c r="H48" i="10"/>
  <c r="L47" i="10"/>
  <c r="J47" i="10"/>
  <c r="I47" i="10"/>
  <c r="H47" i="10"/>
  <c r="L46" i="10"/>
  <c r="K46" i="10"/>
  <c r="I46" i="10"/>
  <c r="H46" i="10"/>
  <c r="P45" i="10"/>
  <c r="L45" i="10"/>
  <c r="K45" i="10"/>
  <c r="J45" i="10"/>
  <c r="H45" i="10"/>
  <c r="P44" i="10"/>
  <c r="L44" i="10"/>
  <c r="K44" i="10"/>
  <c r="J44" i="10"/>
  <c r="I44" i="10"/>
  <c r="P42" i="10"/>
  <c r="L42" i="10"/>
  <c r="K42" i="10"/>
  <c r="J42" i="10"/>
  <c r="I42" i="10"/>
  <c r="H42" i="10"/>
  <c r="D48" i="10"/>
  <c r="D47" i="10"/>
  <c r="D46" i="10"/>
  <c r="D45" i="10"/>
  <c r="D44" i="10"/>
  <c r="B44" i="10"/>
  <c r="B48" i="10"/>
  <c r="B47" i="10"/>
  <c r="B46" i="10"/>
  <c r="B45" i="10"/>
  <c r="Q44" i="10"/>
  <c r="Q45" i="10"/>
  <c r="Q46" i="10"/>
  <c r="Q47" i="10"/>
  <c r="Q48" i="10"/>
  <c r="Q52" i="10"/>
  <c r="Q51" i="10"/>
  <c r="Q50" i="10"/>
  <c r="Q49" i="10"/>
  <c r="N44" i="10"/>
  <c r="M45" i="10"/>
  <c r="N45" i="10"/>
  <c r="O45" i="10"/>
  <c r="M48" i="10"/>
  <c r="M47" i="10"/>
  <c r="M46" i="10"/>
  <c r="O50" i="10"/>
  <c r="O49" i="10"/>
  <c r="O48" i="10"/>
  <c r="O47" i="10"/>
  <c r="O46" i="10"/>
  <c r="O52" i="10"/>
  <c r="M50" i="10"/>
  <c r="M51" i="10"/>
  <c r="M52" i="10"/>
  <c r="K52" i="10"/>
  <c r="J52" i="10"/>
  <c r="I52" i="10"/>
  <c r="H52" i="10"/>
  <c r="K51" i="10"/>
  <c r="J51" i="10"/>
  <c r="I51" i="10"/>
  <c r="H51" i="10"/>
  <c r="K50" i="10"/>
  <c r="J50" i="10"/>
  <c r="I50" i="10"/>
  <c r="H50" i="10"/>
  <c r="K49" i="10"/>
  <c r="J49" i="10"/>
  <c r="I49" i="10"/>
  <c r="H49" i="10"/>
  <c r="BH21" i="35"/>
  <c r="BH22" i="35"/>
  <c r="BH23" i="35"/>
  <c r="BH24" i="35"/>
  <c r="CB24" i="35"/>
  <c r="BW24" i="35"/>
  <c r="CB23" i="35"/>
  <c r="BW23" i="35"/>
  <c r="CB22" i="35"/>
  <c r="BW22" i="35"/>
  <c r="CB21" i="35"/>
  <c r="BW21" i="35"/>
  <c r="AC12" i="6"/>
  <c r="AE12" i="6"/>
  <c r="AF12" i="6"/>
  <c r="AK12" i="6"/>
  <c r="AC13" i="6"/>
  <c r="AE13" i="6"/>
  <c r="AF13" i="6"/>
  <c r="AG13" i="6"/>
  <c r="AI13" i="6"/>
  <c r="AJ13" i="6"/>
  <c r="AK13" i="6"/>
  <c r="AC14" i="6"/>
  <c r="AE14" i="6"/>
  <c r="AF14" i="6"/>
  <c r="AG14" i="6"/>
  <c r="AI14" i="6"/>
  <c r="AJ14" i="6"/>
  <c r="AK14" i="6"/>
  <c r="AC15" i="6"/>
  <c r="AE15" i="6"/>
  <c r="AF15" i="6"/>
  <c r="AG15" i="6"/>
  <c r="AI15" i="6"/>
  <c r="AJ15" i="6"/>
  <c r="AK15" i="6"/>
  <c r="AC16" i="6"/>
  <c r="AE16" i="6"/>
  <c r="AF16" i="6"/>
  <c r="AG16" i="6"/>
  <c r="AI16" i="6"/>
  <c r="AJ16" i="6"/>
  <c r="AK16" i="6"/>
  <c r="AC17" i="6"/>
  <c r="AE17" i="6"/>
  <c r="AF17" i="6"/>
  <c r="AG17" i="6"/>
  <c r="AI17" i="6"/>
  <c r="AJ17" i="6"/>
  <c r="AK17" i="6"/>
  <c r="AC18" i="6"/>
  <c r="AE18" i="6"/>
  <c r="AF18" i="6"/>
  <c r="AG18" i="6"/>
  <c r="AI18" i="6"/>
  <c r="AJ18" i="6"/>
  <c r="AK18" i="6"/>
  <c r="AC19" i="6"/>
  <c r="AE19" i="6"/>
  <c r="AF19" i="6"/>
  <c r="AG19" i="6"/>
  <c r="AI19" i="6"/>
  <c r="AJ19" i="6"/>
  <c r="AK19" i="6"/>
  <c r="AC20" i="6"/>
  <c r="AE20" i="6"/>
  <c r="AF20" i="6"/>
  <c r="AG20" i="6"/>
  <c r="AI20" i="6"/>
  <c r="AJ20" i="6"/>
  <c r="AK20" i="6"/>
  <c r="AL10" i="6"/>
  <c r="AM10" i="6"/>
  <c r="AN10" i="6"/>
  <c r="AO10" i="6"/>
  <c r="AP10" i="6"/>
  <c r="AQ10" i="6"/>
  <c r="AR10" i="6"/>
  <c r="AS10" i="6"/>
  <c r="AT10" i="6"/>
  <c r="AM12" i="6"/>
  <c r="AN12" i="6"/>
  <c r="AO12" i="6"/>
  <c r="AP12" i="6"/>
  <c r="AQ12" i="6"/>
  <c r="AR12" i="6"/>
  <c r="AS12" i="6"/>
  <c r="AT12" i="6"/>
  <c r="G17" i="3"/>
  <c r="D17" i="3"/>
  <c r="E8" i="10"/>
  <c r="F8" i="10"/>
  <c r="G8" i="10"/>
  <c r="C30" i="28"/>
  <c r="C32" i="28"/>
  <c r="C30" i="29"/>
  <c r="C32" i="29"/>
  <c r="X73" i="29"/>
  <c r="Y73" i="29"/>
  <c r="Z73" i="29"/>
  <c r="AB73" i="29"/>
  <c r="AC73" i="29"/>
  <c r="AD73" i="29"/>
  <c r="AE73" i="29"/>
  <c r="AF73" i="29"/>
  <c r="AG73" i="29"/>
  <c r="AL73" i="29"/>
  <c r="AM73" i="29"/>
  <c r="X74" i="29"/>
  <c r="Y74" i="29"/>
  <c r="Z74" i="29"/>
  <c r="AB74" i="29"/>
  <c r="AC74" i="29"/>
  <c r="AD74" i="29"/>
  <c r="AE74" i="29"/>
  <c r="AF74" i="29"/>
  <c r="AG74" i="29"/>
  <c r="AL74" i="29"/>
  <c r="AM74" i="29"/>
  <c r="Z75" i="29"/>
  <c r="AB75" i="29"/>
  <c r="AC75" i="29"/>
  <c r="AL75" i="29"/>
  <c r="AM75" i="29"/>
  <c r="Z76" i="29"/>
  <c r="AB76" i="29"/>
  <c r="AC76" i="29"/>
  <c r="AL76" i="29"/>
  <c r="AM76" i="29"/>
  <c r="Z145" i="29"/>
  <c r="AA145" i="29"/>
  <c r="AB145" i="29"/>
  <c r="AC145" i="29"/>
  <c r="Z146" i="29"/>
  <c r="AA146" i="29"/>
  <c r="AB146" i="29"/>
  <c r="AC146" i="29"/>
  <c r="Z147" i="29"/>
  <c r="AA147" i="29"/>
  <c r="AB147" i="29"/>
  <c r="AC147" i="29"/>
  <c r="Z148" i="29"/>
  <c r="AA148" i="29"/>
  <c r="AB148" i="29"/>
  <c r="AC148" i="29"/>
  <c r="C30" i="33"/>
  <c r="C32" i="33"/>
  <c r="X73" i="33"/>
  <c r="Y73" i="33"/>
  <c r="Z73" i="33"/>
  <c r="AB73" i="33"/>
  <c r="AC73" i="33"/>
  <c r="AD73" i="33"/>
  <c r="AE73" i="33"/>
  <c r="AF73" i="33"/>
  <c r="AG73" i="33"/>
  <c r="AL73" i="33"/>
  <c r="AM73" i="33"/>
  <c r="X74" i="33"/>
  <c r="Y74" i="33"/>
  <c r="Z74" i="33"/>
  <c r="AB74" i="33"/>
  <c r="AC74" i="33"/>
  <c r="AD74" i="33"/>
  <c r="AE74" i="33"/>
  <c r="AF74" i="33"/>
  <c r="AG74" i="33"/>
  <c r="AL74" i="33"/>
  <c r="AM74" i="33"/>
  <c r="Z75" i="33"/>
  <c r="AB75" i="33"/>
  <c r="AC75" i="33"/>
  <c r="AL75" i="33"/>
  <c r="AM75" i="33"/>
  <c r="Z76" i="33"/>
  <c r="AB76" i="33"/>
  <c r="AC76" i="33"/>
  <c r="AL76" i="33"/>
  <c r="AM76" i="33"/>
  <c r="Z145" i="33"/>
  <c r="AA145" i="33"/>
  <c r="AB145" i="33"/>
  <c r="AC145" i="33"/>
  <c r="Z146" i="33"/>
  <c r="AA146" i="33"/>
  <c r="AB146" i="33"/>
  <c r="AC146" i="33"/>
  <c r="Z147" i="33"/>
  <c r="AA147" i="33"/>
  <c r="AB147" i="33"/>
  <c r="AC147" i="33"/>
  <c r="Z148" i="33"/>
  <c r="AA148" i="33"/>
  <c r="AB148" i="33"/>
  <c r="AC148" i="33"/>
  <c r="AH20" i="21"/>
  <c r="AI20" i="21"/>
  <c r="AJ20" i="21"/>
  <c r="AL20" i="21"/>
  <c r="AK20" i="21"/>
  <c r="AH19" i="21"/>
  <c r="AI19" i="21"/>
  <c r="AJ19" i="21"/>
  <c r="AL19" i="21"/>
  <c r="AK19" i="21"/>
  <c r="AH18" i="21"/>
  <c r="AI18" i="21"/>
  <c r="AJ18" i="21"/>
  <c r="AL18" i="21"/>
  <c r="AK18" i="21"/>
  <c r="AH17" i="21"/>
  <c r="AI17" i="21"/>
  <c r="AJ17" i="21"/>
  <c r="AL17" i="21"/>
  <c r="AK17" i="21"/>
  <c r="AH16" i="21"/>
  <c r="AI16" i="21"/>
  <c r="AJ16" i="21"/>
  <c r="AL16" i="21"/>
  <c r="AK16" i="21"/>
  <c r="AH15" i="21"/>
  <c r="AI15" i="21"/>
  <c r="AJ15" i="21"/>
  <c r="AL15" i="21"/>
  <c r="AK15" i="21"/>
  <c r="AH14" i="21"/>
  <c r="AI14" i="21"/>
  <c r="AJ14" i="21"/>
  <c r="AL14" i="21"/>
  <c r="AK14" i="21"/>
  <c r="AH13" i="21"/>
  <c r="AI13" i="21"/>
  <c r="AJ13" i="21"/>
  <c r="AL13" i="21"/>
  <c r="AK13" i="21"/>
  <c r="AH24" i="32"/>
  <c r="AI24" i="32"/>
  <c r="AJ24" i="32"/>
  <c r="AL24" i="32"/>
  <c r="AK24" i="32"/>
  <c r="AH23" i="32"/>
  <c r="AI23" i="32"/>
  <c r="AJ23" i="32"/>
  <c r="AL23" i="32"/>
  <c r="AK23" i="32"/>
  <c r="AH21" i="32"/>
  <c r="AI21" i="32"/>
  <c r="AJ21" i="32"/>
  <c r="AL21" i="32"/>
  <c r="AK21" i="32"/>
  <c r="AH20" i="32"/>
  <c r="AI20" i="32"/>
  <c r="AJ20" i="32"/>
  <c r="AL20" i="32"/>
  <c r="AK20" i="32"/>
  <c r="AH18" i="32"/>
  <c r="AI18" i="32"/>
  <c r="AJ18" i="32"/>
  <c r="AL18" i="32"/>
  <c r="AK18" i="32"/>
  <c r="AH17" i="32"/>
  <c r="AI17" i="32"/>
  <c r="AJ17" i="32"/>
  <c r="AL17" i="32"/>
  <c r="AK17" i="32"/>
  <c r="AH16" i="32"/>
  <c r="AI16" i="32"/>
  <c r="AJ16" i="32"/>
  <c r="AL16" i="32"/>
  <c r="AK16" i="32"/>
  <c r="AH15" i="32"/>
  <c r="AI15" i="32"/>
  <c r="AJ15" i="32"/>
  <c r="AL15" i="32"/>
  <c r="AK15" i="32"/>
  <c r="AH14" i="32"/>
  <c r="AI14" i="32"/>
  <c r="AJ14" i="32"/>
  <c r="AL14" i="32"/>
  <c r="AK14" i="32"/>
  <c r="AH13" i="32"/>
  <c r="AI13" i="32"/>
  <c r="AJ13" i="32"/>
  <c r="AL13" i="32"/>
  <c r="AK13" i="32"/>
  <c r="AH28" i="36"/>
  <c r="AI28" i="36"/>
  <c r="AJ28" i="36"/>
  <c r="AL28" i="36"/>
  <c r="AK28" i="36"/>
  <c r="AH27" i="36"/>
  <c r="AI27" i="36"/>
  <c r="AJ27" i="36"/>
  <c r="AL27" i="36"/>
  <c r="AK27" i="36"/>
  <c r="AH25" i="36"/>
  <c r="AI25" i="36"/>
  <c r="AJ25" i="36"/>
  <c r="AL25" i="36"/>
  <c r="AK25" i="36"/>
  <c r="AH24" i="36"/>
  <c r="AI24" i="36"/>
  <c r="AJ24" i="36"/>
  <c r="AL24" i="36"/>
  <c r="AK24" i="36"/>
  <c r="AH22" i="36"/>
  <c r="AI22" i="36"/>
  <c r="AJ22" i="36"/>
  <c r="AL22" i="36"/>
  <c r="AK22" i="36"/>
  <c r="AH21" i="36"/>
  <c r="AI21" i="36"/>
  <c r="AJ21" i="36"/>
  <c r="AL21" i="36"/>
  <c r="AK21" i="36"/>
  <c r="AH19" i="36"/>
  <c r="AI19" i="36"/>
  <c r="AJ19" i="36"/>
  <c r="AL19" i="36"/>
  <c r="AK19" i="36"/>
  <c r="AH18" i="36"/>
  <c r="AI18" i="36"/>
  <c r="AJ18" i="36"/>
  <c r="AL18" i="36"/>
  <c r="AK18" i="36"/>
  <c r="AH16" i="36"/>
  <c r="AI16" i="36"/>
  <c r="AJ16" i="36"/>
  <c r="AL16" i="36"/>
  <c r="AK16" i="36"/>
  <c r="AH15" i="36"/>
  <c r="AI15" i="36"/>
  <c r="AJ15" i="36"/>
  <c r="AL15" i="36"/>
  <c r="AK15" i="36"/>
  <c r="AH14" i="36"/>
  <c r="AI14" i="36"/>
  <c r="AJ14" i="36"/>
  <c r="AL14" i="36"/>
  <c r="AK14" i="36"/>
  <c r="AH13" i="36"/>
  <c r="AI13" i="36"/>
  <c r="AJ13" i="36"/>
  <c r="AL13" i="36"/>
  <c r="AK13" i="36"/>
  <c r="AC152" i="34"/>
  <c r="AB152" i="34"/>
  <c r="AA152" i="34"/>
  <c r="Z152" i="34"/>
  <c r="AC151" i="34"/>
  <c r="AB151" i="34"/>
  <c r="AA151" i="34"/>
  <c r="Z151" i="34"/>
  <c r="AC150" i="34"/>
  <c r="AB150" i="34"/>
  <c r="AA150" i="34"/>
  <c r="Z150" i="34"/>
  <c r="AC149" i="34"/>
  <c r="AB149" i="34"/>
  <c r="AA149" i="34"/>
  <c r="Z149" i="34"/>
  <c r="AM80" i="34"/>
  <c r="AL80" i="34"/>
  <c r="AC80" i="34"/>
  <c r="AB80" i="34"/>
  <c r="Z80" i="34"/>
  <c r="AM79" i="34"/>
  <c r="AL79" i="34"/>
  <c r="AC79" i="34"/>
  <c r="AB79" i="34"/>
  <c r="Z79" i="34"/>
  <c r="AM78" i="34"/>
  <c r="AL78" i="34"/>
  <c r="AG78" i="34"/>
  <c r="AF78" i="34"/>
  <c r="AE78" i="34"/>
  <c r="AD78" i="34"/>
  <c r="AC78" i="34"/>
  <c r="AB78" i="34"/>
  <c r="Z78" i="34"/>
  <c r="Y78" i="34"/>
  <c r="X78" i="34"/>
  <c r="AM77" i="34"/>
  <c r="AL77" i="34"/>
  <c r="AG77" i="34"/>
  <c r="AF77" i="34"/>
  <c r="AE77" i="34"/>
  <c r="AD77" i="34"/>
  <c r="AC77" i="34"/>
  <c r="AB77" i="34"/>
  <c r="Z77" i="34"/>
  <c r="Y77" i="34"/>
  <c r="X77" i="34"/>
  <c r="C31" i="34"/>
  <c r="AC152" i="30"/>
  <c r="AB152" i="30"/>
  <c r="AA152" i="30"/>
  <c r="Z152" i="30"/>
  <c r="AC151" i="30"/>
  <c r="AB151" i="30"/>
  <c r="AA151" i="30"/>
  <c r="Z151" i="30"/>
  <c r="AC150" i="30"/>
  <c r="AB150" i="30"/>
  <c r="AA150" i="30"/>
  <c r="Z150" i="30"/>
  <c r="AC149" i="30"/>
  <c r="AB149" i="30"/>
  <c r="AA149" i="30"/>
  <c r="Z149" i="30"/>
  <c r="AM80" i="30"/>
  <c r="AL80" i="30"/>
  <c r="AC80" i="30"/>
  <c r="AB80" i="30"/>
  <c r="Z80" i="30"/>
  <c r="AM79" i="30"/>
  <c r="AL79" i="30"/>
  <c r="AC79" i="30"/>
  <c r="AB79" i="30"/>
  <c r="Z79" i="30"/>
  <c r="AM78" i="30"/>
  <c r="AL78" i="30"/>
  <c r="AG78" i="30"/>
  <c r="AF78" i="30"/>
  <c r="AE78" i="30"/>
  <c r="AD78" i="30"/>
  <c r="AC78" i="30"/>
  <c r="AB78" i="30"/>
  <c r="Z78" i="30"/>
  <c r="Y78" i="30"/>
  <c r="X78" i="30"/>
  <c r="AM77" i="30"/>
  <c r="AL77" i="30"/>
  <c r="AG77" i="30"/>
  <c r="AF77" i="30"/>
  <c r="AE77" i="30"/>
  <c r="AD77" i="30"/>
  <c r="AC77" i="30"/>
  <c r="AB77" i="30"/>
  <c r="Z77" i="30"/>
  <c r="Y77" i="30"/>
  <c r="X77" i="30"/>
  <c r="C33" i="30"/>
  <c r="C31" i="30"/>
  <c r="C8" i="31"/>
  <c r="F8" i="31"/>
  <c r="AS24" i="6"/>
  <c r="AS33" i="6"/>
  <c r="AR24" i="6"/>
  <c r="AR33" i="6"/>
  <c r="AQ24" i="6"/>
  <c r="AQ33" i="6"/>
  <c r="AP24" i="6"/>
  <c r="AP33" i="6"/>
  <c r="AO24" i="6"/>
  <c r="AO33" i="6"/>
  <c r="AN24" i="6"/>
  <c r="AN33" i="6"/>
  <c r="AM24" i="6"/>
  <c r="AM33" i="6"/>
  <c r="AL24" i="6"/>
  <c r="AL33" i="6"/>
  <c r="AT24" i="6"/>
  <c r="AT32" i="6"/>
  <c r="AR32" i="6"/>
  <c r="AQ32" i="6"/>
  <c r="AP32" i="6"/>
  <c r="AO32" i="6"/>
  <c r="AN32" i="6"/>
  <c r="AM32" i="6"/>
  <c r="AL32" i="6"/>
  <c r="AT31" i="6"/>
  <c r="AS31" i="6"/>
  <c r="AQ31" i="6"/>
  <c r="AP31" i="6"/>
  <c r="AO31" i="6"/>
  <c r="AN31" i="6"/>
  <c r="AM31" i="6"/>
  <c r="AL31" i="6"/>
  <c r="AT30" i="6"/>
  <c r="AS30" i="6"/>
  <c r="AR30" i="6"/>
  <c r="AP30" i="6"/>
  <c r="AO30" i="6"/>
  <c r="AN30" i="6"/>
  <c r="AM30" i="6"/>
  <c r="AL30" i="6"/>
  <c r="AT29" i="6"/>
  <c r="AS29" i="6"/>
  <c r="AR29" i="6"/>
  <c r="AQ29" i="6"/>
  <c r="AO29" i="6"/>
  <c r="AN29" i="6"/>
  <c r="AM29" i="6"/>
  <c r="AL29" i="6"/>
  <c r="AT28" i="6"/>
  <c r="AS28" i="6"/>
  <c r="AR28" i="6"/>
  <c r="AQ28" i="6"/>
  <c r="AP28" i="6"/>
  <c r="AN28" i="6"/>
  <c r="AM28" i="6"/>
  <c r="AL28" i="6"/>
  <c r="AT27" i="6"/>
  <c r="AS27" i="6"/>
  <c r="AR27" i="6"/>
  <c r="AQ27" i="6"/>
  <c r="AP27" i="6"/>
  <c r="AO27" i="6"/>
  <c r="AM27" i="6"/>
  <c r="AL27" i="6"/>
  <c r="AT26" i="6"/>
  <c r="AS26" i="6"/>
  <c r="AR26" i="6"/>
  <c r="AQ26" i="6"/>
  <c r="AP26" i="6"/>
  <c r="AO26" i="6"/>
  <c r="AN26" i="6"/>
  <c r="AL26" i="6"/>
  <c r="AT25" i="6"/>
  <c r="AS25" i="6"/>
  <c r="AR25" i="6"/>
  <c r="AQ25" i="6"/>
  <c r="AP25" i="6"/>
  <c r="AO25" i="6"/>
  <c r="AN25" i="6"/>
  <c r="AM25" i="6"/>
  <c r="D17" i="17"/>
  <c r="N4" i="17"/>
  <c r="G17" i="17"/>
  <c r="AC33" i="6"/>
  <c r="AE33" i="6"/>
  <c r="AF33" i="6"/>
  <c r="AC32" i="6"/>
  <c r="AE32" i="6"/>
  <c r="AF32" i="6"/>
  <c r="AC31" i="6"/>
  <c r="AE31" i="6"/>
  <c r="AF31" i="6"/>
  <c r="AC30" i="6"/>
  <c r="AE30" i="6"/>
  <c r="AF30" i="6"/>
  <c r="AC29" i="6"/>
  <c r="AE29" i="6"/>
  <c r="AF29" i="6"/>
  <c r="AC28" i="6"/>
  <c r="AE28" i="6"/>
  <c r="AF28" i="6"/>
  <c r="AC27" i="6"/>
  <c r="AE27" i="6"/>
  <c r="AF27" i="6"/>
  <c r="AC26" i="6"/>
  <c r="AE26" i="6"/>
  <c r="AF26" i="6"/>
  <c r="CB25" i="35"/>
  <c r="BW27" i="35"/>
  <c r="BH26" i="35"/>
  <c r="BM28" i="35"/>
  <c r="BR28" i="35"/>
  <c r="BR26" i="35"/>
  <c r="AT23" i="6"/>
  <c r="AS23" i="6"/>
  <c r="AR23" i="6"/>
  <c r="AQ23" i="6"/>
  <c r="AP23" i="6"/>
  <c r="AO23" i="6"/>
  <c r="AN23" i="6"/>
  <c r="AM23" i="6"/>
  <c r="AL23" i="6"/>
  <c r="AG25" i="6"/>
  <c r="AI25" i="6"/>
  <c r="BH27" i="35"/>
  <c r="BM27" i="35"/>
  <c r="BW26" i="35"/>
  <c r="BW25" i="35"/>
  <c r="BM26" i="35"/>
  <c r="BM25" i="35"/>
  <c r="AI28" i="35"/>
  <c r="AD28" i="35"/>
  <c r="Y28" i="35"/>
  <c r="T28" i="35"/>
  <c r="O28" i="35"/>
  <c r="AI27" i="35"/>
  <c r="AD27" i="35"/>
  <c r="Y27" i="35"/>
  <c r="T27" i="35"/>
  <c r="O27" i="35"/>
  <c r="AI26" i="35"/>
  <c r="AD26" i="35"/>
  <c r="Y26" i="35"/>
  <c r="T26" i="35"/>
  <c r="O26" i="35"/>
  <c r="AI25" i="35"/>
  <c r="AD25" i="35"/>
  <c r="Y25" i="35"/>
  <c r="T25" i="35"/>
  <c r="O25" i="35"/>
  <c r="C52" i="31"/>
  <c r="Q52" i="31"/>
  <c r="C51" i="31"/>
  <c r="Q51" i="31"/>
  <c r="C50" i="31"/>
  <c r="Q50" i="31"/>
  <c r="C49" i="31"/>
  <c r="Q49" i="31"/>
  <c r="C48" i="31"/>
  <c r="Q48" i="31"/>
  <c r="C47" i="31"/>
  <c r="Q47" i="31"/>
  <c r="C46" i="31"/>
  <c r="Q46" i="31"/>
  <c r="C45" i="31"/>
  <c r="Q45" i="31"/>
  <c r="C44" i="31"/>
  <c r="Q44" i="31"/>
  <c r="P43" i="31"/>
  <c r="P42" i="31"/>
  <c r="O43" i="31"/>
  <c r="O42" i="31"/>
  <c r="N43" i="31"/>
  <c r="N42" i="31"/>
  <c r="M43" i="31"/>
  <c r="M42" i="31"/>
  <c r="L43" i="31"/>
  <c r="L42" i="31"/>
  <c r="K43" i="31"/>
  <c r="K42" i="31"/>
  <c r="J43" i="31"/>
  <c r="J42" i="31"/>
  <c r="I43" i="31"/>
  <c r="I42" i="31"/>
  <c r="H43" i="31"/>
  <c r="H42" i="31"/>
  <c r="C40" i="31"/>
  <c r="Q40" i="31"/>
  <c r="C39" i="31"/>
  <c r="Q39" i="31"/>
  <c r="C38" i="31"/>
  <c r="Q38" i="31"/>
  <c r="C37" i="31"/>
  <c r="Q37" i="31"/>
  <c r="C36" i="31"/>
  <c r="Q36" i="31"/>
  <c r="C35" i="31"/>
  <c r="Q35" i="31"/>
  <c r="C34" i="31"/>
  <c r="Q34" i="31"/>
  <c r="C33" i="31"/>
  <c r="Q33" i="31"/>
  <c r="C32" i="31"/>
  <c r="Q32" i="31"/>
  <c r="P31" i="31"/>
  <c r="P30" i="31"/>
  <c r="O31" i="31"/>
  <c r="O30" i="31"/>
  <c r="N31" i="31"/>
  <c r="N30" i="31"/>
  <c r="M31" i="31"/>
  <c r="M30" i="31"/>
  <c r="L31" i="31"/>
  <c r="L30" i="31"/>
  <c r="K31" i="31"/>
  <c r="K30" i="31"/>
  <c r="J31" i="31"/>
  <c r="J30" i="31"/>
  <c r="I31" i="31"/>
  <c r="I30" i="31"/>
  <c r="H31" i="31"/>
  <c r="H30" i="31"/>
  <c r="C28" i="31"/>
  <c r="Q28" i="31"/>
  <c r="C27" i="31"/>
  <c r="Q27" i="31"/>
  <c r="C26" i="31"/>
  <c r="Q26" i="31"/>
  <c r="C25" i="31"/>
  <c r="Q25" i="31"/>
  <c r="C24" i="31"/>
  <c r="Q24" i="31"/>
  <c r="C23" i="31"/>
  <c r="Q23" i="31"/>
  <c r="C22" i="31"/>
  <c r="Q22" i="31"/>
  <c r="C21" i="31"/>
  <c r="Q21" i="31"/>
  <c r="C20" i="31"/>
  <c r="Q20" i="31"/>
  <c r="P19" i="31"/>
  <c r="P18" i="31"/>
  <c r="O19" i="31"/>
  <c r="O18" i="31"/>
  <c r="N19" i="31"/>
  <c r="N18" i="31"/>
  <c r="M19" i="31"/>
  <c r="M18" i="31"/>
  <c r="L19" i="31"/>
  <c r="L18" i="31"/>
  <c r="K19" i="31"/>
  <c r="K18" i="31"/>
  <c r="J19" i="31"/>
  <c r="J18" i="31"/>
  <c r="I19" i="31"/>
  <c r="I18" i="31"/>
  <c r="H19" i="31"/>
  <c r="H18" i="31"/>
  <c r="C16" i="31"/>
  <c r="Q16" i="31"/>
  <c r="C15" i="31"/>
  <c r="Q15" i="31"/>
  <c r="C14" i="31"/>
  <c r="Q14" i="31"/>
  <c r="C13" i="31"/>
  <c r="Q13" i="31"/>
  <c r="C12" i="31"/>
  <c r="Q12" i="31"/>
  <c r="C11" i="31"/>
  <c r="Q11" i="31"/>
  <c r="C10" i="31"/>
  <c r="Q10" i="31"/>
  <c r="C9" i="31"/>
  <c r="Q9" i="31"/>
  <c r="Q8" i="31"/>
  <c r="P7" i="31"/>
  <c r="P6" i="31"/>
  <c r="O7" i="31"/>
  <c r="O6" i="31"/>
  <c r="N7" i="31"/>
  <c r="N6" i="31"/>
  <c r="M7" i="31"/>
  <c r="M6" i="31"/>
  <c r="L7" i="31"/>
  <c r="L6" i="31"/>
  <c r="K7" i="31"/>
  <c r="K6" i="31"/>
  <c r="J7" i="31"/>
  <c r="J6" i="31"/>
  <c r="I7" i="31"/>
  <c r="I6" i="31"/>
  <c r="H7" i="31"/>
  <c r="H6" i="31"/>
  <c r="AU32" i="6"/>
  <c r="AB32" i="6"/>
  <c r="AA32" i="6"/>
  <c r="Z32" i="6"/>
  <c r="Y32" i="6"/>
  <c r="AU31" i="6"/>
  <c r="AB31" i="6"/>
  <c r="AA31" i="6"/>
  <c r="Z31" i="6"/>
  <c r="Y31" i="6"/>
  <c r="AU30" i="6"/>
  <c r="AB30" i="6"/>
  <c r="AA30" i="6"/>
  <c r="Z30" i="6"/>
  <c r="Y30" i="6"/>
  <c r="AU33" i="6"/>
  <c r="AB33" i="6"/>
  <c r="AA33" i="6"/>
  <c r="Z33" i="6"/>
  <c r="Y33" i="6"/>
  <c r="W25" i="6"/>
  <c r="W26" i="6"/>
  <c r="W27" i="6"/>
  <c r="W28" i="6"/>
  <c r="W29" i="6"/>
  <c r="W30" i="6"/>
  <c r="W31" i="6"/>
  <c r="W32" i="6"/>
  <c r="W33" i="6"/>
  <c r="AB29" i="6"/>
  <c r="AA29" i="6"/>
  <c r="Z29" i="6"/>
  <c r="Y29" i="6"/>
  <c r="AB28" i="6"/>
  <c r="AA28" i="6"/>
  <c r="Z28" i="6"/>
  <c r="Y28" i="6"/>
  <c r="AB27" i="6"/>
  <c r="AA27" i="6"/>
  <c r="Z27" i="6"/>
  <c r="Y27" i="6"/>
  <c r="AB26" i="6"/>
  <c r="AA26" i="6"/>
  <c r="Z26" i="6"/>
  <c r="Y26" i="6"/>
  <c r="AB25" i="6"/>
  <c r="AA25" i="6"/>
  <c r="Z25" i="6"/>
  <c r="Y25" i="6"/>
  <c r="AU29" i="6"/>
  <c r="AU28" i="6"/>
  <c r="AU27" i="6"/>
  <c r="AU26" i="6"/>
  <c r="AU25" i="6"/>
  <c r="B8" i="31"/>
  <c r="D8" i="31"/>
  <c r="I8" i="31"/>
  <c r="J8" i="31"/>
  <c r="K8" i="31"/>
  <c r="L8" i="31"/>
  <c r="M8" i="31"/>
  <c r="N8" i="31"/>
  <c r="O8" i="31"/>
  <c r="P8" i="31"/>
  <c r="B9" i="31"/>
  <c r="D9" i="31"/>
  <c r="H9" i="31"/>
  <c r="J9" i="31"/>
  <c r="K9" i="31"/>
  <c r="L9" i="31"/>
  <c r="M9" i="31"/>
  <c r="N9" i="31"/>
  <c r="O9" i="31"/>
  <c r="P9" i="31"/>
  <c r="B10" i="31"/>
  <c r="D10" i="31"/>
  <c r="H10" i="31"/>
  <c r="I10" i="31"/>
  <c r="K10" i="31"/>
  <c r="L10" i="31"/>
  <c r="M10" i="31"/>
  <c r="N10" i="31"/>
  <c r="O10" i="31"/>
  <c r="P10" i="31"/>
  <c r="B11" i="31"/>
  <c r="D11" i="31"/>
  <c r="H11" i="31"/>
  <c r="I11" i="31"/>
  <c r="J11" i="31"/>
  <c r="L11" i="31"/>
  <c r="M11" i="31"/>
  <c r="N11" i="31"/>
  <c r="O11" i="31"/>
  <c r="P11" i="31"/>
  <c r="B12" i="31"/>
  <c r="D12" i="31"/>
  <c r="H12" i="31"/>
  <c r="I12" i="31"/>
  <c r="J12" i="31"/>
  <c r="K12" i="31"/>
  <c r="M12" i="31"/>
  <c r="N12" i="31"/>
  <c r="O12" i="31"/>
  <c r="P12" i="31"/>
  <c r="B13" i="31"/>
  <c r="D13" i="31"/>
  <c r="H13" i="31"/>
  <c r="I13" i="31"/>
  <c r="J13" i="31"/>
  <c r="K13" i="31"/>
  <c r="L13" i="31"/>
  <c r="N13" i="31"/>
  <c r="O13" i="31"/>
  <c r="P13" i="31"/>
  <c r="B14" i="31"/>
  <c r="D14" i="31"/>
  <c r="H14" i="31"/>
  <c r="I14" i="31"/>
  <c r="J14" i="31"/>
  <c r="K14" i="31"/>
  <c r="L14" i="31"/>
  <c r="M14" i="31"/>
  <c r="O14" i="31"/>
  <c r="P14" i="31"/>
  <c r="B15" i="31"/>
  <c r="D15" i="31"/>
  <c r="H15" i="31"/>
  <c r="I15" i="31"/>
  <c r="J15" i="31"/>
  <c r="K15" i="31"/>
  <c r="L15" i="31"/>
  <c r="M15" i="31"/>
  <c r="N15" i="31"/>
  <c r="P15" i="31"/>
  <c r="B16" i="31"/>
  <c r="D16" i="31"/>
  <c r="H16" i="31"/>
  <c r="I16" i="31"/>
  <c r="J16" i="31"/>
  <c r="K16" i="31"/>
  <c r="L16" i="31"/>
  <c r="M16" i="31"/>
  <c r="N16" i="31"/>
  <c r="O16" i="31"/>
  <c r="B20" i="31"/>
  <c r="D20" i="31"/>
  <c r="I20" i="31"/>
  <c r="J20" i="31"/>
  <c r="K20" i="31"/>
  <c r="L20" i="31"/>
  <c r="M20" i="31"/>
  <c r="N20" i="31"/>
  <c r="O20" i="31"/>
  <c r="P20" i="31"/>
  <c r="B21" i="31"/>
  <c r="D21" i="31"/>
  <c r="H21" i="31"/>
  <c r="J21" i="31"/>
  <c r="K21" i="31"/>
  <c r="L21" i="31"/>
  <c r="M21" i="31"/>
  <c r="N21" i="31"/>
  <c r="O21" i="31"/>
  <c r="P21" i="31"/>
  <c r="B22" i="31"/>
  <c r="D22" i="31"/>
  <c r="H22" i="31"/>
  <c r="I22" i="31"/>
  <c r="K22" i="31"/>
  <c r="L22" i="31"/>
  <c r="M22" i="31"/>
  <c r="N22" i="31"/>
  <c r="O22" i="31"/>
  <c r="P22" i="31"/>
  <c r="B23" i="31"/>
  <c r="D23" i="31"/>
  <c r="H23" i="31"/>
  <c r="I23" i="31"/>
  <c r="J23" i="31"/>
  <c r="L23" i="31"/>
  <c r="M23" i="31"/>
  <c r="N23" i="31"/>
  <c r="O23" i="31"/>
  <c r="P23" i="31"/>
  <c r="B24" i="31"/>
  <c r="D24" i="31"/>
  <c r="H24" i="31"/>
  <c r="I24" i="31"/>
  <c r="J24" i="31"/>
  <c r="K24" i="31"/>
  <c r="M24" i="31"/>
  <c r="N24" i="31"/>
  <c r="O24" i="31"/>
  <c r="P24" i="31"/>
  <c r="B25" i="31"/>
  <c r="D25" i="31"/>
  <c r="H25" i="31"/>
  <c r="I25" i="31"/>
  <c r="J25" i="31"/>
  <c r="K25" i="31"/>
  <c r="L25" i="31"/>
  <c r="N25" i="31"/>
  <c r="O25" i="31"/>
  <c r="P25" i="31"/>
  <c r="B26" i="31"/>
  <c r="D26" i="31"/>
  <c r="H26" i="31"/>
  <c r="I26" i="31"/>
  <c r="J26" i="31"/>
  <c r="K26" i="31"/>
  <c r="L26" i="31"/>
  <c r="M26" i="31"/>
  <c r="O26" i="31"/>
  <c r="P26" i="31"/>
  <c r="B27" i="31"/>
  <c r="D27" i="31"/>
  <c r="H27" i="31"/>
  <c r="I27" i="31"/>
  <c r="J27" i="31"/>
  <c r="K27" i="31"/>
  <c r="L27" i="31"/>
  <c r="M27" i="31"/>
  <c r="N27" i="31"/>
  <c r="P27" i="31"/>
  <c r="B28" i="31"/>
  <c r="D28" i="31"/>
  <c r="H28" i="31"/>
  <c r="I28" i="31"/>
  <c r="J28" i="31"/>
  <c r="K28" i="31"/>
  <c r="L28" i="31"/>
  <c r="M28" i="31"/>
  <c r="N28" i="31"/>
  <c r="O28" i="31"/>
  <c r="B32" i="31"/>
  <c r="D32" i="31"/>
  <c r="I32" i="31"/>
  <c r="J32" i="31"/>
  <c r="K32" i="31"/>
  <c r="L32" i="31"/>
  <c r="M32" i="31"/>
  <c r="N32" i="31"/>
  <c r="O32" i="31"/>
  <c r="P32" i="31"/>
  <c r="B33" i="31"/>
  <c r="D33" i="31"/>
  <c r="H33" i="31"/>
  <c r="J33" i="31"/>
  <c r="K33" i="31"/>
  <c r="L33" i="31"/>
  <c r="M33" i="31"/>
  <c r="N33" i="31"/>
  <c r="O33" i="31"/>
  <c r="P33" i="31"/>
  <c r="B34" i="31"/>
  <c r="D34" i="31"/>
  <c r="H34" i="31"/>
  <c r="I34" i="31"/>
  <c r="K34" i="31"/>
  <c r="L34" i="31"/>
  <c r="M34" i="31"/>
  <c r="N34" i="31"/>
  <c r="O34" i="31"/>
  <c r="P34" i="31"/>
  <c r="B35" i="31"/>
  <c r="D35" i="31"/>
  <c r="H35" i="31"/>
  <c r="I35" i="31"/>
  <c r="J35" i="31"/>
  <c r="L35" i="31"/>
  <c r="M35" i="31"/>
  <c r="N35" i="31"/>
  <c r="O35" i="31"/>
  <c r="P35" i="31"/>
  <c r="B36" i="31"/>
  <c r="D36" i="31"/>
  <c r="H36" i="31"/>
  <c r="I36" i="31"/>
  <c r="J36" i="31"/>
  <c r="K36" i="31"/>
  <c r="M36" i="31"/>
  <c r="N36" i="31"/>
  <c r="O36" i="31"/>
  <c r="P36" i="31"/>
  <c r="B37" i="31"/>
  <c r="D37" i="31"/>
  <c r="H37" i="31"/>
  <c r="I37" i="31"/>
  <c r="J37" i="31"/>
  <c r="K37" i="31"/>
  <c r="L37" i="31"/>
  <c r="N37" i="31"/>
  <c r="O37" i="31"/>
  <c r="P37" i="31"/>
  <c r="B38" i="31"/>
  <c r="D38" i="31"/>
  <c r="H38" i="31"/>
  <c r="I38" i="31"/>
  <c r="J38" i="31"/>
  <c r="K38" i="31"/>
  <c r="L38" i="31"/>
  <c r="M38" i="31"/>
  <c r="O38" i="31"/>
  <c r="P38" i="31"/>
  <c r="B39" i="31"/>
  <c r="D39" i="31"/>
  <c r="H39" i="31"/>
  <c r="I39" i="31"/>
  <c r="J39" i="31"/>
  <c r="K39" i="31"/>
  <c r="L39" i="31"/>
  <c r="M39" i="31"/>
  <c r="N39" i="31"/>
  <c r="P39" i="31"/>
  <c r="B40" i="31"/>
  <c r="D40" i="31"/>
  <c r="H40" i="31"/>
  <c r="I40" i="31"/>
  <c r="J40" i="31"/>
  <c r="K40" i="31"/>
  <c r="L40" i="31"/>
  <c r="M40" i="31"/>
  <c r="N40" i="31"/>
  <c r="O40" i="31"/>
  <c r="B44" i="31"/>
  <c r="D44" i="31"/>
  <c r="I44" i="31"/>
  <c r="J44" i="31"/>
  <c r="K44" i="31"/>
  <c r="L44" i="31"/>
  <c r="M44" i="31"/>
  <c r="N44" i="31"/>
  <c r="O44" i="31"/>
  <c r="P44" i="31"/>
  <c r="B45" i="31"/>
  <c r="D45" i="31"/>
  <c r="H45" i="31"/>
  <c r="J45" i="31"/>
  <c r="K45" i="31"/>
  <c r="L45" i="31"/>
  <c r="M45" i="31"/>
  <c r="N45" i="31"/>
  <c r="O45" i="31"/>
  <c r="P45" i="31"/>
  <c r="B46" i="31"/>
  <c r="D46" i="31"/>
  <c r="H46" i="31"/>
  <c r="I46" i="31"/>
  <c r="K46" i="31"/>
  <c r="L46" i="31"/>
  <c r="M46" i="31"/>
  <c r="N46" i="31"/>
  <c r="O46" i="31"/>
  <c r="P46" i="31"/>
  <c r="B47" i="31"/>
  <c r="D47" i="31"/>
  <c r="H47" i="31"/>
  <c r="I47" i="31"/>
  <c r="J47" i="31"/>
  <c r="L47" i="31"/>
  <c r="M47" i="31"/>
  <c r="N47" i="31"/>
  <c r="O47" i="31"/>
  <c r="P47" i="31"/>
  <c r="B48" i="31"/>
  <c r="D48" i="31"/>
  <c r="H48" i="31"/>
  <c r="I48" i="31"/>
  <c r="J48" i="31"/>
  <c r="K48" i="31"/>
  <c r="M48" i="31"/>
  <c r="N48" i="31"/>
  <c r="O48" i="31"/>
  <c r="P48" i="31"/>
  <c r="B49" i="31"/>
  <c r="D49" i="31"/>
  <c r="H49" i="31"/>
  <c r="I49" i="31"/>
  <c r="J49" i="31"/>
  <c r="K49" i="31"/>
  <c r="L49" i="31"/>
  <c r="N49" i="31"/>
  <c r="O49" i="31"/>
  <c r="P49" i="31"/>
  <c r="B50" i="31"/>
  <c r="D50" i="31"/>
  <c r="H50" i="31"/>
  <c r="I50" i="31"/>
  <c r="J50" i="31"/>
  <c r="K50" i="31"/>
  <c r="L50" i="31"/>
  <c r="M50" i="31"/>
  <c r="O50" i="31"/>
  <c r="P50" i="31"/>
  <c r="B51" i="31"/>
  <c r="D51" i="31"/>
  <c r="H51" i="31"/>
  <c r="I51" i="31"/>
  <c r="J51" i="31"/>
  <c r="K51" i="31"/>
  <c r="L51" i="31"/>
  <c r="M51" i="31"/>
  <c r="N51" i="31"/>
  <c r="P51" i="31"/>
  <c r="B52" i="31"/>
  <c r="D52" i="31"/>
  <c r="H52" i="31"/>
  <c r="I52" i="31"/>
  <c r="J52" i="31"/>
  <c r="K52" i="31"/>
  <c r="L52" i="31"/>
  <c r="M52" i="31"/>
  <c r="N52" i="31"/>
  <c r="O52" i="31"/>
  <c r="BH25" i="35"/>
  <c r="CB28" i="35"/>
  <c r="BR25" i="35"/>
  <c r="CB26" i="35"/>
  <c r="AJ25" i="6"/>
  <c r="AK25" i="6"/>
  <c r="AG26" i="6"/>
  <c r="AI26" i="6"/>
  <c r="AJ26" i="6"/>
  <c r="AK26" i="6"/>
  <c r="AG27" i="6"/>
  <c r="AI27" i="6"/>
  <c r="AJ27" i="6"/>
  <c r="AK27" i="6"/>
  <c r="AG28" i="6"/>
  <c r="AI28" i="6"/>
  <c r="AJ28" i="6"/>
  <c r="AK28" i="6"/>
  <c r="AG29" i="6"/>
  <c r="AI29" i="6"/>
  <c r="AJ29" i="6"/>
  <c r="AK29" i="6"/>
  <c r="AG30" i="6"/>
  <c r="AI30" i="6"/>
  <c r="AJ30" i="6"/>
  <c r="AK30" i="6"/>
  <c r="AG31" i="6"/>
  <c r="AI31" i="6"/>
  <c r="AJ31" i="6"/>
  <c r="AK31" i="6"/>
  <c r="AG32" i="6"/>
  <c r="AI32" i="6"/>
  <c r="AJ32" i="6"/>
  <c r="AK32" i="6"/>
  <c r="AG33" i="6"/>
  <c r="AI33" i="6"/>
  <c r="AJ33" i="6"/>
  <c r="AK33" i="6"/>
  <c r="AC25" i="6"/>
  <c r="AE25" i="6"/>
  <c r="AF25" i="6"/>
  <c r="E8" i="31"/>
  <c r="G8" i="31"/>
  <c r="E9" i="31"/>
  <c r="F9" i="31"/>
  <c r="G9" i="31"/>
  <c r="E10" i="31"/>
  <c r="F10" i="31"/>
  <c r="G10" i="31"/>
  <c r="E11" i="31"/>
  <c r="F11" i="31"/>
  <c r="G11" i="31"/>
  <c r="E12" i="31"/>
  <c r="F12" i="31"/>
  <c r="G12" i="31"/>
  <c r="E13" i="31"/>
  <c r="F13" i="31"/>
  <c r="G13" i="31"/>
  <c r="E14" i="31"/>
  <c r="F14" i="31"/>
  <c r="G14" i="31"/>
  <c r="E15" i="31"/>
  <c r="F15" i="31"/>
  <c r="G15" i="31"/>
  <c r="E16" i="31"/>
  <c r="F16" i="31"/>
  <c r="G16" i="31"/>
  <c r="E20" i="31"/>
  <c r="F20" i="31"/>
  <c r="G20" i="31"/>
  <c r="E21" i="31"/>
  <c r="F21" i="31"/>
  <c r="G21" i="31"/>
  <c r="E22" i="31"/>
  <c r="F22" i="31"/>
  <c r="G22" i="31"/>
  <c r="E23" i="31"/>
  <c r="F23" i="31"/>
  <c r="G23" i="31"/>
  <c r="E24" i="31"/>
  <c r="F24" i="31"/>
  <c r="G24" i="31"/>
  <c r="E25" i="31"/>
  <c r="F25" i="31"/>
  <c r="G25" i="31"/>
  <c r="E26" i="31"/>
  <c r="F26" i="31"/>
  <c r="G26" i="31"/>
  <c r="E27" i="31"/>
  <c r="F27" i="31"/>
  <c r="G27" i="31"/>
  <c r="E28" i="31"/>
  <c r="F28" i="31"/>
  <c r="G28" i="31"/>
  <c r="E32" i="31"/>
  <c r="F32" i="31"/>
  <c r="G32" i="31"/>
  <c r="E33" i="31"/>
  <c r="F33" i="31"/>
  <c r="G33" i="31"/>
  <c r="E34" i="31"/>
  <c r="F34" i="31"/>
  <c r="G34" i="31"/>
  <c r="E35" i="31"/>
  <c r="F35" i="31"/>
  <c r="G35" i="31"/>
  <c r="E36" i="31"/>
  <c r="F36" i="31"/>
  <c r="G36" i="31"/>
  <c r="E37" i="31"/>
  <c r="F37" i="31"/>
  <c r="G37" i="31"/>
  <c r="E38" i="31"/>
  <c r="F38" i="31"/>
  <c r="G38" i="31"/>
  <c r="E39" i="31"/>
  <c r="F39" i="31"/>
  <c r="G39" i="31"/>
  <c r="E40" i="31"/>
  <c r="F40" i="31"/>
  <c r="G40" i="31"/>
  <c r="E44" i="31"/>
  <c r="F44" i="31"/>
  <c r="G44" i="31"/>
  <c r="E45" i="31"/>
  <c r="F45" i="31"/>
  <c r="G45" i="31"/>
  <c r="E46" i="31"/>
  <c r="F46" i="31"/>
  <c r="G46" i="31"/>
  <c r="E47" i="31"/>
  <c r="F47" i="31"/>
  <c r="G47" i="31"/>
  <c r="E48" i="31"/>
  <c r="F48" i="31"/>
  <c r="G48" i="31"/>
  <c r="E49" i="31"/>
  <c r="F49" i="31"/>
  <c r="G49" i="31"/>
  <c r="E50" i="31"/>
  <c r="F50" i="31"/>
  <c r="G50" i="31"/>
  <c r="E51" i="31"/>
  <c r="F51" i="31"/>
  <c r="G51" i="31"/>
  <c r="E52" i="31"/>
  <c r="F52" i="31"/>
  <c r="G52" i="31"/>
  <c r="C31" i="28"/>
  <c r="C33" i="28"/>
  <c r="Z149" i="28"/>
  <c r="AA149" i="28"/>
  <c r="AB149" i="28"/>
  <c r="AC149" i="28"/>
  <c r="Z150" i="28"/>
  <c r="AA150" i="28"/>
  <c r="AB150" i="28"/>
  <c r="AC150" i="28"/>
  <c r="Z151" i="28"/>
  <c r="AA151" i="28"/>
  <c r="AB151" i="28"/>
  <c r="AC151" i="28"/>
  <c r="Z152" i="28"/>
  <c r="AA152" i="28"/>
  <c r="AB152" i="28"/>
  <c r="AC152" i="28"/>
  <c r="X77" i="28"/>
  <c r="Y77" i="28"/>
  <c r="Z77" i="28"/>
  <c r="AB77" i="28"/>
  <c r="AC77" i="28"/>
  <c r="AD77" i="28"/>
  <c r="AE77" i="28"/>
  <c r="AF77" i="28"/>
  <c r="AG77" i="28"/>
  <c r="AL77" i="28"/>
  <c r="AM77" i="28"/>
  <c r="X78" i="28"/>
  <c r="Y78" i="28"/>
  <c r="Z78" i="28"/>
  <c r="AB78" i="28"/>
  <c r="AC78" i="28"/>
  <c r="AD78" i="28"/>
  <c r="AE78" i="28"/>
  <c r="AF78" i="28"/>
  <c r="AG78" i="28"/>
  <c r="AL78" i="28"/>
  <c r="AM78" i="28"/>
  <c r="Z79" i="28"/>
  <c r="AB79" i="28"/>
  <c r="AC79" i="28"/>
  <c r="AL79" i="28"/>
  <c r="AM79" i="28"/>
  <c r="Z80" i="28"/>
  <c r="AB80" i="28"/>
  <c r="AC80" i="28"/>
  <c r="AL80" i="28"/>
  <c r="AM80" i="28"/>
  <c r="C31" i="29"/>
  <c r="C33" i="29"/>
  <c r="X77" i="29"/>
  <c r="Y77" i="29"/>
  <c r="Z77" i="29"/>
  <c r="AB77" i="29"/>
  <c r="AC77" i="29"/>
  <c r="AD77" i="29"/>
  <c r="AE77" i="29"/>
  <c r="AF77" i="29"/>
  <c r="AG77" i="29"/>
  <c r="AL77" i="29"/>
  <c r="AM77" i="29"/>
  <c r="X78" i="29"/>
  <c r="Y78" i="29"/>
  <c r="Z78" i="29"/>
  <c r="AB78" i="29"/>
  <c r="AC78" i="29"/>
  <c r="AD78" i="29"/>
  <c r="AE78" i="29"/>
  <c r="AF78" i="29"/>
  <c r="AG78" i="29"/>
  <c r="AL78" i="29"/>
  <c r="AM78" i="29"/>
  <c r="Z79" i="29"/>
  <c r="AB79" i="29"/>
  <c r="AC79" i="29"/>
  <c r="AL79" i="29"/>
  <c r="AM79" i="29"/>
  <c r="Z80" i="29"/>
  <c r="AB80" i="29"/>
  <c r="AC80" i="29"/>
  <c r="AL80" i="29"/>
  <c r="AM80" i="29"/>
  <c r="Z149" i="29"/>
  <c r="AA149" i="29"/>
  <c r="AB149" i="29"/>
  <c r="AC149" i="29"/>
  <c r="Z150" i="29"/>
  <c r="AA150" i="29"/>
  <c r="AB150" i="29"/>
  <c r="AC150" i="29"/>
  <c r="Z151" i="29"/>
  <c r="AA151" i="29"/>
  <c r="AB151" i="29"/>
  <c r="AC151" i="29"/>
  <c r="Z152" i="29"/>
  <c r="AA152" i="29"/>
  <c r="AB152" i="29"/>
  <c r="AC152" i="29"/>
  <c r="C31" i="33"/>
  <c r="C33" i="33"/>
  <c r="X77" i="33"/>
  <c r="Y77" i="33"/>
  <c r="Z77" i="33"/>
  <c r="AB77" i="33"/>
  <c r="AC77" i="33"/>
  <c r="AD77" i="33"/>
  <c r="AE77" i="33"/>
  <c r="AF77" i="33"/>
  <c r="AG77" i="33"/>
  <c r="AL77" i="33"/>
  <c r="AM77" i="33"/>
  <c r="X78" i="33"/>
  <c r="Y78" i="33"/>
  <c r="Z78" i="33"/>
  <c r="AB78" i="33"/>
  <c r="AC78" i="33"/>
  <c r="AD78" i="33"/>
  <c r="AE78" i="33"/>
  <c r="AF78" i="33"/>
  <c r="AG78" i="33"/>
  <c r="AL78" i="33"/>
  <c r="AM78" i="33"/>
  <c r="Z79" i="33"/>
  <c r="AB79" i="33"/>
  <c r="AC79" i="33"/>
  <c r="AL79" i="33"/>
  <c r="AM79" i="33"/>
  <c r="Z80" i="33"/>
  <c r="AB80" i="33"/>
  <c r="AC80" i="33"/>
  <c r="AL80" i="33"/>
  <c r="AM80" i="33"/>
  <c r="Z149" i="33"/>
  <c r="AA149" i="33"/>
  <c r="AB149" i="33"/>
  <c r="AC149" i="33"/>
  <c r="Z150" i="33"/>
  <c r="AA150" i="33"/>
  <c r="AB150" i="33"/>
  <c r="AC150" i="33"/>
  <c r="Z151" i="33"/>
  <c r="AA151" i="33"/>
  <c r="AB151" i="33"/>
  <c r="AC151" i="33"/>
  <c r="Z152" i="33"/>
  <c r="AA152" i="33"/>
  <c r="AB152" i="33"/>
  <c r="AC152" i="33"/>
  <c r="AH16" i="26"/>
  <c r="AI16" i="26"/>
  <c r="AJ16" i="26"/>
  <c r="AL16" i="26"/>
  <c r="AK16" i="26"/>
  <c r="AH15" i="26"/>
  <c r="AI15" i="26"/>
  <c r="AJ15" i="26"/>
  <c r="AL15" i="26"/>
  <c r="AK15" i="26"/>
  <c r="AH13" i="26"/>
  <c r="AI13" i="26"/>
  <c r="AJ13" i="26"/>
  <c r="AL13" i="26"/>
  <c r="AK13" i="26"/>
  <c r="C14" i="27" a="1"/>
  <c r="C14" i="27"/>
  <c r="L14" i="35"/>
  <c r="E14" i="27"/>
  <c r="D14" i="27" a="1"/>
  <c r="D14" i="27"/>
</calcChain>
</file>

<file path=xl/sharedStrings.xml><?xml version="1.0" encoding="utf-8"?>
<sst xmlns="http://schemas.openxmlformats.org/spreadsheetml/2006/main" count="2879" uniqueCount="474">
  <si>
    <t>Nr.</t>
  </si>
  <si>
    <t>Spielpaarung</t>
  </si>
  <si>
    <t>Ergebnis</t>
  </si>
  <si>
    <t>Tore</t>
  </si>
  <si>
    <t>Diff.</t>
  </si>
  <si>
    <t>-</t>
  </si>
  <si>
    <t>Sort</t>
  </si>
  <si>
    <t>1.</t>
  </si>
  <si>
    <t>2.</t>
  </si>
  <si>
    <t>3.</t>
  </si>
  <si>
    <t>4.</t>
  </si>
  <si>
    <t>5.</t>
  </si>
  <si>
    <t>6.</t>
  </si>
  <si>
    <t>Direkte Vergleiche</t>
  </si>
  <si>
    <t>Tabelle</t>
  </si>
  <si>
    <t>Pos.</t>
  </si>
  <si>
    <t>valid</t>
  </si>
  <si>
    <t>7.</t>
  </si>
  <si>
    <t>8.</t>
  </si>
  <si>
    <t>9.</t>
  </si>
  <si>
    <t>Teilnehmer und Ablaufplan</t>
  </si>
  <si>
    <t>Teilnehmer</t>
  </si>
  <si>
    <t>Teilnehmer bzw. Mannschaft</t>
  </si>
  <si>
    <t>Ergebnisse</t>
  </si>
  <si>
    <t>Ablaufplan</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</si>
  <si>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</si>
  <si>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</si>
  <si>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</si>
  <si>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</si>
  <si>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</si>
  <si>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</si>
  <si>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</si>
  <si>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</si>
  <si>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</si>
  <si>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</si>
  <si>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</si>
  <si>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</si>
  <si>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</si>
  <si>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</si>
  <si>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</si>
  <si>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</si>
  <si>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</si>
  <si>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</si>
  <si>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</si>
  <si>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</si>
  <si>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</si>
  <si>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</si>
  <si>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</si>
  <si>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</si>
  <si>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</si>
  <si>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</si>
  <si>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</si>
  <si>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Tabelle (Kopie)</t>
  </si>
  <si>
    <t>Paarungen</t>
  </si>
  <si>
    <t>Doppelte Namen führen zu
falschen Tabellenwerten</t>
  </si>
  <si>
    <t>Doppelte Spielpaarungen und Spiele gegen sich selbst
führen in der Gesamttabelle zu falschen Werten!</t>
  </si>
  <si>
    <t>mail@hermann-baum.de</t>
  </si>
  <si>
    <t>Bei Unstimmigkeiten bin ich für eine entsprechende Benachrichtigung sehr dankbar!</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</si>
  <si>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</si>
  <si>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</si>
  <si>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</si>
  <si>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</si>
  <si>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</si>
  <si>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</si>
  <si>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</si>
  <si>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</si>
  <si>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</si>
  <si>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</si>
  <si>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</si>
  <si>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</si>
  <si>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</si>
  <si>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</si>
  <si>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</si>
  <si>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</si>
  <si>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</si>
  <si>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</si>
  <si>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</si>
  <si>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</si>
  <si>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</si>
  <si>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</si>
  <si>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</si>
  <si>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</si>
  <si>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</si>
  <si>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</si>
  <si>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</si>
  <si>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</si>
  <si>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</si>
  <si>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</si>
  <si>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</si>
  <si>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</si>
  <si>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</si>
  <si>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</si>
  <si>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</si>
  <si>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</si>
  <si>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Goals</t>
  </si>
  <si>
    <t>Points</t>
  </si>
  <si>
    <t>Count</t>
  </si>
  <si>
    <t>Team</t>
  </si>
  <si>
    <t>Dir. Comparisons</t>
  </si>
  <si>
    <t>Direct Comparisons</t>
  </si>
  <si>
    <t>Goal difference</t>
  </si>
  <si>
    <t>Goals scored</t>
  </si>
  <si>
    <t>Difference</t>
  </si>
  <si>
    <t>Pld</t>
  </si>
  <si>
    <t>W</t>
  </si>
  <si>
    <t>D</t>
  </si>
  <si>
    <t>L</t>
  </si>
  <si>
    <t>GF</t>
  </si>
  <si>
    <t>GA</t>
  </si>
  <si>
    <t>GD</t>
  </si>
  <si>
    <t>Pts</t>
  </si>
  <si>
    <t>Choose language</t>
  </si>
  <si>
    <t>my language</t>
  </si>
  <si>
    <t>english</t>
  </si>
  <si>
    <t>Direct comparisons</t>
  </si>
  <si>
    <t>Captions</t>
  </si>
  <si>
    <t>No.</t>
  </si>
  <si>
    <t>Participant or team</t>
  </si>
  <si>
    <t>Results</t>
  </si>
  <si>
    <t>Total table</t>
  </si>
  <si>
    <t>Total table (copy)</t>
  </si>
  <si>
    <t>Änderung der Spielpaarungen nur auf dem Blatt 'Planung'!   Hier nur die Ergebnisse eintragen!</t>
  </si>
  <si>
    <t>Change of the fixtures only on the sheet 'Planning'! Just enter the results here!</t>
  </si>
  <si>
    <t>Match pairing</t>
  </si>
  <si>
    <t>Result</t>
  </si>
  <si>
    <t>SP</t>
  </si>
  <si>
    <t>G</t>
  </si>
  <si>
    <t>U</t>
  </si>
  <si>
    <t>V</t>
  </si>
  <si>
    <t>Pkt</t>
  </si>
  <si>
    <t>Participants and schedule</t>
  </si>
  <si>
    <t>Participants</t>
  </si>
  <si>
    <t>Schedule</t>
  </si>
  <si>
    <t>Pairings</t>
  </si>
  <si>
    <t>If there are any discrepancies, I am very grateful for notification!</t>
  </si>
  <si>
    <t>Überschriften</t>
  </si>
  <si>
    <t>Messages</t>
  </si>
  <si>
    <t>Meldungen</t>
  </si>
  <si>
    <t>Sprache wählen</t>
  </si>
  <si>
    <t>Dein Datum</t>
  </si>
  <si>
    <t>Your date</t>
  </si>
  <si>
    <t>Kann gelöscht werden   →</t>
  </si>
  <si>
    <t>Deine Überschriften</t>
  </si>
  <si>
    <t>Your captions</t>
  </si>
  <si>
    <t>Hint may be deleted   →</t>
  </si>
  <si>
    <t>deutsch</t>
  </si>
  <si>
    <t>Hier klicken und Sprache wählen</t>
  </si>
  <si>
    <t>Click here and choose language</t>
  </si>
  <si>
    <t>Display direct comparisons</t>
  </si>
  <si>
    <t>erz. Tore</t>
  </si>
  <si>
    <t>Rote Schrift bedeutet, dass die Rangfolge auch mit dem direkten Vergleich nicht geklärt ist. Fair Play oder Los muss hier entscheiden.</t>
  </si>
  <si>
    <t>Red font means that the ranking is not clear even with the direct comparison. Fair play or lot has to decide here.</t>
  </si>
  <si>
    <t>Double match pairings and matches against oneself
lead to incorrect values in the overall table!</t>
  </si>
  <si>
    <t>pairing first</t>
  </si>
  <si>
    <t>Duplicate names lead to
incorrect table values</t>
  </si>
  <si>
    <t>min</t>
  </si>
  <si>
    <t>Uhr</t>
  </si>
  <si>
    <t xml:space="preserve"> </t>
  </si>
  <si>
    <t>Zeitkonflikt</t>
  </si>
  <si>
    <t>Time conflict</t>
  </si>
  <si>
    <t>Spiel gegen</t>
  </si>
  <si>
    <t>Match against</t>
  </si>
  <si>
    <t>Note</t>
  </si>
  <si>
    <t>Anmerkung</t>
  </si>
  <si>
    <t>Spielzeiten</t>
  </si>
  <si>
    <t>Playing times</t>
  </si>
  <si>
    <t>final</t>
  </si>
  <si>
    <t>Factors</t>
  </si>
  <si>
    <t>n = 4</t>
  </si>
  <si>
    <t>n = 5</t>
  </si>
  <si>
    <t>n = 6</t>
  </si>
  <si>
    <t>Matchups</t>
  </si>
  <si>
    <t>Spielpaarungen</t>
  </si>
  <si>
    <t>Einstellungen</t>
  </si>
  <si>
    <t>Settings</t>
  </si>
  <si>
    <t>Anzahl der Punkte für einen Sieg:</t>
  </si>
  <si>
    <t>Number of points for a win:</t>
  </si>
  <si>
    <t>n = 3</t>
  </si>
  <si>
    <t>Direkte Vergleiche bei Gleichstand in Punkten, Tordifferenz und erzielten Toren (FIFA-Modus)</t>
  </si>
  <si>
    <t>Direct comparisons in case of a tie in points (UEFA mode)</t>
  </si>
  <si>
    <t>Direkte Vergleiche bei Gleichstand in Punkten (UEFA-Modus)</t>
  </si>
  <si>
    <t>Direct comparisons in case of a tie in points, goal difference and goals scored (FIFA mode)</t>
  </si>
  <si>
    <t>Modus für direkte Vergleiche:</t>
  </si>
  <si>
    <t>Direct comparison mode:</t>
  </si>
  <si>
    <t>Modus 1</t>
  </si>
  <si>
    <t>Modus 2</t>
  </si>
  <si>
    <t>Mode 1</t>
  </si>
  <si>
    <t>Mode 2</t>
  </si>
  <si>
    <t>Buchstaben</t>
  </si>
  <si>
    <t>letters</t>
  </si>
  <si>
    <t>Gruppe</t>
  </si>
  <si>
    <t>Group</t>
  </si>
  <si>
    <t>Grp</t>
  </si>
  <si>
    <t>A3</t>
  </si>
  <si>
    <t>B3</t>
  </si>
  <si>
    <t>A1</t>
  </si>
  <si>
    <t>B1</t>
  </si>
  <si>
    <t>A2</t>
  </si>
  <si>
    <t>B2</t>
  </si>
  <si>
    <t>A4</t>
  </si>
  <si>
    <t>B4</t>
  </si>
  <si>
    <t>A5</t>
  </si>
  <si>
    <t>B5</t>
  </si>
  <si>
    <t>A6</t>
  </si>
  <si>
    <t>B6</t>
  </si>
  <si>
    <t>Vorrunde</t>
  </si>
  <si>
    <t>Endrunde</t>
  </si>
  <si>
    <t>Preliminary round</t>
  </si>
  <si>
    <t>Final round</t>
  </si>
  <si>
    <t>&lt;-- max(A;B) --&gt;</t>
  </si>
  <si>
    <t>DirC + TieBreak</t>
  </si>
  <si>
    <t>Tie Break Vorrunde</t>
  </si>
  <si>
    <t>Tie break preliminary round</t>
  </si>
  <si>
    <t>6A - 6B</t>
  </si>
  <si>
    <t>5A - 5B</t>
  </si>
  <si>
    <t>4A - 4B</t>
  </si>
  <si>
    <t>3A - 3B</t>
  </si>
  <si>
    <t>2A - 2B</t>
  </si>
  <si>
    <t>1A - 1B</t>
  </si>
  <si>
    <t>:</t>
  </si>
  <si>
    <t>Zusätzl. Pause (min)</t>
  </si>
  <si>
    <t>Addit. Pause (min)</t>
  </si>
  <si>
    <t>Turnierende:</t>
  </si>
  <si>
    <t>Tournament end:</t>
  </si>
  <si>
    <t>Elfmeter</t>
  </si>
  <si>
    <t>Penalty</t>
  </si>
  <si>
    <t>End of preliminary round:</t>
  </si>
  <si>
    <t>Ende der Vorrunde:</t>
  </si>
  <si>
    <t>Playing time per match:</t>
  </si>
  <si>
    <t>Spielzeit pro Spiel:</t>
  </si>
  <si>
    <t>Change time:</t>
  </si>
  <si>
    <t>Wechselzeit:</t>
  </si>
  <si>
    <t>Field</t>
  </si>
  <si>
    <t>Rang</t>
  </si>
  <si>
    <t>Rank</t>
  </si>
  <si>
    <t>Sind zwei oder mehr Mannschaften nicht unterscheidbar und wird eine Entscheidung z.B. durch Elfmeterschießen oder Los getroffen, genügt es, für die bevorzugte Mannschaft einen Bonuspunkt einzutragen.</t>
  </si>
  <si>
    <t>If two or more teams cannot be distinguished and a decision is made, for example, through a penalty shootout or drawing lots, it is sufficient to enter a bonus point for the preferred team.</t>
  </si>
  <si>
    <t>1A - 2B</t>
  </si>
  <si>
    <t>1B - 2A</t>
  </si>
  <si>
    <t>3. Platz</t>
  </si>
  <si>
    <t>Finale</t>
  </si>
  <si>
    <t>Final</t>
  </si>
  <si>
    <t>3rd place</t>
  </si>
  <si>
    <t>Halbfinale</t>
  </si>
  <si>
    <t>Endspiele</t>
  </si>
  <si>
    <t>Finals</t>
  </si>
  <si>
    <t>Semi-finals</t>
  </si>
  <si>
    <t xml:space="preserve">Spiele um die Plätze </t>
  </si>
  <si>
    <t xml:space="preserve">Games for places </t>
  </si>
  <si>
    <t>Beginn:  9:00 Uhr</t>
  </si>
  <si>
    <t>Veranstalter:  1. FC Riedwald</t>
  </si>
  <si>
    <t>Vorrunde Gruppe</t>
  </si>
  <si>
    <t>Preliminary round group</t>
  </si>
  <si>
    <t>1. FC Riedwald</t>
  </si>
  <si>
    <t>FC Barcelona</t>
  </si>
  <si>
    <t>Eintracht Frankfurt</t>
  </si>
  <si>
    <t>Maibach 1822 eV</t>
  </si>
  <si>
    <t>Mainz 05</t>
  </si>
  <si>
    <t>Inter Mailand</t>
  </si>
  <si>
    <t>Manchester City</t>
  </si>
  <si>
    <t>SSV Wildbach</t>
  </si>
  <si>
    <t>FC Grönlingen</t>
  </si>
  <si>
    <t>Sporthalle Wiesengrund, Wendiger Str. 51, 65432 Riedwald</t>
  </si>
  <si>
    <t>dummy</t>
  </si>
  <si>
    <t xml:space="preserve">Due to time conflicts, you can only play on a maximum of </t>
  </si>
  <si>
    <t xml:space="preserve">Wegen zeitlicher Konflikte kann nur auf maximal </t>
  </si>
  <si>
    <t xml:space="preserve"> Spielplätzen gleichzeitig gespielt werden.</t>
  </si>
  <si>
    <t>Abbreviations of the team names:</t>
  </si>
  <si>
    <t>Abkürzungen der Mannschaftsnamen:</t>
  </si>
  <si>
    <t>End of tournament (final round 1):</t>
  </si>
  <si>
    <t>Turnierende (Endrunde 1):</t>
  </si>
  <si>
    <t>End of tournament (final round 2):</t>
  </si>
  <si>
    <t>Turnierende (Endrunde 2):</t>
  </si>
  <si>
    <t>TIME CONFLICT
Too many pitches!</t>
  </si>
  <si>
    <t>ZEITKONFLIKT
Zu viele Spielplätze!</t>
  </si>
  <si>
    <t xml:space="preserve"> pitches at the same time.</t>
  </si>
  <si>
    <t>Erste Position des doppelten Elements</t>
  </si>
  <si>
    <t>Zweite Position des doppelten Elements</t>
  </si>
  <si>
    <t>Doppeltes Element finden</t>
  </si>
  <si>
    <t xml:space="preserve">TIME CONFLICT for team </t>
  </si>
  <si>
    <t xml:space="preserve">ZEITKONFLIKT für Team </t>
  </si>
  <si>
    <t xml:space="preserve">in matches </t>
  </si>
  <si>
    <t xml:space="preserve">in den Spielen </t>
  </si>
  <si>
    <t xml:space="preserve"> and </t>
  </si>
  <si>
    <t xml:space="preserve"> und </t>
  </si>
  <si>
    <t>*</t>
  </si>
  <si>
    <t>wegen</t>
  </si>
  <si>
    <t>bei drei</t>
  </si>
  <si>
    <t>Spielplätzen</t>
  </si>
  <si>
    <t>due to time</t>
  </si>
  <si>
    <t>conflict at</t>
  </si>
  <si>
    <t>three fields</t>
  </si>
  <si>
    <t>* vertauscht</t>
  </si>
  <si>
    <t>* swapped</t>
  </si>
  <si>
    <t>Anzahl der Spielfelder:</t>
  </si>
  <si>
    <t>Number of fields:</t>
  </si>
  <si>
    <t>Feld</t>
  </si>
  <si>
    <t>Start</t>
  </si>
  <si>
    <t>Beginn</t>
  </si>
  <si>
    <t>End of tournament (final round 3):</t>
  </si>
  <si>
    <t>Turnierende (Endrunde 3):</t>
  </si>
  <si>
    <t>3A</t>
  </si>
  <si>
    <t>1B</t>
  </si>
  <si>
    <t>Gruppenerste und -zweite</t>
  </si>
  <si>
    <t>Gruppendritte und -vierte</t>
  </si>
  <si>
    <t>Gruppenfünfte und -sechste</t>
  </si>
  <si>
    <t>1A</t>
  </si>
  <si>
    <t>2A</t>
  </si>
  <si>
    <t>2B</t>
  </si>
  <si>
    <t>3B</t>
  </si>
  <si>
    <t>4A</t>
  </si>
  <si>
    <t>4B</t>
  </si>
  <si>
    <t>5A</t>
  </si>
  <si>
    <t>5B</t>
  </si>
  <si>
    <t>6A</t>
  </si>
  <si>
    <t>6B</t>
  </si>
  <si>
    <t>End of tournament (final round 4):</t>
  </si>
  <si>
    <t>Turnierende (Endrunde 4):</t>
  </si>
  <si>
    <t>VFB Essenheim</t>
  </si>
  <si>
    <t>A7</t>
  </si>
  <si>
    <t>A8</t>
  </si>
  <si>
    <t>A9</t>
  </si>
  <si>
    <t>B7</t>
  </si>
  <si>
    <t>B8</t>
  </si>
  <si>
    <t>B9</t>
  </si>
  <si>
    <t>n = 7</t>
  </si>
  <si>
    <t>n = 8</t>
  </si>
  <si>
    <t>n = 9</t>
  </si>
  <si>
    <t>Aktuelle Anzahl der Spielplätze</t>
  </si>
  <si>
    <t>Zeiten und Spielplätze ausblenden</t>
  </si>
  <si>
    <t>Maximal mögliche Anzahl der Spielplätze</t>
  </si>
  <si>
    <t>9A -9B</t>
  </si>
  <si>
    <t>8A - 8B</t>
  </si>
  <si>
    <t>7A - 7B</t>
  </si>
  <si>
    <t>Gruppensiebte und -achte</t>
  </si>
  <si>
    <t>Gruppenneunte</t>
  </si>
  <si>
    <t>Seventh and eighth placed</t>
  </si>
  <si>
    <t>Ninth placed</t>
  </si>
  <si>
    <t>Fifth and sixth placed</t>
  </si>
  <si>
    <t>First and second placed</t>
  </si>
  <si>
    <t>Third and fourth placed</t>
  </si>
  <si>
    <t>7A</t>
  </si>
  <si>
    <t>7B</t>
  </si>
  <si>
    <t>8A</t>
  </si>
  <si>
    <t>8B</t>
  </si>
  <si>
    <t>9A</t>
  </si>
  <si>
    <t>9B</t>
  </si>
  <si>
    <t>Winner</t>
  </si>
  <si>
    <t>Match No.</t>
  </si>
  <si>
    <t>Spiel Nr.</t>
  </si>
  <si>
    <t>Kick-off times finals 4</t>
  </si>
  <si>
    <t>Anstoßzeiten Endrunde 4</t>
  </si>
  <si>
    <t>3A - 4B</t>
  </si>
  <si>
    <t>3B - 4A</t>
  </si>
  <si>
    <t>Semifinal places 1 - 4</t>
  </si>
  <si>
    <t>Halbfinale Plätze 1 - 4</t>
  </si>
  <si>
    <t>Semifinal places 5 - 8</t>
  </si>
  <si>
    <t>Halbfinale Plätze 5 - 8</t>
  </si>
  <si>
    <t>Finals places 1 - 4</t>
  </si>
  <si>
    <t>Endspiele Plätze 1 - 4</t>
  </si>
  <si>
    <t>Finals places 5 - 8</t>
  </si>
  <si>
    <t>Endspiele Plätze 5 - 8</t>
  </si>
  <si>
    <t>Turnierende (Endrunde 2a):</t>
  </si>
  <si>
    <t>End of tournament (final round 2a):</t>
  </si>
  <si>
    <t>5. Platz</t>
  </si>
  <si>
    <t>7. Platz</t>
  </si>
  <si>
    <t>5th place</t>
  </si>
  <si>
    <t>7th place</t>
  </si>
  <si>
    <t>Referee</t>
  </si>
  <si>
    <t>Schiedsrichter</t>
  </si>
  <si>
    <t>sets</t>
  </si>
  <si>
    <t>Sätze</t>
  </si>
  <si>
    <t>balls</t>
  </si>
  <si>
    <t>Bälle</t>
  </si>
  <si>
    <t>1st set</t>
  </si>
  <si>
    <t>1. Satz</t>
  </si>
  <si>
    <t>2nd set</t>
  </si>
  <si>
    <t>2. Satz</t>
  </si>
  <si>
    <t>3rd set</t>
  </si>
  <si>
    <t>3. Satz</t>
  </si>
  <si>
    <t>pts</t>
  </si>
  <si>
    <t>GD/Quot</t>
  </si>
  <si>
    <t>Pts/Sets won</t>
  </si>
  <si>
    <t>Pts + GD</t>
  </si>
  <si>
    <t>Sets</t>
  </si>
  <si>
    <t>Rounded</t>
  </si>
  <si>
    <t>Sets lost</t>
  </si>
  <si>
    <t>Sets won</t>
  </si>
  <si>
    <t>Sets diff</t>
  </si>
  <si>
    <t>Diff/Quot</t>
  </si>
  <si>
    <t>rank</t>
  </si>
  <si>
    <t>Ball difference or ball quotient:</t>
  </si>
  <si>
    <t>Balldifferenz oder Ballquotient:</t>
  </si>
  <si>
    <t>Ball difference</t>
  </si>
  <si>
    <t>Balldifferenz</t>
  </si>
  <si>
    <t>Ball quotient</t>
  </si>
  <si>
    <t>Ballquotient</t>
  </si>
  <si>
    <t>Ball points</t>
  </si>
  <si>
    <t>Ballpunkte</t>
  </si>
  <si>
    <t>Set points</t>
  </si>
  <si>
    <t>Satzpunkte</t>
  </si>
  <si>
    <t>Set difference as the second criterion?</t>
  </si>
  <si>
    <t>Satzdifferenz als zweites Kriterium?</t>
  </si>
  <si>
    <t>Yes</t>
  </si>
  <si>
    <t>Ja</t>
  </si>
  <si>
    <t>No</t>
  </si>
  <si>
    <t>Nein</t>
  </si>
  <si>
    <t>Setpts.</t>
  </si>
  <si>
    <t>Satzpkt.</t>
  </si>
  <si>
    <t>First criterion for the ranking:</t>
  </si>
  <si>
    <t>Erstes Kriterium für die Rangliste:</t>
  </si>
  <si>
    <t>Number of (victory) points</t>
  </si>
  <si>
    <t>Anzahl der (Sieg-)Punkte</t>
  </si>
  <si>
    <t>Number of sets won</t>
  </si>
  <si>
    <t>Anzahl der gewonnenen Sätze</t>
  </si>
  <si>
    <t>Sets won as the third criterion?</t>
  </si>
  <si>
    <t>Anzahl der gewonnenen Sätze als drittes Kriterium?</t>
  </si>
  <si>
    <t>Only makes sense if the number of (victory) points is the first criterion</t>
  </si>
  <si>
    <t>Nur sinnvoll, wenn die Anzahl der (Sieg-)Punkte 1. Kriterium ist</t>
  </si>
  <si>
    <t>Team numbers</t>
  </si>
  <si>
    <t>Teamnummern</t>
  </si>
  <si>
    <t>Sieger</t>
  </si>
  <si>
    <t>Display in the crosstabs of the preliminary round:</t>
  </si>
  <si>
    <t>Anzeige in den Kreuztabellen der Vorrunde:</t>
  </si>
  <si>
    <t>max quot.</t>
  </si>
  <si>
    <t>Diff./Quot.</t>
  </si>
  <si>
    <t>Nr of dec places</t>
  </si>
  <si>
    <t>Ball/Set points</t>
  </si>
  <si>
    <t>playoffs</t>
  </si>
  <si>
    <t>invalid 1</t>
  </si>
  <si>
    <t>invalid 2</t>
  </si>
  <si>
    <t>invalid 3</t>
  </si>
  <si>
    <t>Team IDs</t>
  </si>
  <si>
    <t>Team-Kürzel</t>
  </si>
  <si>
    <t>e.g.  A2 - A4</t>
  </si>
  <si>
    <t>z.B.  A2 - A4</t>
  </si>
  <si>
    <t>Tie break final round 4</t>
  </si>
  <si>
    <t>Tie Break Endrunde 4</t>
  </si>
  <si>
    <t>Quot.</t>
  </si>
  <si>
    <t xml:space="preserve"> : </t>
  </si>
  <si>
    <t xml:space="preserve"> - </t>
  </si>
  <si>
    <t>pts/sets</t>
  </si>
  <si>
    <t>Diff</t>
  </si>
  <si>
    <t>Dzero</t>
  </si>
  <si>
    <t>sets won</t>
  </si>
  <si>
    <t>goals</t>
  </si>
  <si>
    <t>Tie break</t>
  </si>
  <si>
    <t>Tie-Break</t>
  </si>
  <si>
    <t>winner</t>
  </si>
  <si>
    <t>looser</t>
  </si>
  <si>
    <t>3rd set?</t>
  </si>
  <si>
    <t>valid 1 + 2</t>
  </si>
  <si>
    <t>valid 3</t>
  </si>
  <si>
    <t>result</t>
  </si>
  <si>
    <t>TieBr+PO</t>
  </si>
  <si>
    <t>Bonus</t>
  </si>
  <si>
    <t>Is a draw possible in individual sets during the preliminary round?</t>
  </si>
  <si>
    <t>Unentschieden bei einzelnen Sätzen in der Vorrunde möglich?</t>
  </si>
  <si>
    <t>A draw results in 0.5 set points per team.</t>
  </si>
  <si>
    <t>Bei Unentschieden bekommt jedes Team 0,5 Satzpunkte.</t>
  </si>
  <si>
    <t>Is a draw possible in individual sets during the final round?</t>
  </si>
  <si>
    <t>Unentschieden bei einzelnen Sätzen in der Endrunde möglich?</t>
  </si>
  <si>
    <t>Keine unentschiedenen Sätze:</t>
  </si>
  <si>
    <t>format 1 + 2</t>
  </si>
  <si>
    <t>format 3</t>
  </si>
  <si>
    <t>valid 1</t>
  </si>
  <si>
    <t>valid 2</t>
  </si>
  <si>
    <t>final result</t>
  </si>
  <si>
    <t>No draws in a set</t>
  </si>
  <si>
    <t>Conditional formatting</t>
  </si>
  <si>
    <t>A draw in a set is possible</t>
  </si>
  <si>
    <t>No draws in a set:</t>
  </si>
  <si>
    <t>Version  2.1
27.01.2026</t>
  </si>
  <si>
    <t>Internationales U10-Turnier am 27.01.2026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</si>
</sst>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quot;.&quot;"/>
    <numFmt numFmtId="165" formatCode=";;;"/>
    <numFmt numFmtId="166" formatCode="0.0"/>
    <numFmt numFmtId="167" formatCode="h:mm;@"/>
    <numFmt numFmtId="168" formatCode="0.000000"/>
    <numFmt numFmtId="169" formatCode="#,##0.000"/>
  </numFmts>
  <fonts count="81" x14ac:knownFonts="1">
    <font>
      <sz val="10"/>
      <name val="Arial"/>
    </font>
    <font>
      <sz val="14"/>
      <color theme="1"/>
      <name val="Calibri"/>
      <family val="2"/>
      <scheme val="minor"/>
    </font>
    <font>
      <sz val="14"/>
      <color theme="1"/>
      <name val="Calibri"/>
      <family val="2"/>
      <scheme val="minor"/>
    </font>
    <font>
      <sz val="8"/>
      <name val="Arial"/>
      <family val="2"/>
    </font>
    <font>
      <sz val="10"/>
      <name val="Arial"/>
      <family val="2"/>
    </font>
    <font>
      <sz val="10"/>
      <name val="Calibri"/>
      <family val="2"/>
    </font>
    <font>
      <sz val="14"/>
      <name val="Calibri"/>
      <family val="2"/>
    </font>
    <font>
      <sz val="9"/>
      <color indexed="8"/>
      <name val="Arial"/>
      <family val="2"/>
    </font>
    <font>
      <b/>
      <sz val="9"/>
      <color indexed="8"/>
      <name val="Arial"/>
      <family val="2"/>
    </font>
    <font>
      <b/>
      <sz val="11"/>
      <color rgb="FFFA7D00"/>
      <name val="Calibri"/>
      <family val="2"/>
      <scheme val="minor"/>
    </font>
    <font>
      <b/>
      <sz val="9"/>
      <color rgb="FFC00000"/>
      <name val="Arial"/>
      <family val="2"/>
    </font>
    <font>
      <b/>
      <sz val="9"/>
      <color rgb="FF0070C0"/>
      <name val="Arial"/>
      <family val="2"/>
    </font>
    <font>
      <b/>
      <sz val="8"/>
      <color indexed="8"/>
      <name val="Arial"/>
      <family val="2"/>
    </font>
    <font>
      <sz val="12"/>
      <name val="Calibri"/>
      <family val="2"/>
    </font>
    <font>
      <b/>
      <sz val="12"/>
      <name val="Calibri"/>
      <family val="2"/>
    </font>
    <font>
      <b/>
      <sz val="14"/>
      <color rgb="FF0070C0"/>
      <name val="Calibri"/>
      <family val="2"/>
    </font>
    <font>
      <b/>
      <sz val="14"/>
      <name val="Calibri"/>
      <family val="2"/>
    </font>
    <font>
      <b/>
      <sz val="28"/>
      <name val="Calibri"/>
      <family val="2"/>
    </font>
    <font>
      <sz val="10"/>
      <name val="Calibri"/>
      <family val="2"/>
      <scheme val="minor"/>
    </font>
    <font>
      <b/>
      <sz val="11"/>
      <name val="Calibri"/>
      <family val="2"/>
      <scheme val="minor"/>
    </font>
    <font>
      <sz val="14"/>
      <name val="Calibri"/>
      <family val="2"/>
      <scheme val="minor"/>
    </font>
    <font>
      <sz val="12"/>
      <name val="Calibri"/>
      <family val="2"/>
      <scheme val="minor"/>
    </font>
    <font>
      <sz val="13"/>
      <name val="Calibri"/>
      <family val="2"/>
      <scheme val="minor"/>
    </font>
    <font>
      <sz val="12"/>
      <color theme="1" tint="0.249977111117893"/>
      <name val="Calibri"/>
      <family val="2"/>
      <scheme val="minor"/>
    </font>
    <font>
      <b/>
      <sz val="14"/>
      <color rgb="FF0070C0"/>
      <name val="Calibri"/>
      <family val="2"/>
      <scheme val="minor"/>
    </font>
    <font>
      <b/>
      <sz val="26"/>
      <name val="Calibri"/>
      <family val="2"/>
      <scheme val="minor"/>
    </font>
    <font>
      <sz val="18"/>
      <name val="Calibri"/>
      <family val="2"/>
    </font>
    <font>
      <sz val="10"/>
      <color theme="2" tint="-0.249977111117893"/>
      <name val="Calibri"/>
      <family val="2"/>
      <scheme val="minor"/>
    </font>
    <font>
      <sz val="13"/>
      <name val="Calibri"/>
      <family val="2"/>
    </font>
    <font>
      <sz val="11"/>
      <color rgb="FFDA0000"/>
      <name val="Calibri"/>
      <family val="2"/>
      <scheme val="minor"/>
    </font>
    <font>
      <u/>
      <sz val="10"/>
      <color theme="10"/>
      <name val="Arial"/>
      <family val="2"/>
    </font>
    <font>
      <b/>
      <sz val="12"/>
      <name val="Calibri"/>
      <family val="2"/>
      <scheme val="minor"/>
    </font>
    <font>
      <sz val="11"/>
      <color rgb="FF8C1737"/>
      <name val="Calibri"/>
      <family val="2"/>
      <scheme val="minor"/>
    </font>
    <font>
      <sz val="22"/>
      <color theme="1"/>
      <name val="Calibri"/>
      <family val="2"/>
      <scheme val="minor"/>
    </font>
    <font>
      <sz val="11"/>
      <color rgb="FFC00000"/>
      <name val="Calibri"/>
      <family val="2"/>
      <scheme val="minor"/>
    </font>
    <font>
      <b/>
      <sz val="11"/>
      <color theme="1"/>
      <name val="Calibri"/>
      <family val="2"/>
      <scheme val="minor"/>
    </font>
    <font>
      <b/>
      <sz val="22"/>
      <color theme="1"/>
      <name val="Calibri"/>
      <family val="2"/>
      <scheme val="minor"/>
    </font>
    <font>
      <sz val="11"/>
      <color rgb="FFFF0000"/>
      <name val="Calibri"/>
      <family val="2"/>
      <scheme val="minor"/>
    </font>
    <font>
      <sz val="8"/>
      <color theme="2" tint="-0.249977111117893"/>
      <name val="Calibri"/>
      <family val="2"/>
    </font>
    <font>
      <b/>
      <sz val="10"/>
      <name val="Arial"/>
      <family val="2"/>
    </font>
    <font>
      <b/>
      <sz val="14"/>
      <name val="Calibri"/>
      <family val="2"/>
      <scheme val="minor"/>
    </font>
    <font>
      <sz val="20"/>
      <color theme="0" tint="-0.14999847407452621"/>
      <name val="Calibri"/>
      <family val="2"/>
    </font>
    <font>
      <sz val="10"/>
      <color rgb="FFFF0000"/>
      <name val="Calibri"/>
      <family val="2"/>
      <scheme val="minor"/>
    </font>
    <font>
      <sz val="11"/>
      <color rgb="FF0070C0"/>
      <name val="Calibri"/>
      <family val="2"/>
    </font>
    <font>
      <sz val="12"/>
      <color rgb="FF0070C0"/>
      <name val="Calibri"/>
      <family val="2"/>
      <scheme val="minor"/>
    </font>
    <font>
      <sz val="11"/>
      <color rgb="FF0070C0"/>
      <name val="Calibri"/>
      <family val="2"/>
      <scheme val="minor"/>
    </font>
    <font>
      <b/>
      <sz val="16"/>
      <color rgb="FF0070C0"/>
      <name val="Calibri"/>
      <family val="2"/>
      <scheme val="minor"/>
    </font>
    <font>
      <sz val="8"/>
      <color theme="5"/>
      <name val="Arial"/>
      <family val="2"/>
    </font>
    <font>
      <b/>
      <sz val="24"/>
      <color theme="4"/>
      <name val="Arial"/>
      <family val="2"/>
    </font>
    <font>
      <b/>
      <sz val="20"/>
      <name val="Arial"/>
      <family val="2"/>
    </font>
    <font>
      <sz val="11"/>
      <name val="Calibri"/>
      <family val="2"/>
      <scheme val="minor"/>
    </font>
    <font>
      <sz val="12"/>
      <name val="Arial"/>
      <family val="2"/>
    </font>
    <font>
      <sz val="11"/>
      <name val="Calibri"/>
      <family val="2"/>
    </font>
    <font>
      <b/>
      <sz val="20"/>
      <color rgb="FF0070C0"/>
      <name val="Calibri"/>
      <family val="2"/>
    </font>
    <font>
      <b/>
      <sz val="48"/>
      <color theme="7" tint="0.79998168889431442"/>
      <name val="Calibri"/>
      <family val="2"/>
    </font>
    <font>
      <b/>
      <sz val="11"/>
      <name val="Calibri"/>
      <family val="2"/>
    </font>
    <font>
      <sz val="10"/>
      <color theme="0" tint="-0.34998626667073579"/>
      <name val="Calibri"/>
      <family val="2"/>
    </font>
    <font>
      <b/>
      <sz val="28"/>
      <name val="Calibri"/>
      <family val="2"/>
      <scheme val="minor"/>
    </font>
    <font>
      <sz val="12"/>
      <color theme="1" tint="0.499984740745262"/>
      <name val="Calibri"/>
      <family val="2"/>
      <scheme val="minor"/>
    </font>
    <font>
      <sz val="18"/>
      <name val="Calibri"/>
      <family val="2"/>
      <scheme val="minor"/>
    </font>
    <font>
      <b/>
      <sz val="48"/>
      <color theme="7" tint="0.79998168889431442"/>
      <name val="Calibri"/>
      <family val="2"/>
      <scheme val="minor"/>
    </font>
    <font>
      <sz val="26"/>
      <name val="Calibri"/>
      <family val="2"/>
      <scheme val="minor"/>
    </font>
    <font>
      <sz val="12"/>
      <color theme="2" tint="-0.499984740745262"/>
      <name val="Calibri"/>
      <family val="2"/>
      <scheme val="minor"/>
    </font>
    <font>
      <sz val="12"/>
      <color rgb="FFDA0000"/>
      <name val="Calibri"/>
      <family val="2"/>
      <scheme val="minor"/>
    </font>
    <font>
      <sz val="10"/>
      <color theme="8" tint="-0.499984740745262"/>
      <name val="Calibri"/>
      <family val="2"/>
    </font>
    <font>
      <b/>
      <sz val="14"/>
      <color rgb="FFDA0000"/>
      <name val="Calibri"/>
      <family val="2"/>
      <scheme val="minor"/>
    </font>
    <font>
      <sz val="10"/>
      <color rgb="FFDA0000"/>
      <name val="Arial"/>
      <family val="2"/>
    </font>
    <font>
      <sz val="12"/>
      <color theme="2" tint="-0.749992370372631"/>
      <name val="Calibri"/>
      <family val="2"/>
    </font>
    <font>
      <b/>
      <sz val="20"/>
      <color rgb="FF0070C0"/>
      <name val="Arial"/>
      <family val="2"/>
    </font>
    <font>
      <b/>
      <sz val="8"/>
      <name val="Arial"/>
      <family val="2"/>
    </font>
    <font>
      <b/>
      <sz val="9"/>
      <name val="Arial"/>
      <family val="2"/>
    </font>
    <font>
      <sz val="9"/>
      <color theme="5"/>
      <name val="Arial"/>
      <family val="2"/>
    </font>
    <font>
      <sz val="9"/>
      <name val="Arial"/>
      <family val="2"/>
    </font>
    <font>
      <sz val="11"/>
      <color theme="8" tint="-0.249977111117893"/>
      <name val="Calibri"/>
      <family val="2"/>
      <scheme val="minor"/>
    </font>
    <font>
      <b/>
      <sz val="10"/>
      <color rgb="FF0070C0"/>
      <name val="Calibri"/>
      <family val="2"/>
      <scheme val="minor"/>
    </font>
    <font>
      <sz val="11"/>
      <color theme="5" tint="-0.249977111117893"/>
      <name val="Calibri"/>
      <family val="2"/>
      <scheme val="minor"/>
    </font>
    <font>
      <b/>
      <sz val="10"/>
      <name val="Calibri"/>
      <family val="2"/>
      <scheme val="minor"/>
    </font>
    <font>
      <sz val="9"/>
      <color theme="5"/>
      <name val="Calibri"/>
      <family val="2"/>
      <scheme val="minor"/>
    </font>
    <font>
      <b/>
      <sz val="18"/>
      <color rgb="FF0070C0"/>
      <name val="Calibri"/>
      <family val="2"/>
      <scheme val="minor"/>
    </font>
    <font>
      <b/>
      <sz val="16"/>
      <color rgb="FF0070C0"/>
      <name val="Calibri"/>
      <family val="2"/>
    </font>
    <font>
      <sz val="10"/>
      <color theme="5"/>
      <name val="Calibri"/>
      <family val="2"/>
    </font>
  </fonts>
  <fills count="20">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rgb="FFF2F2F2"/>
      </patternFill>
    </fill>
    <fill>
      <patternFill patternType="solid">
        <fgColor rgb="FFFEFBC2"/>
        <bgColor indexed="64"/>
      </patternFill>
    </fill>
    <fill>
      <patternFill patternType="solid">
        <fgColor theme="2"/>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8F8F8"/>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DECE3"/>
        <bgColor indexed="64"/>
      </patternFill>
    </fill>
    <fill>
      <patternFill patternType="solid">
        <fgColor theme="9" tint="-0.249977111117893"/>
        <bgColor indexed="64"/>
      </patternFill>
    </fill>
    <fill>
      <patternFill patternType="solid">
        <fgColor rgb="FFFFFFE0"/>
        <bgColor indexed="64"/>
      </patternFill>
    </fill>
    <fill>
      <patternFill patternType="solid">
        <fgColor theme="7" tint="0.39997558519241921"/>
        <bgColor indexed="64"/>
      </patternFill>
    </fill>
    <fill>
      <patternFill patternType="solid">
        <fgColor rgb="FFFFF2C9"/>
        <bgColor indexed="64"/>
      </patternFill>
    </fill>
  </fills>
  <borders count="27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ck">
        <color rgb="FF0070C0"/>
      </left>
      <right/>
      <top style="thick">
        <color rgb="FF0070C0"/>
      </top>
      <bottom/>
      <diagonal/>
    </border>
    <border>
      <left/>
      <right/>
      <top style="thick">
        <color rgb="FF0070C0"/>
      </top>
      <bottom/>
      <diagonal/>
    </border>
    <border>
      <left/>
      <right style="thin">
        <color indexed="64"/>
      </right>
      <top style="thick">
        <color rgb="FF0070C0"/>
      </top>
      <bottom/>
      <diagonal/>
    </border>
    <border>
      <left style="thin">
        <color indexed="64"/>
      </left>
      <right/>
      <top style="thick">
        <color rgb="FF0070C0"/>
      </top>
      <bottom/>
      <diagonal/>
    </border>
    <border>
      <left/>
      <right style="thick">
        <color rgb="FF0070C0"/>
      </right>
      <top style="thick">
        <color rgb="FF0070C0"/>
      </top>
      <bottom/>
      <diagonal/>
    </border>
    <border>
      <left style="thick">
        <color rgb="FF0070C0"/>
      </left>
      <right/>
      <top/>
      <bottom/>
      <diagonal/>
    </border>
    <border>
      <left/>
      <right style="thick">
        <color rgb="FF0070C0"/>
      </right>
      <top/>
      <bottom/>
      <diagonal/>
    </border>
    <border>
      <left style="thick">
        <color rgb="FF0070C0"/>
      </left>
      <right/>
      <top/>
      <bottom style="thick">
        <color rgb="FF0070C0"/>
      </bottom>
      <diagonal/>
    </border>
    <border>
      <left/>
      <right/>
      <top/>
      <bottom style="thick">
        <color rgb="FF0070C0"/>
      </bottom>
      <diagonal/>
    </border>
    <border>
      <left style="thin">
        <color indexed="64"/>
      </left>
      <right/>
      <top/>
      <bottom style="thick">
        <color rgb="FF0070C0"/>
      </bottom>
      <diagonal/>
    </border>
    <border>
      <left/>
      <right style="thick">
        <color rgb="FF0070C0"/>
      </right>
      <top/>
      <bottom style="thick">
        <color rgb="FF0070C0"/>
      </bottom>
      <diagonal/>
    </border>
    <border>
      <left style="thick">
        <color rgb="FF9ACA02"/>
      </left>
      <right style="thick">
        <color rgb="FF9ACA02"/>
      </right>
      <top style="thick">
        <color rgb="FF9ACA02"/>
      </top>
      <bottom/>
      <diagonal/>
    </border>
    <border>
      <left style="thick">
        <color rgb="FF9ACA02"/>
      </left>
      <right style="thick">
        <color rgb="FF9ACA02"/>
      </right>
      <top/>
      <bottom/>
      <diagonal/>
    </border>
    <border>
      <left style="thick">
        <color rgb="FF9ACA02"/>
      </left>
      <right style="thick">
        <color rgb="FF9ACA02"/>
      </right>
      <top/>
      <bottom style="thick">
        <color rgb="FF9ACA02"/>
      </bottom>
      <diagonal/>
    </border>
    <border>
      <left/>
      <right/>
      <top/>
      <bottom style="medium">
        <color theme="1" tint="0.499984740745262"/>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right/>
      <top style="thin">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style="thick">
        <color theme="2" tint="-0.499984740745262"/>
      </left>
      <right style="thin">
        <color theme="2" tint="-0.499984740745262"/>
      </right>
      <top style="thick">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ck">
        <color theme="2" tint="-0.499984740745262"/>
      </bottom>
      <diagonal/>
    </border>
    <border>
      <left style="thick">
        <color theme="2" tint="-0.499984740745262"/>
      </left>
      <right/>
      <top style="thick">
        <color theme="2" tint="-0.499984740745262"/>
      </top>
      <bottom/>
      <diagonal/>
    </border>
    <border>
      <left/>
      <right/>
      <top style="thick">
        <color theme="2" tint="-0.499984740745262"/>
      </top>
      <bottom/>
      <diagonal/>
    </border>
    <border>
      <left/>
      <right style="thick">
        <color theme="2" tint="-0.499984740745262"/>
      </right>
      <top style="thick">
        <color theme="2" tint="-0.499984740745262"/>
      </top>
      <bottom/>
      <diagonal/>
    </border>
    <border>
      <left style="thick">
        <color theme="2" tint="-0.499984740745262"/>
      </left>
      <right/>
      <top/>
      <bottom/>
      <diagonal/>
    </border>
    <border>
      <left/>
      <right style="thick">
        <color theme="2" tint="-0.499984740745262"/>
      </right>
      <top/>
      <bottom/>
      <diagonal/>
    </border>
    <border>
      <left style="thick">
        <color theme="2" tint="-0.499984740745262"/>
      </left>
      <right/>
      <top/>
      <bottom style="thick">
        <color theme="2" tint="-0.499984740745262"/>
      </bottom>
      <diagonal/>
    </border>
    <border>
      <left/>
      <right style="thick">
        <color theme="2" tint="-0.499984740745262"/>
      </right>
      <top/>
      <bottom style="thick">
        <color theme="2" tint="-0.499984740745262"/>
      </bottom>
      <diagonal/>
    </border>
    <border>
      <left style="thick">
        <color theme="2" tint="-0.499984740745262"/>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ck">
        <color theme="2" tint="-0.499984740745262"/>
      </right>
      <top style="thin">
        <color theme="2" tint="-0.24994659260841701"/>
      </top>
      <bottom style="thin">
        <color theme="2" tint="-0.24994659260841701"/>
      </bottom>
      <diagonal/>
    </border>
    <border>
      <left style="thick">
        <color theme="2" tint="-0.499984740745262"/>
      </left>
      <right style="thin">
        <color theme="2" tint="-0.24994659260841701"/>
      </right>
      <top style="thin">
        <color theme="2" tint="-0.24994659260841701"/>
      </top>
      <bottom style="thick">
        <color theme="2" tint="-0.499984740745262"/>
      </bottom>
      <diagonal/>
    </border>
    <border>
      <left style="thin">
        <color theme="2" tint="-0.24994659260841701"/>
      </left>
      <right style="thin">
        <color theme="2" tint="-0.24994659260841701"/>
      </right>
      <top style="thin">
        <color theme="2" tint="-0.24994659260841701"/>
      </top>
      <bottom style="thick">
        <color theme="2" tint="-0.499984740745262"/>
      </bottom>
      <diagonal/>
    </border>
    <border>
      <left style="thin">
        <color theme="2" tint="-0.24994659260841701"/>
      </left>
      <right style="thick">
        <color theme="2" tint="-0.499984740745262"/>
      </right>
      <top style="thin">
        <color theme="2" tint="-0.24994659260841701"/>
      </top>
      <bottom style="thick">
        <color theme="2" tint="-0.499984740745262"/>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ck">
        <color theme="2" tint="-0.499984740745262"/>
      </bottom>
      <diagonal/>
    </border>
    <border>
      <left style="thin">
        <color theme="2" tint="-0.24994659260841701"/>
      </left>
      <right/>
      <top style="thin">
        <color theme="2" tint="-0.24994659260841701"/>
      </top>
      <bottom style="thick">
        <color theme="2" tint="-0.499984740745262"/>
      </bottom>
      <diagonal/>
    </border>
    <border>
      <left style="thin">
        <color theme="2" tint="-0.24994659260841701"/>
      </left>
      <right/>
      <top style="thick">
        <color theme="2" tint="-0.499984740745262"/>
      </top>
      <bottom/>
      <diagonal/>
    </border>
    <border>
      <left/>
      <right style="thin">
        <color theme="2" tint="-0.24994659260841701"/>
      </right>
      <top style="thick">
        <color theme="2" tint="-0.499984740745262"/>
      </top>
      <bottom/>
      <diagonal/>
    </border>
    <border>
      <left/>
      <right/>
      <top style="thin">
        <color theme="2" tint="-0.24994659260841701"/>
      </top>
      <bottom style="thin">
        <color theme="2" tint="-0.24994659260841701"/>
      </bottom>
      <diagonal/>
    </border>
    <border>
      <left/>
      <right/>
      <top style="thin">
        <color theme="2" tint="-0.24994659260841701"/>
      </top>
      <bottom style="thick">
        <color theme="2" tint="-0.499984740745262"/>
      </bottom>
      <diagonal/>
    </border>
    <border>
      <left style="thick">
        <color theme="2" tint="-0.499984740745262"/>
      </left>
      <right style="thin">
        <color theme="2" tint="-0.24994659260841701"/>
      </right>
      <top/>
      <bottom style="thin">
        <color theme="2" tint="-0.24994659260841701"/>
      </bottom>
      <diagonal/>
    </border>
    <border>
      <left style="thin">
        <color theme="2" tint="-0.24994659260841701"/>
      </left>
      <right style="thick">
        <color theme="2" tint="-0.499984740745262"/>
      </right>
      <top/>
      <bottom style="thin">
        <color theme="2" tint="-0.24994659260841701"/>
      </bottom>
      <diagonal/>
    </border>
    <border>
      <left style="thick">
        <color theme="2" tint="-0.499984740745262"/>
      </left>
      <right style="thin">
        <color theme="2" tint="-0.24994659260841701"/>
      </right>
      <top style="thin">
        <color theme="2" tint="-0.24994659260841701"/>
      </top>
      <bottom/>
      <diagonal/>
    </border>
    <border>
      <left style="thick">
        <color theme="2" tint="-0.499984740745262"/>
      </left>
      <right style="thin">
        <color theme="2" tint="-0.24994659260841701"/>
      </right>
      <top style="thin">
        <color theme="2" tint="-0.749961851863155"/>
      </top>
      <bottom/>
      <diagonal/>
    </border>
    <border>
      <left style="thick">
        <color theme="2" tint="-0.499984740745262"/>
      </left>
      <right style="thin">
        <color theme="2" tint="-0.24994659260841701"/>
      </right>
      <top style="thick">
        <color theme="2" tint="-0.499984740745262"/>
      </top>
      <bottom/>
      <diagonal/>
    </border>
    <border>
      <left style="thick">
        <color theme="2" tint="-0.499984740745262"/>
      </left>
      <right style="thin">
        <color theme="2" tint="-0.24994659260841701"/>
      </right>
      <top/>
      <bottom style="thin">
        <color theme="2" tint="-0.749961851863155"/>
      </bottom>
      <diagonal/>
    </border>
    <border>
      <left style="thin">
        <color theme="2" tint="-0.24994659260841701"/>
      </left>
      <right style="thick">
        <color theme="2" tint="-0.499984740745262"/>
      </right>
      <top style="thin">
        <color theme="2" tint="-0.24994659260841701"/>
      </top>
      <bottom/>
      <diagonal/>
    </border>
    <border>
      <left style="thin">
        <color theme="2" tint="-0.24994659260841701"/>
      </left>
      <right style="thick">
        <color theme="2" tint="-0.499984740745262"/>
      </right>
      <top style="thin">
        <color theme="2" tint="-0.749961851863155"/>
      </top>
      <bottom/>
      <diagonal/>
    </border>
    <border>
      <left style="thin">
        <color theme="2" tint="-0.24994659260841701"/>
      </left>
      <right style="thick">
        <color theme="2" tint="-0.499984740745262"/>
      </right>
      <top style="thick">
        <color theme="2" tint="-0.499984740745262"/>
      </top>
      <bottom/>
      <diagonal/>
    </border>
    <border>
      <left style="thin">
        <color theme="2" tint="-0.24994659260841701"/>
      </left>
      <right style="thick">
        <color theme="2" tint="-0.499984740745262"/>
      </right>
      <top/>
      <bottom style="thin">
        <color theme="2" tint="-0.749961851863155"/>
      </bottom>
      <diagonal/>
    </border>
    <border>
      <left style="thick">
        <color theme="2" tint="-0.499984740745262"/>
      </left>
      <right style="thin">
        <color theme="2" tint="-0.24994659260841701"/>
      </right>
      <top/>
      <bottom style="thick">
        <color theme="2" tint="-0.499984740745262"/>
      </bottom>
      <diagonal/>
    </border>
    <border>
      <left style="thin">
        <color theme="2" tint="-0.24994659260841701"/>
      </left>
      <right style="thick">
        <color theme="2" tint="-0.499984740745262"/>
      </right>
      <top/>
      <bottom style="thick">
        <color theme="2" tint="-0.499984740745262"/>
      </bottom>
      <diagonal/>
    </border>
    <border>
      <left/>
      <right style="thick">
        <color theme="2" tint="-0.499984740745262"/>
      </right>
      <top style="thin">
        <color theme="2" tint="-0.24994659260841701"/>
      </top>
      <bottom style="thin">
        <color theme="2" tint="-0.24994659260841701"/>
      </bottom>
      <diagonal/>
    </border>
    <border>
      <left style="thin">
        <color theme="2" tint="-0.24994659260841701"/>
      </left>
      <right style="thin">
        <color theme="2" tint="-0.24994659260841701"/>
      </right>
      <top style="thick">
        <color theme="2" tint="-0.499984740745262"/>
      </top>
      <bottom/>
      <diagonal/>
    </border>
    <border>
      <left/>
      <right/>
      <top/>
      <bottom style="thick">
        <color theme="2"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2" tint="-0.24994659260841701"/>
      </top>
      <bottom/>
      <diagonal/>
    </border>
    <border>
      <left/>
      <right style="thick">
        <color theme="2" tint="-0.499984740745262"/>
      </right>
      <top style="thin">
        <color theme="2" tint="-0.24994659260841701"/>
      </top>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ck">
        <color theme="0" tint="-0.499984740745262"/>
      </right>
      <top/>
      <bottom/>
      <diagonal/>
    </border>
    <border>
      <left style="thick">
        <color theme="0" tint="-0.499984740745262"/>
      </left>
      <right style="thick">
        <color theme="0" tint="-0.499984740745262"/>
      </right>
      <top/>
      <bottom style="thick">
        <color theme="0"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right/>
      <top/>
      <bottom style="thick">
        <color theme="4"/>
      </bottom>
      <diagonal/>
    </border>
    <border>
      <left style="medium">
        <color theme="4"/>
      </left>
      <right style="medium">
        <color theme="4"/>
      </right>
      <top style="medium">
        <color theme="4"/>
      </top>
      <bottom style="medium">
        <color theme="4"/>
      </bottom>
      <diagonal/>
    </border>
    <border>
      <left/>
      <right style="thick">
        <color theme="4"/>
      </right>
      <top/>
      <bottom/>
      <diagonal/>
    </border>
    <border>
      <left style="thick">
        <color theme="4"/>
      </left>
      <right/>
      <top style="thick">
        <color theme="4"/>
      </top>
      <bottom/>
      <diagonal/>
    </border>
    <border>
      <left/>
      <right/>
      <top style="thick">
        <color theme="4"/>
      </top>
      <bottom/>
      <diagonal/>
    </border>
    <border>
      <left style="medium">
        <color theme="0" tint="-0.14996795556505021"/>
      </left>
      <right style="thick">
        <color theme="4"/>
      </right>
      <top style="thick">
        <color theme="4"/>
      </top>
      <bottom/>
      <diagonal/>
    </border>
    <border>
      <left style="thick">
        <color theme="4"/>
      </left>
      <right/>
      <top/>
      <bottom/>
      <diagonal/>
    </border>
    <border>
      <left style="medium">
        <color theme="0" tint="-0.14996795556505021"/>
      </left>
      <right style="thick">
        <color theme="4"/>
      </right>
      <top/>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6795556505021"/>
      </bottom>
      <diagonal/>
    </border>
    <border>
      <left style="thick">
        <color theme="4"/>
      </left>
      <right/>
      <top style="thin">
        <color theme="0" tint="-0.14996795556505021"/>
      </top>
      <bottom style="thin">
        <color theme="0" tint="-0.14996795556505021"/>
      </bottom>
      <diagonal/>
    </border>
    <border>
      <left/>
      <right style="thick">
        <color theme="4"/>
      </right>
      <top style="thick">
        <color theme="4"/>
      </top>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3743705557422"/>
      </left>
      <right style="medium">
        <color theme="0" tint="-0.1499374370555742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medium">
        <color theme="2" tint="-0.499984740745262"/>
      </left>
      <right/>
      <top/>
      <bottom/>
      <diagonal/>
    </border>
    <border>
      <left/>
      <right style="medium">
        <color theme="2" tint="-0.499984740745262"/>
      </right>
      <top/>
      <bottom/>
      <diagonal/>
    </border>
    <border>
      <left style="medium">
        <color theme="2" tint="-0.499984740745262"/>
      </left>
      <right/>
      <top/>
      <bottom style="medium">
        <color theme="2" tint="-0.499984740745262"/>
      </bottom>
      <diagonal/>
    </border>
    <border>
      <left/>
      <right/>
      <top/>
      <bottom style="medium">
        <color theme="2" tint="-0.499984740745262"/>
      </bottom>
      <diagonal/>
    </border>
    <border>
      <left/>
      <right style="medium">
        <color theme="2" tint="-0.499984740745262"/>
      </right>
      <top/>
      <bottom style="medium">
        <color theme="2" tint="-0.499984740745262"/>
      </bottom>
      <diagonal/>
    </border>
    <border>
      <left style="thin">
        <color theme="2" tint="-0.24994659260841701"/>
      </left>
      <right style="thin">
        <color theme="2" tint="-0.24994659260841701"/>
      </right>
      <top style="thin">
        <color theme="2" tint="-0.499984740745262"/>
      </top>
      <bottom style="thin">
        <color theme="2" tint="-0.24994659260841701"/>
      </bottom>
      <diagonal/>
    </border>
    <border>
      <left style="thin">
        <color theme="2" tint="-0.24994659260841701"/>
      </left>
      <right style="thin">
        <color theme="2" tint="-0.24994659260841701"/>
      </right>
      <top style="thick">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right style="thin">
        <color theme="2" tint="-0.24994659260841701"/>
      </right>
      <top style="thick">
        <color theme="2" tint="-0.499984740745262"/>
      </top>
      <bottom style="thin">
        <color theme="2" tint="-0.499984740745262"/>
      </bottom>
      <diagonal/>
    </border>
    <border>
      <left/>
      <right style="thin">
        <color theme="2" tint="-0.24994659260841701"/>
      </right>
      <top style="thin">
        <color theme="2" tint="-0.499984740745262"/>
      </top>
      <bottom style="thin">
        <color theme="2" tint="-0.24994659260841701"/>
      </bottom>
      <diagonal/>
    </border>
    <border>
      <left style="thin">
        <color theme="2" tint="-0.499984740745262"/>
      </left>
      <right style="medium">
        <color theme="2" tint="-0.499984740745262"/>
      </right>
      <top style="thick">
        <color theme="2" tint="-0.499984740745262"/>
      </top>
      <bottom style="thin">
        <color theme="2" tint="-0.499984740745262"/>
      </bottom>
      <diagonal/>
    </border>
    <border>
      <left style="thin">
        <color theme="2" tint="-0.499984740745262"/>
      </left>
      <right style="medium">
        <color theme="2" tint="-0.499984740745262"/>
      </right>
      <top/>
      <bottom style="thin">
        <color theme="2" tint="-0.24994659260841701"/>
      </bottom>
      <diagonal/>
    </border>
    <border>
      <left style="thin">
        <color theme="2" tint="-0.499984740745262"/>
      </left>
      <right style="medium">
        <color theme="2" tint="-0.499984740745262"/>
      </right>
      <top style="thin">
        <color theme="2" tint="-0.24994659260841701"/>
      </top>
      <bottom style="thin">
        <color theme="2" tint="-0.24994659260841701"/>
      </bottom>
      <diagonal/>
    </border>
    <border>
      <left style="thin">
        <color theme="2" tint="-0.499984740745262"/>
      </left>
      <right style="medium">
        <color theme="2" tint="-0.499984740745262"/>
      </right>
      <top style="thin">
        <color theme="2" tint="-0.24994659260841701"/>
      </top>
      <bottom style="thick">
        <color theme="2" tint="-0.499984740745262"/>
      </bottom>
      <diagonal/>
    </border>
    <border>
      <left style="medium">
        <color theme="2" tint="-0.499984740745262"/>
      </left>
      <right style="thin">
        <color theme="2" tint="-0.24994659260841701"/>
      </right>
      <top style="thick">
        <color theme="2" tint="-0.499984740745262"/>
      </top>
      <bottom style="thin">
        <color theme="2" tint="-0.499984740745262"/>
      </bottom>
      <diagonal/>
    </border>
    <border>
      <left/>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24994659260841701"/>
      </top>
      <bottom style="thin">
        <color theme="2" tint="-0.24994659260841701"/>
      </bottom>
      <diagonal/>
    </border>
    <border>
      <left/>
      <right style="medium">
        <color theme="2" tint="-0.499984740745262"/>
      </right>
      <top style="thin">
        <color theme="2" tint="-0.24994659260841701"/>
      </top>
      <bottom style="thin">
        <color theme="2" tint="-0.24994659260841701"/>
      </bottom>
      <diagonal/>
    </border>
    <border>
      <left style="medium">
        <color theme="2" tint="-0.499984740745262"/>
      </left>
      <right style="thin">
        <color theme="2" tint="-0.24994659260841701"/>
      </right>
      <top style="thin">
        <color theme="2" tint="-0.24994659260841701"/>
      </top>
      <bottom style="thick">
        <color theme="2" tint="-0.499984740745262"/>
      </bottom>
      <diagonal/>
    </border>
    <border>
      <left style="medium">
        <color theme="2" tint="-0.499984740745262"/>
      </left>
      <right style="thin">
        <color theme="2" tint="-0.24994659260841701"/>
      </right>
      <top style="medium">
        <color theme="2" tint="-0.499984740745262"/>
      </top>
      <bottom style="thick">
        <color theme="2" tint="-0.499984740745262"/>
      </bottom>
      <diagonal/>
    </border>
    <border>
      <left style="thin">
        <color theme="2" tint="-0.24994659260841701"/>
      </left>
      <right style="thin">
        <color theme="2" tint="-0.24994659260841701"/>
      </right>
      <top style="medium">
        <color theme="2" tint="-0.499984740745262"/>
      </top>
      <bottom style="thick">
        <color theme="2" tint="-0.499984740745262"/>
      </bottom>
      <diagonal/>
    </border>
    <border>
      <left style="thin">
        <color theme="2" tint="-0.24994659260841701"/>
      </left>
      <right style="medium">
        <color theme="2" tint="-0.499984740745262"/>
      </right>
      <top style="medium">
        <color theme="2" tint="-0.499984740745262"/>
      </top>
      <bottom style="thick">
        <color theme="2" tint="-0.499984740745262"/>
      </bottom>
      <diagonal/>
    </border>
    <border>
      <left style="thick">
        <color theme="2" tint="-0.499984740745262"/>
      </left>
      <right style="medium">
        <color theme="2" tint="-0.499984740745262"/>
      </right>
      <top style="medium">
        <color theme="2" tint="-0.499984740745262"/>
      </top>
      <bottom style="thin">
        <color theme="2" tint="-0.24994659260841701"/>
      </bottom>
      <diagonal/>
    </border>
    <border>
      <left style="thick">
        <color theme="2" tint="-0.499984740745262"/>
      </left>
      <right style="medium">
        <color theme="2" tint="-0.499984740745262"/>
      </right>
      <top style="thin">
        <color theme="2" tint="-0.24994659260841701"/>
      </top>
      <bottom style="thin">
        <color theme="2" tint="-0.24994659260841701"/>
      </bottom>
      <diagonal/>
    </border>
    <border>
      <left/>
      <right/>
      <top style="thick">
        <color theme="2" tint="-0.499984740745262"/>
      </top>
      <bottom style="thin">
        <color theme="2" tint="-0.499984740745262"/>
      </bottom>
      <diagonal/>
    </border>
    <border>
      <left/>
      <right style="medium">
        <color theme="2" tint="-0.499984740745262"/>
      </right>
      <top style="medium">
        <color theme="2" tint="-0.499984740745262"/>
      </top>
      <bottom style="thin">
        <color theme="2" tint="-0.24994659260841701"/>
      </bottom>
      <diagonal/>
    </border>
    <border>
      <left/>
      <right style="medium">
        <color theme="2" tint="-0.499984740745262"/>
      </right>
      <top style="thin">
        <color theme="2" tint="-0.24994659260841701"/>
      </top>
      <bottom style="medium">
        <color theme="2" tint="-0.499984740745262"/>
      </bottom>
      <diagonal/>
    </border>
    <border>
      <left style="thin">
        <color theme="2" tint="-0.24994659260841701"/>
      </left>
      <right style="thick">
        <color theme="2" tint="-0.499984740745262"/>
      </right>
      <top style="thick">
        <color theme="2" tint="-0.499984740745262"/>
      </top>
      <bottom style="thin">
        <color theme="2" tint="-0.499984740745262"/>
      </bottom>
      <diagonal/>
    </border>
    <border>
      <left style="thin">
        <color theme="2" tint="-0.24994659260841701"/>
      </left>
      <right style="thick">
        <color theme="2" tint="-0.499984740745262"/>
      </right>
      <top style="thin">
        <color theme="2" tint="-0.499984740745262"/>
      </top>
      <bottom style="thin">
        <color theme="2" tint="-0.24994659260841701"/>
      </bottom>
      <diagonal/>
    </border>
    <border>
      <left/>
      <right style="thin">
        <color theme="2" tint="-0.24994659260841701"/>
      </right>
      <top style="medium">
        <color theme="2" tint="-0.499984740745262"/>
      </top>
      <bottom style="thin">
        <color theme="2" tint="-0.24994659260841701"/>
      </bottom>
      <diagonal/>
    </border>
    <border>
      <left style="thin">
        <color theme="2" tint="-0.24994659260841701"/>
      </left>
      <right style="thin">
        <color theme="2" tint="-0.24994659260841701"/>
      </right>
      <top style="medium">
        <color theme="2" tint="-0.499984740745262"/>
      </top>
      <bottom style="thin">
        <color theme="2" tint="-0.24994659260841701"/>
      </bottom>
      <diagonal/>
    </border>
    <border>
      <left style="thin">
        <color theme="2" tint="-0.24994659260841701"/>
      </left>
      <right/>
      <top style="medium">
        <color theme="2" tint="-0.499984740745262"/>
      </top>
      <bottom style="thin">
        <color theme="2" tint="-0.24994659260841701"/>
      </bottom>
      <diagonal/>
    </border>
    <border>
      <left/>
      <right/>
      <top style="medium">
        <color theme="2" tint="-0.499984740745262"/>
      </top>
      <bottom style="thin">
        <color theme="2" tint="-0.24994659260841701"/>
      </bottom>
      <diagonal/>
    </border>
    <border>
      <left style="thin">
        <color theme="2" tint="-0.24994659260841701"/>
      </left>
      <right style="thick">
        <color theme="2" tint="-0.499984740745262"/>
      </right>
      <top style="medium">
        <color theme="2" tint="-0.499984740745262"/>
      </top>
      <bottom style="thin">
        <color theme="2" tint="-0.24994659260841701"/>
      </bottom>
      <diagonal/>
    </border>
    <border>
      <left style="thick">
        <color theme="2" tint="-0.499984740745262"/>
      </left>
      <right style="thin">
        <color theme="2" tint="-0.24994659260841701"/>
      </right>
      <top style="medium">
        <color theme="2" tint="-0.499984740745262"/>
      </top>
      <bottom style="thin">
        <color theme="2" tint="-0.24994659260841701"/>
      </bottom>
      <diagonal/>
    </border>
    <border>
      <left style="thick">
        <color theme="2" tint="-0.499984740745262"/>
      </left>
      <right/>
      <top style="thick">
        <color theme="2" tint="-0.499984740745262"/>
      </top>
      <bottom style="thin">
        <color theme="2" tint="-0.24994659260841701"/>
      </bottom>
      <diagonal/>
    </border>
    <border>
      <left/>
      <right/>
      <top style="thick">
        <color theme="2" tint="-0.499984740745262"/>
      </top>
      <bottom style="thin">
        <color theme="2" tint="-0.24994659260841701"/>
      </bottom>
      <diagonal/>
    </border>
    <border>
      <left/>
      <right style="thick">
        <color theme="2" tint="-0.499984740745262"/>
      </right>
      <top style="thick">
        <color theme="2" tint="-0.499984740745262"/>
      </top>
      <bottom style="thin">
        <color theme="2" tint="-0.24994659260841701"/>
      </bottom>
      <diagonal/>
    </border>
    <border>
      <left style="thick">
        <color theme="2" tint="-0.499984740745262"/>
      </left>
      <right/>
      <top style="thin">
        <color theme="2" tint="-0.24994659260841701"/>
      </top>
      <bottom style="thin">
        <color theme="2" tint="-0.24994659260841701"/>
      </bottom>
      <diagonal/>
    </border>
    <border>
      <left style="thick">
        <color theme="2" tint="-0.499984740745262"/>
      </left>
      <right/>
      <top style="thin">
        <color theme="2" tint="-0.24994659260841701"/>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right style="thick">
        <color theme="2" tint="-0.499984740745262"/>
      </right>
      <top/>
      <bottom style="thin">
        <color theme="2" tint="-0.24994659260841701"/>
      </bottom>
      <diagonal/>
    </border>
    <border>
      <left style="thick">
        <color theme="2" tint="-0.499984740745262"/>
      </left>
      <right style="thin">
        <color theme="2" tint="-0.24994659260841701"/>
      </right>
      <top style="thick">
        <color theme="2" tint="-0.499984740745262"/>
      </top>
      <bottom style="thin">
        <color theme="2" tint="-0.499984740745262"/>
      </bottom>
      <diagonal/>
    </border>
    <border>
      <left/>
      <right style="thin">
        <color theme="2" tint="-0.499984740745262"/>
      </right>
      <top style="thin">
        <color theme="2" tint="-0.499984740745262"/>
      </top>
      <bottom/>
      <diagonal/>
    </border>
    <border>
      <left/>
      <right style="thin">
        <color theme="2" tint="-0.499984740745262"/>
      </right>
      <top/>
      <bottom style="thin">
        <color theme="2" tint="-0.499984740745262"/>
      </bottom>
      <diagonal/>
    </border>
    <border>
      <left style="medium">
        <color theme="2" tint="-0.499984740745262"/>
      </left>
      <right/>
      <top style="medium">
        <color theme="2" tint="-0.499984740745262"/>
      </top>
      <bottom/>
      <diagonal/>
    </border>
    <border>
      <left/>
      <right style="medium">
        <color theme="2" tint="-0.499984740745262"/>
      </right>
      <top style="medium">
        <color theme="2" tint="-0.499984740745262"/>
      </top>
      <bottom/>
      <diagonal/>
    </border>
    <border>
      <left/>
      <right style="medium">
        <color theme="2" tint="-0.499984740745262"/>
      </right>
      <top style="medium">
        <color theme="2" tint="-0.499984740745262"/>
      </top>
      <bottom style="medium">
        <color theme="2" tint="-0.499984740745262"/>
      </bottom>
      <diagonal/>
    </border>
    <border>
      <left style="medium">
        <color theme="0" tint="-0.14996795556505021"/>
      </left>
      <right style="medium">
        <color theme="0" tint="-0.14996795556505021"/>
      </right>
      <top style="thick">
        <color theme="4"/>
      </top>
      <bottom/>
      <diagonal/>
    </border>
    <border>
      <left style="medium">
        <color theme="0" tint="-0.14996795556505021"/>
      </left>
      <right style="medium">
        <color theme="0" tint="-0.14996795556505021"/>
      </right>
      <top/>
      <bottom style="thick">
        <color theme="4"/>
      </bottom>
      <diagonal/>
    </border>
    <border>
      <left style="thin">
        <color theme="5"/>
      </left>
      <right style="thin">
        <color theme="5"/>
      </right>
      <top style="thin">
        <color theme="5"/>
      </top>
      <bottom style="thin">
        <color theme="5"/>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ck">
        <color theme="4"/>
      </left>
      <right/>
      <top style="thin">
        <color theme="0" tint="-0.14996795556505021"/>
      </top>
      <bottom style="thin">
        <color theme="0" tint="-0.14993743705557422"/>
      </bottom>
      <diagonal/>
    </border>
    <border>
      <left style="medium">
        <color theme="0" tint="-0.14993743705557422"/>
      </left>
      <right style="medium">
        <color theme="0" tint="-0.14993743705557422"/>
      </right>
      <top style="thin">
        <color theme="0" tint="-0.14996795556505021"/>
      </top>
      <bottom style="thin">
        <color theme="0" tint="-0.14993743705557422"/>
      </bottom>
      <diagonal/>
    </border>
    <border>
      <left style="thick">
        <color theme="4"/>
      </left>
      <right/>
      <top style="thin">
        <color theme="0" tint="-0.14993743705557422"/>
      </top>
      <bottom style="thin">
        <color theme="0" tint="-0.14993743705557422"/>
      </bottom>
      <diagonal/>
    </border>
    <border>
      <left style="medium">
        <color theme="0" tint="-0.14993743705557422"/>
      </left>
      <right/>
      <top style="thin">
        <color theme="0" tint="-0.14993743705557422"/>
      </top>
      <bottom style="thin">
        <color theme="0" tint="-0.14993743705557422"/>
      </bottom>
      <diagonal/>
    </border>
    <border>
      <left style="medium">
        <color theme="0" tint="-0.14996795556505021"/>
      </left>
      <right style="thick">
        <color theme="4"/>
      </right>
      <top style="thin">
        <color theme="0" tint="-0.14993743705557422"/>
      </top>
      <bottom style="thin">
        <color theme="0" tint="-0.14993743705557422"/>
      </bottom>
      <diagonal/>
    </border>
    <border>
      <left style="medium">
        <color theme="0" tint="-0.14993743705557422"/>
      </left>
      <right style="medium">
        <color theme="0" tint="-0.14996795556505021"/>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top style="thin">
        <color theme="0" tint="-0.14993743705557422"/>
      </top>
      <bottom style="thick">
        <color theme="4"/>
      </bottom>
      <diagonal/>
    </border>
    <border>
      <left/>
      <right style="thick">
        <color theme="4"/>
      </right>
      <top style="thin">
        <color theme="0" tint="-0.14993743705557422"/>
      </top>
      <bottom style="thin">
        <color theme="0" tint="-0.14993743705557422"/>
      </bottom>
      <diagonal/>
    </border>
    <border>
      <left style="thick">
        <color theme="4"/>
      </left>
      <right/>
      <top style="thin">
        <color theme="0" tint="-0.14993743705557422"/>
      </top>
      <bottom style="thick">
        <color theme="4"/>
      </bottom>
      <diagonal/>
    </border>
    <border>
      <left/>
      <right style="thick">
        <color theme="4"/>
      </right>
      <top style="thin">
        <color theme="0" tint="-0.14993743705557422"/>
      </top>
      <bottom style="thick">
        <color theme="4"/>
      </bottom>
      <diagonal/>
    </border>
    <border>
      <left style="thick">
        <color theme="4"/>
      </left>
      <right/>
      <top style="thin">
        <color theme="0" tint="-0.14993743705557422"/>
      </top>
      <bottom/>
      <diagonal/>
    </border>
    <border>
      <left/>
      <right/>
      <top style="thin">
        <color theme="0" tint="-0.14993743705557422"/>
      </top>
      <bottom/>
      <diagonal/>
    </border>
    <border>
      <left/>
      <right style="thick">
        <color theme="4"/>
      </right>
      <top style="thin">
        <color theme="0" tint="-0.14993743705557422"/>
      </top>
      <bottom/>
      <diagonal/>
    </border>
    <border>
      <left style="thick">
        <color theme="2" tint="-0.499984740745262"/>
      </left>
      <right style="medium">
        <color theme="2" tint="-0.499984740745262"/>
      </right>
      <top style="thin">
        <color theme="2" tint="-0.24994659260841701"/>
      </top>
      <bottom style="medium">
        <color theme="2" tint="-0.499984740745262"/>
      </bottom>
      <diagonal/>
    </border>
    <border>
      <left style="thick">
        <color theme="2" tint="-0.499984740745262"/>
      </left>
      <right style="medium">
        <color theme="2" tint="-0.499984740745262"/>
      </right>
      <top style="thin">
        <color theme="2" tint="-0.24994659260841701"/>
      </top>
      <bottom/>
      <diagonal/>
    </border>
    <border>
      <left style="thick">
        <color theme="2" tint="-0.499984740745262"/>
      </left>
      <right/>
      <top style="thin">
        <color theme="2" tint="-0.24994659260841701"/>
      </top>
      <bottom style="thick">
        <color theme="2" tint="-0.499984740745262"/>
      </bottom>
      <diagonal/>
    </border>
    <border>
      <left/>
      <right style="thick">
        <color theme="2" tint="-0.499984740745262"/>
      </right>
      <top style="thin">
        <color theme="2" tint="-0.24994659260841701"/>
      </top>
      <bottom style="thick">
        <color theme="2" tint="-0.499984740745262"/>
      </bottom>
      <diagonal/>
    </border>
    <border>
      <left style="thin">
        <color theme="2" tint="-0.24994659260841701"/>
      </left>
      <right style="thin">
        <color theme="2" tint="-0.24994659260841701"/>
      </right>
      <top/>
      <bottom style="thin">
        <color theme="2" tint="-0.24994659260841701"/>
      </bottom>
      <diagonal/>
    </border>
    <border>
      <left style="thin">
        <color theme="2" tint="-0.24994659260841701"/>
      </left>
      <right style="thin">
        <color theme="2" tint="-0.24994659260841701"/>
      </right>
      <top/>
      <bottom style="thick">
        <color theme="2" tint="-0.499984740745262"/>
      </bottom>
      <diagonal/>
    </border>
    <border>
      <left/>
      <right/>
      <top style="thin">
        <color theme="7"/>
      </top>
      <bottom style="thin">
        <color theme="7"/>
      </bottom>
      <diagonal/>
    </border>
    <border>
      <left style="thin">
        <color theme="2" tint="-0.499984740745262"/>
      </left>
      <right style="thin">
        <color theme="2" tint="-0.24994659260841701"/>
      </right>
      <top style="thin">
        <color theme="2" tint="-0.499984740745262"/>
      </top>
      <bottom style="thick">
        <color theme="2" tint="-0.499984740745262"/>
      </bottom>
      <diagonal/>
    </border>
    <border>
      <left style="thin">
        <color theme="2" tint="-0.24994659260841701"/>
      </left>
      <right style="thin">
        <color theme="2" tint="-0.24994659260841701"/>
      </right>
      <top style="thin">
        <color theme="2" tint="-0.499984740745262"/>
      </top>
      <bottom style="thick">
        <color theme="2" tint="-0.499984740745262"/>
      </bottom>
      <diagonal/>
    </border>
    <border>
      <left style="thin">
        <color theme="2" tint="-0.24994659260841701"/>
      </left>
      <right style="thin">
        <color theme="2" tint="-0.499984740745262"/>
      </right>
      <top style="thin">
        <color theme="2" tint="-0.499984740745262"/>
      </top>
      <bottom style="thick">
        <color theme="2" tint="-0.499984740745262"/>
      </bottom>
      <diagonal/>
    </border>
    <border>
      <left style="thin">
        <color theme="2" tint="-0.24994659260841701"/>
      </left>
      <right style="thin">
        <color theme="2" tint="-0.24994659260841701"/>
      </right>
      <top style="thick">
        <color theme="2" tint="-0.499984740745262"/>
      </top>
      <bottom style="thin">
        <color theme="2" tint="-0.24994659260841701"/>
      </bottom>
      <diagonal/>
    </border>
    <border>
      <left style="thin">
        <color theme="2" tint="-0.24994659260841701"/>
      </left>
      <right/>
      <top style="thick">
        <color theme="2" tint="-0.499984740745262"/>
      </top>
      <bottom style="thin">
        <color theme="2" tint="-0.24994659260841701"/>
      </bottom>
      <diagonal/>
    </border>
    <border>
      <left/>
      <right style="thin">
        <color theme="2" tint="-0.24994659260841701"/>
      </right>
      <top style="thick">
        <color theme="2" tint="-0.499984740745262"/>
      </top>
      <bottom style="thin">
        <color theme="2" tint="-0.24994659260841701"/>
      </bottom>
      <diagonal/>
    </border>
    <border>
      <left style="thin">
        <color theme="2" tint="-0.24994659260841701"/>
      </left>
      <right/>
      <top style="thin">
        <color theme="2" tint="-0.499984740745262"/>
      </top>
      <bottom style="thin">
        <color theme="2" tint="-0.24994659260841701"/>
      </bottom>
      <diagonal/>
    </border>
    <border>
      <left/>
      <right style="thick">
        <color theme="2" tint="-0.499984740745262"/>
      </right>
      <top style="thin">
        <color theme="2" tint="-0.499984740745262"/>
      </top>
      <bottom style="thin">
        <color theme="2" tint="-0.24994659260841701"/>
      </bottom>
      <diagonal/>
    </border>
    <border>
      <left style="thick">
        <color theme="2" tint="-0.499984740745262"/>
      </left>
      <right/>
      <top style="thin">
        <color theme="2" tint="-0.499984740745262"/>
      </top>
      <bottom style="thin">
        <color theme="2" tint="-0.24994659260841701"/>
      </bottom>
      <diagonal/>
    </border>
    <border>
      <left style="thick">
        <color theme="2" tint="-0.499984740745262"/>
      </left>
      <right/>
      <top style="medium">
        <color theme="2" tint="-0.499984740745262"/>
      </top>
      <bottom style="thin">
        <color theme="2" tint="-0.24994659260841701"/>
      </bottom>
      <diagonal/>
    </border>
    <border>
      <left/>
      <right style="thick">
        <color theme="2" tint="-0.499984740745262"/>
      </right>
      <top style="medium">
        <color theme="2" tint="-0.499984740745262"/>
      </top>
      <bottom style="thin">
        <color theme="2" tint="-0.24994659260841701"/>
      </bottom>
      <diagonal/>
    </border>
    <border>
      <left style="thick">
        <color theme="2" tint="-0.499984740745262"/>
      </left>
      <right/>
      <top style="thin">
        <color theme="2" tint="-0.24994659260841701"/>
      </top>
      <bottom style="medium">
        <color theme="2" tint="-0.499984740745262"/>
      </bottom>
      <diagonal/>
    </border>
    <border>
      <left/>
      <right style="thick">
        <color theme="2" tint="-0.499984740745262"/>
      </right>
      <top style="thin">
        <color theme="2" tint="-0.24994659260841701"/>
      </top>
      <bottom style="medium">
        <color theme="2" tint="-0.499984740745262"/>
      </bottom>
      <diagonal/>
    </border>
    <border>
      <left style="thick">
        <color theme="2" tint="-0.499984740745262"/>
      </left>
      <right/>
      <top/>
      <bottom style="thin">
        <color theme="2" tint="-0.24994659260841701"/>
      </bottom>
      <diagonal/>
    </border>
    <border>
      <left style="thick">
        <color theme="7"/>
      </left>
      <right style="thick">
        <color theme="7"/>
      </right>
      <top style="thick">
        <color theme="7"/>
      </top>
      <bottom style="thick">
        <color theme="7"/>
      </bottom>
      <diagonal/>
    </border>
    <border>
      <left style="thin">
        <color theme="2" tint="-0.24994659260841701"/>
      </left>
      <right style="medium">
        <color theme="2" tint="-0.499984740745262"/>
      </right>
      <top style="thin">
        <color theme="2" tint="-0.499984740745262"/>
      </top>
      <bottom style="thin">
        <color theme="2" tint="-0.24994659260841701"/>
      </bottom>
      <diagonal/>
    </border>
    <border>
      <left style="thin">
        <color theme="2" tint="-0.24994659260841701"/>
      </left>
      <right style="medium">
        <color theme="2" tint="-0.499984740745262"/>
      </right>
      <top style="thin">
        <color theme="2" tint="-0.24994659260841701"/>
      </top>
      <bottom style="thin">
        <color theme="2" tint="-0.24994659260841701"/>
      </bottom>
      <diagonal/>
    </border>
    <border>
      <left style="thin">
        <color theme="2" tint="-0.24994659260841701"/>
      </left>
      <right style="medium">
        <color theme="2" tint="-0.499984740745262"/>
      </right>
      <top style="thin">
        <color theme="2" tint="-0.24994659260841701"/>
      </top>
      <bottom style="thick">
        <color theme="2" tint="-0.499984740745262"/>
      </bottom>
      <diagonal/>
    </border>
    <border>
      <left style="thick">
        <color theme="7"/>
      </left>
      <right/>
      <top style="thick">
        <color theme="7"/>
      </top>
      <bottom style="thin">
        <color theme="7"/>
      </bottom>
      <diagonal/>
    </border>
    <border>
      <left/>
      <right/>
      <top style="thick">
        <color theme="7"/>
      </top>
      <bottom style="thin">
        <color theme="7"/>
      </bottom>
      <diagonal/>
    </border>
    <border>
      <left/>
      <right style="thick">
        <color theme="7"/>
      </right>
      <top style="thick">
        <color theme="7"/>
      </top>
      <bottom style="thin">
        <color theme="7"/>
      </bottom>
      <diagonal/>
    </border>
    <border>
      <left style="thick">
        <color theme="7"/>
      </left>
      <right/>
      <top style="thin">
        <color theme="7"/>
      </top>
      <bottom style="thin">
        <color theme="7"/>
      </bottom>
      <diagonal/>
    </border>
    <border>
      <left/>
      <right style="thick">
        <color theme="7"/>
      </right>
      <top style="thin">
        <color theme="7"/>
      </top>
      <bottom style="thin">
        <color theme="7"/>
      </bottom>
      <diagonal/>
    </border>
    <border>
      <left style="thick">
        <color theme="7"/>
      </left>
      <right/>
      <top style="thin">
        <color theme="7"/>
      </top>
      <bottom style="thick">
        <color theme="7"/>
      </bottom>
      <diagonal/>
    </border>
    <border>
      <left/>
      <right/>
      <top style="thin">
        <color theme="7"/>
      </top>
      <bottom style="thick">
        <color theme="7"/>
      </bottom>
      <diagonal/>
    </border>
    <border>
      <left/>
      <right style="thick">
        <color theme="7"/>
      </right>
      <top style="thin">
        <color theme="7"/>
      </top>
      <bottom style="thick">
        <color theme="7"/>
      </bottom>
      <diagonal/>
    </border>
    <border>
      <left/>
      <right/>
      <top style="thick">
        <color theme="2" tint="-0.499984740745262"/>
      </top>
      <bottom style="thick">
        <color theme="2" tint="-0.499984740745262"/>
      </bottom>
      <diagonal/>
    </border>
    <border>
      <left/>
      <right/>
      <top/>
      <bottom style="medium">
        <color auto="1"/>
      </bottom>
      <diagonal/>
    </border>
    <border>
      <left style="medium">
        <color theme="7"/>
      </left>
      <right style="medium">
        <color theme="7"/>
      </right>
      <top style="medium">
        <color theme="7"/>
      </top>
      <bottom style="medium">
        <color theme="7"/>
      </bottom>
      <diagonal/>
    </border>
    <border>
      <left style="thin">
        <color theme="2" tint="-0.24994659260841701"/>
      </left>
      <right/>
      <top style="thick">
        <color theme="2" tint="-0.499984740745262"/>
      </top>
      <bottom style="thin">
        <color theme="2" tint="-0.499984740745262"/>
      </bottom>
      <diagonal/>
    </border>
    <border>
      <left style="thick">
        <color theme="2" tint="-0.499984740745262"/>
      </left>
      <right/>
      <top style="thick">
        <color theme="2" tint="-0.499984740745262"/>
      </top>
      <bottom style="medium">
        <color theme="2" tint="-0.499984740745262"/>
      </bottom>
      <diagonal/>
    </border>
    <border>
      <left/>
      <right style="thick">
        <color theme="2" tint="-0.499984740745262"/>
      </right>
      <top style="thick">
        <color theme="2" tint="-0.499984740745262"/>
      </top>
      <bottom style="medium">
        <color theme="2" tint="-0.499984740745262"/>
      </bottom>
      <diagonal/>
    </border>
    <border>
      <left style="thin">
        <color theme="2" tint="-0.24994659260841701"/>
      </left>
      <right/>
      <top style="thick">
        <color theme="2" tint="-0.499984740745262"/>
      </top>
      <bottom style="medium">
        <color theme="2" tint="-0.499984740745262"/>
      </bottom>
      <diagonal/>
    </border>
    <border>
      <left/>
      <right/>
      <top style="thick">
        <color theme="2" tint="-0.499984740745262"/>
      </top>
      <bottom style="medium">
        <color theme="2" tint="-0.499984740745262"/>
      </bottom>
      <diagonal/>
    </border>
    <border>
      <left/>
      <right style="thin">
        <color theme="2" tint="-0.24994659260841701"/>
      </right>
      <top style="thick">
        <color theme="2" tint="-0.499984740745262"/>
      </top>
      <bottom style="medium">
        <color theme="2" tint="-0.499984740745262"/>
      </bottom>
      <diagonal/>
    </border>
    <border>
      <left/>
      <right style="thin">
        <color theme="2" tint="-0.24994659260841701"/>
      </right>
      <top/>
      <bottom/>
      <diagonal/>
    </border>
    <border>
      <left/>
      <right style="thin">
        <color theme="2" tint="-0.24994659260841701"/>
      </right>
      <top/>
      <bottom style="thick">
        <color theme="2" tint="-0.499984740745262"/>
      </bottom>
      <diagonal/>
    </border>
    <border>
      <left style="thin">
        <color theme="2" tint="-0.24994659260841701"/>
      </left>
      <right/>
      <top style="medium">
        <color theme="2" tint="-0.499984740745262"/>
      </top>
      <bottom style="thick">
        <color theme="2" tint="-0.499984740745262"/>
      </bottom>
      <diagonal/>
    </border>
    <border>
      <left/>
      <right/>
      <top style="medium">
        <color theme="2" tint="-0.499984740745262"/>
      </top>
      <bottom style="thick">
        <color theme="2" tint="-0.499984740745262"/>
      </bottom>
      <diagonal/>
    </border>
    <border>
      <left/>
      <right style="medium">
        <color theme="2" tint="-0.499984740745262"/>
      </right>
      <top style="medium">
        <color theme="2" tint="-0.499984740745262"/>
      </top>
      <bottom style="thick">
        <color theme="2" tint="-0.499984740745262"/>
      </bottom>
      <diagonal/>
    </border>
    <border>
      <left/>
      <right style="thick">
        <color theme="7"/>
      </right>
      <top/>
      <bottom/>
      <diagonal/>
    </border>
    <border>
      <left style="thick">
        <color theme="9" tint="0.39994506668294322"/>
      </left>
      <right/>
      <top style="thick">
        <color theme="9" tint="0.39991454817346722"/>
      </top>
      <bottom/>
      <diagonal/>
    </border>
    <border>
      <left/>
      <right/>
      <top style="thick">
        <color theme="9" tint="0.39991454817346722"/>
      </top>
      <bottom/>
      <diagonal/>
    </border>
    <border>
      <left/>
      <right style="thick">
        <color theme="9" tint="0.39991454817346722"/>
      </right>
      <top style="thick">
        <color theme="9" tint="0.39991454817346722"/>
      </top>
      <bottom/>
      <diagonal/>
    </border>
    <border>
      <left style="thick">
        <color theme="9" tint="0.39994506668294322"/>
      </left>
      <right/>
      <top/>
      <bottom style="thick">
        <color theme="9" tint="0.39991454817346722"/>
      </bottom>
      <diagonal/>
    </border>
    <border>
      <left/>
      <right/>
      <top/>
      <bottom style="thick">
        <color theme="9" tint="0.39991454817346722"/>
      </bottom>
      <diagonal/>
    </border>
    <border>
      <left/>
      <right style="thick">
        <color theme="9" tint="0.39991454817346722"/>
      </right>
      <top/>
      <bottom style="thick">
        <color theme="9" tint="0.39991454817346722"/>
      </bottom>
      <diagonal/>
    </border>
    <border>
      <left style="thin">
        <color theme="2" tint="-0.24994659260841701"/>
      </left>
      <right style="thick">
        <color theme="2" tint="-0.499984740745262"/>
      </right>
      <top style="thick">
        <color theme="2" tint="-0.499984740745262"/>
      </top>
      <bottom style="medium">
        <color theme="2" tint="-0.499984740745262"/>
      </bottom>
      <diagonal/>
    </border>
    <border>
      <left/>
      <right/>
      <top style="medium">
        <color theme="2" tint="-0.499984740745262"/>
      </top>
      <bottom/>
      <diagonal/>
    </border>
    <border>
      <left style="thin">
        <color theme="2" tint="-0.24994659260841701"/>
      </left>
      <right/>
      <top style="thin">
        <color theme="2" tint="-0.24994659260841701"/>
      </top>
      <bottom/>
      <diagonal/>
    </border>
    <border>
      <left style="thick">
        <color theme="2" tint="-0.499984740745262"/>
      </left>
      <right style="medium">
        <color theme="2" tint="-0.499984740745262"/>
      </right>
      <top style="medium">
        <color theme="2" tint="-0.499984740745262"/>
      </top>
      <bottom/>
      <diagonal/>
    </border>
    <border>
      <left style="thick">
        <color theme="2" tint="-0.499984740745262"/>
      </left>
      <right style="thin">
        <color theme="2" tint="-0.24994659260841701"/>
      </right>
      <top style="thick">
        <color theme="2" tint="-0.499984740745262"/>
      </top>
      <bottom style="thin">
        <color theme="2" tint="-0.24994659260841701"/>
      </bottom>
      <diagonal/>
    </border>
    <border>
      <left style="thick">
        <color theme="2" tint="-0.499984740745262"/>
      </left>
      <right style="thin">
        <color theme="2" tint="-0.24994659260841701"/>
      </right>
      <top style="thin">
        <color theme="2" tint="-0.499984740745262"/>
      </top>
      <bottom style="thin">
        <color theme="2" tint="-0.24994659260841701"/>
      </bottom>
      <diagonal/>
    </border>
    <border>
      <left style="medium">
        <color theme="2" tint="-0.499984740745262"/>
      </left>
      <right style="thin">
        <color theme="2" tint="-0.24994659260841701"/>
      </right>
      <top style="medium">
        <color theme="2" tint="-0.499984740745262"/>
      </top>
      <bottom style="thin">
        <color theme="2" tint="-0.499984740745262"/>
      </bottom>
      <diagonal/>
    </border>
    <border>
      <left style="thin">
        <color theme="2" tint="-0.24994659260841701"/>
      </left>
      <right style="thin">
        <color theme="2" tint="-0.24994659260841701"/>
      </right>
      <top style="medium">
        <color theme="2" tint="-0.499984740745262"/>
      </top>
      <bottom style="thin">
        <color theme="2" tint="-0.499984740745262"/>
      </bottom>
      <diagonal/>
    </border>
    <border>
      <left style="thin">
        <color theme="2" tint="-0.24994659260841701"/>
      </left>
      <right/>
      <top style="medium">
        <color theme="2" tint="-0.499984740745262"/>
      </top>
      <bottom style="thin">
        <color theme="2" tint="-0.499984740745262"/>
      </bottom>
      <diagonal/>
    </border>
    <border>
      <left style="thin">
        <color theme="2" tint="-0.24994659260841701"/>
      </left>
      <right style="medium">
        <color theme="2" tint="-0.499984740745262"/>
      </right>
      <top style="medium">
        <color theme="2" tint="-0.499984740745262"/>
      </top>
      <bottom style="thin">
        <color theme="2" tint="-0.499984740745262"/>
      </bottom>
      <diagonal/>
    </border>
    <border>
      <left style="medium">
        <color theme="2" tint="-0.499984740745262"/>
      </left>
      <right/>
      <top/>
      <bottom style="thin">
        <color theme="2" tint="-0.24994659260841701"/>
      </bottom>
      <diagonal/>
    </border>
    <border>
      <left style="thin">
        <color theme="2" tint="-0.24994659260841701"/>
      </left>
      <right style="medium">
        <color theme="2" tint="-0.499984740745262"/>
      </right>
      <top/>
      <bottom style="thin">
        <color theme="2" tint="-0.24994659260841701"/>
      </bottom>
      <diagonal/>
    </border>
    <border>
      <left style="thin">
        <color theme="2" tint="-0.24994659260841701"/>
      </left>
      <right style="thin">
        <color theme="2" tint="-0.24994659260841701"/>
      </right>
      <top style="thin">
        <color theme="2" tint="-0.24994659260841701"/>
      </top>
      <bottom style="medium">
        <color theme="2" tint="-0.499984740745262"/>
      </bottom>
      <diagonal/>
    </border>
    <border>
      <left style="thin">
        <color theme="2" tint="-0.24994659260841701"/>
      </left>
      <right/>
      <top style="thin">
        <color theme="2" tint="-0.24994659260841701"/>
      </top>
      <bottom style="medium">
        <color theme="2" tint="-0.499984740745262"/>
      </bottom>
      <diagonal/>
    </border>
    <border>
      <left style="thin">
        <color theme="2" tint="-0.24994659260841701"/>
      </left>
      <right style="medium">
        <color theme="2" tint="-0.499984740745262"/>
      </right>
      <top style="thin">
        <color theme="2" tint="-0.24994659260841701"/>
      </top>
      <bottom style="medium">
        <color theme="2" tint="-0.499984740745262"/>
      </bottom>
      <diagonal/>
    </border>
    <border>
      <left/>
      <right style="medium">
        <color theme="2" tint="-0.499984740745262"/>
      </right>
      <top style="thin">
        <color theme="2" tint="-0.24994659260841701"/>
      </top>
      <bottom/>
      <diagonal/>
    </border>
    <border>
      <left style="thick">
        <color theme="2" tint="-0.499984740745262"/>
      </left>
      <right style="medium">
        <color theme="2" tint="-0.499984740745262"/>
      </right>
      <top/>
      <bottom style="thin">
        <color theme="2" tint="-0.24994659260841701"/>
      </bottom>
      <diagonal/>
    </border>
    <border>
      <left style="thick">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medium">
        <color theme="2" tint="-0.499984740745262"/>
      </right>
      <top style="thin">
        <color theme="2" tint="-0.24994659260841701"/>
      </top>
      <bottom style="medium">
        <color theme="2" tint="-0.499984740745262"/>
      </bottom>
      <diagonal/>
    </border>
    <border>
      <left/>
      <right style="thick">
        <color theme="2" tint="-0.499984740745262"/>
      </right>
      <top style="thick">
        <color theme="2" tint="-0.499984740745262"/>
      </top>
      <bottom style="thin">
        <color theme="2" tint="-0.499984740745262"/>
      </bottom>
      <diagonal/>
    </border>
    <border>
      <left style="thick">
        <color theme="2" tint="-0.499984740745262"/>
      </left>
      <right style="medium">
        <color theme="2" tint="-0.499984740745262"/>
      </right>
      <top style="thin">
        <color theme="2" tint="-0.499984740745262"/>
      </top>
      <bottom style="thin">
        <color theme="2" tint="-0.24994659260841701"/>
      </bottom>
      <diagonal/>
    </border>
    <border>
      <left style="medium">
        <color theme="2" tint="-0.499984740745262"/>
      </left>
      <right/>
      <top style="thin">
        <color theme="2" tint="-0.499984740745262"/>
      </top>
      <bottom style="thin">
        <color theme="2" tint="-0.24994659260841701"/>
      </bottom>
      <diagonal/>
    </border>
    <border>
      <left style="medium">
        <color theme="2" tint="-0.499984740745262"/>
      </left>
      <right/>
      <top style="thin">
        <color theme="2" tint="-0.24994659260841701"/>
      </top>
      <bottom style="thin">
        <color theme="2" tint="-0.24994659260841701"/>
      </bottom>
      <diagonal/>
    </border>
    <border>
      <left style="medium">
        <color theme="2" tint="-0.499984740745262"/>
      </left>
      <right/>
      <top style="thin">
        <color theme="2" tint="-0.24994659260841701"/>
      </top>
      <bottom style="thick">
        <color theme="2" tint="-0.499984740745262"/>
      </bottom>
      <diagonal/>
    </border>
    <border>
      <left/>
      <right style="medium">
        <color theme="2" tint="-0.499984740745262"/>
      </right>
      <top style="thick">
        <color theme="2" tint="-0.499984740745262"/>
      </top>
      <bottom style="thin">
        <color theme="2" tint="-0.499984740745262"/>
      </bottom>
      <diagonal/>
    </border>
    <border>
      <left style="medium">
        <color theme="2" tint="-0.499984740745262"/>
      </left>
      <right/>
      <top style="thick">
        <color theme="2" tint="-0.499984740745262"/>
      </top>
      <bottom style="thin">
        <color theme="2" tint="-0.499984740745262"/>
      </bottom>
      <diagonal/>
    </border>
    <border>
      <left style="thick">
        <color rgb="FFA9D08E"/>
      </left>
      <right/>
      <top style="thick">
        <color rgb="FFA9D08E"/>
      </top>
      <bottom/>
      <diagonal/>
    </border>
    <border>
      <left/>
      <right/>
      <top style="thick">
        <color rgb="FFA9D08E"/>
      </top>
      <bottom/>
      <diagonal/>
    </border>
    <border>
      <left/>
      <right style="thick">
        <color rgb="FFA9D08E"/>
      </right>
      <top style="thick">
        <color rgb="FFA9D08E"/>
      </top>
      <bottom/>
      <diagonal/>
    </border>
    <border>
      <left style="thick">
        <color rgb="FFA9D08E"/>
      </left>
      <right/>
      <top/>
      <bottom style="thick">
        <color rgb="FFA9D08E"/>
      </bottom>
      <diagonal/>
    </border>
    <border>
      <left/>
      <right/>
      <top/>
      <bottom style="thick">
        <color rgb="FFA9D08E"/>
      </bottom>
      <diagonal/>
    </border>
    <border>
      <left/>
      <right style="thick">
        <color rgb="FFA9D08E"/>
      </right>
      <top/>
      <bottom style="thick">
        <color rgb="FFA9D08E"/>
      </bottom>
      <diagonal/>
    </border>
    <border>
      <left style="thick">
        <color theme="2" tint="-0.499984740745262"/>
      </left>
      <right style="thick">
        <color theme="2" tint="-0.499984740745262"/>
      </right>
      <top style="thick">
        <color theme="2" tint="-0.499984740745262"/>
      </top>
      <bottom style="thin">
        <color theme="2" tint="-0.499984740745262"/>
      </bottom>
      <diagonal/>
    </border>
    <border>
      <left style="thick">
        <color theme="2" tint="-0.499984740745262"/>
      </left>
      <right style="thick">
        <color theme="2" tint="-0.499984740745262"/>
      </right>
      <top style="thin">
        <color theme="2" tint="-0.499984740745262"/>
      </top>
      <bottom style="thin">
        <color theme="2" tint="-0.24994659260841701"/>
      </bottom>
      <diagonal/>
    </border>
    <border>
      <left style="thick">
        <color theme="2" tint="-0.499984740745262"/>
      </left>
      <right style="thick">
        <color theme="2" tint="-0.499984740745262"/>
      </right>
      <top style="thin">
        <color theme="2" tint="-0.24994659260841701"/>
      </top>
      <bottom style="thin">
        <color theme="2" tint="-0.24994659260841701"/>
      </bottom>
      <diagonal/>
    </border>
    <border>
      <left style="thick">
        <color theme="2" tint="-0.499984740745262"/>
      </left>
      <right style="thick">
        <color theme="2" tint="-0.499984740745262"/>
      </right>
      <top style="thin">
        <color theme="2" tint="-0.24994659260841701"/>
      </top>
      <bottom style="thick">
        <color theme="2" tint="-0.499984740745262"/>
      </bottom>
      <diagonal/>
    </border>
    <border>
      <left style="thick">
        <color rgb="FF92D050"/>
      </left>
      <right/>
      <top style="thick">
        <color rgb="FF92D050"/>
      </top>
      <bottom/>
      <diagonal/>
    </border>
    <border>
      <left/>
      <right/>
      <top style="thick">
        <color rgb="FF92D050"/>
      </top>
      <bottom/>
      <diagonal/>
    </border>
    <border>
      <left/>
      <right style="thick">
        <color rgb="FF92D050"/>
      </right>
      <top style="thick">
        <color rgb="FF92D050"/>
      </top>
      <bottom/>
      <diagonal/>
    </border>
    <border>
      <left style="thick">
        <color rgb="FF92D050"/>
      </left>
      <right/>
      <top/>
      <bottom style="thick">
        <color rgb="FF92D050"/>
      </bottom>
      <diagonal/>
    </border>
    <border>
      <left/>
      <right/>
      <top/>
      <bottom style="thick">
        <color rgb="FF92D050"/>
      </bottom>
      <diagonal/>
    </border>
    <border>
      <left/>
      <right style="thick">
        <color rgb="FF92D050"/>
      </right>
      <top/>
      <bottom style="thick">
        <color rgb="FF92D050"/>
      </bottom>
      <diagonal/>
    </border>
    <border>
      <left/>
      <right/>
      <top style="medium">
        <color theme="2" tint="-0.499984740745262"/>
      </top>
      <bottom style="medium">
        <color theme="2" tint="-0.499984740745262"/>
      </bottom>
      <diagonal/>
    </border>
    <border>
      <left style="thin">
        <color theme="2" tint="-0.24994659260841701"/>
      </left>
      <right style="thin">
        <color theme="2" tint="-0.24994659260841701"/>
      </right>
      <top style="thick">
        <color theme="2" tint="-0.499984740745262"/>
      </top>
      <bottom style="medium">
        <color theme="2" tint="-0.499984740745262"/>
      </bottom>
      <diagonal/>
    </border>
    <border>
      <left style="thick">
        <color theme="0" tint="-0.499984740745262"/>
      </left>
      <right style="thick">
        <color theme="0" tint="-0.499984740745262"/>
      </right>
      <top/>
      <bottom style="thick">
        <color rgb="FFDA0000"/>
      </bottom>
      <diagonal/>
    </border>
    <border>
      <left style="thick">
        <color theme="0" tint="-0.499984740745262"/>
      </left>
      <right/>
      <top/>
      <bottom style="thick">
        <color rgb="FFDA0000"/>
      </bottom>
      <diagonal/>
    </border>
    <border>
      <left/>
      <right/>
      <top/>
      <bottom style="thick">
        <color rgb="FFDA0000"/>
      </bottom>
      <diagonal/>
    </border>
    <border>
      <left/>
      <right style="thick">
        <color theme="0" tint="-0.499984740745262"/>
      </right>
      <top/>
      <bottom style="thick">
        <color rgb="FFDA0000"/>
      </bottom>
      <diagonal/>
    </border>
    <border>
      <left style="thin">
        <color theme="2" tint="-0.749961851863155"/>
      </left>
      <right style="thin">
        <color theme="2" tint="-0.749961851863155"/>
      </right>
      <top style="thin">
        <color theme="2" tint="-0.749961851863155"/>
      </top>
      <bottom style="thin">
        <color theme="2" tint="-0.24994659260841701"/>
      </bottom>
      <diagonal/>
    </border>
    <border>
      <left style="thin">
        <color theme="2" tint="-0.749961851863155"/>
      </left>
      <right style="thin">
        <color theme="2" tint="-0.749961851863155"/>
      </right>
      <top style="thin">
        <color theme="2" tint="-0.24994659260841701"/>
      </top>
      <bottom style="thin">
        <color theme="2" tint="-0.24994659260841701"/>
      </bottom>
      <diagonal/>
    </border>
    <border>
      <left style="thin">
        <color theme="2" tint="-0.749961851863155"/>
      </left>
      <right style="thin">
        <color theme="2" tint="-0.749961851863155"/>
      </right>
      <top style="thin">
        <color theme="2" tint="-0.24994659260841701"/>
      </top>
      <bottom style="thin">
        <color theme="2" tint="-0.749961851863155"/>
      </bottom>
      <diagonal/>
    </border>
    <border>
      <left style="thick">
        <color theme="7"/>
      </left>
      <right/>
      <top/>
      <bottom/>
      <diagonal/>
    </border>
    <border>
      <left style="thick">
        <color theme="9" tint="0.39988402966399123"/>
      </left>
      <right/>
      <top/>
      <bottom/>
      <diagonal/>
    </border>
  </borders>
  <cellStyleXfs count="5">
    <xf numFmtId="0" fontId="0" fillId="0" borderId="0"/>
    <xf numFmtId="0" fontId="4" fillId="2" borderId="0"/>
    <xf numFmtId="0" fontId="9" fillId="6" borderId="3" applyNumberFormat="0" applyAlignment="0" applyProtection="0"/>
    <xf numFmtId="0" fontId="30" fillId="0" borderId="0" applyNumberFormat="0" applyFill="0" applyBorder="0" applyAlignment="0" applyProtection="0"/>
    <xf numFmtId="0" fontId="4" fillId="0" borderId="0"/>
  </cellStyleXfs>
  <cellXfs count="986">
    <xf numFmtId="0" fontId="0" fillId="0" borderId="0" xfId="0"/>
    <xf numFmtId="0" fontId="7" fillId="0" borderId="0" xfId="0" applyNumberFormat="1" applyFont="1" applyFill="1" applyAlignment="1" applyProtection="1">
      <alignment horizontal="center" vertical="center"/>
      <protection hidden="1"/>
    </xf>
    <xf numFmtId="0" fontId="7" fillId="0" borderId="0" xfId="0" applyNumberFormat="1" applyFont="1" applyFill="1" applyAlignment="1" applyProtection="1">
      <alignment vertical="center"/>
      <protection hidden="1"/>
    </xf>
    <xf numFmtId="0" fontId="7" fillId="0" borderId="0"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vertical="center"/>
      <protection hidden="1"/>
    </xf>
    <xf numFmtId="0" fontId="8" fillId="0" borderId="0" xfId="0" applyNumberFormat="1" applyFont="1" applyFill="1" applyAlignment="1" applyProtection="1">
      <alignment vertical="center"/>
      <protection hidden="1"/>
    </xf>
    <xf numFmtId="0" fontId="7" fillId="0" borderId="1" xfId="0" applyNumberFormat="1" applyFont="1" applyFill="1" applyBorder="1" applyAlignment="1" applyProtection="1">
      <alignment vertical="center"/>
      <protection hidden="1"/>
    </xf>
    <xf numFmtId="0" fontId="7" fillId="3" borderId="2" xfId="0" applyNumberFormat="1" applyFont="1" applyFill="1" applyBorder="1" applyAlignment="1" applyProtection="1">
      <alignment vertical="center"/>
      <protection hidden="1"/>
    </xf>
    <xf numFmtId="0" fontId="7" fillId="4" borderId="2" xfId="0" applyNumberFormat="1" applyFont="1" applyFill="1" applyBorder="1" applyAlignment="1" applyProtection="1">
      <alignment horizontal="center" vertical="center"/>
      <protection hidden="1"/>
    </xf>
    <xf numFmtId="0" fontId="7" fillId="5" borderId="2" xfId="0" applyNumberFormat="1" applyFont="1" applyFill="1" applyBorder="1" applyAlignment="1" applyProtection="1">
      <alignment horizontal="center" vertical="center"/>
      <protection hidden="1"/>
    </xf>
    <xf numFmtId="0" fontId="7" fillId="0" borderId="0" xfId="0" applyNumberFormat="1" applyFont="1"/>
    <xf numFmtId="0" fontId="9" fillId="6" borderId="3" xfId="2" applyNumberFormat="1" applyAlignment="1" applyProtection="1">
      <alignment horizontal="center" vertical="center" readingOrder="1"/>
    </xf>
    <xf numFmtId="11" fontId="7" fillId="0" borderId="0" xfId="0" applyNumberFormat="1" applyFont="1" applyFill="1" applyAlignment="1" applyProtection="1">
      <alignment vertical="center"/>
      <protection hidden="1"/>
    </xf>
    <xf numFmtId="0" fontId="7" fillId="0" borderId="0" xfId="0" applyNumberFormat="1" applyFont="1" applyFill="1" applyBorder="1" applyAlignment="1" applyProtection="1">
      <alignment horizontal="center" vertical="center"/>
      <protection hidden="1"/>
    </xf>
    <xf numFmtId="0" fontId="7" fillId="7" borderId="2" xfId="0" applyNumberFormat="1" applyFont="1" applyFill="1" applyBorder="1" applyAlignment="1" applyProtection="1">
      <alignment horizontal="center" vertical="center"/>
      <protection hidden="1"/>
    </xf>
    <xf numFmtId="0" fontId="7" fillId="0" borderId="9" xfId="0" applyNumberFormat="1" applyFont="1" applyFill="1" applyBorder="1" applyAlignment="1" applyProtection="1">
      <alignment vertical="center"/>
      <protection hidden="1"/>
    </xf>
    <xf numFmtId="0" fontId="7" fillId="0" borderId="10" xfId="0" applyNumberFormat="1" applyFont="1" applyFill="1" applyBorder="1" applyAlignment="1" applyProtection="1">
      <alignment vertical="center"/>
      <protection hidden="1"/>
    </xf>
    <xf numFmtId="0" fontId="7" fillId="0" borderId="11" xfId="0" applyNumberFormat="1" applyFont="1" applyFill="1" applyBorder="1" applyAlignment="1" applyProtection="1">
      <alignment vertical="center"/>
      <protection hidden="1"/>
    </xf>
    <xf numFmtId="0" fontId="7" fillId="0" borderId="12" xfId="0" applyNumberFormat="1" applyFont="1" applyFill="1" applyBorder="1" applyAlignment="1" applyProtection="1">
      <alignment vertical="center"/>
      <protection hidden="1"/>
    </xf>
    <xf numFmtId="0" fontId="7" fillId="0" borderId="13" xfId="0" applyNumberFormat="1" applyFont="1" applyFill="1" applyBorder="1" applyAlignment="1" applyProtection="1">
      <alignment vertical="center"/>
      <protection hidden="1"/>
    </xf>
    <xf numFmtId="0" fontId="7" fillId="0" borderId="14" xfId="0" applyNumberFormat="1" applyFont="1" applyFill="1" applyBorder="1" applyAlignment="1" applyProtection="1">
      <alignment vertical="center"/>
      <protection hidden="1"/>
    </xf>
    <xf numFmtId="0" fontId="10" fillId="0" borderId="15" xfId="0" applyNumberFormat="1" applyFont="1" applyFill="1" applyBorder="1" applyAlignment="1" applyProtection="1">
      <alignment horizontal="center" vertical="center"/>
      <protection hidden="1"/>
    </xf>
    <xf numFmtId="0" fontId="10" fillId="0" borderId="16" xfId="0" applyNumberFormat="1" applyFont="1" applyFill="1" applyBorder="1" applyAlignment="1" applyProtection="1">
      <alignment horizontal="center" vertical="center"/>
      <protection hidden="1"/>
    </xf>
    <xf numFmtId="0" fontId="10" fillId="0" borderId="17" xfId="0" applyNumberFormat="1" applyFont="1" applyFill="1" applyBorder="1" applyAlignment="1" applyProtection="1">
      <alignment horizontal="center" vertical="center"/>
      <protection hidden="1"/>
    </xf>
    <xf numFmtId="3" fontId="7" fillId="0" borderId="0" xfId="0" applyNumberFormat="1" applyFont="1" applyFill="1" applyAlignment="1" applyProtection="1">
      <alignment vertical="center"/>
      <protection hidden="1"/>
    </xf>
    <xf numFmtId="3" fontId="7" fillId="0" borderId="0" xfId="0" applyNumberFormat="1" applyFont="1" applyFill="1" applyAlignment="1" applyProtection="1">
      <alignment horizontal="right" vertical="center"/>
      <protection hidden="1"/>
    </xf>
    <xf numFmtId="0" fontId="12" fillId="0" borderId="0" xfId="0" applyNumberFormat="1" applyFont="1" applyFill="1" applyAlignment="1" applyProtection="1">
      <alignment horizontal="center" vertical="center"/>
      <protection hidden="1"/>
    </xf>
    <xf numFmtId="0" fontId="12" fillId="0" borderId="0" xfId="0" applyNumberFormat="1" applyFont="1" applyFill="1" applyBorder="1" applyAlignment="1" applyProtection="1">
      <alignment horizontal="center" vertical="center"/>
      <protection hidden="1"/>
    </xf>
    <xf numFmtId="0" fontId="8" fillId="0" borderId="0" xfId="0" applyNumberFormat="1" applyFont="1" applyFill="1" applyAlignment="1" applyProtection="1">
      <alignment horizontal="center" vertical="center"/>
      <protection hidden="1"/>
    </xf>
    <xf numFmtId="0" fontId="7" fillId="0" borderId="18" xfId="0" applyNumberFormat="1" applyFont="1" applyFill="1" applyBorder="1" applyAlignment="1" applyProtection="1">
      <alignment horizontal="center" vertical="center"/>
      <protection hidden="1"/>
    </xf>
    <xf numFmtId="0" fontId="7" fillId="0" borderId="0" xfId="0" applyNumberFormat="1" applyFont="1" applyAlignment="1">
      <alignment horizontal="center" vertical="center"/>
    </xf>
    <xf numFmtId="0" fontId="7" fillId="0" borderId="19" xfId="0" applyNumberFormat="1" applyFont="1" applyFill="1" applyBorder="1" applyAlignment="1" applyProtection="1">
      <alignment vertical="center"/>
      <protection hidden="1"/>
    </xf>
    <xf numFmtId="0" fontId="7" fillId="0" borderId="20" xfId="0" applyNumberFormat="1" applyFont="1" applyFill="1" applyBorder="1" applyAlignment="1" applyProtection="1">
      <alignment horizontal="center" vertical="center"/>
      <protection hidden="1"/>
    </xf>
    <xf numFmtId="0" fontId="7" fillId="0" borderId="21" xfId="0" applyNumberFormat="1" applyFont="1" applyFill="1" applyBorder="1" applyAlignment="1" applyProtection="1">
      <alignment horizontal="center" vertical="center"/>
      <protection hidden="1"/>
    </xf>
    <xf numFmtId="0" fontId="7" fillId="0" borderId="22" xfId="0" applyNumberFormat="1" applyFont="1" applyFill="1" applyBorder="1" applyAlignment="1" applyProtection="1">
      <alignment vertical="center"/>
      <protection hidden="1"/>
    </xf>
    <xf numFmtId="0" fontId="7" fillId="0" borderId="23" xfId="0" applyNumberFormat="1" applyFont="1" applyFill="1" applyBorder="1" applyAlignment="1" applyProtection="1">
      <alignment horizontal="center" vertical="center"/>
      <protection hidden="1"/>
    </xf>
    <xf numFmtId="0" fontId="7" fillId="0" borderId="24" xfId="0" applyNumberFormat="1" applyFont="1" applyFill="1" applyBorder="1" applyAlignment="1" applyProtection="1">
      <alignment vertical="center"/>
      <protection hidden="1"/>
    </xf>
    <xf numFmtId="0" fontId="7" fillId="0" borderId="25" xfId="0" applyNumberFormat="1" applyFont="1" applyFill="1" applyBorder="1" applyAlignment="1" applyProtection="1">
      <alignment horizontal="center" vertical="center"/>
      <protection hidden="1"/>
    </xf>
    <xf numFmtId="0" fontId="7" fillId="0" borderId="26" xfId="0" applyNumberFormat="1" applyFont="1" applyFill="1" applyBorder="1" applyAlignment="1" applyProtection="1">
      <alignment horizontal="center" vertical="center"/>
      <protection hidden="1"/>
    </xf>
    <xf numFmtId="0" fontId="7" fillId="0" borderId="19" xfId="0" applyNumberFormat="1" applyFont="1" applyFill="1" applyBorder="1" applyAlignment="1" applyProtection="1">
      <alignment horizontal="center" vertical="center"/>
      <protection hidden="1"/>
    </xf>
    <xf numFmtId="0" fontId="7" fillId="0" borderId="22" xfId="0" applyNumberFormat="1" applyFont="1" applyFill="1" applyBorder="1" applyAlignment="1" applyProtection="1">
      <alignment horizontal="center" vertical="center"/>
      <protection hidden="1"/>
    </xf>
    <xf numFmtId="0" fontId="7" fillId="0" borderId="24" xfId="0" applyNumberFormat="1" applyFont="1" applyFill="1" applyBorder="1" applyAlignment="1" applyProtection="1">
      <alignment horizontal="center" vertical="center"/>
      <protection hidden="1"/>
    </xf>
    <xf numFmtId="0" fontId="5" fillId="0" borderId="0" xfId="0" applyFont="1"/>
    <xf numFmtId="0" fontId="15" fillId="0" borderId="0" xfId="0" applyFont="1"/>
    <xf numFmtId="0" fontId="7" fillId="0" borderId="32" xfId="0" applyNumberFormat="1" applyFont="1" applyFill="1" applyBorder="1" applyAlignment="1" applyProtection="1">
      <alignment horizontal="right" vertical="center" indent="1"/>
      <protection hidden="1"/>
    </xf>
    <xf numFmtId="0" fontId="7" fillId="0" borderId="35" xfId="0" applyNumberFormat="1" applyFont="1" applyFill="1" applyBorder="1" applyAlignment="1" applyProtection="1">
      <alignment horizontal="right" vertical="center" indent="1"/>
      <protection hidden="1"/>
    </xf>
    <xf numFmtId="0" fontId="7" fillId="0" borderId="37" xfId="0" applyNumberFormat="1" applyFont="1" applyFill="1" applyBorder="1" applyAlignment="1" applyProtection="1">
      <alignment horizontal="right" vertical="center" indent="1"/>
      <protection hidden="1"/>
    </xf>
    <xf numFmtId="0" fontId="18" fillId="0" borderId="0" xfId="0" applyFont="1"/>
    <xf numFmtId="0" fontId="21" fillId="0" borderId="51" xfId="0" applyFont="1" applyBorder="1" applyAlignment="1">
      <alignment horizontal="center" vertical="center"/>
    </xf>
    <xf numFmtId="0" fontId="21" fillId="0" borderId="65" xfId="0" applyFont="1" applyBorder="1" applyAlignment="1">
      <alignment horizontal="left" vertical="center"/>
    </xf>
    <xf numFmtId="0" fontId="21" fillId="0" borderId="46" xfId="0" applyFont="1" applyBorder="1" applyAlignment="1">
      <alignment horizontal="right" vertical="center"/>
    </xf>
    <xf numFmtId="0" fontId="7" fillId="0" borderId="0" xfId="0" quotePrefix="1" applyNumberFormat="1" applyFont="1" applyFill="1" applyBorder="1" applyAlignment="1" applyProtection="1">
      <alignment vertical="center"/>
      <protection hidden="1"/>
    </xf>
    <xf numFmtId="0" fontId="7" fillId="0" borderId="68" xfId="0" applyNumberFormat="1" applyFont="1" applyFill="1" applyBorder="1" applyAlignment="1" applyProtection="1">
      <alignment vertical="center"/>
      <protection hidden="1"/>
    </xf>
    <xf numFmtId="0" fontId="7" fillId="0" borderId="69" xfId="0" applyNumberFormat="1" applyFont="1" applyFill="1" applyBorder="1" applyAlignment="1" applyProtection="1">
      <alignment vertical="center"/>
      <protection hidden="1"/>
    </xf>
    <xf numFmtId="0" fontId="7" fillId="0" borderId="70" xfId="0" applyNumberFormat="1" applyFont="1" applyFill="1" applyBorder="1" applyAlignment="1" applyProtection="1">
      <alignment vertical="center"/>
      <protection hidden="1"/>
    </xf>
    <xf numFmtId="0" fontId="7" fillId="0" borderId="71" xfId="0" applyNumberFormat="1" applyFont="1" applyFill="1" applyBorder="1" applyAlignment="1" applyProtection="1">
      <alignment vertical="center"/>
      <protection hidden="1"/>
    </xf>
    <xf numFmtId="0" fontId="7" fillId="0" borderId="72" xfId="0" applyNumberFormat="1" applyFont="1" applyFill="1" applyBorder="1" applyAlignment="1" applyProtection="1">
      <alignment vertical="center"/>
      <protection hidden="1"/>
    </xf>
    <xf numFmtId="0" fontId="7" fillId="0" borderId="73" xfId="0" applyNumberFormat="1" applyFont="1" applyFill="1" applyBorder="1" applyAlignment="1" applyProtection="1">
      <alignment vertical="center"/>
      <protection hidden="1"/>
    </xf>
    <xf numFmtId="0" fontId="7" fillId="0" borderId="74" xfId="0" applyNumberFormat="1" applyFont="1" applyFill="1" applyBorder="1" applyAlignment="1" applyProtection="1">
      <alignment vertical="center"/>
      <protection hidden="1"/>
    </xf>
    <xf numFmtId="0" fontId="7" fillId="0" borderId="34" xfId="0" applyNumberFormat="1" applyFont="1" applyFill="1" applyBorder="1" applyAlignment="1" applyProtection="1">
      <alignment horizontal="left" vertical="center"/>
      <protection hidden="1"/>
    </xf>
    <xf numFmtId="0" fontId="7" fillId="0" borderId="36" xfId="0" applyNumberFormat="1" applyFont="1" applyFill="1" applyBorder="1" applyAlignment="1" applyProtection="1">
      <alignment horizontal="left" vertical="center"/>
      <protection hidden="1"/>
    </xf>
    <xf numFmtId="0" fontId="7" fillId="0" borderId="38" xfId="0" applyNumberFormat="1" applyFont="1" applyFill="1" applyBorder="1" applyAlignment="1" applyProtection="1">
      <alignment horizontal="left" vertical="center"/>
      <protection hidden="1"/>
    </xf>
    <xf numFmtId="3" fontId="11" fillId="0" borderId="0" xfId="0" applyNumberFormat="1" applyFont="1" applyAlignment="1">
      <alignment horizontal="center"/>
    </xf>
    <xf numFmtId="0" fontId="18" fillId="0" borderId="0" xfId="0" applyNumberFormat="1" applyFont="1" applyAlignment="1">
      <alignment horizontal="center"/>
    </xf>
    <xf numFmtId="0" fontId="7" fillId="0" borderId="77" xfId="0" applyNumberFormat="1" applyFont="1" applyFill="1" applyBorder="1" applyAlignment="1" applyProtection="1">
      <alignment horizontal="right" vertical="center" indent="1"/>
      <protection hidden="1"/>
    </xf>
    <xf numFmtId="0" fontId="7" fillId="0" borderId="78" xfId="0" applyNumberFormat="1" applyFont="1" applyFill="1" applyBorder="1" applyAlignment="1" applyProtection="1">
      <alignment horizontal="right" vertical="center" indent="1"/>
      <protection hidden="1"/>
    </xf>
    <xf numFmtId="0" fontId="7" fillId="0" borderId="79" xfId="0" applyNumberFormat="1" applyFont="1" applyFill="1" applyBorder="1" applyAlignment="1" applyProtection="1">
      <alignment horizontal="right" vertical="center" indent="1"/>
      <protection hidden="1"/>
    </xf>
    <xf numFmtId="165" fontId="18" fillId="0" borderId="0" xfId="0" applyNumberFormat="1" applyFont="1" applyAlignment="1">
      <alignment horizontal="center" vertical="center"/>
    </xf>
    <xf numFmtId="0" fontId="12" fillId="0" borderId="0" xfId="0" applyNumberFormat="1" applyFont="1" applyFill="1" applyAlignment="1" applyProtection="1">
      <alignment horizontal="center" vertical="center"/>
      <protection hidden="1"/>
    </xf>
    <xf numFmtId="0" fontId="0" fillId="0" borderId="0" xfId="0" applyProtection="1"/>
    <xf numFmtId="0" fontId="34" fillId="0" borderId="0" xfId="0" applyFont="1" applyAlignment="1">
      <alignment horizontal="center" vertical="center" wrapText="1"/>
    </xf>
    <xf numFmtId="0" fontId="2" fillId="0" borderId="0" xfId="0" applyFont="1" applyFill="1" applyBorder="1" applyAlignment="1" applyProtection="1">
      <alignment horizontal="center" vertical="center"/>
    </xf>
    <xf numFmtId="0" fontId="0" fillId="0" borderId="0" xfId="0" applyProtection="1">
      <protection locked="0"/>
    </xf>
    <xf numFmtId="0" fontId="0" fillId="0" borderId="0" xfId="0" applyAlignment="1" applyProtection="1">
      <alignment horizontal="center"/>
      <protection locked="0"/>
    </xf>
    <xf numFmtId="0" fontId="0" fillId="0" borderId="0" xfId="0" applyFill="1" applyBorder="1" applyAlignment="1" applyProtection="1">
      <alignment horizontal="center" vertical="center"/>
    </xf>
    <xf numFmtId="0" fontId="0" fillId="0" borderId="0" xfId="0" applyAlignment="1">
      <alignment horizontal="right" vertical="center"/>
    </xf>
    <xf numFmtId="0" fontId="0" fillId="0" borderId="0" xfId="0" applyAlignment="1">
      <alignment horizontal="left" vertical="center" indent="1"/>
    </xf>
    <xf numFmtId="0" fontId="0" fillId="12" borderId="92" xfId="0" applyFill="1" applyBorder="1" applyAlignment="1" applyProtection="1">
      <alignment horizontal="left" indent="1"/>
      <protection locked="0"/>
    </xf>
    <xf numFmtId="0" fontId="0" fillId="13" borderId="93" xfId="0" applyFill="1" applyBorder="1" applyAlignment="1" applyProtection="1">
      <alignment horizontal="left" indent="1"/>
      <protection locked="0"/>
    </xf>
    <xf numFmtId="0" fontId="0" fillId="14" borderId="94" xfId="0" applyFill="1" applyBorder="1" applyAlignment="1" applyProtection="1">
      <alignment horizontal="left" indent="1"/>
      <protection locked="0"/>
    </xf>
    <xf numFmtId="0" fontId="36" fillId="0" borderId="87" xfId="0" applyFont="1" applyFill="1" applyBorder="1" applyAlignment="1">
      <alignment horizontal="left" indent="1"/>
    </xf>
    <xf numFmtId="0" fontId="0" fillId="0" borderId="88" xfId="0" applyBorder="1" applyAlignment="1">
      <alignment horizontal="left" indent="1"/>
    </xf>
    <xf numFmtId="0" fontId="0" fillId="0" borderId="95" xfId="0" applyBorder="1" applyAlignment="1">
      <alignment horizontal="left" indent="1"/>
    </xf>
    <xf numFmtId="0" fontId="36" fillId="0" borderId="90" xfId="0" applyFont="1" applyFill="1" applyBorder="1" applyAlignment="1">
      <alignment horizontal="left" indent="1"/>
    </xf>
    <xf numFmtId="0" fontId="0" fillId="0" borderId="0" xfId="0" applyBorder="1" applyAlignment="1">
      <alignment horizontal="left" indent="1"/>
    </xf>
    <xf numFmtId="0" fontId="0" fillId="0" borderId="86" xfId="0" applyBorder="1" applyAlignment="1">
      <alignment horizontal="left" indent="1"/>
    </xf>
    <xf numFmtId="0" fontId="33" fillId="0" borderId="0" xfId="0" applyFont="1" applyFill="1" applyBorder="1"/>
    <xf numFmtId="0" fontId="37" fillId="0" borderId="0" xfId="0" applyFont="1" applyFill="1" applyBorder="1"/>
    <xf numFmtId="0" fontId="0" fillId="0" borderId="0" xfId="0" applyFill="1" applyAlignment="1">
      <alignment vertical="center"/>
    </xf>
    <xf numFmtId="0" fontId="0" fillId="14" borderId="94" xfId="0" applyFill="1" applyBorder="1" applyAlignment="1" applyProtection="1">
      <alignment horizontal="left" vertical="top" wrapText="1" indent="1"/>
      <protection locked="0"/>
    </xf>
    <xf numFmtId="0" fontId="0" fillId="12" borderId="92" xfId="0" applyFill="1" applyBorder="1" applyAlignment="1" applyProtection="1">
      <alignment horizontal="left" vertical="top" wrapText="1" indent="1"/>
      <protection locked="0"/>
    </xf>
    <xf numFmtId="0" fontId="0" fillId="13" borderId="93" xfId="0" applyFill="1" applyBorder="1" applyAlignment="1" applyProtection="1">
      <alignment horizontal="left" vertical="top" wrapText="1" indent="1"/>
      <protection locked="0"/>
    </xf>
    <xf numFmtId="0" fontId="0" fillId="13" borderId="97" xfId="0" applyFill="1" applyBorder="1" applyAlignment="1" applyProtection="1">
      <alignment horizontal="left" vertical="top" wrapText="1" indent="1"/>
      <protection locked="0"/>
    </xf>
    <xf numFmtId="0" fontId="0" fillId="13" borderId="91" xfId="0" applyFill="1" applyBorder="1" applyAlignment="1" applyProtection="1">
      <alignment horizontal="left" vertical="top" indent="1"/>
      <protection locked="0"/>
    </xf>
    <xf numFmtId="0" fontId="4" fillId="12" borderId="92" xfId="0" applyFont="1" applyFill="1" applyBorder="1" applyAlignment="1" applyProtection="1">
      <alignment horizontal="left" vertical="center" indent="1"/>
      <protection locked="0"/>
    </xf>
    <xf numFmtId="0" fontId="4" fillId="14" borderId="94" xfId="0" applyFont="1" applyFill="1" applyBorder="1" applyAlignment="1" applyProtection="1">
      <alignment horizontal="left" vertical="center" indent="1"/>
      <protection locked="0"/>
    </xf>
    <xf numFmtId="0" fontId="4" fillId="14" borderId="94" xfId="0" applyFont="1" applyFill="1" applyBorder="1" applyAlignment="1" applyProtection="1">
      <alignment horizontal="left" vertical="top" wrapText="1" indent="1"/>
      <protection locked="0"/>
    </xf>
    <xf numFmtId="0" fontId="4" fillId="12" borderId="92" xfId="0" applyFont="1" applyFill="1" applyBorder="1" applyAlignment="1" applyProtection="1">
      <alignment horizontal="left" indent="1"/>
      <protection locked="0"/>
    </xf>
    <xf numFmtId="0" fontId="4" fillId="14" borderId="94" xfId="0" applyFont="1" applyFill="1" applyBorder="1" applyAlignment="1" applyProtection="1">
      <alignment horizontal="left" indent="1"/>
      <protection locked="0"/>
    </xf>
    <xf numFmtId="0" fontId="4" fillId="13" borderId="93" xfId="0" applyFont="1" applyFill="1" applyBorder="1" applyAlignment="1" applyProtection="1">
      <alignment horizontal="left" indent="1"/>
      <protection locked="0"/>
    </xf>
    <xf numFmtId="0" fontId="4" fillId="12" borderId="96" xfId="0" applyFont="1" applyFill="1" applyBorder="1" applyAlignment="1" applyProtection="1">
      <alignment horizontal="left" vertical="top" indent="1"/>
      <protection locked="0"/>
    </xf>
    <xf numFmtId="0" fontId="4" fillId="14" borderId="94" xfId="0" applyFont="1" applyFill="1" applyBorder="1" applyAlignment="1" applyProtection="1">
      <alignment horizontal="left" vertical="top" indent="1"/>
      <protection locked="0"/>
    </xf>
    <xf numFmtId="0" fontId="4" fillId="0" borderId="0" xfId="0" applyFont="1"/>
    <xf numFmtId="0" fontId="32" fillId="0" borderId="0" xfId="0" applyFont="1" applyBorder="1" applyAlignment="1">
      <alignment horizontal="left" vertical="center" wrapText="1"/>
    </xf>
    <xf numFmtId="0" fontId="4" fillId="12" borderId="98" xfId="0" applyFont="1" applyFill="1" applyBorder="1" applyAlignment="1" applyProtection="1">
      <alignment horizontal="left" vertical="top" indent="1"/>
      <protection locked="0"/>
    </xf>
    <xf numFmtId="0" fontId="1" fillId="13" borderId="85" xfId="0" applyFont="1" applyFill="1" applyBorder="1" applyAlignment="1" applyProtection="1">
      <alignment horizontal="center" vertical="center"/>
      <protection locked="0"/>
    </xf>
    <xf numFmtId="0" fontId="4" fillId="14" borderId="90" xfId="0" applyFont="1" applyFill="1" applyBorder="1" applyAlignment="1" applyProtection="1">
      <alignment horizontal="left" vertical="top" indent="1"/>
      <protection locked="0"/>
    </xf>
    <xf numFmtId="0" fontId="7" fillId="0" borderId="28" xfId="0" applyNumberFormat="1" applyFont="1" applyFill="1" applyBorder="1" applyAlignment="1" applyProtection="1">
      <alignment horizontal="center" vertical="center"/>
      <protection hidden="1"/>
    </xf>
    <xf numFmtId="0" fontId="7" fillId="0" borderId="27" xfId="0" applyNumberFormat="1" applyFont="1" applyFill="1" applyBorder="1" applyAlignment="1" applyProtection="1">
      <alignment horizontal="center" vertical="center"/>
      <protection hidden="1"/>
    </xf>
    <xf numFmtId="0" fontId="20" fillId="0" borderId="106" xfId="0" applyFont="1" applyBorder="1" applyAlignment="1">
      <alignment horizontal="center" vertical="center"/>
    </xf>
    <xf numFmtId="0" fontId="20" fillId="0" borderId="40" xfId="0" applyFont="1" applyBorder="1" applyAlignment="1">
      <alignment horizontal="center" vertical="center"/>
    </xf>
    <xf numFmtId="0" fontId="20" fillId="0" borderId="43" xfId="0" applyFont="1" applyBorder="1" applyAlignment="1">
      <alignment horizontal="center" vertical="center"/>
    </xf>
    <xf numFmtId="0" fontId="31" fillId="13" borderId="107" xfId="0" applyFont="1" applyFill="1" applyBorder="1" applyAlignment="1">
      <alignment horizontal="center" vertical="center"/>
    </xf>
    <xf numFmtId="164" fontId="20" fillId="0" borderId="30" xfId="0" applyNumberFormat="1" applyFont="1" applyBorder="1" applyAlignment="1">
      <alignment horizontal="center" vertical="center"/>
    </xf>
    <xf numFmtId="164" fontId="20" fillId="0" borderId="31" xfId="0" applyNumberFormat="1" applyFont="1" applyBorder="1" applyAlignment="1">
      <alignment horizontal="center" vertical="center"/>
    </xf>
    <xf numFmtId="0" fontId="18" fillId="13" borderId="29" xfId="0" applyFont="1" applyFill="1" applyBorder="1"/>
    <xf numFmtId="3" fontId="7" fillId="0" borderId="28" xfId="0" applyNumberFormat="1" applyFont="1" applyFill="1" applyBorder="1" applyAlignment="1" applyProtection="1">
      <alignment horizontal="center" vertical="center"/>
      <protection hidden="1"/>
    </xf>
    <xf numFmtId="0" fontId="21" fillId="0" borderId="0" xfId="0" applyFont="1" applyAlignment="1">
      <alignment horizontal="center" vertical="center"/>
    </xf>
    <xf numFmtId="0" fontId="21" fillId="0" borderId="0" xfId="0" applyFont="1" applyAlignment="1">
      <alignment horizontal="center" vertical="center"/>
    </xf>
    <xf numFmtId="0" fontId="20" fillId="0" borderId="0" xfId="0" applyFont="1" applyBorder="1" applyAlignment="1">
      <alignment horizontal="center" vertical="center"/>
    </xf>
    <xf numFmtId="0" fontId="20" fillId="8" borderId="40" xfId="0" applyFont="1" applyFill="1" applyBorder="1" applyAlignment="1">
      <alignment horizontal="center" vertical="center"/>
    </xf>
    <xf numFmtId="0" fontId="31" fillId="13" borderId="111" xfId="0" applyFont="1" applyFill="1" applyBorder="1" applyAlignment="1">
      <alignment horizontal="left" vertical="center" indent="1"/>
    </xf>
    <xf numFmtId="0" fontId="20" fillId="0" borderId="112" xfId="0" applyFont="1" applyBorder="1" applyAlignment="1">
      <alignment horizontal="left" vertical="center" indent="1"/>
    </xf>
    <xf numFmtId="0" fontId="20" fillId="0" borderId="113" xfId="0" applyFont="1" applyBorder="1" applyAlignment="1">
      <alignment horizontal="left" vertical="center" indent="1"/>
    </xf>
    <xf numFmtId="0" fontId="20" fillId="0" borderId="114" xfId="0" applyFont="1" applyBorder="1" applyAlignment="1">
      <alignment horizontal="left" vertical="center" indent="1"/>
    </xf>
    <xf numFmtId="0" fontId="31" fillId="13" borderId="109" xfId="0" applyFont="1" applyFill="1" applyBorder="1" applyAlignment="1">
      <alignment horizontal="center" vertical="center"/>
    </xf>
    <xf numFmtId="0" fontId="40" fillId="0" borderId="110" xfId="0" applyFont="1" applyBorder="1" applyAlignment="1">
      <alignment horizontal="center" vertical="center"/>
    </xf>
    <xf numFmtId="0" fontId="40" fillId="0" borderId="45" xfId="0" applyFont="1" applyBorder="1" applyAlignment="1">
      <alignment horizontal="center" vertical="center"/>
    </xf>
    <xf numFmtId="0" fontId="40" fillId="0" borderId="47" xfId="0" applyFont="1" applyBorder="1" applyAlignment="1">
      <alignment horizontal="center" vertical="center"/>
    </xf>
    <xf numFmtId="165" fontId="21" fillId="13" borderId="115" xfId="0" applyNumberFormat="1" applyFont="1" applyFill="1" applyBorder="1" applyAlignment="1">
      <alignment horizontal="center" vertical="center"/>
    </xf>
    <xf numFmtId="165" fontId="21" fillId="13" borderId="107" xfId="0" applyNumberFormat="1" applyFont="1" applyFill="1" applyBorder="1" applyAlignment="1">
      <alignment horizontal="center" vertical="center"/>
    </xf>
    <xf numFmtId="164"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40" fillId="0" borderId="0" xfId="0" applyFont="1" applyBorder="1" applyAlignment="1">
      <alignment horizontal="center" vertical="center"/>
    </xf>
    <xf numFmtId="0" fontId="20" fillId="8" borderId="117" xfId="0" applyFont="1" applyFill="1" applyBorder="1" applyAlignment="1">
      <alignment horizontal="center" vertical="center"/>
    </xf>
    <xf numFmtId="0" fontId="20" fillId="0" borderId="118" xfId="0" applyFont="1" applyBorder="1" applyAlignment="1">
      <alignment horizontal="center" vertical="center"/>
    </xf>
    <xf numFmtId="0" fontId="20" fillId="0" borderId="120" xfId="0" applyFont="1" applyBorder="1" applyAlignment="1">
      <alignment horizontal="center" vertical="center"/>
    </xf>
    <xf numFmtId="0" fontId="4" fillId="12" borderId="92" xfId="0" applyFont="1" applyFill="1" applyBorder="1" applyAlignment="1" applyProtection="1">
      <alignment horizontal="left" vertical="top" wrapText="1" indent="1"/>
      <protection locked="0"/>
    </xf>
    <xf numFmtId="0" fontId="7" fillId="0" borderId="33" xfId="0" applyNumberFormat="1" applyFont="1" applyFill="1" applyBorder="1" applyAlignment="1" applyProtection="1">
      <alignment horizontal="center" vertical="center"/>
      <protection hidden="1"/>
    </xf>
    <xf numFmtId="0" fontId="31" fillId="13" borderId="126" xfId="0" applyFont="1" applyFill="1" applyBorder="1" applyAlignment="1">
      <alignment horizontal="center" vertical="center"/>
    </xf>
    <xf numFmtId="0" fontId="20" fillId="0" borderId="51" xfId="0" applyFont="1" applyBorder="1" applyAlignment="1">
      <alignment horizontal="center" vertical="center"/>
    </xf>
    <xf numFmtId="0" fontId="20" fillId="0" borderId="52" xfId="0" applyFont="1" applyBorder="1" applyAlignment="1">
      <alignment horizontal="center" vertical="center"/>
    </xf>
    <xf numFmtId="165" fontId="21" fillId="13" borderId="129" xfId="0" applyNumberFormat="1" applyFont="1" applyFill="1" applyBorder="1" applyAlignment="1">
      <alignment horizontal="center" vertical="center"/>
    </xf>
    <xf numFmtId="0" fontId="20" fillId="0" borderId="130" xfId="0" applyFont="1" applyBorder="1" applyAlignment="1">
      <alignment horizontal="center" vertical="center"/>
    </xf>
    <xf numFmtId="0" fontId="20" fillId="0" borderId="41" xfId="0" applyFont="1" applyBorder="1" applyAlignment="1">
      <alignment horizontal="center" vertical="center"/>
    </xf>
    <xf numFmtId="0" fontId="20" fillId="8" borderId="44" xfId="0" applyFont="1" applyFill="1" applyBorder="1" applyAlignment="1">
      <alignment horizontal="center" vertical="center"/>
    </xf>
    <xf numFmtId="14" fontId="27" fillId="0" borderId="0" xfId="0" applyNumberFormat="1" applyFont="1" applyAlignment="1">
      <alignment horizontal="left" vertical="top"/>
    </xf>
    <xf numFmtId="0" fontId="27" fillId="0" borderId="0" xfId="0" applyFont="1" applyAlignment="1">
      <alignment vertical="center"/>
    </xf>
    <xf numFmtId="0" fontId="4" fillId="12" borderId="98" xfId="0" applyFont="1" applyFill="1" applyBorder="1" applyAlignment="1" applyProtection="1">
      <alignment horizontal="left" vertical="top" wrapText="1" indent="1"/>
      <protection locked="0"/>
    </xf>
    <xf numFmtId="0" fontId="4" fillId="14" borderId="90" xfId="0" applyFont="1" applyFill="1" applyBorder="1" applyAlignment="1" applyProtection="1">
      <alignment horizontal="left" vertical="top" wrapText="1" indent="1"/>
      <protection locked="0"/>
    </xf>
    <xf numFmtId="0" fontId="0" fillId="0" borderId="0" xfId="0" applyAlignment="1">
      <alignment horizontal="center"/>
    </xf>
    <xf numFmtId="0" fontId="21" fillId="0" borderId="0" xfId="0" applyFont="1"/>
    <xf numFmtId="0" fontId="20" fillId="0" borderId="0" xfId="0" applyFont="1" applyBorder="1" applyAlignment="1">
      <alignment horizontal="left" vertical="center"/>
    </xf>
    <xf numFmtId="165" fontId="42" fillId="0" borderId="0" xfId="0" applyNumberFormat="1" applyFont="1"/>
    <xf numFmtId="0" fontId="18" fillId="0" borderId="0" xfId="0" applyFont="1" applyProtection="1"/>
    <xf numFmtId="0" fontId="21" fillId="0" borderId="0" xfId="0" applyFont="1" applyProtection="1"/>
    <xf numFmtId="0" fontId="45" fillId="0" borderId="0" xfId="0" applyFont="1" applyBorder="1" applyAlignment="1">
      <alignment horizontal="left" vertical="center" wrapText="1"/>
    </xf>
    <xf numFmtId="0" fontId="46" fillId="0" borderId="0" xfId="0" applyFont="1" applyAlignment="1">
      <alignment horizontal="right" indent="1"/>
    </xf>
    <xf numFmtId="167" fontId="23" fillId="0" borderId="40" xfId="0" applyNumberFormat="1" applyFont="1" applyBorder="1" applyAlignment="1">
      <alignment horizontal="center" vertical="center"/>
    </xf>
    <xf numFmtId="0" fontId="23" fillId="0" borderId="106" xfId="0" applyNumberFormat="1" applyFont="1" applyBorder="1" applyAlignment="1">
      <alignment horizontal="center" vertical="center"/>
    </xf>
    <xf numFmtId="0" fontId="23" fillId="0" borderId="40" xfId="0" applyNumberFormat="1" applyFont="1" applyBorder="1" applyAlignment="1">
      <alignment horizontal="center" vertical="center"/>
    </xf>
    <xf numFmtId="167" fontId="23" fillId="0" borderId="43" xfId="0" applyNumberFormat="1" applyFont="1" applyBorder="1" applyAlignment="1">
      <alignment horizontal="center" vertical="center"/>
    </xf>
    <xf numFmtId="0" fontId="23" fillId="0" borderId="43" xfId="0" applyNumberFormat="1" applyFont="1" applyBorder="1" applyAlignment="1">
      <alignment horizontal="center" vertical="center"/>
    </xf>
    <xf numFmtId="0" fontId="21" fillId="0" borderId="52" xfId="0" applyFont="1" applyBorder="1" applyAlignment="1">
      <alignment horizontal="center" vertical="center"/>
    </xf>
    <xf numFmtId="0" fontId="21" fillId="0" borderId="142" xfId="0" applyFont="1" applyBorder="1" applyAlignment="1">
      <alignment horizontal="right" vertical="center"/>
    </xf>
    <xf numFmtId="0" fontId="21" fillId="0" borderId="143" xfId="0" applyFont="1" applyBorder="1" applyAlignment="1">
      <alignment horizontal="center" vertical="center"/>
    </xf>
    <xf numFmtId="0" fontId="21" fillId="0" borderId="145" xfId="0" applyFont="1" applyBorder="1" applyAlignment="1">
      <alignment horizontal="left" vertical="center"/>
    </xf>
    <xf numFmtId="0" fontId="19" fillId="9" borderId="146" xfId="0" applyFont="1" applyFill="1" applyBorder="1" applyAlignment="1">
      <alignment horizontal="center"/>
    </xf>
    <xf numFmtId="0" fontId="19" fillId="9" borderId="109" xfId="0" applyFont="1" applyFill="1" applyBorder="1" applyAlignment="1">
      <alignment horizontal="center"/>
    </xf>
    <xf numFmtId="167" fontId="23" fillId="0" borderId="106" xfId="0" applyNumberFormat="1" applyFont="1" applyBorder="1" applyAlignment="1">
      <alignment horizontal="center" vertical="center"/>
    </xf>
    <xf numFmtId="0" fontId="20" fillId="0" borderId="127" xfId="0" applyFont="1" applyBorder="1" applyAlignment="1">
      <alignment horizontal="left" vertical="center"/>
    </xf>
    <xf numFmtId="0" fontId="20" fillId="0" borderId="119" xfId="0" applyFont="1" applyBorder="1" applyAlignment="1">
      <alignment horizontal="left" vertical="center"/>
    </xf>
    <xf numFmtId="0" fontId="20" fillId="0" borderId="128" xfId="0" applyFont="1" applyBorder="1" applyAlignment="1">
      <alignment horizontal="left" vertical="center"/>
    </xf>
    <xf numFmtId="0" fontId="47" fillId="0" borderId="0" xfId="0" applyNumberFormat="1" applyFont="1" applyAlignment="1">
      <alignment horizontal="center" vertical="center"/>
    </xf>
    <xf numFmtId="0" fontId="6" fillId="0" borderId="40" xfId="0" applyFont="1" applyBorder="1" applyAlignment="1">
      <alignment horizontal="center" vertical="center" shrinkToFit="1"/>
    </xf>
    <xf numFmtId="0" fontId="6" fillId="0" borderId="0" xfId="0" applyFont="1" applyAlignment="1">
      <alignment vertical="center" shrinkToFit="1"/>
    </xf>
    <xf numFmtId="0" fontId="5" fillId="0" borderId="0" xfId="0" applyFont="1" applyAlignment="1">
      <alignment shrinkToFit="1"/>
    </xf>
    <xf numFmtId="0" fontId="14" fillId="9" borderId="57" xfId="0" applyFont="1" applyFill="1" applyBorder="1" applyAlignment="1">
      <alignment horizontal="center" vertical="center" shrinkToFit="1"/>
    </xf>
    <xf numFmtId="0" fontId="14" fillId="9" borderId="66" xfId="0" applyFont="1" applyFill="1" applyBorder="1" applyAlignment="1">
      <alignment horizontal="center" vertical="center" shrinkToFit="1"/>
    </xf>
    <xf numFmtId="0" fontId="14" fillId="9" borderId="49" xfId="0" applyFont="1" applyFill="1" applyBorder="1" applyAlignment="1">
      <alignment horizontal="center" vertical="center" shrinkToFit="1"/>
    </xf>
    <xf numFmtId="0" fontId="14" fillId="9" borderId="61" xfId="0" applyFont="1" applyFill="1" applyBorder="1" applyAlignment="1">
      <alignment horizontal="center" vertical="center" shrinkToFit="1"/>
    </xf>
    <xf numFmtId="165" fontId="14" fillId="9" borderId="57" xfId="0" applyNumberFormat="1" applyFont="1" applyFill="1" applyBorder="1" applyAlignment="1">
      <alignment vertical="center" shrinkToFit="1"/>
    </xf>
    <xf numFmtId="165" fontId="14" fillId="9" borderId="66" xfId="0" applyNumberFormat="1" applyFont="1" applyFill="1" applyBorder="1" applyAlignment="1">
      <alignment vertical="center" shrinkToFit="1"/>
    </xf>
    <xf numFmtId="0" fontId="6" fillId="0" borderId="131" xfId="0" applyFont="1" applyBorder="1" applyAlignment="1">
      <alignment horizontal="center" vertical="center" shrinkToFit="1"/>
    </xf>
    <xf numFmtId="0" fontId="6" fillId="0" borderId="132" xfId="0" applyFont="1" applyBorder="1" applyAlignment="1">
      <alignment horizontal="center" vertical="center" shrinkToFit="1"/>
    </xf>
    <xf numFmtId="0" fontId="6" fillId="0" borderId="133" xfId="0" applyFont="1" applyBorder="1" applyAlignment="1">
      <alignment horizontal="center" vertical="center" shrinkToFit="1"/>
    </xf>
    <xf numFmtId="0" fontId="6" fillId="0" borderId="133" xfId="0" applyFont="1" applyBorder="1" applyAlignment="1">
      <alignment horizontal="right" vertical="center" shrinkToFit="1"/>
    </xf>
    <xf numFmtId="0" fontId="6" fillId="0" borderId="134" xfId="0" applyFont="1" applyBorder="1" applyAlignment="1">
      <alignment horizontal="center" vertical="center" shrinkToFit="1"/>
    </xf>
    <xf numFmtId="0" fontId="6" fillId="0" borderId="131" xfId="0" applyFont="1" applyBorder="1" applyAlignment="1">
      <alignment horizontal="left" vertical="center" shrinkToFit="1"/>
    </xf>
    <xf numFmtId="0" fontId="16" fillId="0" borderId="135" xfId="0" applyFont="1" applyBorder="1" applyAlignment="1">
      <alignment horizontal="center" vertical="center" shrinkToFit="1"/>
    </xf>
    <xf numFmtId="0" fontId="6" fillId="8" borderId="136" xfId="0" applyFont="1" applyFill="1" applyBorder="1" applyAlignment="1">
      <alignment horizontal="center" vertical="center" shrinkToFit="1"/>
    </xf>
    <xf numFmtId="0" fontId="6" fillId="0" borderId="135" xfId="0" applyFont="1" applyBorder="1" applyAlignment="1">
      <alignment horizontal="center" vertical="center" shrinkToFit="1"/>
    </xf>
    <xf numFmtId="0" fontId="6" fillId="0" borderId="124" xfId="0" applyFont="1" applyBorder="1" applyAlignment="1">
      <alignment horizontal="left" vertical="center" shrinkToFit="1"/>
    </xf>
    <xf numFmtId="0" fontId="6" fillId="0" borderId="45" xfId="0" applyFont="1" applyBorder="1" applyAlignment="1">
      <alignment horizontal="center" vertical="center" shrinkToFit="1"/>
    </xf>
    <xf numFmtId="0" fontId="6" fillId="0" borderId="46" xfId="0" applyFont="1" applyBorder="1" applyAlignment="1">
      <alignment horizontal="center" vertical="center" shrinkToFit="1"/>
    </xf>
    <xf numFmtId="0" fontId="6" fillId="0" borderId="46" xfId="0" applyFont="1" applyBorder="1" applyAlignment="1">
      <alignment horizontal="right" vertical="center" shrinkToFit="1"/>
    </xf>
    <xf numFmtId="0" fontId="6" fillId="0" borderId="51" xfId="0" applyFont="1" applyBorder="1" applyAlignment="1">
      <alignment horizontal="center" vertical="center" shrinkToFit="1"/>
    </xf>
    <xf numFmtId="0" fontId="6" fillId="0" borderId="45" xfId="0" applyFont="1" applyBorder="1" applyAlignment="1">
      <alignment horizontal="left" vertical="center" shrinkToFit="1"/>
    </xf>
    <xf numFmtId="0" fontId="16" fillId="0" borderId="41" xfId="0" applyFont="1" applyBorder="1" applyAlignment="1">
      <alignment horizontal="center" vertical="center" shrinkToFit="1"/>
    </xf>
    <xf numFmtId="0" fontId="6" fillId="0" borderId="39" xfId="0" applyFont="1" applyBorder="1" applyAlignment="1">
      <alignment horizontal="center" vertical="center" shrinkToFit="1"/>
    </xf>
    <xf numFmtId="0" fontId="6" fillId="8" borderId="40" xfId="0" applyFont="1" applyFill="1" applyBorder="1" applyAlignment="1">
      <alignment horizontal="center" vertical="center" shrinkToFit="1"/>
    </xf>
    <xf numFmtId="0" fontId="6" fillId="0" borderId="41" xfId="0" applyFont="1" applyBorder="1" applyAlignment="1">
      <alignment horizontal="center" vertical="center" shrinkToFit="1"/>
    </xf>
    <xf numFmtId="0" fontId="6" fillId="0" borderId="125" xfId="0" applyFont="1" applyBorder="1" applyAlignment="1">
      <alignment horizontal="left" vertical="center" shrinkToFit="1"/>
    </xf>
    <xf numFmtId="0" fontId="6" fillId="0" borderId="47" xfId="0" applyFont="1" applyBorder="1" applyAlignment="1">
      <alignment horizontal="center" vertical="center" shrinkToFit="1"/>
    </xf>
    <xf numFmtId="0" fontId="6" fillId="0" borderId="43" xfId="0" applyFont="1" applyBorder="1" applyAlignment="1">
      <alignment horizontal="center" vertical="center" shrinkToFit="1"/>
    </xf>
    <xf numFmtId="0" fontId="6" fillId="0" borderId="48" xfId="0" applyFont="1" applyBorder="1" applyAlignment="1">
      <alignment horizontal="center" vertical="center" shrinkToFit="1"/>
    </xf>
    <xf numFmtId="0" fontId="6" fillId="0" borderId="48" xfId="0" applyFont="1" applyBorder="1" applyAlignment="1">
      <alignment horizontal="right" vertical="center" shrinkToFit="1"/>
    </xf>
    <xf numFmtId="0" fontId="6" fillId="0" borderId="52" xfId="0" applyFont="1" applyBorder="1" applyAlignment="1">
      <alignment horizontal="center" vertical="center" shrinkToFit="1"/>
    </xf>
    <xf numFmtId="0" fontId="6" fillId="0" borderId="47" xfId="0" applyFont="1" applyBorder="1" applyAlignment="1">
      <alignment horizontal="left" vertical="center" shrinkToFit="1"/>
    </xf>
    <xf numFmtId="0" fontId="16" fillId="0" borderId="44" xfId="0" applyFont="1" applyBorder="1" applyAlignment="1">
      <alignment horizontal="center" vertical="center" shrinkToFit="1"/>
    </xf>
    <xf numFmtId="0" fontId="6" fillId="0" borderId="42" xfId="0" applyFont="1" applyBorder="1" applyAlignment="1">
      <alignment horizontal="center" vertical="center" shrinkToFit="1"/>
    </xf>
    <xf numFmtId="0" fontId="6" fillId="8" borderId="44" xfId="0" applyFont="1" applyFill="1" applyBorder="1" applyAlignment="1">
      <alignment horizontal="center" vertical="center" shrinkToFit="1"/>
    </xf>
    <xf numFmtId="0" fontId="25" fillId="0" borderId="0" xfId="0" applyFont="1" applyAlignment="1"/>
    <xf numFmtId="0" fontId="39" fillId="14" borderId="0" xfId="0" applyFont="1" applyFill="1" applyAlignment="1">
      <alignment horizontal="center"/>
    </xf>
    <xf numFmtId="0" fontId="7" fillId="0" borderId="0" xfId="0" quotePrefix="1" applyNumberFormat="1" applyFont="1" applyFill="1" applyAlignment="1" applyProtection="1">
      <alignment vertical="center"/>
      <protection hidden="1"/>
    </xf>
    <xf numFmtId="0" fontId="49" fillId="0" borderId="0" xfId="0" applyFont="1"/>
    <xf numFmtId="0" fontId="39" fillId="15" borderId="154" xfId="0" applyFont="1" applyFill="1" applyBorder="1" applyAlignment="1" applyProtection="1">
      <alignment horizontal="center"/>
      <protection locked="0"/>
    </xf>
    <xf numFmtId="0" fontId="0" fillId="0" borderId="0" xfId="0" applyBorder="1" applyAlignment="1" applyProtection="1">
      <alignment horizontal="center"/>
      <protection locked="0"/>
    </xf>
    <xf numFmtId="0" fontId="0" fillId="0" borderId="0" xfId="0" applyAlignment="1">
      <alignment vertical="center" textRotation="90"/>
    </xf>
    <xf numFmtId="0" fontId="7" fillId="13" borderId="155" xfId="0" applyNumberFormat="1" applyFont="1" applyFill="1" applyBorder="1" applyAlignment="1" applyProtection="1">
      <alignment horizontal="center" vertical="center"/>
      <protection hidden="1"/>
    </xf>
    <xf numFmtId="0" fontId="4" fillId="14" borderId="156" xfId="0" applyFont="1" applyFill="1" applyBorder="1" applyAlignment="1" applyProtection="1">
      <alignment horizontal="left" vertical="top" wrapText="1" indent="1"/>
      <protection locked="0"/>
    </xf>
    <xf numFmtId="0" fontId="4" fillId="12" borderId="157" xfId="0" applyFont="1" applyFill="1" applyBorder="1" applyAlignment="1" applyProtection="1">
      <alignment horizontal="left" vertical="top" wrapText="1" indent="1"/>
      <protection locked="0"/>
    </xf>
    <xf numFmtId="0" fontId="4" fillId="14" borderId="158" xfId="0" applyFont="1" applyFill="1" applyBorder="1" applyAlignment="1" applyProtection="1">
      <alignment horizontal="left" vertical="top" wrapText="1" indent="1"/>
      <protection locked="0"/>
    </xf>
    <xf numFmtId="0" fontId="4" fillId="12" borderId="159" xfId="0" applyFont="1" applyFill="1" applyBorder="1" applyAlignment="1" applyProtection="1">
      <alignment horizontal="left" vertical="top" wrapText="1" indent="1"/>
      <protection locked="0"/>
    </xf>
    <xf numFmtId="0" fontId="0" fillId="13" borderId="160" xfId="0" applyFill="1" applyBorder="1" applyAlignment="1" applyProtection="1">
      <alignment horizontal="left" vertical="top" wrapText="1" indent="1"/>
      <protection locked="0"/>
    </xf>
    <xf numFmtId="0" fontId="0" fillId="14" borderId="158" xfId="0" applyFill="1" applyBorder="1" applyAlignment="1" applyProtection="1">
      <alignment horizontal="left" vertical="top" indent="1"/>
      <protection locked="0"/>
    </xf>
    <xf numFmtId="0" fontId="0" fillId="12" borderId="163" xfId="0" applyFill="1" applyBorder="1" applyAlignment="1" applyProtection="1">
      <alignment horizontal="left" vertical="top" indent="1"/>
      <protection locked="0"/>
    </xf>
    <xf numFmtId="0" fontId="0" fillId="13" borderId="164" xfId="0" applyFill="1" applyBorder="1" applyAlignment="1" applyProtection="1">
      <alignment horizontal="left" vertical="top" wrapText="1" indent="1"/>
      <protection locked="0"/>
    </xf>
    <xf numFmtId="0" fontId="0" fillId="14" borderId="165" xfId="0" applyFill="1" applyBorder="1" applyAlignment="1" applyProtection="1">
      <alignment horizontal="left" vertical="top" indent="1"/>
      <protection locked="0"/>
    </xf>
    <xf numFmtId="0" fontId="0" fillId="13" borderId="166" xfId="0" applyFill="1" applyBorder="1" applyAlignment="1" applyProtection="1">
      <alignment horizontal="left" vertical="top" wrapText="1" indent="1"/>
      <protection locked="0"/>
    </xf>
    <xf numFmtId="0" fontId="0" fillId="14" borderId="158" xfId="0" applyFill="1" applyBorder="1" applyAlignment="1" applyProtection="1">
      <alignment horizontal="left" vertical="top" wrapText="1" indent="1"/>
      <protection locked="0"/>
    </xf>
    <xf numFmtId="0" fontId="0" fillId="12" borderId="162" xfId="0" applyFill="1" applyBorder="1" applyAlignment="1" applyProtection="1">
      <alignment horizontal="left" vertical="top" wrapText="1" indent="1"/>
      <protection locked="0"/>
    </xf>
    <xf numFmtId="0" fontId="0" fillId="14" borderId="167" xfId="0" applyFill="1" applyBorder="1" applyAlignment="1" applyProtection="1">
      <alignment horizontal="left" vertical="top" wrapText="1" indent="1"/>
      <protection locked="0"/>
    </xf>
    <xf numFmtId="0" fontId="0" fillId="12" borderId="168" xfId="0" applyFill="1" applyBorder="1" applyAlignment="1" applyProtection="1">
      <alignment horizontal="left" vertical="top" wrapText="1" indent="1"/>
      <protection locked="0"/>
    </xf>
    <xf numFmtId="0" fontId="0" fillId="13" borderId="169" xfId="0" applyFill="1" applyBorder="1" applyAlignment="1" applyProtection="1">
      <alignment horizontal="left" vertical="top" wrapText="1" indent="1"/>
      <protection locked="0"/>
    </xf>
    <xf numFmtId="0" fontId="0" fillId="0" borderId="0" xfId="0" applyAlignment="1">
      <alignment horizontal="right"/>
    </xf>
    <xf numFmtId="0" fontId="39" fillId="0" borderId="0" xfId="0" applyFont="1"/>
    <xf numFmtId="0" fontId="39" fillId="0" borderId="0" xfId="0" applyFont="1" applyAlignment="1">
      <alignment horizontal="right"/>
    </xf>
    <xf numFmtId="0" fontId="4" fillId="12" borderId="161" xfId="0" applyFont="1" applyFill="1" applyBorder="1" applyAlignment="1" applyProtection="1">
      <alignment horizontal="left" vertical="top" indent="1"/>
      <protection locked="0"/>
    </xf>
    <xf numFmtId="0" fontId="14" fillId="9" borderId="49" xfId="0" applyFont="1" applyFill="1" applyBorder="1" applyAlignment="1">
      <alignment horizontal="center" vertical="center" shrinkToFit="1"/>
    </xf>
    <xf numFmtId="0" fontId="5" fillId="0" borderId="0" xfId="0" applyFont="1" applyBorder="1"/>
    <xf numFmtId="0" fontId="38" fillId="0" borderId="0" xfId="0" applyFont="1" applyAlignment="1"/>
    <xf numFmtId="0" fontId="6" fillId="0" borderId="0" xfId="0" applyFont="1" applyFill="1" applyBorder="1" applyAlignment="1">
      <alignment vertical="center" shrinkToFit="1"/>
    </xf>
    <xf numFmtId="0" fontId="28" fillId="0" borderId="0" xfId="0" applyFont="1" applyFill="1" applyBorder="1" applyAlignment="1">
      <alignment horizontal="center" vertical="center" shrinkToFit="1"/>
    </xf>
    <xf numFmtId="0" fontId="5" fillId="0" borderId="0" xfId="0" applyFont="1" applyFill="1" applyBorder="1" applyAlignment="1">
      <alignment shrinkToFit="1"/>
    </xf>
    <xf numFmtId="0" fontId="14" fillId="0" borderId="0" xfId="0" applyFont="1" applyFill="1" applyBorder="1" applyAlignment="1">
      <alignment horizontal="center" vertical="center" shrinkToFit="1"/>
    </xf>
    <xf numFmtId="165" fontId="14" fillId="0" borderId="0" xfId="0" applyNumberFormat="1" applyFont="1" applyFill="1" applyBorder="1" applyAlignment="1">
      <alignment vertical="center" shrinkToFit="1"/>
    </xf>
    <xf numFmtId="0" fontId="6" fillId="0" borderId="0" xfId="0" applyFont="1" applyFill="1" applyBorder="1" applyAlignment="1">
      <alignment horizontal="left" vertical="center" shrinkToFit="1"/>
    </xf>
    <xf numFmtId="0" fontId="6" fillId="0" borderId="0" xfId="0" applyFont="1" applyFill="1" applyBorder="1" applyAlignment="1">
      <alignment horizontal="center" vertical="center" shrinkToFit="1"/>
    </xf>
    <xf numFmtId="0" fontId="6" fillId="0" borderId="0" xfId="0" applyFont="1" applyFill="1" applyBorder="1" applyAlignment="1">
      <alignment horizontal="right" vertical="center" shrinkToFit="1"/>
    </xf>
    <xf numFmtId="0" fontId="16" fillId="0" borderId="0" xfId="0" applyFont="1" applyFill="1" applyBorder="1" applyAlignment="1">
      <alignment horizontal="center" vertical="center" shrinkToFit="1"/>
    </xf>
    <xf numFmtId="0" fontId="24" fillId="0" borderId="0" xfId="0" applyFont="1" applyAlignment="1">
      <alignment vertical="center"/>
    </xf>
    <xf numFmtId="0" fontId="52" fillId="0" borderId="121" xfId="0" applyFont="1" applyBorder="1" applyAlignment="1">
      <alignment horizontal="center" vertical="center" shrinkToFit="1"/>
    </xf>
    <xf numFmtId="0" fontId="52" fillId="0" borderId="122" xfId="0" applyFont="1" applyBorder="1" applyAlignment="1">
      <alignment horizontal="center" vertical="center" shrinkToFit="1"/>
    </xf>
    <xf numFmtId="0" fontId="52" fillId="0" borderId="123" xfId="0" applyFont="1" applyBorder="1" applyAlignment="1">
      <alignment horizontal="center" vertical="center" shrinkToFit="1"/>
    </xf>
    <xf numFmtId="0" fontId="41" fillId="0" borderId="0" xfId="0" applyNumberFormat="1" applyFont="1" applyBorder="1" applyAlignment="1">
      <alignment vertical="top"/>
    </xf>
    <xf numFmtId="0" fontId="23" fillId="0" borderId="142" xfId="0" applyNumberFormat="1" applyFont="1" applyBorder="1" applyAlignment="1">
      <alignment horizontal="center" vertical="center"/>
    </xf>
    <xf numFmtId="0" fontId="23" fillId="0" borderId="46" xfId="0" applyNumberFormat="1" applyFont="1" applyBorder="1" applyAlignment="1">
      <alignment horizontal="center" vertical="center"/>
    </xf>
    <xf numFmtId="0" fontId="0" fillId="0" borderId="0" xfId="0" applyBorder="1" applyAlignment="1">
      <alignment vertical="center" textRotation="90"/>
    </xf>
    <xf numFmtId="0" fontId="0" fillId="0" borderId="0" xfId="0" applyBorder="1" applyAlignment="1">
      <alignment horizontal="center"/>
    </xf>
    <xf numFmtId="0" fontId="0" fillId="0" borderId="0" xfId="0" applyBorder="1"/>
    <xf numFmtId="0" fontId="39" fillId="0" borderId="0" xfId="0" applyFont="1" applyFill="1" applyAlignment="1">
      <alignment horizontal="center"/>
    </xf>
    <xf numFmtId="0" fontId="6" fillId="0" borderId="170" xfId="0" applyFont="1" applyBorder="1" applyAlignment="1">
      <alignment horizontal="left" vertical="center" shrinkToFit="1"/>
    </xf>
    <xf numFmtId="0" fontId="38" fillId="0" borderId="0" xfId="0" applyFont="1" applyAlignment="1" applyProtection="1">
      <alignment horizontal="center" vertical="center" wrapText="1"/>
    </xf>
    <xf numFmtId="0" fontId="43" fillId="0" borderId="67" xfId="0" applyFont="1" applyBorder="1" applyAlignment="1" applyProtection="1"/>
    <xf numFmtId="0" fontId="14" fillId="0" borderId="0" xfId="0" applyFont="1" applyFill="1" applyBorder="1" applyAlignment="1">
      <alignment vertical="center" shrinkToFit="1"/>
    </xf>
    <xf numFmtId="0" fontId="13" fillId="0" borderId="0" xfId="0" applyFont="1" applyFill="1" applyBorder="1" applyAlignment="1">
      <alignment vertical="center" shrinkToFit="1"/>
    </xf>
    <xf numFmtId="0" fontId="53" fillId="0" borderId="0" xfId="0" applyFont="1" applyAlignment="1" applyProtection="1"/>
    <xf numFmtId="0" fontId="55" fillId="0" borderId="67" xfId="0" applyFont="1" applyFill="1" applyBorder="1" applyAlignment="1"/>
    <xf numFmtId="0" fontId="55" fillId="0" borderId="0" xfId="0" applyFont="1" applyFill="1" applyBorder="1" applyAlignment="1"/>
    <xf numFmtId="14" fontId="27" fillId="0" borderId="0" xfId="0" applyNumberFormat="1" applyFont="1" applyBorder="1" applyAlignment="1">
      <alignment vertical="center"/>
    </xf>
    <xf numFmtId="0" fontId="26" fillId="0" borderId="0" xfId="0" applyFont="1" applyFill="1" applyBorder="1" applyAlignment="1" applyProtection="1">
      <alignment horizontal="center" vertical="center"/>
    </xf>
    <xf numFmtId="0" fontId="56" fillId="0" borderId="0" xfId="0" applyFont="1" applyAlignment="1" applyProtection="1">
      <alignment vertical="top" wrapText="1"/>
    </xf>
    <xf numFmtId="165" fontId="29" fillId="0" borderId="67" xfId="0" applyNumberFormat="1" applyFont="1" applyBorder="1" applyAlignment="1">
      <alignment wrapText="1"/>
    </xf>
    <xf numFmtId="0" fontId="18" fillId="0" borderId="0" xfId="0" applyFont="1" applyAlignment="1">
      <alignment horizontal="center"/>
    </xf>
    <xf numFmtId="0" fontId="21" fillId="0" borderId="0" xfId="0" applyFont="1" applyAlignment="1" applyProtection="1">
      <alignment horizontal="center"/>
    </xf>
    <xf numFmtId="0" fontId="22" fillId="17" borderId="142" xfId="0" applyFont="1" applyFill="1" applyBorder="1" applyAlignment="1" applyProtection="1">
      <alignment horizontal="right" vertical="center"/>
    </xf>
    <xf numFmtId="0" fontId="22" fillId="17" borderId="143" xfId="0" applyFont="1" applyFill="1" applyBorder="1" applyAlignment="1" applyProtection="1">
      <alignment horizontal="center" vertical="center"/>
    </xf>
    <xf numFmtId="0" fontId="22" fillId="17" borderId="144" xfId="0" applyFont="1" applyFill="1" applyBorder="1" applyAlignment="1" applyProtection="1">
      <alignment horizontal="left" vertical="center"/>
    </xf>
    <xf numFmtId="0" fontId="22" fillId="17" borderId="46" xfId="0" applyFont="1" applyFill="1" applyBorder="1" applyAlignment="1" applyProtection="1">
      <alignment horizontal="right" vertical="center"/>
    </xf>
    <xf numFmtId="0" fontId="22" fillId="17" borderId="51" xfId="0" applyFont="1" applyFill="1" applyBorder="1" applyAlignment="1" applyProtection="1">
      <alignment horizontal="center" vertical="center"/>
    </xf>
    <xf numFmtId="0" fontId="22" fillId="17" borderId="45" xfId="0" applyFont="1" applyFill="1" applyBorder="1" applyAlignment="1" applyProtection="1">
      <alignment horizontal="left" vertical="center"/>
    </xf>
    <xf numFmtId="0" fontId="22" fillId="17" borderId="52" xfId="0" applyFont="1" applyFill="1" applyBorder="1" applyAlignment="1" applyProtection="1">
      <alignment horizontal="center" vertical="center"/>
    </xf>
    <xf numFmtId="0" fontId="18" fillId="0" borderId="0" xfId="0" applyFont="1" applyAlignment="1">
      <alignment vertical="center"/>
    </xf>
    <xf numFmtId="0" fontId="20" fillId="0" borderId="46" xfId="0" applyFont="1" applyBorder="1" applyAlignment="1">
      <alignment horizontal="left" vertical="center"/>
    </xf>
    <xf numFmtId="0" fontId="20" fillId="0" borderId="48" xfId="0" applyFont="1" applyBorder="1" applyAlignment="1">
      <alignment horizontal="left" vertical="center"/>
    </xf>
    <xf numFmtId="0" fontId="20" fillId="0" borderId="45" xfId="0" applyFont="1" applyBorder="1" applyAlignment="1">
      <alignment horizontal="left" vertical="center"/>
    </xf>
    <xf numFmtId="0" fontId="20" fillId="0" borderId="47" xfId="0" applyFont="1" applyBorder="1" applyAlignment="1">
      <alignment horizontal="left" vertical="center"/>
    </xf>
    <xf numFmtId="0" fontId="58" fillId="0" borderId="40" xfId="0" applyFont="1" applyBorder="1" applyAlignment="1">
      <alignment horizontal="center" vertical="center"/>
    </xf>
    <xf numFmtId="0" fontId="58" fillId="0" borderId="43" xfId="0" applyFont="1" applyBorder="1" applyAlignment="1">
      <alignment horizontal="center" vertical="center"/>
    </xf>
    <xf numFmtId="0" fontId="58" fillId="0" borderId="174" xfId="0" applyFont="1" applyBorder="1" applyAlignment="1">
      <alignment horizontal="center" vertical="center"/>
    </xf>
    <xf numFmtId="0" fontId="20" fillId="0" borderId="142" xfId="0" applyFont="1" applyBorder="1" applyAlignment="1">
      <alignment horizontal="left" vertical="center"/>
    </xf>
    <xf numFmtId="0" fontId="20" fillId="0" borderId="143" xfId="0" applyFont="1" applyBorder="1" applyAlignment="1">
      <alignment horizontal="center" vertical="center"/>
    </xf>
    <xf numFmtId="0" fontId="20" fillId="0" borderId="144" xfId="0" applyFont="1" applyBorder="1" applyAlignment="1">
      <alignment horizontal="left" vertical="center"/>
    </xf>
    <xf numFmtId="0" fontId="14" fillId="9" borderId="107" xfId="0" applyFont="1" applyFill="1" applyBorder="1" applyAlignment="1">
      <alignment horizontal="center" vertical="center"/>
    </xf>
    <xf numFmtId="0" fontId="20" fillId="10" borderId="143" xfId="0" applyFont="1" applyFill="1" applyBorder="1" applyAlignment="1">
      <alignment horizontal="center" vertical="center"/>
    </xf>
    <xf numFmtId="0" fontId="20" fillId="10" borderId="51" xfId="0" applyFont="1" applyFill="1" applyBorder="1" applyAlignment="1">
      <alignment horizontal="center" vertical="center"/>
    </xf>
    <xf numFmtId="0" fontId="21" fillId="0" borderId="174" xfId="0" applyFont="1" applyBorder="1" applyAlignment="1">
      <alignment horizontal="center" vertical="center"/>
    </xf>
    <xf numFmtId="0" fontId="21" fillId="10" borderId="125" xfId="0" applyFont="1" applyFill="1" applyBorder="1" applyAlignment="1" applyProtection="1">
      <alignment horizontal="center" vertical="center"/>
      <protection locked="0"/>
    </xf>
    <xf numFmtId="0" fontId="21" fillId="0" borderId="175" xfId="0" applyFont="1" applyBorder="1" applyAlignment="1">
      <alignment horizontal="center" vertical="center"/>
    </xf>
    <xf numFmtId="0" fontId="14" fillId="9" borderId="109" xfId="0" applyFont="1" applyFill="1" applyBorder="1" applyAlignment="1">
      <alignment horizontal="center" vertical="center"/>
    </xf>
    <xf numFmtId="167" fontId="21" fillId="0" borderId="144" xfId="0" applyNumberFormat="1" applyFont="1" applyBorder="1" applyAlignment="1">
      <alignment horizontal="center" vertical="center"/>
    </xf>
    <xf numFmtId="167" fontId="21" fillId="0" borderId="45" xfId="0" applyNumberFormat="1" applyFont="1" applyBorder="1" applyAlignment="1">
      <alignment horizontal="center" vertical="center"/>
    </xf>
    <xf numFmtId="167" fontId="21" fillId="0" borderId="47" xfId="0" applyNumberFormat="1" applyFont="1" applyBorder="1" applyAlignment="1">
      <alignment horizontal="center" vertical="center"/>
    </xf>
    <xf numFmtId="0" fontId="14" fillId="0" borderId="36" xfId="0" applyFont="1" applyFill="1" applyBorder="1" applyAlignment="1">
      <alignment horizontal="center" vertical="center"/>
    </xf>
    <xf numFmtId="167" fontId="18" fillId="0" borderId="0" xfId="0" applyNumberFormat="1" applyFont="1" applyAlignment="1">
      <alignment horizontal="center"/>
    </xf>
    <xf numFmtId="165" fontId="18" fillId="0" borderId="0" xfId="0" applyNumberFormat="1" applyFont="1" applyAlignment="1">
      <alignment horizontal="center"/>
    </xf>
    <xf numFmtId="167" fontId="21" fillId="15" borderId="0" xfId="0" applyNumberFormat="1" applyFont="1" applyFill="1" applyBorder="1" applyAlignment="1">
      <alignment vertical="center"/>
    </xf>
    <xf numFmtId="167" fontId="21" fillId="15" borderId="0" xfId="0" applyNumberFormat="1" applyFont="1" applyFill="1" applyBorder="1" applyAlignment="1">
      <alignment horizontal="left" vertical="center"/>
    </xf>
    <xf numFmtId="0" fontId="18" fillId="15" borderId="0" xfId="0" applyFont="1" applyFill="1"/>
    <xf numFmtId="0" fontId="21" fillId="10" borderId="171" xfId="0" applyFont="1" applyFill="1" applyBorder="1" applyAlignment="1" applyProtection="1">
      <alignment horizontal="center" vertical="center"/>
      <protection locked="0"/>
    </xf>
    <xf numFmtId="0" fontId="21" fillId="0" borderId="177" xfId="0" applyFont="1" applyBorder="1" applyAlignment="1">
      <alignment horizontal="center" vertical="center"/>
    </xf>
    <xf numFmtId="0" fontId="20" fillId="0" borderId="0" xfId="0" applyFont="1" applyFill="1" applyBorder="1" applyAlignment="1" applyProtection="1">
      <alignment horizontal="center" vertical="center"/>
    </xf>
    <xf numFmtId="0" fontId="15" fillId="0" borderId="0" xfId="0" applyFont="1" applyAlignment="1">
      <alignment vertical="center"/>
    </xf>
    <xf numFmtId="0" fontId="18" fillId="0" borderId="0" xfId="0" applyFont="1" applyBorder="1" applyAlignment="1">
      <alignment vertical="center"/>
    </xf>
    <xf numFmtId="0" fontId="21" fillId="0" borderId="180" xfId="0" applyFont="1" applyBorder="1" applyAlignment="1">
      <alignment horizontal="center" vertical="center"/>
    </xf>
    <xf numFmtId="0" fontId="58" fillId="0" borderId="180" xfId="0" applyFont="1" applyBorder="1" applyAlignment="1">
      <alignment horizontal="center" vertical="center"/>
    </xf>
    <xf numFmtId="0" fontId="20" fillId="0" borderId="181" xfId="0" applyFont="1" applyBorder="1" applyAlignment="1">
      <alignment horizontal="left" vertical="center"/>
    </xf>
    <xf numFmtId="0" fontId="20" fillId="0" borderId="138" xfId="0" applyFont="1" applyBorder="1" applyAlignment="1">
      <alignment horizontal="center" vertical="center"/>
    </xf>
    <xf numFmtId="0" fontId="20" fillId="0" borderId="182" xfId="0" applyFont="1" applyBorder="1" applyAlignment="1">
      <alignment horizontal="left" vertical="center"/>
    </xf>
    <xf numFmtId="0" fontId="20" fillId="10" borderId="138" xfId="0" applyFont="1" applyFill="1" applyBorder="1" applyAlignment="1">
      <alignment horizontal="center" vertical="center"/>
    </xf>
    <xf numFmtId="0" fontId="21" fillId="0" borderId="43" xfId="0" applyFont="1" applyBorder="1" applyAlignment="1">
      <alignment horizontal="center" vertical="center"/>
    </xf>
    <xf numFmtId="0" fontId="20" fillId="10" borderId="52" xfId="0" applyFont="1" applyFill="1" applyBorder="1" applyAlignment="1">
      <alignment horizontal="center" vertical="center"/>
    </xf>
    <xf numFmtId="0" fontId="21" fillId="10" borderId="170" xfId="0" applyFont="1" applyFill="1" applyBorder="1" applyAlignment="1" applyProtection="1">
      <alignment horizontal="center" vertical="center"/>
      <protection locked="0"/>
    </xf>
    <xf numFmtId="164" fontId="6" fillId="0" borderId="136" xfId="0" applyNumberFormat="1" applyFont="1" applyBorder="1" applyAlignment="1">
      <alignment vertical="center" shrinkToFit="1"/>
    </xf>
    <xf numFmtId="0" fontId="6" fillId="0" borderId="135" xfId="0" applyFont="1" applyBorder="1" applyAlignment="1">
      <alignment horizontal="left" vertical="center" shrinkToFit="1"/>
    </xf>
    <xf numFmtId="164" fontId="6" fillId="0" borderId="39" xfId="0" applyNumberFormat="1" applyFont="1" applyBorder="1" applyAlignment="1">
      <alignment vertical="center" shrinkToFit="1"/>
    </xf>
    <xf numFmtId="0" fontId="6" fillId="0" borderId="41" xfId="0" applyFont="1" applyBorder="1" applyAlignment="1">
      <alignment horizontal="left" vertical="center" shrinkToFit="1"/>
    </xf>
    <xf numFmtId="164" fontId="6" fillId="0" borderId="42" xfId="0" applyNumberFormat="1" applyFont="1" applyBorder="1" applyAlignment="1">
      <alignment vertical="center" shrinkToFit="1"/>
    </xf>
    <xf numFmtId="0" fontId="6" fillId="0" borderId="44" xfId="0" applyFont="1" applyBorder="1" applyAlignment="1">
      <alignment horizontal="left" vertical="center" shrinkToFit="1"/>
    </xf>
    <xf numFmtId="0" fontId="21" fillId="0" borderId="36" xfId="0" applyNumberFormat="1" applyFont="1" applyBorder="1" applyAlignment="1">
      <alignment horizontal="center" vertical="center"/>
    </xf>
    <xf numFmtId="0" fontId="21" fillId="0" borderId="0" xfId="0" applyNumberFormat="1" applyFont="1" applyBorder="1" applyAlignment="1">
      <alignment horizontal="center" vertical="center"/>
    </xf>
    <xf numFmtId="0" fontId="21" fillId="0" borderId="39" xfId="0" applyNumberFormat="1" applyFont="1" applyBorder="1" applyAlignment="1">
      <alignment horizontal="center" vertical="center"/>
    </xf>
    <xf numFmtId="0" fontId="21" fillId="0" borderId="42" xfId="0" applyNumberFormat="1" applyFont="1" applyBorder="1" applyAlignment="1">
      <alignment horizontal="center" vertical="center"/>
    </xf>
    <xf numFmtId="0" fontId="21" fillId="0" borderId="172" xfId="0" applyNumberFormat="1" applyFont="1" applyBorder="1" applyAlignment="1">
      <alignment horizontal="center" vertical="center"/>
    </xf>
    <xf numFmtId="167" fontId="21" fillId="0" borderId="43" xfId="0" applyNumberFormat="1" applyFont="1" applyBorder="1" applyAlignment="1">
      <alignment horizontal="center" vertical="center"/>
    </xf>
    <xf numFmtId="0" fontId="21" fillId="0" borderId="137" xfId="0" applyNumberFormat="1" applyFont="1" applyBorder="1" applyAlignment="1">
      <alignment horizontal="center" vertical="center"/>
    </xf>
    <xf numFmtId="167" fontId="21" fillId="0" borderId="180" xfId="0" applyNumberFormat="1" applyFont="1" applyBorder="1" applyAlignment="1">
      <alignment horizontal="center" vertical="center"/>
    </xf>
    <xf numFmtId="0" fontId="21" fillId="0" borderId="53" xfId="0" applyNumberFormat="1" applyFont="1" applyBorder="1" applyAlignment="1">
      <alignment horizontal="center" vertical="center"/>
    </xf>
    <xf numFmtId="0" fontId="14" fillId="9" borderId="146" xfId="0" applyFont="1" applyFill="1" applyBorder="1" applyAlignment="1">
      <alignment horizontal="center" vertical="center"/>
    </xf>
    <xf numFmtId="164" fontId="20" fillId="18" borderId="137" xfId="0" applyNumberFormat="1" applyFont="1" applyFill="1" applyBorder="1" applyAlignment="1">
      <alignment horizontal="center" vertical="center"/>
    </xf>
    <xf numFmtId="164" fontId="20" fillId="19" borderId="140" xfId="0" applyNumberFormat="1" applyFont="1" applyFill="1" applyBorder="1" applyAlignment="1">
      <alignment horizontal="center" vertical="center"/>
    </xf>
    <xf numFmtId="164" fontId="20" fillId="11" borderId="140" xfId="0" applyNumberFormat="1" applyFont="1" applyFill="1" applyBorder="1" applyAlignment="1">
      <alignment horizontal="center" vertical="center"/>
    </xf>
    <xf numFmtId="164" fontId="20" fillId="0" borderId="140" xfId="0" applyNumberFormat="1" applyFont="1" applyBorder="1" applyAlignment="1">
      <alignment horizontal="center" vertical="center"/>
    </xf>
    <xf numFmtId="164" fontId="20" fillId="0" borderId="172" xfId="0" applyNumberFormat="1" applyFont="1" applyBorder="1" applyAlignment="1">
      <alignment horizontal="center" vertical="center"/>
    </xf>
    <xf numFmtId="165" fontId="20" fillId="0" borderId="0" xfId="0" applyNumberFormat="1" applyFont="1" applyBorder="1" applyAlignment="1">
      <alignment horizontal="left" vertical="center"/>
    </xf>
    <xf numFmtId="0" fontId="20" fillId="0" borderId="2" xfId="0" applyFont="1" applyBorder="1" applyAlignment="1">
      <alignment horizontal="center" vertical="center"/>
    </xf>
    <xf numFmtId="0" fontId="0" fillId="0" borderId="0" xfId="0" applyAlignment="1">
      <alignment horizontal="left"/>
    </xf>
    <xf numFmtId="0" fontId="0" fillId="0" borderId="2" xfId="0" applyBorder="1"/>
    <xf numFmtId="0" fontId="21" fillId="0" borderId="0" xfId="0" applyFont="1" applyAlignment="1" applyProtection="1">
      <alignment vertical="center"/>
    </xf>
    <xf numFmtId="0" fontId="6" fillId="0" borderId="40" xfId="0" applyFont="1" applyFill="1" applyBorder="1" applyAlignment="1">
      <alignment horizontal="center" vertical="center" shrinkToFit="1"/>
    </xf>
    <xf numFmtId="0" fontId="21" fillId="15" borderId="145" xfId="0" applyFont="1" applyFill="1" applyBorder="1" applyAlignment="1" applyProtection="1"/>
    <xf numFmtId="0" fontId="21" fillId="15" borderId="173" xfId="0" applyFont="1" applyFill="1" applyBorder="1" applyAlignment="1" applyProtection="1"/>
    <xf numFmtId="164" fontId="15" fillId="0" borderId="39" xfId="0" applyNumberFormat="1" applyFont="1" applyBorder="1" applyAlignment="1">
      <alignment horizontal="center" vertical="center" shrinkToFit="1"/>
    </xf>
    <xf numFmtId="164" fontId="15" fillId="0" borderId="42" xfId="0" applyNumberFormat="1" applyFont="1" applyBorder="1" applyAlignment="1">
      <alignment horizontal="center" vertical="center" shrinkToFit="1"/>
    </xf>
    <xf numFmtId="0" fontId="6" fillId="0" borderId="40" xfId="0" applyFont="1" applyBorder="1" applyAlignment="1">
      <alignment horizontal="left" vertical="center" shrinkToFit="1"/>
    </xf>
    <xf numFmtId="0" fontId="6" fillId="0" borderId="43" xfId="0" applyFont="1" applyBorder="1" applyAlignment="1">
      <alignment horizontal="left" vertical="center" shrinkToFit="1"/>
    </xf>
    <xf numFmtId="164" fontId="15" fillId="0" borderId="53" xfId="0" applyNumberFormat="1" applyFont="1" applyBorder="1" applyAlignment="1">
      <alignment horizontal="center" vertical="center" shrinkToFit="1"/>
    </xf>
    <xf numFmtId="0" fontId="6" fillId="0" borderId="174" xfId="0" applyFont="1" applyBorder="1" applyAlignment="1">
      <alignment horizontal="left" vertical="center" shrinkToFit="1"/>
    </xf>
    <xf numFmtId="0" fontId="14" fillId="9" borderId="146" xfId="0" applyFont="1" applyFill="1" applyBorder="1" applyAlignment="1">
      <alignment horizontal="center" vertical="center" shrinkToFit="1"/>
    </xf>
    <xf numFmtId="0" fontId="14" fillId="9" borderId="107" xfId="0" applyFont="1" applyFill="1" applyBorder="1" applyAlignment="1">
      <alignment vertical="center" shrinkToFit="1"/>
    </xf>
    <xf numFmtId="0" fontId="14" fillId="9" borderId="129" xfId="0" applyFont="1" applyFill="1" applyBorder="1" applyAlignment="1">
      <alignment horizontal="center" vertical="center" shrinkToFit="1"/>
    </xf>
    <xf numFmtId="0" fontId="5" fillId="0" borderId="0" xfId="0" applyFont="1" applyAlignment="1">
      <alignment wrapText="1"/>
    </xf>
    <xf numFmtId="0" fontId="6" fillId="10" borderId="54" xfId="0" applyFont="1" applyFill="1" applyBorder="1" applyAlignment="1" applyProtection="1">
      <alignment horizontal="center" vertical="center"/>
      <protection locked="0"/>
    </xf>
    <xf numFmtId="0" fontId="6" fillId="10" borderId="41" xfId="0" applyFont="1" applyFill="1" applyBorder="1" applyAlignment="1" applyProtection="1">
      <alignment horizontal="center" vertical="center"/>
      <protection locked="0"/>
    </xf>
    <xf numFmtId="0" fontId="6" fillId="10" borderId="44" xfId="0" applyFont="1" applyFill="1" applyBorder="1" applyAlignment="1" applyProtection="1">
      <alignment horizontal="center" vertical="center"/>
      <protection locked="0"/>
    </xf>
    <xf numFmtId="0" fontId="0" fillId="0" borderId="0" xfId="0" applyAlignment="1">
      <alignment horizontal="center" vertical="center"/>
    </xf>
    <xf numFmtId="0" fontId="20" fillId="0" borderId="191" xfId="0" applyFont="1" applyBorder="1" applyAlignment="1">
      <alignment horizontal="center" vertical="center"/>
    </xf>
    <xf numFmtId="0" fontId="18" fillId="0" borderId="0" xfId="0" applyFont="1" applyAlignment="1">
      <alignment horizontal="center" vertical="top"/>
    </xf>
    <xf numFmtId="0" fontId="23" fillId="0" borderId="53" xfId="0" applyNumberFormat="1" applyFont="1" applyBorder="1" applyAlignment="1">
      <alignment horizontal="center" vertical="center"/>
    </xf>
    <xf numFmtId="0" fontId="23" fillId="0" borderId="39" xfId="0" applyNumberFormat="1" applyFont="1" applyBorder="1" applyAlignment="1">
      <alignment horizontal="center" vertical="center"/>
    </xf>
    <xf numFmtId="0" fontId="23" fillId="0" borderId="42" xfId="0" applyNumberFormat="1" applyFont="1" applyBorder="1" applyAlignment="1">
      <alignment horizontal="center" vertical="center"/>
    </xf>
    <xf numFmtId="0" fontId="6" fillId="0" borderId="116" xfId="0" applyFont="1" applyBorder="1" applyAlignment="1">
      <alignment horizontal="center" vertical="center" shrinkToFit="1"/>
    </xf>
    <xf numFmtId="0" fontId="13" fillId="0" borderId="185" xfId="0" applyFont="1" applyBorder="1" applyAlignment="1">
      <alignment horizontal="center" vertical="center" shrinkToFit="1"/>
    </xf>
    <xf numFmtId="0" fontId="13" fillId="0" borderId="140" xfId="0" applyFont="1" applyBorder="1" applyAlignment="1">
      <alignment horizontal="center" vertical="center" shrinkToFit="1"/>
    </xf>
    <xf numFmtId="0" fontId="13" fillId="0" borderId="172" xfId="0" applyFont="1" applyBorder="1" applyAlignment="1">
      <alignment horizontal="center" vertical="center" shrinkToFit="1"/>
    </xf>
    <xf numFmtId="0" fontId="6" fillId="10" borderId="116" xfId="0" applyFont="1" applyFill="1" applyBorder="1" applyAlignment="1" applyProtection="1">
      <alignment horizontal="right" vertical="center" shrinkToFit="1"/>
      <protection locked="0"/>
    </xf>
    <xf numFmtId="0" fontId="6" fillId="10" borderId="51" xfId="0" applyFont="1" applyFill="1" applyBorder="1" applyAlignment="1" applyProtection="1">
      <alignment horizontal="right" vertical="center" shrinkToFit="1"/>
      <protection locked="0"/>
    </xf>
    <xf numFmtId="0" fontId="6" fillId="10" borderId="52" xfId="0" applyFont="1" applyFill="1" applyBorder="1" applyAlignment="1" applyProtection="1">
      <alignment horizontal="right" vertical="center" shrinkToFit="1"/>
      <protection locked="0"/>
    </xf>
    <xf numFmtId="0" fontId="6" fillId="0" borderId="183" xfId="0" applyFont="1" applyBorder="1" applyAlignment="1">
      <alignment vertical="center" shrinkToFit="1"/>
    </xf>
    <xf numFmtId="0" fontId="6" fillId="0" borderId="46" xfId="0" applyFont="1" applyBorder="1" applyAlignment="1">
      <alignment vertical="center" shrinkToFit="1"/>
    </xf>
    <xf numFmtId="0" fontId="6" fillId="0" borderId="48" xfId="0" applyFont="1" applyBorder="1" applyAlignment="1">
      <alignment vertical="center" shrinkToFit="1"/>
    </xf>
    <xf numFmtId="0" fontId="6" fillId="0" borderId="110" xfId="0" applyFont="1" applyBorder="1" applyAlignment="1">
      <alignment vertical="center" shrinkToFit="1"/>
    </xf>
    <xf numFmtId="0" fontId="6" fillId="0" borderId="45" xfId="0" applyFont="1" applyBorder="1" applyAlignment="1">
      <alignment vertical="center" shrinkToFit="1"/>
    </xf>
    <xf numFmtId="0" fontId="6" fillId="0" borderId="47" xfId="0" applyFont="1" applyBorder="1" applyAlignment="1">
      <alignment vertical="center" shrinkToFit="1"/>
    </xf>
    <xf numFmtId="0" fontId="20" fillId="0" borderId="0" xfId="0" applyNumberFormat="1" applyFont="1" applyBorder="1" applyAlignment="1">
      <alignment horizontal="left" vertical="center"/>
    </xf>
    <xf numFmtId="0" fontId="21" fillId="0" borderId="121" xfId="0" applyFont="1" applyBorder="1" applyAlignment="1">
      <alignment horizontal="center" vertical="center"/>
    </xf>
    <xf numFmtId="0" fontId="0" fillId="0" borderId="0" xfId="0" applyFill="1" applyBorder="1" applyAlignment="1">
      <alignment horizontal="left"/>
    </xf>
    <xf numFmtId="165" fontId="21" fillId="0" borderId="0" xfId="0" applyNumberFormat="1" applyFont="1" applyAlignment="1" applyProtection="1">
      <alignment horizontal="center"/>
    </xf>
    <xf numFmtId="0" fontId="20" fillId="0" borderId="192" xfId="0" applyFont="1" applyBorder="1" applyAlignment="1">
      <alignment horizontal="center" vertical="center"/>
    </xf>
    <xf numFmtId="0" fontId="20" fillId="0" borderId="193" xfId="0" applyFont="1" applyBorder="1" applyAlignment="1">
      <alignment horizontal="center" vertical="center"/>
    </xf>
    <xf numFmtId="0" fontId="20" fillId="0" borderId="194" xfId="0" applyFont="1" applyBorder="1" applyAlignment="1">
      <alignment horizontal="center" vertical="center"/>
    </xf>
    <xf numFmtId="0" fontId="0" fillId="0" borderId="204" xfId="0" applyBorder="1"/>
    <xf numFmtId="0" fontId="0" fillId="0" borderId="204" xfId="0" applyBorder="1" applyAlignment="1">
      <alignment horizontal="center"/>
    </xf>
    <xf numFmtId="0" fontId="0" fillId="0" borderId="0" xfId="0" applyAlignment="1" applyProtection="1">
      <alignment horizontal="left"/>
      <protection locked="0"/>
    </xf>
    <xf numFmtId="0" fontId="0" fillId="0" borderId="0" xfId="0" applyAlignment="1" applyProtection="1">
      <alignment horizontal="right"/>
      <protection locked="0"/>
    </xf>
    <xf numFmtId="0" fontId="4" fillId="0" borderId="205" xfId="0" applyFont="1" applyBorder="1" applyAlignment="1">
      <alignment horizontal="center" vertical="center"/>
    </xf>
    <xf numFmtId="165" fontId="18" fillId="0" borderId="0" xfId="0" applyNumberFormat="1" applyFont="1" applyAlignment="1">
      <alignment horizontal="right" indent="1"/>
    </xf>
    <xf numFmtId="0" fontId="21" fillId="0" borderId="190" xfId="0" applyNumberFormat="1" applyFont="1" applyBorder="1" applyAlignment="1">
      <alignment horizontal="center" vertical="center"/>
    </xf>
    <xf numFmtId="167" fontId="21" fillId="0" borderId="174" xfId="0" applyNumberFormat="1" applyFont="1" applyBorder="1" applyAlignment="1">
      <alignment horizontal="center" vertical="center"/>
    </xf>
    <xf numFmtId="0" fontId="21" fillId="15" borderId="65" xfId="0" applyFont="1" applyFill="1" applyBorder="1" applyAlignment="1" applyProtection="1"/>
    <xf numFmtId="0" fontId="18" fillId="15" borderId="190" xfId="0" applyFont="1" applyFill="1" applyBorder="1" applyAlignment="1" applyProtection="1">
      <alignment horizontal="left" vertical="center" indent="1" shrinkToFit="1"/>
    </xf>
    <xf numFmtId="0" fontId="18" fillId="15" borderId="140" xfId="0" applyFont="1" applyFill="1" applyBorder="1" applyAlignment="1" applyProtection="1">
      <alignment horizontal="left" vertical="center" indent="1" shrinkToFit="1"/>
    </xf>
    <xf numFmtId="0" fontId="18" fillId="15" borderId="172" xfId="0" applyFont="1" applyFill="1" applyBorder="1" applyAlignment="1" applyProtection="1">
      <alignment horizontal="left" vertical="center" indent="1" shrinkToFit="1"/>
    </xf>
    <xf numFmtId="167" fontId="50" fillId="15" borderId="143" xfId="0" applyNumberFormat="1" applyFont="1" applyFill="1" applyBorder="1" applyAlignment="1" applyProtection="1">
      <alignment horizontal="right" indent="1"/>
    </xf>
    <xf numFmtId="167" fontId="50" fillId="15" borderId="51" xfId="0" applyNumberFormat="1" applyFont="1" applyFill="1" applyBorder="1" applyAlignment="1" applyProtection="1">
      <alignment horizontal="right" indent="1"/>
    </xf>
    <xf numFmtId="167" fontId="50" fillId="15" borderId="52" xfId="0" applyNumberFormat="1" applyFont="1" applyFill="1" applyBorder="1" applyAlignment="1" applyProtection="1">
      <alignment horizontal="right" indent="1"/>
    </xf>
    <xf numFmtId="49" fontId="24" fillId="0" borderId="53" xfId="0" applyNumberFormat="1" applyFont="1" applyBorder="1" applyAlignment="1">
      <alignment horizontal="center" vertical="center"/>
    </xf>
    <xf numFmtId="49" fontId="24" fillId="0" borderId="55" xfId="0" applyNumberFormat="1" applyFont="1" applyBorder="1" applyAlignment="1">
      <alignment horizontal="center" vertical="center"/>
    </xf>
    <xf numFmtId="49" fontId="24" fillId="0" borderId="53" xfId="0" applyNumberFormat="1" applyFont="1" applyBorder="1" applyAlignment="1">
      <alignment horizontal="center" vertical="center"/>
    </xf>
    <xf numFmtId="49" fontId="24" fillId="0" borderId="55" xfId="0" applyNumberFormat="1" applyFont="1" applyBorder="1" applyAlignment="1">
      <alignment horizontal="center" vertical="center"/>
    </xf>
    <xf numFmtId="0" fontId="14" fillId="9" borderId="49" xfId="0" applyFont="1" applyFill="1" applyBorder="1" applyAlignment="1">
      <alignment horizontal="center" vertical="center" shrinkToFit="1"/>
    </xf>
    <xf numFmtId="167" fontId="24" fillId="0" borderId="0" xfId="0" applyNumberFormat="1" applyFont="1" applyBorder="1" applyAlignment="1">
      <alignment horizontal="left"/>
    </xf>
    <xf numFmtId="0" fontId="14" fillId="9" borderId="126" xfId="0" applyFont="1" applyFill="1" applyBorder="1" applyAlignment="1">
      <alignment horizontal="center" vertical="center"/>
    </xf>
    <xf numFmtId="0" fontId="20" fillId="0" borderId="143" xfId="0" applyFont="1" applyBorder="1" applyAlignment="1">
      <alignment horizontal="left" vertical="center"/>
    </xf>
    <xf numFmtId="0" fontId="20" fillId="0" borderId="51" xfId="0" applyFont="1" applyBorder="1" applyAlignment="1">
      <alignment horizontal="left" vertical="center"/>
    </xf>
    <xf numFmtId="0" fontId="14" fillId="9" borderId="206" xfId="0" applyFont="1" applyFill="1" applyBorder="1" applyAlignment="1">
      <alignment horizontal="center" vertical="center"/>
    </xf>
    <xf numFmtId="0" fontId="19" fillId="9" borderId="146" xfId="0" applyFont="1" applyFill="1" applyBorder="1" applyAlignment="1">
      <alignment vertical="center"/>
    </xf>
    <xf numFmtId="0" fontId="19" fillId="9" borderId="129" xfId="0" applyFont="1" applyFill="1" applyBorder="1" applyAlignment="1">
      <alignment vertical="center" shrinkToFit="1"/>
    </xf>
    <xf numFmtId="164" fontId="6" fillId="0" borderId="136" xfId="0" applyNumberFormat="1" applyFont="1" applyBorder="1" applyAlignment="1">
      <alignment horizontal="center" vertical="center" shrinkToFit="1"/>
    </xf>
    <xf numFmtId="0" fontId="6" fillId="0" borderId="136" xfId="0" applyFont="1" applyBorder="1" applyAlignment="1">
      <alignment horizontal="center" vertical="center" shrinkToFit="1"/>
    </xf>
    <xf numFmtId="0" fontId="6" fillId="0" borderId="134" xfId="0" applyFont="1" applyBorder="1" applyAlignment="1">
      <alignment horizontal="center" vertical="center"/>
    </xf>
    <xf numFmtId="0" fontId="20" fillId="0" borderId="54" xfId="0" applyFont="1" applyFill="1" applyBorder="1" applyAlignment="1" applyProtection="1">
      <alignment vertical="center" shrinkToFit="1"/>
    </xf>
    <xf numFmtId="164" fontId="6" fillId="0" borderId="39" xfId="0" applyNumberFormat="1" applyFont="1" applyBorder="1" applyAlignment="1">
      <alignment horizontal="center" vertical="center" shrinkToFit="1"/>
    </xf>
    <xf numFmtId="0" fontId="6" fillId="0" borderId="51" xfId="0" applyFont="1" applyBorder="1" applyAlignment="1">
      <alignment horizontal="center" vertical="center"/>
    </xf>
    <xf numFmtId="49" fontId="24" fillId="0" borderId="39" xfId="0" applyNumberFormat="1" applyFont="1" applyBorder="1" applyAlignment="1">
      <alignment horizontal="center" vertical="center"/>
    </xf>
    <xf numFmtId="0" fontId="20" fillId="0" borderId="41" xfId="0" applyFont="1" applyFill="1" applyBorder="1" applyAlignment="1" applyProtection="1">
      <alignment vertical="center" shrinkToFit="1"/>
    </xf>
    <xf numFmtId="164" fontId="6" fillId="0" borderId="42" xfId="0" applyNumberFormat="1" applyFont="1" applyBorder="1" applyAlignment="1">
      <alignment horizontal="center" vertical="center" shrinkToFit="1"/>
    </xf>
    <xf numFmtId="0" fontId="6" fillId="0" borderId="52" xfId="0" applyFont="1" applyBorder="1" applyAlignment="1">
      <alignment horizontal="center" vertical="center"/>
    </xf>
    <xf numFmtId="49" fontId="24" fillId="0" borderId="42" xfId="0" applyNumberFormat="1" applyFont="1" applyBorder="1" applyAlignment="1">
      <alignment horizontal="center" vertical="center"/>
    </xf>
    <xf numFmtId="0" fontId="20" fillId="0" borderId="44" xfId="0" applyFont="1" applyFill="1" applyBorder="1" applyAlignment="1" applyProtection="1">
      <alignment vertical="center" shrinkToFit="1"/>
    </xf>
    <xf numFmtId="0" fontId="21" fillId="0" borderId="0" xfId="0" applyFont="1" applyFill="1" applyBorder="1" applyAlignment="1">
      <alignment horizontal="center" vertical="center"/>
    </xf>
    <xf numFmtId="0" fontId="21" fillId="0" borderId="212" xfId="0" applyFont="1" applyFill="1" applyBorder="1" applyAlignment="1">
      <alignment horizontal="center" vertical="center"/>
    </xf>
    <xf numFmtId="164" fontId="20" fillId="0" borderId="0" xfId="0" applyNumberFormat="1" applyFont="1" applyFill="1" applyBorder="1" applyAlignment="1">
      <alignment horizontal="center" vertical="center"/>
    </xf>
    <xf numFmtId="0" fontId="21" fillId="17" borderId="142" xfId="0" applyFont="1" applyFill="1" applyBorder="1" applyAlignment="1">
      <alignment horizontal="right" vertical="center"/>
    </xf>
    <xf numFmtId="0" fontId="21" fillId="17" borderId="143" xfId="0" applyFont="1" applyFill="1" applyBorder="1" applyAlignment="1">
      <alignment horizontal="center" vertical="center"/>
    </xf>
    <xf numFmtId="0" fontId="21" fillId="17" borderId="144" xfId="0" applyFont="1" applyFill="1" applyBorder="1" applyAlignment="1">
      <alignment horizontal="left" vertical="center"/>
    </xf>
    <xf numFmtId="0" fontId="21" fillId="17" borderId="46" xfId="0" applyFont="1" applyFill="1" applyBorder="1" applyAlignment="1">
      <alignment horizontal="right" vertical="center"/>
    </xf>
    <xf numFmtId="0" fontId="21" fillId="17" borderId="51" xfId="0" applyFont="1" applyFill="1" applyBorder="1" applyAlignment="1">
      <alignment horizontal="center" vertical="center"/>
    </xf>
    <xf numFmtId="0" fontId="21" fillId="17" borderId="45" xfId="0" applyFont="1" applyFill="1" applyBorder="1" applyAlignment="1">
      <alignment horizontal="left" vertical="center"/>
    </xf>
    <xf numFmtId="0" fontId="21" fillId="17" borderId="48" xfId="0" applyFont="1" applyFill="1" applyBorder="1" applyAlignment="1">
      <alignment horizontal="right" vertical="center"/>
    </xf>
    <xf numFmtId="0" fontId="21" fillId="17" borderId="52" xfId="0" applyFont="1" applyFill="1" applyBorder="1" applyAlignment="1">
      <alignment horizontal="center" vertical="center"/>
    </xf>
    <xf numFmtId="0" fontId="21" fillId="17" borderId="47" xfId="0" applyFont="1" applyFill="1" applyBorder="1" applyAlignment="1">
      <alignment horizontal="left" vertical="center"/>
    </xf>
    <xf numFmtId="0" fontId="21" fillId="0" borderId="40" xfId="0" applyFont="1" applyBorder="1" applyAlignment="1">
      <alignment horizontal="center" vertical="center"/>
    </xf>
    <xf numFmtId="0" fontId="20" fillId="0" borderId="67" xfId="0" applyFont="1" applyBorder="1" applyAlignment="1">
      <alignment horizontal="left" vertical="center"/>
    </xf>
    <xf numFmtId="0" fontId="20" fillId="0" borderId="67" xfId="0" applyFont="1" applyBorder="1" applyAlignment="1">
      <alignment horizontal="center" vertical="center"/>
    </xf>
    <xf numFmtId="0" fontId="20" fillId="0" borderId="213" xfId="0" applyFont="1" applyBorder="1" applyAlignment="1">
      <alignment horizontal="left" vertical="center"/>
    </xf>
    <xf numFmtId="0" fontId="57" fillId="0" borderId="0" xfId="0" applyFont="1" applyBorder="1" applyAlignment="1">
      <alignment vertical="center"/>
    </xf>
    <xf numFmtId="14" fontId="59" fillId="0" borderId="0" xfId="0" applyNumberFormat="1" applyFont="1" applyBorder="1" applyAlignment="1">
      <alignment vertical="center"/>
    </xf>
    <xf numFmtId="0" fontId="59" fillId="0" borderId="0" xfId="0" applyFont="1" applyBorder="1" applyAlignment="1">
      <alignment vertical="center"/>
    </xf>
    <xf numFmtId="165" fontId="21" fillId="0" borderId="0" xfId="0" applyNumberFormat="1" applyFont="1" applyAlignment="1">
      <alignment horizontal="center" vertical="center"/>
    </xf>
    <xf numFmtId="165" fontId="14" fillId="9" borderId="224" xfId="0" applyNumberFormat="1" applyFont="1" applyFill="1" applyBorder="1" applyAlignment="1">
      <alignment vertical="center" shrinkToFit="1"/>
    </xf>
    <xf numFmtId="49" fontId="24" fillId="0" borderId="56" xfId="0" applyNumberFormat="1" applyFont="1" applyBorder="1" applyAlignment="1">
      <alignment horizontal="center" vertical="center"/>
    </xf>
    <xf numFmtId="49" fontId="24" fillId="0" borderId="53" xfId="0" applyNumberFormat="1" applyFont="1" applyBorder="1" applyAlignment="1">
      <alignment horizontal="center" vertical="center"/>
    </xf>
    <xf numFmtId="164" fontId="24" fillId="0" borderId="0" xfId="0" applyNumberFormat="1" applyFont="1" applyFill="1" applyBorder="1" applyAlignment="1">
      <alignment horizontal="center" vertical="center"/>
    </xf>
    <xf numFmtId="164" fontId="24" fillId="0" borderId="67" xfId="0" applyNumberFormat="1" applyFont="1" applyFill="1" applyBorder="1" applyAlignment="1">
      <alignment horizontal="center" vertical="center"/>
    </xf>
    <xf numFmtId="0" fontId="7" fillId="0" borderId="149" xfId="1" applyNumberFormat="1" applyFont="1" applyFill="1" applyBorder="1" applyAlignment="1" applyProtection="1">
      <alignment vertical="center"/>
      <protection hidden="1"/>
    </xf>
    <xf numFmtId="0" fontId="7" fillId="0" borderId="225" xfId="1" applyNumberFormat="1" applyFont="1" applyFill="1" applyBorder="1" applyAlignment="1" applyProtection="1">
      <alignment vertical="center"/>
      <protection hidden="1"/>
    </xf>
    <xf numFmtId="0" fontId="7" fillId="0" borderId="225" xfId="1" applyNumberFormat="1" applyFont="1" applyFill="1" applyBorder="1" applyAlignment="1" applyProtection="1">
      <alignment horizontal="center" vertical="center"/>
      <protection hidden="1"/>
    </xf>
    <xf numFmtId="0" fontId="7" fillId="0" borderId="0" xfId="1" applyNumberFormat="1" applyFont="1" applyFill="1" applyBorder="1" applyAlignment="1" applyProtection="1">
      <alignment horizontal="center" vertical="center"/>
      <protection hidden="1"/>
    </xf>
    <xf numFmtId="0" fontId="7" fillId="0" borderId="150" xfId="1" applyNumberFormat="1" applyFont="1" applyFill="1" applyBorder="1" applyAlignment="1" applyProtection="1">
      <alignment horizontal="center" vertical="center"/>
      <protection hidden="1"/>
    </xf>
    <xf numFmtId="0" fontId="7" fillId="0" borderId="101" xfId="1" applyNumberFormat="1" applyFont="1" applyFill="1" applyBorder="1" applyAlignment="1" applyProtection="1">
      <alignment vertical="center"/>
      <protection hidden="1"/>
    </xf>
    <xf numFmtId="0" fontId="7" fillId="0" borderId="0" xfId="1" applyNumberFormat="1" applyFont="1" applyFill="1" applyBorder="1" applyAlignment="1" applyProtection="1">
      <alignment vertical="center"/>
      <protection hidden="1"/>
    </xf>
    <xf numFmtId="166" fontId="7" fillId="0" borderId="0" xfId="1" applyNumberFormat="1" applyFont="1" applyFill="1" applyBorder="1" applyAlignment="1" applyProtection="1">
      <alignment horizontal="center" vertical="center"/>
      <protection hidden="1"/>
    </xf>
    <xf numFmtId="0" fontId="7" fillId="0" borderId="102" xfId="1" applyNumberFormat="1" applyFont="1" applyFill="1" applyBorder="1" applyAlignment="1" applyProtection="1">
      <alignment horizontal="center" vertical="center"/>
      <protection hidden="1"/>
    </xf>
    <xf numFmtId="0" fontId="7" fillId="0" borderId="103" xfId="1" applyNumberFormat="1" applyFont="1" applyFill="1" applyBorder="1" applyAlignment="1" applyProtection="1">
      <alignment vertical="center"/>
      <protection hidden="1"/>
    </xf>
    <xf numFmtId="0" fontId="7" fillId="0" borderId="104" xfId="1" applyNumberFormat="1" applyFont="1" applyFill="1" applyBorder="1" applyAlignment="1" applyProtection="1">
      <alignment vertical="center"/>
      <protection hidden="1"/>
    </xf>
    <xf numFmtId="0" fontId="7" fillId="0" borderId="104" xfId="1" applyNumberFormat="1" applyFont="1" applyFill="1" applyBorder="1" applyAlignment="1" applyProtection="1">
      <alignment horizontal="center" vertical="center"/>
      <protection hidden="1"/>
    </xf>
    <xf numFmtId="0" fontId="7" fillId="0" borderId="105" xfId="1" applyNumberFormat="1" applyFont="1" applyFill="1" applyBorder="1" applyAlignment="1" applyProtection="1">
      <alignment horizontal="center" vertical="center"/>
      <protection hidden="1"/>
    </xf>
    <xf numFmtId="166" fontId="7" fillId="0" borderId="104" xfId="1" applyNumberFormat="1" applyFont="1" applyFill="1" applyBorder="1" applyAlignment="1" applyProtection="1">
      <alignment horizontal="center" vertical="center"/>
      <protection hidden="1"/>
    </xf>
    <xf numFmtId="0" fontId="22" fillId="17" borderId="51" xfId="0" applyFont="1" applyFill="1" applyBorder="1" applyAlignment="1" applyProtection="1">
      <alignment horizontal="right" vertical="center"/>
    </xf>
    <xf numFmtId="0" fontId="22" fillId="17" borderId="51" xfId="0" applyFont="1" applyFill="1" applyBorder="1" applyAlignment="1" applyProtection="1">
      <alignment horizontal="left" vertical="center"/>
    </xf>
    <xf numFmtId="0" fontId="22" fillId="17" borderId="51" xfId="0" applyFont="1" applyFill="1" applyBorder="1" applyAlignment="1">
      <alignment horizontal="right"/>
    </xf>
    <xf numFmtId="0" fontId="22" fillId="17" borderId="51" xfId="0" applyFont="1" applyFill="1" applyBorder="1"/>
    <xf numFmtId="0" fontId="23" fillId="0" borderId="48" xfId="0" applyNumberFormat="1" applyFont="1" applyBorder="1" applyAlignment="1">
      <alignment horizontal="center" vertical="center"/>
    </xf>
    <xf numFmtId="0" fontId="22" fillId="17" borderId="52" xfId="0" applyFont="1" applyFill="1" applyBorder="1" applyAlignment="1">
      <alignment horizontal="right"/>
    </xf>
    <xf numFmtId="0" fontId="22" fillId="17" borderId="52" xfId="0" applyFont="1" applyFill="1" applyBorder="1"/>
    <xf numFmtId="0" fontId="21" fillId="0" borderId="48" xfId="0" applyFont="1" applyBorder="1" applyAlignment="1">
      <alignment horizontal="right" vertical="center"/>
    </xf>
    <xf numFmtId="0" fontId="21" fillId="0" borderId="173" xfId="0" applyFont="1" applyBorder="1" applyAlignment="1">
      <alignment horizontal="left" vertical="center"/>
    </xf>
    <xf numFmtId="166" fontId="7" fillId="0" borderId="225" xfId="1" applyNumberFormat="1" applyFont="1" applyFill="1" applyBorder="1" applyAlignment="1" applyProtection="1">
      <alignment horizontal="center" vertical="center"/>
      <protection hidden="1"/>
    </xf>
    <xf numFmtId="0" fontId="52" fillId="0" borderId="214" xfId="0" applyFont="1" applyBorder="1" applyAlignment="1">
      <alignment horizontal="center" vertical="center" shrinkToFit="1"/>
    </xf>
    <xf numFmtId="165" fontId="14" fillId="9" borderId="49" xfId="0" applyNumberFormat="1" applyFont="1" applyFill="1" applyBorder="1" applyAlignment="1">
      <alignment vertical="center" shrinkToFit="1"/>
    </xf>
    <xf numFmtId="0" fontId="6" fillId="8" borderId="46" xfId="0" applyFont="1" applyFill="1" applyBorder="1" applyAlignment="1">
      <alignment horizontal="center" vertical="center" shrinkToFit="1"/>
    </xf>
    <xf numFmtId="165" fontId="21" fillId="13" borderId="206" xfId="0" applyNumberFormat="1" applyFont="1" applyFill="1" applyBorder="1" applyAlignment="1">
      <alignment horizontal="center" vertical="center"/>
    </xf>
    <xf numFmtId="0" fontId="20" fillId="0" borderId="183" xfId="0" applyFont="1" applyBorder="1" applyAlignment="1">
      <alignment horizontal="center" vertical="center"/>
    </xf>
    <xf numFmtId="0" fontId="20" fillId="0" borderId="46" xfId="0" applyFont="1" applyBorder="1" applyAlignment="1">
      <alignment horizontal="center" vertical="center"/>
    </xf>
    <xf numFmtId="0" fontId="20" fillId="8" borderId="226" xfId="0" applyFont="1" applyFill="1" applyBorder="1" applyAlignment="1">
      <alignment horizontal="center" vertical="center"/>
    </xf>
    <xf numFmtId="0" fontId="20" fillId="0" borderId="48" xfId="0" applyFont="1" applyBorder="1" applyAlignment="1">
      <alignment horizontal="center" vertical="center"/>
    </xf>
    <xf numFmtId="49" fontId="21" fillId="13" borderId="107" xfId="0" applyNumberFormat="1" applyFont="1" applyFill="1" applyBorder="1" applyAlignment="1">
      <alignment horizontal="center" vertical="center"/>
    </xf>
    <xf numFmtId="0" fontId="18" fillId="0" borderId="121" xfId="0" applyFont="1" applyBorder="1" applyAlignment="1">
      <alignment horizontal="left" vertical="center"/>
    </xf>
    <xf numFmtId="0" fontId="18" fillId="0" borderId="122" xfId="0" applyFont="1" applyBorder="1" applyAlignment="1">
      <alignment horizontal="left" vertical="center"/>
    </xf>
    <xf numFmtId="0" fontId="18" fillId="0" borderId="214" xfId="0" applyFont="1" applyBorder="1" applyAlignment="1">
      <alignment horizontal="left" vertical="center"/>
    </xf>
    <xf numFmtId="0" fontId="18" fillId="0" borderId="123" xfId="0" applyFont="1" applyBorder="1" applyAlignment="1">
      <alignment horizontal="left" vertical="center"/>
    </xf>
    <xf numFmtId="0" fontId="13" fillId="0" borderId="0" xfId="0" applyFont="1" applyAlignment="1">
      <alignment horizontal="left" vertical="center" indent="1"/>
    </xf>
    <xf numFmtId="0" fontId="0" fillId="0" borderId="0" xfId="0" applyFill="1" applyBorder="1" applyAlignment="1">
      <alignment horizontal="center" vertical="center"/>
    </xf>
    <xf numFmtId="0" fontId="66" fillId="0" borderId="0" xfId="0" applyFont="1" applyFill="1" applyBorder="1" applyAlignment="1" applyProtection="1">
      <alignment horizontal="center" vertical="center"/>
      <protection locked="0"/>
    </xf>
    <xf numFmtId="0" fontId="21" fillId="0" borderId="63" xfId="0" applyNumberFormat="1" applyFont="1" applyBorder="1" applyAlignment="1">
      <alignment horizontal="center" vertical="center"/>
    </xf>
    <xf numFmtId="0" fontId="21" fillId="0" borderId="228" xfId="0" applyNumberFormat="1" applyFont="1" applyBorder="1" applyAlignment="1">
      <alignment horizontal="center" vertical="center"/>
    </xf>
    <xf numFmtId="167" fontId="21" fillId="0" borderId="182" xfId="0" applyNumberFormat="1" applyFont="1" applyBorder="1" applyAlignment="1">
      <alignment horizontal="center" vertical="center"/>
    </xf>
    <xf numFmtId="49" fontId="24" fillId="0" borderId="55" xfId="0" applyNumberFormat="1" applyFont="1" applyBorder="1" applyAlignment="1">
      <alignment horizontal="center" vertical="center"/>
    </xf>
    <xf numFmtId="49" fontId="24" fillId="0" borderId="53" xfId="0" applyNumberFormat="1" applyFont="1" applyBorder="1" applyAlignment="1">
      <alignment horizontal="center" vertical="center"/>
    </xf>
    <xf numFmtId="0" fontId="14" fillId="9" borderId="49" xfId="0" applyFont="1" applyFill="1" applyBorder="1" applyAlignment="1">
      <alignment horizontal="center" vertical="center" shrinkToFit="1"/>
    </xf>
    <xf numFmtId="0" fontId="13" fillId="9" borderId="207" xfId="0" applyFont="1" applyFill="1" applyBorder="1" applyAlignment="1">
      <alignment horizontal="center" vertical="center" shrinkToFit="1"/>
    </xf>
    <xf numFmtId="0" fontId="13" fillId="9" borderId="208" xfId="0" applyFont="1" applyFill="1" applyBorder="1" applyAlignment="1">
      <alignment horizontal="center" vertical="center" shrinkToFit="1"/>
    </xf>
    <xf numFmtId="165" fontId="18" fillId="0" borderId="0" xfId="0" applyNumberFormat="1" applyFont="1"/>
    <xf numFmtId="164" fontId="6" fillId="0" borderId="0" xfId="0" applyNumberFormat="1" applyFont="1" applyFill="1" applyBorder="1" applyAlignment="1">
      <alignment horizontal="center" vertical="center" shrinkToFit="1"/>
    </xf>
    <xf numFmtId="0" fontId="6" fillId="0" borderId="0" xfId="0" applyFont="1" applyFill="1" applyBorder="1" applyAlignment="1">
      <alignment horizontal="center" vertical="center"/>
    </xf>
    <xf numFmtId="0" fontId="18" fillId="0" borderId="0" xfId="0" applyFont="1" applyFill="1" applyBorder="1"/>
    <xf numFmtId="49" fontId="24" fillId="0" borderId="0" xfId="0" applyNumberFormat="1" applyFont="1" applyFill="1" applyBorder="1" applyAlignment="1">
      <alignment horizontal="center" vertical="center"/>
    </xf>
    <xf numFmtId="0" fontId="20" fillId="0" borderId="0" xfId="0" applyFont="1" applyFill="1" applyBorder="1" applyAlignment="1" applyProtection="1">
      <alignment vertical="center" shrinkToFit="1"/>
    </xf>
    <xf numFmtId="0" fontId="6" fillId="0" borderId="0" xfId="0" applyFont="1" applyFill="1" applyBorder="1" applyAlignment="1" applyProtection="1">
      <alignment horizontal="center" vertical="center"/>
      <protection locked="0"/>
    </xf>
    <xf numFmtId="167" fontId="67" fillId="0" borderId="106" xfId="0" applyNumberFormat="1" applyFont="1" applyBorder="1" applyAlignment="1">
      <alignment horizontal="center" vertical="center" shrinkToFit="1"/>
    </xf>
    <xf numFmtId="0" fontId="67" fillId="0" borderId="106" xfId="0" applyFont="1" applyBorder="1" applyAlignment="1">
      <alignment horizontal="center" vertical="center" shrinkToFit="1"/>
    </xf>
    <xf numFmtId="167" fontId="67" fillId="0" borderId="40" xfId="0" applyNumberFormat="1" applyFont="1" applyBorder="1" applyAlignment="1">
      <alignment horizontal="center" vertical="center" shrinkToFit="1"/>
    </xf>
    <xf numFmtId="0" fontId="67" fillId="0" borderId="40" xfId="0" applyFont="1" applyBorder="1" applyAlignment="1">
      <alignment horizontal="center" vertical="center" shrinkToFit="1"/>
    </xf>
    <xf numFmtId="167" fontId="67" fillId="0" borderId="43" xfId="0" applyNumberFormat="1" applyFont="1" applyBorder="1" applyAlignment="1">
      <alignment horizontal="center" vertical="center" shrinkToFit="1"/>
    </xf>
    <xf numFmtId="0" fontId="67" fillId="0" borderId="43" xfId="0" applyFont="1" applyBorder="1" applyAlignment="1">
      <alignment horizontal="center" vertical="center" shrinkToFit="1"/>
    </xf>
    <xf numFmtId="0" fontId="21" fillId="0" borderId="229" xfId="0" applyNumberFormat="1" applyFont="1" applyBorder="1" applyAlignment="1">
      <alignment horizontal="center" vertical="center"/>
    </xf>
    <xf numFmtId="167" fontId="21" fillId="0" borderId="106" xfId="0" applyNumberFormat="1" applyFont="1" applyBorder="1" applyAlignment="1">
      <alignment horizontal="center" vertical="center"/>
    </xf>
    <xf numFmtId="0" fontId="21" fillId="0" borderId="106" xfId="0" applyFont="1" applyBorder="1" applyAlignment="1">
      <alignment horizontal="center" vertical="center"/>
    </xf>
    <xf numFmtId="0" fontId="58" fillId="0" borderId="106" xfId="0" applyFont="1" applyBorder="1" applyAlignment="1">
      <alignment horizontal="center" vertical="center"/>
    </xf>
    <xf numFmtId="0" fontId="20" fillId="0" borderId="183" xfId="0" applyFont="1" applyBorder="1" applyAlignment="1">
      <alignment horizontal="left" vertical="center"/>
    </xf>
    <xf numFmtId="167" fontId="21" fillId="0" borderId="40" xfId="0" applyNumberFormat="1"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9" fillId="0" borderId="0" xfId="0" applyFont="1" applyAlignment="1">
      <alignment vertical="center"/>
    </xf>
    <xf numFmtId="0" fontId="69" fillId="9" borderId="230" xfId="0" applyFont="1" applyFill="1" applyBorder="1" applyAlignment="1">
      <alignment horizontal="center" vertical="center"/>
    </xf>
    <xf numFmtId="0" fontId="69" fillId="9" borderId="231" xfId="0" applyFont="1" applyFill="1" applyBorder="1" applyAlignment="1">
      <alignment horizontal="center" vertical="center"/>
    </xf>
    <xf numFmtId="0" fontId="69" fillId="9" borderId="232" xfId="0" applyFont="1" applyFill="1" applyBorder="1" applyAlignment="1">
      <alignment horizontal="center" vertical="center"/>
    </xf>
    <xf numFmtId="0" fontId="69" fillId="9" borderId="233" xfId="0" applyFont="1" applyFill="1" applyBorder="1" applyAlignment="1">
      <alignment horizontal="center" vertical="center"/>
    </xf>
    <xf numFmtId="0" fontId="3" fillId="0" borderId="234" xfId="0" applyFont="1" applyBorder="1" applyAlignment="1">
      <alignment horizontal="center" vertical="center"/>
    </xf>
    <xf numFmtId="167" fontId="0" fillId="0" borderId="174" xfId="0" applyNumberFormat="1" applyBorder="1" applyAlignment="1">
      <alignment horizontal="center" vertical="center"/>
    </xf>
    <xf numFmtId="0" fontId="0" fillId="0" borderId="142" xfId="0" applyBorder="1" applyAlignment="1">
      <alignment horizontal="center" vertical="center"/>
    </xf>
    <xf numFmtId="0" fontId="0" fillId="0" borderId="235" xfId="0" applyBorder="1" applyAlignment="1">
      <alignment vertical="center"/>
    </xf>
    <xf numFmtId="167" fontId="0" fillId="0" borderId="40" xfId="0" applyNumberFormat="1" applyBorder="1" applyAlignment="1">
      <alignment horizontal="center" vertical="center"/>
    </xf>
    <xf numFmtId="0" fontId="0" fillId="0" borderId="46" xfId="0" applyBorder="1" applyAlignment="1">
      <alignment horizontal="center" vertical="center"/>
    </xf>
    <xf numFmtId="0" fontId="0" fillId="0" borderId="193" xfId="0" applyBorder="1" applyAlignment="1">
      <alignment vertical="center"/>
    </xf>
    <xf numFmtId="0" fontId="3" fillId="0" borderId="103" xfId="0" applyFont="1" applyBorder="1" applyAlignment="1">
      <alignment horizontal="center" vertical="center"/>
    </xf>
    <xf numFmtId="167" fontId="0" fillId="0" borderId="236" xfId="0" applyNumberFormat="1" applyBorder="1" applyAlignment="1">
      <alignment horizontal="center" vertical="center"/>
    </xf>
    <xf numFmtId="0" fontId="0" fillId="0" borderId="237" xfId="0" applyBorder="1" applyAlignment="1">
      <alignment horizontal="center" vertical="center"/>
    </xf>
    <xf numFmtId="0" fontId="0" fillId="0" borderId="238" xfId="0" applyBorder="1" applyAlignment="1">
      <alignment vertical="center"/>
    </xf>
    <xf numFmtId="0" fontId="70" fillId="0" borderId="0" xfId="0" applyFont="1" applyAlignment="1">
      <alignment horizontal="center"/>
    </xf>
    <xf numFmtId="0" fontId="0" fillId="0" borderId="68" xfId="0" applyBorder="1" applyAlignment="1">
      <alignment horizontal="center"/>
    </xf>
    <xf numFmtId="0" fontId="0" fillId="0" borderId="69" xfId="0" applyNumberFormat="1" applyBorder="1" applyAlignment="1">
      <alignment horizontal="center"/>
    </xf>
    <xf numFmtId="0" fontId="0" fillId="0" borderId="69" xfId="0" applyBorder="1" applyAlignment="1">
      <alignment horizontal="center"/>
    </xf>
    <xf numFmtId="0" fontId="0" fillId="0" borderId="69" xfId="0" applyBorder="1"/>
    <xf numFmtId="0" fontId="0" fillId="0" borderId="70" xfId="0" applyBorder="1" applyAlignment="1">
      <alignment horizontal="center"/>
    </xf>
    <xf numFmtId="0" fontId="0" fillId="0" borderId="1" xfId="0" applyBorder="1" applyAlignment="1">
      <alignment horizontal="center"/>
    </xf>
    <xf numFmtId="0" fontId="0" fillId="0" borderId="0" xfId="0" applyNumberFormat="1"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0" fillId="0" borderId="73" xfId="0" applyBorder="1" applyAlignment="1">
      <alignment horizontal="center"/>
    </xf>
    <xf numFmtId="0" fontId="0" fillId="0" borderId="74" xfId="0" applyBorder="1" applyAlignment="1">
      <alignment horizontal="center"/>
    </xf>
    <xf numFmtId="0" fontId="0" fillId="0" borderId="0" xfId="0" applyBorder="1" applyAlignment="1">
      <alignment horizontal="left"/>
    </xf>
    <xf numFmtId="0" fontId="0" fillId="0" borderId="73" xfId="0" applyBorder="1" applyAlignment="1">
      <alignment horizontal="left"/>
    </xf>
    <xf numFmtId="0" fontId="14" fillId="9" borderId="107" xfId="0" applyFont="1" applyFill="1" applyBorder="1" applyAlignment="1">
      <alignment horizontal="center" vertical="center"/>
    </xf>
    <xf numFmtId="0" fontId="25" fillId="0" borderId="0" xfId="0" applyFont="1" applyAlignment="1">
      <alignment horizontal="center"/>
    </xf>
    <xf numFmtId="0" fontId="14" fillId="9" borderId="107" xfId="0" applyFont="1" applyFill="1" applyBorder="1" applyAlignment="1">
      <alignment horizontal="center" vertical="center"/>
    </xf>
    <xf numFmtId="0" fontId="14" fillId="9" borderId="49" xfId="0" applyFont="1" applyFill="1" applyBorder="1" applyAlignment="1">
      <alignment horizontal="center" vertical="center" shrinkToFit="1"/>
    </xf>
    <xf numFmtId="0" fontId="64" fillId="0" borderId="0" xfId="0" applyFont="1" applyAlignment="1">
      <alignment horizontal="center" wrapText="1"/>
    </xf>
    <xf numFmtId="0" fontId="0" fillId="0" borderId="0" xfId="0" applyAlignment="1">
      <alignment horizontal="center" vertical="center"/>
    </xf>
    <xf numFmtId="165" fontId="29" fillId="0" borderId="0" xfId="0" applyNumberFormat="1" applyFont="1" applyBorder="1" applyAlignment="1">
      <alignment wrapText="1"/>
    </xf>
    <xf numFmtId="0" fontId="21" fillId="10" borderId="127" xfId="0" applyFont="1" applyFill="1" applyBorder="1" applyAlignment="1" applyProtection="1">
      <alignment horizontal="center"/>
      <protection locked="0"/>
    </xf>
    <xf numFmtId="0" fontId="21" fillId="10" borderId="119" xfId="0" applyFont="1" applyFill="1" applyBorder="1" applyAlignment="1" applyProtection="1">
      <alignment horizontal="center"/>
      <protection locked="0"/>
    </xf>
    <xf numFmtId="0" fontId="21" fillId="10" borderId="239" xfId="0" applyFont="1" applyFill="1" applyBorder="1" applyAlignment="1" applyProtection="1">
      <alignment horizontal="center"/>
      <protection locked="0"/>
    </xf>
    <xf numFmtId="0" fontId="19" fillId="9" borderId="241" xfId="0" applyFont="1" applyFill="1" applyBorder="1" applyAlignment="1">
      <alignment horizontal="center"/>
    </xf>
    <xf numFmtId="0" fontId="21" fillId="10" borderId="242" xfId="0" applyFont="1" applyFill="1" applyBorder="1" applyAlignment="1" applyProtection="1">
      <alignment horizontal="center"/>
      <protection locked="0"/>
    </xf>
    <xf numFmtId="0" fontId="6" fillId="10" borderId="116" xfId="0" applyFont="1" applyFill="1" applyBorder="1" applyAlignment="1" applyProtection="1">
      <alignment horizontal="right" vertical="center"/>
    </xf>
    <xf numFmtId="0" fontId="6" fillId="10" borderId="51" xfId="0" applyFont="1" applyFill="1" applyBorder="1" applyAlignment="1" applyProtection="1">
      <alignment horizontal="right" vertical="center"/>
    </xf>
    <xf numFmtId="0" fontId="6" fillId="10" borderId="52" xfId="0" applyFont="1" applyFill="1" applyBorder="1" applyAlignment="1" applyProtection="1">
      <alignment horizontal="right" vertical="center"/>
    </xf>
    <xf numFmtId="0" fontId="6" fillId="0" borderId="245" xfId="0" applyFont="1" applyFill="1" applyBorder="1" applyAlignment="1" applyProtection="1">
      <alignment horizontal="right" vertical="center" shrinkToFit="1"/>
    </xf>
    <xf numFmtId="0" fontId="6" fillId="0" borderId="246" xfId="0" applyFont="1" applyFill="1" applyBorder="1" applyAlignment="1" applyProtection="1">
      <alignment horizontal="right" vertical="center" shrinkToFit="1"/>
    </xf>
    <xf numFmtId="0" fontId="6" fillId="0" borderId="247" xfId="0" applyFont="1" applyFill="1" applyBorder="1" applyAlignment="1" applyProtection="1">
      <alignment horizontal="right" vertical="center" shrinkToFit="1"/>
    </xf>
    <xf numFmtId="0" fontId="14" fillId="9" borderId="241" xfId="0" applyFont="1" applyFill="1" applyBorder="1" applyAlignment="1">
      <alignment horizontal="center" vertical="center"/>
    </xf>
    <xf numFmtId="0" fontId="6" fillId="10" borderId="110" xfId="0" applyFont="1" applyFill="1" applyBorder="1" applyAlignment="1" applyProtection="1">
      <alignment horizontal="left" vertical="center" shrinkToFit="1"/>
      <protection locked="0"/>
    </xf>
    <xf numFmtId="0" fontId="6" fillId="10" borderId="45" xfId="0" applyFont="1" applyFill="1" applyBorder="1" applyAlignment="1" applyProtection="1">
      <alignment horizontal="left" vertical="center" shrinkToFit="1"/>
      <protection locked="0"/>
    </xf>
    <xf numFmtId="0" fontId="6" fillId="10" borderId="47" xfId="0" applyFont="1" applyFill="1" applyBorder="1" applyAlignment="1" applyProtection="1">
      <alignment horizontal="left" vertical="center" shrinkToFit="1"/>
      <protection locked="0"/>
    </xf>
    <xf numFmtId="0" fontId="6" fillId="10" borderId="116" xfId="0" applyFont="1" applyFill="1" applyBorder="1" applyAlignment="1" applyProtection="1">
      <alignment horizontal="left" vertical="center" shrinkToFit="1"/>
      <protection locked="0"/>
    </xf>
    <xf numFmtId="0" fontId="6" fillId="10" borderId="51" xfId="0" applyFont="1" applyFill="1" applyBorder="1" applyAlignment="1" applyProtection="1">
      <alignment horizontal="left" vertical="center" shrinkToFit="1"/>
      <protection locked="0"/>
    </xf>
    <xf numFmtId="0" fontId="6" fillId="10" borderId="52" xfId="0" applyFont="1" applyFill="1" applyBorder="1" applyAlignment="1" applyProtection="1">
      <alignment horizontal="left" vertical="center" shrinkToFit="1"/>
      <protection locked="0"/>
    </xf>
    <xf numFmtId="0" fontId="6" fillId="0" borderId="184" xfId="0" applyFont="1" applyFill="1" applyBorder="1" applyAlignment="1" applyProtection="1">
      <alignment horizontal="left" vertical="center" shrinkToFit="1"/>
    </xf>
    <xf numFmtId="0" fontId="6" fillId="0" borderId="65" xfId="0" applyFont="1" applyFill="1" applyBorder="1" applyAlignment="1" applyProtection="1">
      <alignment horizontal="left" vertical="center" shrinkToFit="1"/>
    </xf>
    <xf numFmtId="0" fontId="6" fillId="0" borderId="173" xfId="0" applyFont="1" applyFill="1" applyBorder="1" applyAlignment="1" applyProtection="1">
      <alignment horizontal="left" vertical="center" shrinkToFit="1"/>
    </xf>
    <xf numFmtId="0" fontId="14" fillId="0" borderId="0" xfId="0" applyFont="1" applyFill="1" applyBorder="1" applyAlignment="1" applyProtection="1">
      <alignment horizontal="center" vertical="center" shrinkToFit="1"/>
    </xf>
    <xf numFmtId="0" fontId="6" fillId="0" borderId="0" xfId="0" applyFont="1" applyFill="1" applyBorder="1" applyAlignment="1" applyProtection="1">
      <alignment horizontal="center" vertical="center"/>
    </xf>
    <xf numFmtId="0" fontId="5" fillId="0" borderId="0" xfId="0" applyFont="1" applyFill="1" applyProtection="1"/>
    <xf numFmtId="0" fontId="17" fillId="0" borderId="0" xfId="0" applyFont="1" applyFill="1" applyBorder="1" applyAlignment="1" applyProtection="1">
      <alignment vertical="top"/>
    </xf>
    <xf numFmtId="14" fontId="26" fillId="0" borderId="0" xfId="0" applyNumberFormat="1" applyFont="1" applyFill="1" applyBorder="1" applyAlignment="1" applyProtection="1">
      <alignment vertical="center"/>
    </xf>
    <xf numFmtId="0" fontId="26" fillId="0" borderId="0" xfId="0" applyFont="1" applyFill="1" applyBorder="1" applyAlignment="1" applyProtection="1">
      <alignment vertical="center"/>
    </xf>
    <xf numFmtId="0" fontId="5" fillId="0" borderId="0" xfId="0" applyFont="1" applyFill="1" applyBorder="1"/>
    <xf numFmtId="0" fontId="54" fillId="0" borderId="0" xfId="0" applyFont="1" applyFill="1" applyBorder="1" applyAlignment="1" applyProtection="1"/>
    <xf numFmtId="0" fontId="12" fillId="0" borderId="67" xfId="0" applyNumberFormat="1" applyFont="1" applyFill="1" applyBorder="1" applyAlignment="1" applyProtection="1">
      <alignment horizontal="center" vertical="center"/>
      <protection hidden="1"/>
    </xf>
    <xf numFmtId="0" fontId="7" fillId="0" borderId="77" xfId="0" applyNumberFormat="1" applyFont="1" applyFill="1" applyBorder="1" applyAlignment="1" applyProtection="1">
      <alignment horizontal="center" vertical="center"/>
      <protection hidden="1"/>
    </xf>
    <xf numFmtId="0" fontId="7" fillId="0" borderId="78" xfId="0" applyNumberFormat="1" applyFont="1" applyFill="1" applyBorder="1" applyAlignment="1" applyProtection="1">
      <alignment horizontal="center" vertical="center"/>
      <protection hidden="1"/>
    </xf>
    <xf numFmtId="0" fontId="7" fillId="0" borderId="79" xfId="0" applyNumberFormat="1" applyFont="1" applyFill="1" applyBorder="1" applyAlignment="1" applyProtection="1">
      <alignment horizontal="center" vertical="center"/>
      <protection hidden="1"/>
    </xf>
    <xf numFmtId="0" fontId="71" fillId="0" borderId="0" xfId="0" applyNumberFormat="1" applyFont="1" applyFill="1" applyAlignment="1" applyProtection="1">
      <alignment vertical="center"/>
      <protection hidden="1"/>
    </xf>
    <xf numFmtId="0" fontId="4" fillId="0" borderId="0" xfId="0" applyFont="1" applyFill="1" applyBorder="1" applyAlignment="1">
      <alignment horizontal="right"/>
    </xf>
    <xf numFmtId="0" fontId="4" fillId="0" borderId="0" xfId="0" applyFont="1" applyFill="1" applyBorder="1" applyAlignment="1"/>
    <xf numFmtId="0" fontId="4" fillId="0" borderId="0" xfId="0" applyFont="1" applyFill="1" applyBorder="1"/>
    <xf numFmtId="0" fontId="4" fillId="0" borderId="0" xfId="0" applyFont="1" applyFill="1" applyBorder="1" applyAlignment="1">
      <alignment vertical="top" wrapText="1"/>
    </xf>
    <xf numFmtId="0" fontId="14" fillId="9" borderId="49" xfId="0" applyFont="1" applyFill="1" applyBorder="1" applyAlignment="1">
      <alignment horizontal="center" vertical="center" shrinkToFit="1"/>
    </xf>
    <xf numFmtId="0" fontId="12" fillId="0" borderId="0" xfId="0" applyNumberFormat="1" applyFont="1" applyFill="1" applyBorder="1" applyAlignment="1" applyProtection="1">
      <alignment horizontal="center" vertical="center"/>
      <protection hidden="1"/>
    </xf>
    <xf numFmtId="0" fontId="39" fillId="0" borderId="0" xfId="0" applyFont="1" applyFill="1" applyBorder="1" applyAlignment="1">
      <alignment horizontal="right"/>
    </xf>
    <xf numFmtId="0" fontId="39" fillId="0" borderId="0" xfId="0" applyFont="1" applyFill="1" applyBorder="1" applyAlignment="1"/>
    <xf numFmtId="0" fontId="39" fillId="0" borderId="0" xfId="0" applyFont="1" applyFill="1" applyBorder="1" applyAlignment="1">
      <alignment vertical="top" wrapText="1"/>
    </xf>
    <xf numFmtId="0" fontId="39" fillId="0" borderId="0" xfId="0" applyFont="1" applyFill="1" applyBorder="1"/>
    <xf numFmtId="0" fontId="51" fillId="15" borderId="154" xfId="0" applyFont="1" applyFill="1" applyBorder="1" applyAlignment="1" applyProtection="1">
      <alignment horizontal="left" vertical="center" indent="1"/>
      <protection locked="0"/>
    </xf>
    <xf numFmtId="0" fontId="0" fillId="0" borderId="0" xfId="0" applyAlignment="1">
      <alignment vertical="top"/>
    </xf>
    <xf numFmtId="0" fontId="47" fillId="0" borderId="0" xfId="0" applyFont="1" applyAlignment="1">
      <alignment horizontal="center" vertical="center"/>
    </xf>
    <xf numFmtId="0" fontId="50" fillId="0" borderId="0" xfId="2" applyNumberFormat="1" applyFont="1" applyFill="1" applyBorder="1" applyAlignment="1" applyProtection="1">
      <alignment horizontal="center" vertical="center" readingOrder="1"/>
    </xf>
    <xf numFmtId="0" fontId="3" fillId="0" borderId="0" xfId="0" applyNumberFormat="1" applyFont="1" applyFill="1" applyBorder="1" applyAlignment="1">
      <alignment vertical="center"/>
    </xf>
    <xf numFmtId="0" fontId="72" fillId="0" borderId="0" xfId="0" applyNumberFormat="1" applyFont="1" applyFill="1" applyBorder="1" applyAlignment="1" applyProtection="1">
      <alignment vertical="center"/>
      <protection hidden="1"/>
    </xf>
    <xf numFmtId="0" fontId="72" fillId="0" borderId="0" xfId="0" applyNumberFormat="1" applyFont="1" applyFill="1" applyBorder="1" applyAlignment="1" applyProtection="1">
      <alignment horizontal="center" vertical="center"/>
      <protection hidden="1"/>
    </xf>
    <xf numFmtId="0" fontId="3" fillId="0" borderId="0" xfId="0" applyNumberFormat="1" applyFont="1" applyFill="1" applyBorder="1" applyAlignment="1">
      <alignment horizontal="center" vertical="center"/>
    </xf>
    <xf numFmtId="3" fontId="72" fillId="0" borderId="0" xfId="0" applyNumberFormat="1" applyFont="1" applyFill="1" applyBorder="1" applyAlignment="1" applyProtection="1">
      <alignment horizontal="center" vertical="center"/>
      <protection hidden="1"/>
    </xf>
    <xf numFmtId="168" fontId="72" fillId="0" borderId="0" xfId="0" applyNumberFormat="1" applyFont="1" applyFill="1" applyBorder="1" applyAlignment="1" applyProtection="1">
      <alignment horizontal="center" vertical="center"/>
      <protection hidden="1"/>
    </xf>
    <xf numFmtId="0" fontId="3" fillId="0" borderId="0" xfId="2" applyNumberFormat="1" applyFont="1" applyFill="1" applyBorder="1" applyAlignment="1" applyProtection="1">
      <alignment horizontal="center" vertical="center" readingOrder="1"/>
    </xf>
    <xf numFmtId="0" fontId="18" fillId="0" borderId="0" xfId="4" applyFont="1"/>
    <xf numFmtId="0" fontId="18" fillId="0" borderId="0" xfId="4" applyFont="1" applyFill="1"/>
    <xf numFmtId="165" fontId="29" fillId="0" borderId="67" xfId="4" applyNumberFormat="1" applyFont="1" applyBorder="1" applyAlignment="1">
      <alignment wrapText="1"/>
    </xf>
    <xf numFmtId="165" fontId="29" fillId="0" borderId="0" xfId="4" applyNumberFormat="1" applyFont="1" applyBorder="1" applyAlignment="1">
      <alignment wrapText="1"/>
    </xf>
    <xf numFmtId="0" fontId="18" fillId="0" borderId="0" xfId="4" applyFont="1" applyAlignment="1">
      <alignment vertical="center" wrapText="1"/>
    </xf>
    <xf numFmtId="0" fontId="18" fillId="0" borderId="0" xfId="4" applyFont="1" applyFill="1" applyAlignment="1">
      <alignment horizontal="center" vertical="center" wrapText="1"/>
    </xf>
    <xf numFmtId="0" fontId="18" fillId="0" borderId="0" xfId="4" applyFont="1" applyAlignment="1">
      <alignment horizontal="center" vertical="center" wrapText="1"/>
    </xf>
    <xf numFmtId="0" fontId="6" fillId="0" borderId="0" xfId="4" applyFont="1" applyFill="1" applyBorder="1" applyAlignment="1">
      <alignment vertical="center" shrinkToFit="1"/>
    </xf>
    <xf numFmtId="0" fontId="31" fillId="9" borderId="146" xfId="4" applyFont="1" applyFill="1" applyBorder="1" applyAlignment="1">
      <alignment horizontal="center" vertical="center"/>
    </xf>
    <xf numFmtId="0" fontId="31" fillId="9" borderId="109" xfId="4" applyFont="1" applyFill="1" applyBorder="1" applyAlignment="1">
      <alignment horizontal="center" vertical="center"/>
    </xf>
    <xf numFmtId="0" fontId="31" fillId="9" borderId="256" xfId="4" applyFont="1" applyFill="1" applyBorder="1" applyAlignment="1">
      <alignment horizontal="center" vertical="center"/>
    </xf>
    <xf numFmtId="0" fontId="74" fillId="0" borderId="0" xfId="4" applyFont="1" applyAlignment="1">
      <alignment horizontal="center"/>
    </xf>
    <xf numFmtId="0" fontId="75" fillId="0" borderId="36" xfId="4" applyNumberFormat="1" applyFont="1" applyBorder="1" applyAlignment="1">
      <alignment horizontal="center" vertical="center"/>
    </xf>
    <xf numFmtId="0" fontId="23" fillId="0" borderId="229" xfId="4" applyNumberFormat="1" applyFont="1" applyBorder="1" applyAlignment="1">
      <alignment horizontal="center" vertical="center"/>
    </xf>
    <xf numFmtId="20" fontId="20" fillId="10" borderId="142" xfId="4" applyNumberFormat="1" applyFont="1" applyFill="1" applyBorder="1" applyAlignment="1" applyProtection="1">
      <alignment horizontal="center" vertical="center"/>
      <protection locked="0"/>
    </xf>
    <xf numFmtId="0" fontId="20" fillId="10" borderId="142" xfId="4" applyFont="1" applyFill="1" applyBorder="1" applyAlignment="1" applyProtection="1">
      <alignment horizontal="center" vertical="center"/>
      <protection locked="0"/>
    </xf>
    <xf numFmtId="0" fontId="20" fillId="10" borderId="46" xfId="4" applyFont="1" applyFill="1" applyBorder="1" applyAlignment="1" applyProtection="1">
      <alignment horizontal="right" vertical="center"/>
      <protection locked="0"/>
    </xf>
    <xf numFmtId="0" fontId="20" fillId="10" borderId="51" xfId="4" applyFont="1" applyFill="1" applyBorder="1" applyAlignment="1" applyProtection="1">
      <alignment horizontal="center" vertical="center"/>
    </xf>
    <xf numFmtId="0" fontId="20" fillId="10" borderId="45" xfId="4" applyFont="1" applyFill="1" applyBorder="1" applyAlignment="1" applyProtection="1">
      <alignment horizontal="left" vertical="center"/>
      <protection locked="0"/>
    </xf>
    <xf numFmtId="0" fontId="20" fillId="0" borderId="183" xfId="4" applyFont="1" applyBorder="1" applyAlignment="1">
      <alignment horizontal="left" vertical="center" shrinkToFit="1"/>
    </xf>
    <xf numFmtId="0" fontId="20" fillId="0" borderId="116" xfId="4" applyFont="1" applyBorder="1" applyAlignment="1">
      <alignment horizontal="center" vertical="center" shrinkToFit="1"/>
    </xf>
    <xf numFmtId="0" fontId="20" fillId="0" borderId="110" xfId="4" applyFont="1" applyBorder="1" applyAlignment="1">
      <alignment horizontal="left" vertical="center" shrinkToFit="1"/>
    </xf>
    <xf numFmtId="0" fontId="20" fillId="10" borderId="142" xfId="4" applyFont="1" applyFill="1" applyBorder="1" applyAlignment="1" applyProtection="1">
      <alignment horizontal="right" vertical="center"/>
      <protection locked="0"/>
    </xf>
    <xf numFmtId="0" fontId="20" fillId="10" borderId="116" xfId="4" applyFont="1" applyFill="1" applyBorder="1" applyAlignment="1">
      <alignment horizontal="center" vertical="center"/>
    </xf>
    <xf numFmtId="0" fontId="20" fillId="10" borderId="144" xfId="4" applyFont="1" applyFill="1" applyBorder="1" applyAlignment="1" applyProtection="1">
      <alignment horizontal="left" vertical="center"/>
      <protection locked="0"/>
    </xf>
    <xf numFmtId="0" fontId="20" fillId="10" borderId="183" xfId="4" applyFont="1" applyFill="1" applyBorder="1" applyAlignment="1" applyProtection="1">
      <alignment horizontal="right" vertical="center"/>
      <protection locked="0"/>
    </xf>
    <xf numFmtId="0" fontId="20" fillId="10" borderId="184" xfId="4" applyFont="1" applyFill="1" applyBorder="1" applyAlignment="1" applyProtection="1">
      <alignment horizontal="left" vertical="center"/>
      <protection locked="0"/>
    </xf>
    <xf numFmtId="0" fontId="20" fillId="0" borderId="257" xfId="4" applyFont="1" applyBorder="1" applyAlignment="1">
      <alignment horizontal="center" vertical="center" shrinkToFit="1"/>
    </xf>
    <xf numFmtId="0" fontId="50" fillId="0" borderId="0" xfId="4" applyFont="1" applyAlignment="1">
      <alignment horizontal="left" vertical="center"/>
    </xf>
    <xf numFmtId="0" fontId="18" fillId="0" borderId="0" xfId="4" applyFont="1" applyAlignment="1">
      <alignment horizontal="center" vertical="center"/>
    </xf>
    <xf numFmtId="0" fontId="76" fillId="0" borderId="0" xfId="4" applyFont="1" applyAlignment="1">
      <alignment horizontal="center" vertical="center"/>
    </xf>
    <xf numFmtId="0" fontId="23" fillId="0" borderId="39" xfId="4" applyNumberFormat="1" applyFont="1" applyBorder="1" applyAlignment="1">
      <alignment horizontal="center" vertical="center"/>
    </xf>
    <xf numFmtId="0" fontId="20" fillId="10" borderId="46" xfId="4" applyFont="1" applyFill="1" applyBorder="1" applyAlignment="1" applyProtection="1">
      <alignment horizontal="center" vertical="center"/>
      <protection locked="0"/>
    </xf>
    <xf numFmtId="0" fontId="20" fillId="0" borderId="46" xfId="4" applyFont="1" applyBorder="1" applyAlignment="1">
      <alignment horizontal="left" vertical="center" shrinkToFit="1"/>
    </xf>
    <xf numFmtId="0" fontId="20" fillId="0" borderId="51" xfId="4" applyFont="1" applyBorder="1" applyAlignment="1">
      <alignment horizontal="center" vertical="center" shrinkToFit="1"/>
    </xf>
    <xf numFmtId="0" fontId="20" fillId="0" borderId="45" xfId="4" applyFont="1" applyBorder="1" applyAlignment="1">
      <alignment horizontal="left" vertical="center" shrinkToFit="1"/>
    </xf>
    <xf numFmtId="0" fontId="20" fillId="10" borderId="51" xfId="4" applyFont="1" applyFill="1" applyBorder="1" applyAlignment="1">
      <alignment horizontal="center" vertical="center"/>
    </xf>
    <xf numFmtId="0" fontId="20" fillId="10" borderId="65" xfId="4" applyFont="1" applyFill="1" applyBorder="1" applyAlignment="1" applyProtection="1">
      <alignment horizontal="left" vertical="center"/>
      <protection locked="0"/>
    </xf>
    <xf numFmtId="0" fontId="20" fillId="0" borderId="258" xfId="4" applyFont="1" applyBorder="1" applyAlignment="1">
      <alignment horizontal="center" vertical="center" shrinkToFit="1"/>
    </xf>
    <xf numFmtId="0" fontId="23" fillId="0" borderId="42" xfId="4" applyNumberFormat="1" applyFont="1" applyBorder="1" applyAlignment="1">
      <alignment horizontal="center" vertical="center"/>
    </xf>
    <xf numFmtId="0" fontId="20" fillId="10" borderId="48" xfId="4" applyFont="1" applyFill="1" applyBorder="1" applyAlignment="1" applyProtection="1">
      <alignment horizontal="center" vertical="center"/>
      <protection locked="0"/>
    </xf>
    <xf numFmtId="0" fontId="20" fillId="10" borderId="48" xfId="4" applyFont="1" applyFill="1" applyBorder="1" applyAlignment="1" applyProtection="1">
      <alignment horizontal="right" vertical="center"/>
      <protection locked="0"/>
    </xf>
    <xf numFmtId="0" fontId="20" fillId="10" borderId="52" xfId="4" applyFont="1" applyFill="1" applyBorder="1" applyAlignment="1" applyProtection="1">
      <alignment horizontal="center" vertical="center"/>
    </xf>
    <xf numFmtId="0" fontId="20" fillId="10" borderId="47" xfId="4" applyFont="1" applyFill="1" applyBorder="1" applyAlignment="1" applyProtection="1">
      <alignment horizontal="left" vertical="center"/>
      <protection locked="0"/>
    </xf>
    <xf numFmtId="0" fontId="20" fillId="0" borderId="48" xfId="4" applyFont="1" applyBorder="1" applyAlignment="1">
      <alignment horizontal="left" vertical="center" shrinkToFit="1"/>
    </xf>
    <xf numFmtId="0" fontId="20" fillId="0" borderId="52" xfId="4" applyFont="1" applyBorder="1" applyAlignment="1">
      <alignment horizontal="center" vertical="center" shrinkToFit="1"/>
    </xf>
    <xf numFmtId="0" fontId="20" fillId="0" borderId="47" xfId="4" applyFont="1" applyBorder="1" applyAlignment="1">
      <alignment horizontal="left" vertical="center" shrinkToFit="1"/>
    </xf>
    <xf numFmtId="0" fontId="20" fillId="10" borderId="52" xfId="4" applyFont="1" applyFill="1" applyBorder="1" applyAlignment="1">
      <alignment horizontal="center" vertical="center"/>
    </xf>
    <xf numFmtId="0" fontId="20" fillId="10" borderId="173" xfId="4" applyFont="1" applyFill="1" applyBorder="1" applyAlignment="1" applyProtection="1">
      <alignment horizontal="left" vertical="center"/>
      <protection locked="0"/>
    </xf>
    <xf numFmtId="0" fontId="20" fillId="0" borderId="259" xfId="4" applyFont="1" applyBorder="1" applyAlignment="1">
      <alignment horizontal="center" vertical="center" shrinkToFit="1"/>
    </xf>
    <xf numFmtId="0" fontId="18" fillId="0" borderId="0" xfId="4" applyFont="1" applyAlignment="1">
      <alignment horizontal="center"/>
    </xf>
    <xf numFmtId="164" fontId="23" fillId="0" borderId="0" xfId="4" applyNumberFormat="1" applyFont="1" applyFill="1" applyBorder="1" applyAlignment="1" applyProtection="1">
      <alignment horizontal="center" vertical="center"/>
    </xf>
    <xf numFmtId="167" fontId="23" fillId="0" borderId="0" xfId="4" applyNumberFormat="1" applyFont="1" applyFill="1" applyBorder="1" applyAlignment="1" applyProtection="1">
      <alignment horizontal="center" vertical="center"/>
    </xf>
    <xf numFmtId="0" fontId="23" fillId="0" borderId="0" xfId="4" applyNumberFormat="1" applyFont="1" applyFill="1" applyBorder="1" applyAlignment="1" applyProtection="1">
      <alignment horizontal="center" vertical="center"/>
    </xf>
    <xf numFmtId="0" fontId="21" fillId="0" borderId="0" xfId="4" applyFont="1" applyFill="1" applyBorder="1" applyAlignment="1" applyProtection="1">
      <alignment horizontal="right" vertical="center"/>
    </xf>
    <xf numFmtId="0" fontId="21" fillId="0" borderId="0" xfId="4" applyFont="1" applyFill="1" applyBorder="1" applyAlignment="1" applyProtection="1">
      <alignment horizontal="center" vertical="center"/>
    </xf>
    <xf numFmtId="0" fontId="21" fillId="0" borderId="0" xfId="4" applyFont="1" applyFill="1" applyBorder="1" applyAlignment="1" applyProtection="1">
      <alignment horizontal="left" vertical="center"/>
    </xf>
    <xf numFmtId="165" fontId="20" fillId="0" borderId="0" xfId="4" applyNumberFormat="1" applyFont="1" applyFill="1" applyBorder="1" applyAlignment="1" applyProtection="1">
      <alignment horizontal="left" vertical="center" shrinkToFit="1"/>
    </xf>
    <xf numFmtId="0" fontId="20" fillId="0" borderId="0" xfId="4" applyFont="1" applyFill="1" applyBorder="1" applyAlignment="1" applyProtection="1">
      <alignment horizontal="center" vertical="center" shrinkToFit="1"/>
    </xf>
    <xf numFmtId="0" fontId="20" fillId="0" borderId="0" xfId="4" applyFont="1" applyFill="1" applyBorder="1" applyAlignment="1" applyProtection="1">
      <alignment horizontal="right" vertical="center"/>
    </xf>
    <xf numFmtId="0" fontId="20" fillId="0" borderId="0" xfId="4" applyFont="1" applyFill="1" applyBorder="1" applyAlignment="1" applyProtection="1">
      <alignment horizontal="center" vertical="center"/>
    </xf>
    <xf numFmtId="0" fontId="20" fillId="0" borderId="0" xfId="4" applyFont="1" applyFill="1" applyBorder="1" applyAlignment="1" applyProtection="1">
      <alignment horizontal="left" vertical="center"/>
    </xf>
    <xf numFmtId="0" fontId="21" fillId="0" borderId="0" xfId="4" applyFont="1" applyFill="1" applyBorder="1" applyAlignment="1" applyProtection="1">
      <alignment horizontal="center"/>
    </xf>
    <xf numFmtId="0" fontId="21" fillId="10" borderId="240" xfId="0" applyFont="1" applyFill="1" applyBorder="1" applyAlignment="1" applyProtection="1">
      <alignment horizontal="center" vertical="center"/>
      <protection locked="0"/>
    </xf>
    <xf numFmtId="0" fontId="6" fillId="0" borderId="125" xfId="0" applyFont="1" applyFill="1" applyBorder="1" applyAlignment="1" applyProtection="1">
      <alignment horizontal="center" vertical="center" shrinkToFit="1"/>
    </xf>
    <xf numFmtId="0" fontId="6" fillId="0" borderId="170" xfId="0" applyFont="1" applyFill="1" applyBorder="1" applyAlignment="1" applyProtection="1">
      <alignment horizontal="center" vertical="center" shrinkToFit="1"/>
    </xf>
    <xf numFmtId="0" fontId="6" fillId="0" borderId="244" xfId="0" applyFont="1" applyFill="1" applyBorder="1" applyAlignment="1" applyProtection="1">
      <alignment horizontal="center" vertical="center" shrinkToFit="1"/>
    </xf>
    <xf numFmtId="0" fontId="4" fillId="0" borderId="149" xfId="4" applyBorder="1" applyAlignment="1">
      <alignment horizontal="right" indent="1"/>
    </xf>
    <xf numFmtId="0" fontId="4" fillId="0" borderId="150" xfId="4" applyBorder="1" applyAlignment="1">
      <alignment horizontal="left"/>
    </xf>
    <xf numFmtId="0" fontId="7" fillId="0" borderId="0" xfId="4" applyNumberFormat="1" applyFont="1" applyFill="1" applyAlignment="1" applyProtection="1">
      <alignment vertical="center"/>
      <protection hidden="1"/>
    </xf>
    <xf numFmtId="0" fontId="4" fillId="0" borderId="101" xfId="4" applyBorder="1" applyAlignment="1">
      <alignment horizontal="right" indent="1"/>
    </xf>
    <xf numFmtId="0" fontId="4" fillId="0" borderId="102" xfId="4" applyBorder="1" applyAlignment="1">
      <alignment horizontal="left"/>
    </xf>
    <xf numFmtId="0" fontId="7" fillId="0" borderId="266" xfId="4" applyNumberFormat="1" applyFont="1" applyFill="1" applyBorder="1" applyAlignment="1" applyProtection="1">
      <alignment horizontal="center" vertical="center"/>
      <protection hidden="1"/>
    </xf>
    <xf numFmtId="0" fontId="7" fillId="0" borderId="151" xfId="4" applyNumberFormat="1" applyFont="1" applyFill="1" applyBorder="1" applyAlignment="1" applyProtection="1">
      <alignment vertical="center"/>
      <protection hidden="1"/>
    </xf>
    <xf numFmtId="0" fontId="7" fillId="0" borderId="103" xfId="4" applyNumberFormat="1" applyFont="1" applyFill="1" applyBorder="1" applyAlignment="1" applyProtection="1">
      <alignment horizontal="right" vertical="center" indent="1"/>
      <protection hidden="1"/>
    </xf>
    <xf numFmtId="0" fontId="7" fillId="0" borderId="105" xfId="4" applyNumberFormat="1" applyFont="1" applyFill="1" applyBorder="1" applyAlignment="1" applyProtection="1">
      <alignment horizontal="left" vertical="center"/>
      <protection hidden="1"/>
    </xf>
    <xf numFmtId="169" fontId="11" fillId="0" borderId="0" xfId="0" applyNumberFormat="1" applyFont="1" applyFill="1" applyBorder="1" applyAlignment="1" applyProtection="1">
      <alignment horizontal="center" vertical="center"/>
      <protection hidden="1"/>
    </xf>
    <xf numFmtId="0" fontId="4" fillId="0" borderId="0" xfId="4" applyProtection="1">
      <protection locked="0"/>
    </xf>
    <xf numFmtId="0" fontId="4" fillId="0" borderId="0" xfId="4"/>
    <xf numFmtId="0" fontId="20" fillId="10" borderId="142" xfId="0" applyFont="1" applyFill="1" applyBorder="1" applyAlignment="1" applyProtection="1">
      <alignment horizontal="right" vertical="center"/>
      <protection locked="0"/>
    </xf>
    <xf numFmtId="0" fontId="20" fillId="10" borderId="46" xfId="0" applyFont="1" applyFill="1" applyBorder="1" applyAlignment="1" applyProtection="1">
      <alignment horizontal="right" vertical="center"/>
      <protection locked="0"/>
    </xf>
    <xf numFmtId="0" fontId="20" fillId="10" borderId="48" xfId="0" applyFont="1" applyFill="1" applyBorder="1" applyAlignment="1" applyProtection="1">
      <alignment horizontal="right" vertical="center"/>
      <protection locked="0"/>
    </xf>
    <xf numFmtId="0" fontId="20" fillId="10" borderId="183" xfId="0" applyFont="1" applyFill="1" applyBorder="1" applyAlignment="1" applyProtection="1">
      <alignment horizontal="right" vertical="center"/>
      <protection locked="0"/>
    </xf>
    <xf numFmtId="0" fontId="20" fillId="10" borderId="143" xfId="0" applyFont="1" applyFill="1" applyBorder="1" applyAlignment="1" applyProtection="1">
      <alignment horizontal="right" vertical="center"/>
      <protection locked="0"/>
    </xf>
    <xf numFmtId="0" fontId="20" fillId="10" borderId="51" xfId="0" applyFont="1" applyFill="1" applyBorder="1" applyAlignment="1" applyProtection="1">
      <alignment horizontal="right" vertical="center"/>
      <protection locked="0"/>
    </xf>
    <xf numFmtId="0" fontId="20" fillId="10" borderId="52" xfId="0" applyFont="1" applyFill="1" applyBorder="1" applyAlignment="1" applyProtection="1">
      <alignment horizontal="right" vertical="center"/>
      <protection locked="0"/>
    </xf>
    <xf numFmtId="0" fontId="20" fillId="10" borderId="110" xfId="0" applyFont="1" applyFill="1" applyBorder="1" applyAlignment="1" applyProtection="1">
      <alignment horizontal="left" vertical="center"/>
      <protection locked="0"/>
    </xf>
    <xf numFmtId="0" fontId="20" fillId="10" borderId="45" xfId="0" applyFont="1" applyFill="1" applyBorder="1" applyAlignment="1" applyProtection="1">
      <alignment horizontal="left" vertical="center"/>
      <protection locked="0"/>
    </xf>
    <xf numFmtId="0" fontId="20" fillId="10" borderId="47" xfId="0" applyFont="1" applyFill="1" applyBorder="1" applyAlignment="1" applyProtection="1">
      <alignment horizontal="left" vertical="center"/>
      <protection locked="0"/>
    </xf>
    <xf numFmtId="0" fontId="20" fillId="10" borderId="145" xfId="0" applyFont="1" applyFill="1" applyBorder="1" applyAlignment="1" applyProtection="1">
      <alignment horizontal="left" vertical="center"/>
      <protection locked="0"/>
    </xf>
    <xf numFmtId="0" fontId="20" fillId="10" borderId="65" xfId="0" applyFont="1" applyFill="1" applyBorder="1" applyAlignment="1" applyProtection="1">
      <alignment horizontal="left" vertical="center"/>
      <protection locked="0"/>
    </xf>
    <xf numFmtId="0" fontId="20" fillId="10" borderId="173" xfId="0" applyFont="1" applyFill="1" applyBorder="1" applyAlignment="1" applyProtection="1">
      <alignment horizontal="left" vertical="center"/>
      <protection locked="0"/>
    </xf>
    <xf numFmtId="0" fontId="21" fillId="10" borderId="127" xfId="0" applyFont="1" applyFill="1" applyBorder="1" applyAlignment="1" applyProtection="1">
      <alignment horizontal="center" vertical="center"/>
      <protection locked="0"/>
    </xf>
    <xf numFmtId="0" fontId="21" fillId="10" borderId="119" xfId="0" applyFont="1" applyFill="1" applyBorder="1" applyAlignment="1" applyProtection="1">
      <alignment horizontal="center" vertical="center"/>
      <protection locked="0"/>
    </xf>
    <xf numFmtId="0" fontId="18" fillId="0" borderId="128" xfId="0" applyFont="1" applyBorder="1" applyAlignment="1">
      <alignment vertical="center"/>
    </xf>
    <xf numFmtId="0" fontId="20" fillId="10" borderId="240" xfId="0" applyFont="1" applyFill="1" applyBorder="1" applyAlignment="1" applyProtection="1">
      <alignment horizontal="center" vertical="center"/>
      <protection locked="0"/>
    </xf>
    <xf numFmtId="0" fontId="20" fillId="10" borderId="125" xfId="0" applyFont="1" applyFill="1" applyBorder="1" applyAlignment="1" applyProtection="1">
      <alignment horizontal="center" vertical="center"/>
      <protection locked="0"/>
    </xf>
    <xf numFmtId="0" fontId="20" fillId="10" borderId="170" xfId="0" applyFont="1" applyFill="1" applyBorder="1" applyAlignment="1" applyProtection="1">
      <alignment horizontal="center" vertical="center"/>
      <protection locked="0"/>
    </xf>
    <xf numFmtId="0" fontId="18" fillId="0" borderId="0" xfId="0" applyFont="1" applyAlignment="1">
      <alignment horizontal="center" vertical="center"/>
    </xf>
    <xf numFmtId="0" fontId="21" fillId="10" borderId="239" xfId="0" applyFont="1" applyFill="1" applyBorder="1" applyAlignment="1" applyProtection="1">
      <alignment horizontal="center" vertical="center"/>
      <protection locked="0"/>
    </xf>
    <xf numFmtId="0" fontId="21" fillId="10" borderId="128" xfId="0" applyFont="1" applyFill="1" applyBorder="1" applyAlignment="1" applyProtection="1">
      <alignment horizontal="center" vertical="center"/>
      <protection locked="0"/>
    </xf>
    <xf numFmtId="0" fontId="20" fillId="10" borderId="171" xfId="0" applyFont="1" applyFill="1" applyBorder="1" applyAlignment="1" applyProtection="1">
      <alignment horizontal="center" vertical="center"/>
      <protection locked="0"/>
    </xf>
    <xf numFmtId="0" fontId="21" fillId="10" borderId="150" xfId="0" applyFont="1" applyFill="1" applyBorder="1" applyAlignment="1" applyProtection="1">
      <alignment horizontal="center" vertical="center"/>
      <protection locked="0"/>
    </xf>
    <xf numFmtId="0" fontId="20" fillId="10" borderId="227" xfId="0" applyFont="1" applyFill="1" applyBorder="1" applyAlignment="1" applyProtection="1">
      <alignment horizontal="center" vertical="center"/>
      <protection locked="0"/>
    </xf>
    <xf numFmtId="0" fontId="20" fillId="10" borderId="124" xfId="0" applyFont="1" applyFill="1" applyBorder="1" applyAlignment="1" applyProtection="1">
      <alignment horizontal="center" vertical="center"/>
      <protection locked="0"/>
    </xf>
    <xf numFmtId="0" fontId="20" fillId="10" borderId="143" xfId="0" applyFont="1" applyFill="1" applyBorder="1" applyAlignment="1" applyProtection="1">
      <alignment horizontal="center" vertical="center"/>
    </xf>
    <xf numFmtId="0" fontId="20" fillId="10" borderId="51" xfId="0" applyFont="1" applyFill="1" applyBorder="1" applyAlignment="1" applyProtection="1">
      <alignment horizontal="center" vertical="center"/>
    </xf>
    <xf numFmtId="0" fontId="20" fillId="10" borderId="52" xfId="0" applyFont="1" applyFill="1" applyBorder="1" applyAlignment="1" applyProtection="1">
      <alignment horizontal="center" vertical="center"/>
    </xf>
    <xf numFmtId="0" fontId="20" fillId="10" borderId="138" xfId="0" applyFont="1" applyFill="1" applyBorder="1" applyAlignment="1" applyProtection="1">
      <alignment horizontal="center" vertical="center"/>
    </xf>
    <xf numFmtId="0" fontId="20" fillId="10" borderId="116" xfId="0" applyFont="1" applyFill="1" applyBorder="1" applyAlignment="1" applyProtection="1">
      <alignment horizontal="center" vertical="center"/>
    </xf>
    <xf numFmtId="0" fontId="18" fillId="10" borderId="128" xfId="0" applyFont="1" applyFill="1" applyBorder="1" applyAlignment="1" applyProtection="1">
      <alignment vertical="center"/>
      <protection locked="0"/>
    </xf>
    <xf numFmtId="0" fontId="12" fillId="0" borderId="0" xfId="0" applyNumberFormat="1" applyFont="1" applyFill="1" applyBorder="1" applyAlignment="1" applyProtection="1">
      <alignment horizontal="center" vertical="center"/>
      <protection hidden="1"/>
    </xf>
    <xf numFmtId="0" fontId="20" fillId="0" borderId="0" xfId="0" applyFont="1" applyFill="1" applyBorder="1" applyAlignment="1" applyProtection="1">
      <alignment horizontal="right" vertical="center"/>
    </xf>
    <xf numFmtId="0" fontId="20" fillId="10" borderId="181" xfId="0" applyFont="1" applyFill="1" applyBorder="1" applyAlignment="1" applyProtection="1">
      <alignment horizontal="right" vertical="center"/>
      <protection locked="0"/>
    </xf>
    <xf numFmtId="0" fontId="20" fillId="10" borderId="138" xfId="0" applyFont="1" applyFill="1" applyBorder="1" applyAlignment="1" applyProtection="1">
      <alignment horizontal="right" vertical="center"/>
      <protection locked="0"/>
    </xf>
    <xf numFmtId="0" fontId="20" fillId="10" borderId="144" xfId="0" applyFont="1" applyFill="1" applyBorder="1" applyAlignment="1" applyProtection="1">
      <alignment horizontal="left" vertical="center"/>
      <protection locked="0"/>
    </xf>
    <xf numFmtId="0" fontId="20" fillId="0" borderId="0" xfId="0" applyFont="1" applyFill="1" applyBorder="1" applyAlignment="1" applyProtection="1">
      <alignment horizontal="left" vertical="center"/>
    </xf>
    <xf numFmtId="0" fontId="20" fillId="10" borderId="182" xfId="0" applyFont="1" applyFill="1" applyBorder="1" applyAlignment="1" applyProtection="1">
      <alignment horizontal="left" vertical="center"/>
      <protection locked="0"/>
    </xf>
    <xf numFmtId="0" fontId="20" fillId="10" borderId="139" xfId="0" applyFont="1" applyFill="1" applyBorder="1" applyAlignment="1" applyProtection="1">
      <alignment horizontal="left" vertical="center"/>
      <protection locked="0"/>
    </xf>
    <xf numFmtId="0" fontId="77" fillId="0" borderId="0" xfId="0" applyFont="1" applyAlignment="1">
      <alignment horizontal="center"/>
    </xf>
    <xf numFmtId="0" fontId="21" fillId="0" borderId="225" xfId="0" applyFont="1" applyFill="1" applyBorder="1" applyAlignment="1" applyProtection="1">
      <alignment horizontal="center" vertical="center"/>
    </xf>
    <xf numFmtId="0" fontId="20" fillId="0" borderId="143" xfId="0" applyFont="1" applyFill="1" applyBorder="1" applyAlignment="1" applyProtection="1">
      <alignment horizontal="center" vertical="center"/>
    </xf>
    <xf numFmtId="0" fontId="20" fillId="0" borderId="51" xfId="0" applyFont="1" applyFill="1" applyBorder="1" applyAlignment="1" applyProtection="1">
      <alignment horizontal="center" vertical="center"/>
    </xf>
    <xf numFmtId="0" fontId="20" fillId="0" borderId="52" xfId="0" applyFont="1" applyFill="1" applyBorder="1" applyAlignment="1" applyProtection="1">
      <alignment horizontal="center" vertical="center"/>
    </xf>
    <xf numFmtId="0" fontId="20" fillId="10" borderId="116" xfId="0" applyFont="1" applyFill="1" applyBorder="1" applyAlignment="1" applyProtection="1">
      <alignment horizontal="left" vertical="center"/>
      <protection locked="0"/>
    </xf>
    <xf numFmtId="0" fontId="20" fillId="10" borderId="143" xfId="0" applyFont="1" applyFill="1" applyBorder="1" applyAlignment="1" applyProtection="1">
      <alignment horizontal="left" vertical="center"/>
      <protection locked="0"/>
    </xf>
    <xf numFmtId="0" fontId="20" fillId="10" borderId="51" xfId="0" applyFont="1" applyFill="1" applyBorder="1" applyAlignment="1" applyProtection="1">
      <alignment horizontal="left" vertical="center"/>
      <protection locked="0"/>
    </xf>
    <xf numFmtId="0" fontId="20" fillId="10" borderId="52" xfId="0" applyFont="1" applyFill="1" applyBorder="1" applyAlignment="1" applyProtection="1">
      <alignment horizontal="left" vertical="center"/>
      <protection locked="0"/>
    </xf>
    <xf numFmtId="0" fontId="6" fillId="0" borderId="134" xfId="0" applyFont="1" applyBorder="1" applyAlignment="1">
      <alignment horizontal="right" vertical="center" shrinkToFit="1"/>
    </xf>
    <xf numFmtId="0" fontId="6" fillId="0" borderId="51" xfId="0" applyFont="1" applyBorder="1" applyAlignment="1">
      <alignment horizontal="right" vertical="center" shrinkToFit="1"/>
    </xf>
    <xf numFmtId="0" fontId="6" fillId="0" borderId="52" xfId="0" applyFont="1" applyBorder="1" applyAlignment="1">
      <alignment horizontal="right" vertical="center" shrinkToFit="1"/>
    </xf>
    <xf numFmtId="0" fontId="14" fillId="9" borderId="267" xfId="0" applyFont="1" applyFill="1" applyBorder="1" applyAlignment="1">
      <alignment horizontal="center" vertical="center" shrinkToFit="1"/>
    </xf>
    <xf numFmtId="0" fontId="6" fillId="0" borderId="134" xfId="0" applyFont="1" applyBorder="1" applyAlignment="1">
      <alignment horizontal="left" vertical="center" shrinkToFit="1"/>
    </xf>
    <xf numFmtId="0" fontId="6" fillId="0" borderId="51" xfId="0" applyFont="1" applyBorder="1" applyAlignment="1">
      <alignment horizontal="left" vertical="center" shrinkToFit="1"/>
    </xf>
    <xf numFmtId="0" fontId="6" fillId="0" borderId="52" xfId="0" applyFont="1" applyBorder="1" applyAlignment="1">
      <alignment horizontal="left" vertical="center" shrinkToFit="1"/>
    </xf>
    <xf numFmtId="0" fontId="6" fillId="0" borderId="0" xfId="0" applyFont="1" applyAlignment="1">
      <alignment horizontal="center" vertical="center" shrinkToFit="1"/>
    </xf>
    <xf numFmtId="0" fontId="7" fillId="0" borderId="268" xfId="0" applyNumberFormat="1" applyFont="1" applyFill="1" applyBorder="1" applyAlignment="1" applyProtection="1">
      <alignment horizontal="right" vertical="center" indent="1"/>
      <protection hidden="1"/>
    </xf>
    <xf numFmtId="0" fontId="7" fillId="0" borderId="269" xfId="0" applyNumberFormat="1" applyFont="1" applyFill="1" applyBorder="1" applyAlignment="1" applyProtection="1">
      <alignment horizontal="center" vertical="center"/>
      <protection hidden="1"/>
    </xf>
    <xf numFmtId="0" fontId="7" fillId="0" borderId="270" xfId="0" applyNumberFormat="1" applyFont="1" applyFill="1" applyBorder="1" applyAlignment="1" applyProtection="1">
      <alignment horizontal="center" vertical="center"/>
      <protection hidden="1"/>
    </xf>
    <xf numFmtId="0" fontId="7" fillId="0" borderId="271" xfId="0" applyNumberFormat="1" applyFont="1" applyFill="1" applyBorder="1" applyAlignment="1" applyProtection="1">
      <alignment horizontal="center" vertical="center"/>
      <protection hidden="1"/>
    </xf>
    <xf numFmtId="0" fontId="7" fillId="0" borderId="269" xfId="0" applyNumberFormat="1" applyFont="1" applyFill="1" applyBorder="1" applyAlignment="1" applyProtection="1">
      <alignment vertical="center"/>
      <protection hidden="1"/>
    </xf>
    <xf numFmtId="0" fontId="7" fillId="0" borderId="268" xfId="0" applyNumberFormat="1" applyFont="1" applyFill="1" applyBorder="1" applyAlignment="1" applyProtection="1">
      <alignment horizontal="center" vertical="center"/>
      <protection hidden="1"/>
    </xf>
    <xf numFmtId="0" fontId="4" fillId="0" borderId="0" xfId="0" applyFont="1" applyFill="1" applyBorder="1" applyAlignment="1" applyProtection="1">
      <alignment horizontal="center"/>
    </xf>
    <xf numFmtId="0" fontId="0" fillId="15" borderId="154" xfId="0" applyFill="1" applyBorder="1" applyAlignment="1" applyProtection="1">
      <alignment horizontal="center"/>
      <protection locked="0"/>
    </xf>
    <xf numFmtId="0" fontId="14" fillId="0" borderId="35" xfId="0" applyFont="1" applyFill="1" applyBorder="1" applyAlignment="1" applyProtection="1">
      <alignment horizontal="center" vertical="center" shrinkToFit="1"/>
    </xf>
    <xf numFmtId="0" fontId="6" fillId="0" borderId="35" xfId="0" applyFont="1" applyFill="1" applyBorder="1" applyAlignment="1" applyProtection="1">
      <alignment horizontal="center" vertical="center"/>
    </xf>
    <xf numFmtId="0" fontId="18" fillId="10" borderId="272" xfId="0" applyFont="1" applyFill="1" applyBorder="1" applyAlignment="1" applyProtection="1">
      <alignment vertical="center"/>
      <protection locked="0"/>
    </xf>
    <xf numFmtId="0" fontId="18" fillId="10" borderId="273" xfId="0" applyFont="1" applyFill="1" applyBorder="1" applyAlignment="1" applyProtection="1">
      <alignment vertical="center"/>
      <protection locked="0"/>
    </xf>
    <xf numFmtId="0" fontId="18" fillId="10" borderId="274" xfId="0" applyFont="1" applyFill="1" applyBorder="1" applyAlignment="1" applyProtection="1">
      <alignment vertical="center"/>
      <protection locked="0"/>
    </xf>
    <xf numFmtId="0" fontId="78" fillId="0" borderId="0" xfId="0" applyFont="1" applyAlignment="1">
      <alignment horizontal="center"/>
    </xf>
    <xf numFmtId="0" fontId="57" fillId="0" borderId="275" xfId="0" applyFont="1" applyBorder="1" applyAlignment="1">
      <alignment vertical="center"/>
    </xf>
    <xf numFmtId="14" fontId="59" fillId="0" borderId="275" xfId="0" applyNumberFormat="1" applyFont="1" applyBorder="1" applyAlignment="1">
      <alignment vertical="center"/>
    </xf>
    <xf numFmtId="0" fontId="59" fillId="0" borderId="275" xfId="0" applyFont="1" applyBorder="1" applyAlignment="1">
      <alignment vertical="center"/>
    </xf>
    <xf numFmtId="0" fontId="18" fillId="0" borderId="217" xfId="0" applyFont="1" applyBorder="1"/>
    <xf numFmtId="0" fontId="60" fillId="0" borderId="276" xfId="0" applyFont="1" applyFill="1" applyBorder="1" applyAlignment="1">
      <alignment vertical="center"/>
    </xf>
    <xf numFmtId="0" fontId="80" fillId="0" borderId="0" xfId="0" applyFont="1"/>
    <xf numFmtId="0" fontId="6" fillId="0" borderId="116" xfId="0" applyFont="1" applyFill="1" applyBorder="1" applyAlignment="1" applyProtection="1">
      <alignment horizontal="center" vertical="center"/>
    </xf>
    <xf numFmtId="0" fontId="6" fillId="0" borderId="51" xfId="0" applyFont="1" applyFill="1" applyBorder="1" applyAlignment="1" applyProtection="1">
      <alignment horizontal="center" vertical="center"/>
    </xf>
    <xf numFmtId="0" fontId="6" fillId="0" borderId="52" xfId="0" applyFont="1" applyFill="1" applyBorder="1" applyAlignment="1" applyProtection="1">
      <alignment horizontal="center" vertical="center"/>
    </xf>
    <xf numFmtId="0" fontId="5" fillId="0" borderId="0" xfId="0" applyFont="1" applyAlignment="1">
      <alignment vertical="center"/>
    </xf>
    <xf numFmtId="0" fontId="77" fillId="0" borderId="0" xfId="0" applyFont="1"/>
    <xf numFmtId="0" fontId="80" fillId="0" borderId="0" xfId="0" applyFont="1" applyAlignment="1">
      <alignment horizontal="center"/>
    </xf>
    <xf numFmtId="0" fontId="5" fillId="0" borderId="0" xfId="0" applyFont="1" applyAlignment="1">
      <alignment horizontal="center" vertical="center"/>
    </xf>
    <xf numFmtId="0" fontId="20" fillId="0" borderId="234" xfId="0" applyFont="1" applyFill="1" applyBorder="1" applyAlignment="1" applyProtection="1">
      <alignment horizontal="right" vertical="center" shrinkToFit="1"/>
    </xf>
    <xf numFmtId="0" fontId="20" fillId="0" borderId="246" xfId="0" applyFont="1" applyFill="1" applyBorder="1" applyAlignment="1" applyProtection="1">
      <alignment horizontal="right" vertical="center" shrinkToFit="1"/>
    </xf>
    <xf numFmtId="0" fontId="20" fillId="0" borderId="247" xfId="0" applyFont="1" applyFill="1" applyBorder="1" applyAlignment="1" applyProtection="1">
      <alignment horizontal="right" vertical="center" shrinkToFit="1"/>
    </xf>
    <xf numFmtId="0" fontId="20" fillId="0" borderId="145" xfId="0" applyFont="1" applyFill="1" applyBorder="1" applyAlignment="1" applyProtection="1">
      <alignment horizontal="left" vertical="center" shrinkToFit="1"/>
    </xf>
    <xf numFmtId="0" fontId="20" fillId="0" borderId="65" xfId="0" applyFont="1" applyFill="1" applyBorder="1" applyAlignment="1" applyProtection="1">
      <alignment horizontal="left" vertical="center" shrinkToFit="1"/>
    </xf>
    <xf numFmtId="0" fontId="20" fillId="0" borderId="173" xfId="0" applyFont="1" applyFill="1" applyBorder="1" applyAlignment="1" applyProtection="1">
      <alignment horizontal="left" vertical="center" shrinkToFit="1"/>
    </xf>
    <xf numFmtId="0" fontId="20" fillId="10" borderId="59" xfId="0" applyFont="1" applyFill="1" applyBorder="1" applyAlignment="1" applyProtection="1">
      <alignment horizontal="left" vertical="center"/>
      <protection locked="0"/>
    </xf>
    <xf numFmtId="0" fontId="20" fillId="10" borderId="54" xfId="0" applyFont="1" applyFill="1" applyBorder="1" applyAlignment="1" applyProtection="1">
      <alignment horizontal="left" vertical="center"/>
      <protection locked="0"/>
    </xf>
    <xf numFmtId="49" fontId="24" fillId="0" borderId="55" xfId="0" applyNumberFormat="1" applyFont="1" applyBorder="1" applyAlignment="1">
      <alignment horizontal="center" vertical="center"/>
    </xf>
    <xf numFmtId="49" fontId="24" fillId="0" borderId="53" xfId="0" applyNumberFormat="1" applyFont="1" applyBorder="1" applyAlignment="1">
      <alignment horizontal="center" vertical="center"/>
    </xf>
    <xf numFmtId="0" fontId="20" fillId="10" borderId="60" xfId="0" applyFont="1" applyFill="1" applyBorder="1" applyAlignment="1" applyProtection="1">
      <alignment horizontal="left" vertical="center"/>
      <protection locked="0"/>
    </xf>
    <xf numFmtId="0" fontId="21" fillId="0" borderId="140" xfId="0" applyFont="1" applyBorder="1" applyAlignment="1">
      <alignment horizontal="left" vertical="center" indent="1"/>
    </xf>
    <xf numFmtId="0" fontId="21" fillId="15" borderId="186" xfId="0" applyFont="1" applyFill="1" applyBorder="1" applyAlignment="1">
      <alignment horizontal="left" vertical="center" indent="1"/>
    </xf>
    <xf numFmtId="0" fontId="21" fillId="15" borderId="188" xfId="0" applyFont="1" applyFill="1" applyBorder="1" applyAlignment="1">
      <alignment horizontal="left" vertical="center" indent="1"/>
    </xf>
    <xf numFmtId="0" fontId="21" fillId="0" borderId="141" xfId="0" applyFont="1" applyBorder="1" applyAlignment="1">
      <alignment horizontal="left" vertical="center" indent="1"/>
    </xf>
    <xf numFmtId="49" fontId="24" fillId="0" borderId="56" xfId="0" applyNumberFormat="1" applyFont="1" applyBorder="1" applyAlignment="1">
      <alignment horizontal="center" vertical="center"/>
    </xf>
    <xf numFmtId="0" fontId="20" fillId="10" borderId="51" xfId="0" applyFont="1" applyFill="1" applyBorder="1" applyAlignment="1" applyProtection="1">
      <alignment horizontal="right" vertical="center" indent="1"/>
      <protection locked="0"/>
    </xf>
    <xf numFmtId="0" fontId="20" fillId="0" borderId="65" xfId="0" applyFont="1" applyBorder="1" applyAlignment="1">
      <alignment horizontal="left" vertical="center"/>
    </xf>
    <xf numFmtId="0" fontId="19" fillId="9" borderId="57" xfId="0" applyFont="1" applyFill="1" applyBorder="1" applyAlignment="1">
      <alignment horizontal="center" vertical="center"/>
    </xf>
    <xf numFmtId="0" fontId="19" fillId="9" borderId="58" xfId="0" applyFont="1" applyFill="1" applyBorder="1" applyAlignment="1">
      <alignment horizontal="center" vertical="center"/>
    </xf>
    <xf numFmtId="0" fontId="19" fillId="9" borderId="61" xfId="0" applyFont="1" applyFill="1" applyBorder="1" applyAlignment="1">
      <alignment horizontal="left" vertical="center"/>
    </xf>
    <xf numFmtId="0" fontId="19" fillId="9" borderId="62" xfId="0" applyFont="1" applyFill="1" applyBorder="1" applyAlignment="1">
      <alignment horizontal="left" vertical="center"/>
    </xf>
    <xf numFmtId="0" fontId="19" fillId="9" borderId="107" xfId="0" applyFont="1" applyFill="1" applyBorder="1" applyAlignment="1">
      <alignment horizontal="center"/>
    </xf>
    <xf numFmtId="0" fontId="19" fillId="9" borderId="129" xfId="0" applyFont="1" applyFill="1" applyBorder="1" applyAlignment="1">
      <alignment horizontal="center"/>
    </xf>
    <xf numFmtId="0" fontId="21" fillId="0" borderId="137" xfId="0" applyFont="1" applyBorder="1" applyAlignment="1">
      <alignment horizontal="left" vertical="center" indent="1"/>
    </xf>
    <xf numFmtId="0" fontId="65" fillId="0" borderId="0" xfId="0" applyNumberFormat="1" applyFont="1" applyAlignment="1" applyProtection="1">
      <alignment horizontal="center" vertical="center" wrapText="1"/>
    </xf>
    <xf numFmtId="0" fontId="25" fillId="0" borderId="0" xfId="0" applyFont="1" applyAlignment="1">
      <alignment horizontal="center"/>
    </xf>
    <xf numFmtId="0" fontId="15" fillId="0" borderId="67" xfId="0" applyFont="1" applyBorder="1" applyAlignment="1">
      <alignment horizontal="left" vertical="center"/>
    </xf>
    <xf numFmtId="0" fontId="18" fillId="0" borderId="0" xfId="0" applyFont="1" applyAlignment="1">
      <alignment horizontal="center" wrapText="1"/>
    </xf>
    <xf numFmtId="0" fontId="18" fillId="0" borderId="104" xfId="0" applyFont="1" applyBorder="1" applyAlignment="1">
      <alignment horizontal="center" wrapText="1"/>
    </xf>
    <xf numFmtId="167" fontId="20" fillId="10" borderId="138" xfId="0" applyNumberFormat="1" applyFont="1" applyFill="1" applyBorder="1" applyAlignment="1" applyProtection="1">
      <alignment horizontal="right" vertical="center" indent="1"/>
      <protection locked="0"/>
    </xf>
    <xf numFmtId="167" fontId="20" fillId="10" borderId="51" xfId="0" applyNumberFormat="1" applyFont="1" applyFill="1" applyBorder="1" applyAlignment="1" applyProtection="1">
      <alignment horizontal="right" vertical="center" indent="1"/>
      <protection locked="0"/>
    </xf>
    <xf numFmtId="0" fontId="20" fillId="0" borderId="139" xfId="0" applyFont="1" applyBorder="1" applyAlignment="1">
      <alignment horizontal="left" vertical="center"/>
    </xf>
    <xf numFmtId="167" fontId="20" fillId="15" borderId="225" xfId="0" applyNumberFormat="1" applyFont="1" applyFill="1" applyBorder="1" applyAlignment="1">
      <alignment horizontal="right" vertical="center" indent="1"/>
    </xf>
    <xf numFmtId="167" fontId="20" fillId="15" borderId="104" xfId="0" applyNumberFormat="1" applyFont="1" applyFill="1" applyBorder="1" applyAlignment="1">
      <alignment horizontal="right" vertical="center" indent="1"/>
    </xf>
    <xf numFmtId="0" fontId="20" fillId="15" borderId="187" xfId="0" applyFont="1" applyFill="1" applyBorder="1" applyAlignment="1">
      <alignment horizontal="center" vertical="center"/>
    </xf>
    <xf numFmtId="0" fontId="20" fillId="15" borderId="189" xfId="0" applyFont="1" applyFill="1" applyBorder="1" applyAlignment="1">
      <alignment horizontal="center" vertical="center"/>
    </xf>
    <xf numFmtId="165" fontId="63" fillId="0" borderId="0" xfId="0" applyNumberFormat="1" applyFont="1" applyAlignment="1" applyProtection="1">
      <alignment horizontal="left" vertical="top" wrapText="1" indent="1"/>
    </xf>
    <xf numFmtId="0" fontId="20" fillId="10" borderId="75" xfId="0" applyFont="1" applyFill="1" applyBorder="1" applyAlignment="1" applyProtection="1">
      <alignment horizontal="right" vertical="center" indent="1"/>
      <protection locked="0"/>
    </xf>
    <xf numFmtId="0" fontId="62" fillId="0" borderId="65" xfId="0" applyFont="1" applyBorder="1" applyAlignment="1">
      <alignment horizontal="left" vertical="center"/>
    </xf>
    <xf numFmtId="0" fontId="62" fillId="0" borderId="76" xfId="0" applyFont="1" applyBorder="1" applyAlignment="1">
      <alignment horizontal="left" vertical="center"/>
    </xf>
    <xf numFmtId="49" fontId="24" fillId="0" borderId="63" xfId="0" applyNumberFormat="1" applyFont="1" applyBorder="1" applyAlignment="1">
      <alignment horizontal="center" vertical="center"/>
    </xf>
    <xf numFmtId="0" fontId="20" fillId="10" borderId="64" xfId="0" applyFont="1" applyFill="1" applyBorder="1" applyAlignment="1" applyProtection="1">
      <alignment horizontal="left" vertical="center"/>
      <protection locked="0"/>
    </xf>
    <xf numFmtId="0" fontId="24" fillId="0" borderId="0" xfId="0" applyFont="1" applyAlignment="1">
      <alignment horizontal="left" vertical="center"/>
    </xf>
    <xf numFmtId="0" fontId="24" fillId="0" borderId="67" xfId="0" applyFont="1" applyBorder="1" applyAlignment="1">
      <alignment horizontal="left" vertical="center"/>
    </xf>
    <xf numFmtId="0" fontId="0" fillId="0" borderId="0" xfId="0" applyAlignment="1">
      <alignment horizontal="center" vertical="center"/>
    </xf>
    <xf numFmtId="0" fontId="48" fillId="0" borderId="0" xfId="0" applyFont="1" applyAlignment="1">
      <alignment horizontal="center" vertical="top" textRotation="90"/>
    </xf>
    <xf numFmtId="0" fontId="56" fillId="0" borderId="0" xfId="0" applyFont="1" applyAlignment="1" applyProtection="1">
      <alignment horizontal="center" vertical="top" wrapText="1"/>
    </xf>
    <xf numFmtId="0" fontId="38" fillId="0" borderId="0" xfId="0" applyFont="1" applyAlignment="1">
      <alignment horizontal="center"/>
    </xf>
    <xf numFmtId="0" fontId="14" fillId="9" borderId="107" xfId="0" applyFont="1" applyFill="1" applyBorder="1" applyAlignment="1">
      <alignment horizontal="center" vertical="center"/>
    </xf>
    <xf numFmtId="0" fontId="14" fillId="9" borderId="49" xfId="0" applyFont="1" applyFill="1" applyBorder="1" applyAlignment="1">
      <alignment horizontal="center" vertical="center" shrinkToFit="1"/>
    </xf>
    <xf numFmtId="0" fontId="14" fillId="9" borderId="33" xfId="0" applyFont="1" applyFill="1" applyBorder="1" applyAlignment="1">
      <alignment horizontal="center" vertical="center" shrinkToFit="1"/>
    </xf>
    <xf numFmtId="0" fontId="14" fillId="9" borderId="50" xfId="0" applyFont="1" applyFill="1" applyBorder="1" applyAlignment="1">
      <alignment horizontal="center" vertical="center" shrinkToFit="1"/>
    </xf>
    <xf numFmtId="0" fontId="13" fillId="9" borderId="32" xfId="0" applyFont="1" applyFill="1" applyBorder="1" applyAlignment="1">
      <alignment horizontal="center" vertical="center" shrinkToFit="1"/>
    </xf>
    <xf numFmtId="0" fontId="13" fillId="9" borderId="34" xfId="0" applyFont="1" applyFill="1" applyBorder="1" applyAlignment="1">
      <alignment horizontal="center" vertical="center" shrinkToFit="1"/>
    </xf>
    <xf numFmtId="0" fontId="53" fillId="0" borderId="67" xfId="0" applyFont="1" applyBorder="1" applyAlignment="1">
      <alignment horizontal="center"/>
    </xf>
    <xf numFmtId="0" fontId="14" fillId="9" borderId="206" xfId="0" applyFont="1" applyFill="1" applyBorder="1" applyAlignment="1">
      <alignment horizontal="center" vertical="center"/>
    </xf>
    <xf numFmtId="0" fontId="14" fillId="9" borderId="126" xfId="0" applyFont="1" applyFill="1" applyBorder="1" applyAlignment="1">
      <alignment horizontal="center" vertical="center"/>
    </xf>
    <xf numFmtId="0" fontId="14" fillId="9" borderId="109" xfId="0" applyFont="1" applyFill="1" applyBorder="1" applyAlignment="1">
      <alignment horizontal="center" vertical="center"/>
    </xf>
    <xf numFmtId="0" fontId="14" fillId="9" borderId="248" xfId="0" applyFont="1" applyFill="1" applyBorder="1" applyAlignment="1">
      <alignment horizontal="center" vertical="center"/>
    </xf>
    <xf numFmtId="0" fontId="14" fillId="9" borderId="249" xfId="0" applyFont="1" applyFill="1" applyBorder="1" applyAlignment="1">
      <alignment horizontal="center" vertical="center"/>
    </xf>
    <xf numFmtId="0" fontId="14" fillId="9" borderId="243" xfId="0" applyFont="1" applyFill="1" applyBorder="1" applyAlignment="1">
      <alignment horizontal="center" vertical="center"/>
    </xf>
    <xf numFmtId="0" fontId="14" fillId="9" borderId="209" xfId="0" applyFont="1" applyFill="1" applyBorder="1" applyAlignment="1">
      <alignment horizontal="center" vertical="center" shrinkToFit="1"/>
    </xf>
    <xf numFmtId="0" fontId="14" fillId="9" borderId="210" xfId="0" applyFont="1" applyFill="1" applyBorder="1" applyAlignment="1">
      <alignment horizontal="center" vertical="center" shrinkToFit="1"/>
    </xf>
    <xf numFmtId="0" fontId="14" fillId="9" borderId="211" xfId="0" applyFont="1" applyFill="1" applyBorder="1" applyAlignment="1">
      <alignment horizontal="center" vertical="center" shrinkToFit="1"/>
    </xf>
    <xf numFmtId="0" fontId="17" fillId="10" borderId="195" xfId="0" applyFont="1" applyFill="1" applyBorder="1" applyAlignment="1" applyProtection="1">
      <alignment horizontal="center" vertical="top"/>
      <protection locked="0"/>
    </xf>
    <xf numFmtId="0" fontId="17" fillId="10" borderId="196" xfId="0" applyFont="1" applyFill="1" applyBorder="1" applyAlignment="1" applyProtection="1">
      <alignment horizontal="center" vertical="top"/>
      <protection locked="0"/>
    </xf>
    <xf numFmtId="0" fontId="17" fillId="10" borderId="197" xfId="0" applyFont="1" applyFill="1" applyBorder="1" applyAlignment="1" applyProtection="1">
      <alignment horizontal="center" vertical="top"/>
      <protection locked="0"/>
    </xf>
    <xf numFmtId="14" fontId="26" fillId="10" borderId="198" xfId="0" applyNumberFormat="1" applyFont="1" applyFill="1" applyBorder="1" applyAlignment="1" applyProtection="1">
      <alignment horizontal="center" vertical="center"/>
      <protection locked="0"/>
    </xf>
    <xf numFmtId="14" fontId="26" fillId="10" borderId="176" xfId="0" applyNumberFormat="1" applyFont="1" applyFill="1" applyBorder="1" applyAlignment="1" applyProtection="1">
      <alignment horizontal="center" vertical="center"/>
      <protection locked="0"/>
    </xf>
    <xf numFmtId="14" fontId="26" fillId="10" borderId="199" xfId="0" applyNumberFormat="1" applyFont="1" applyFill="1" applyBorder="1" applyAlignment="1" applyProtection="1">
      <alignment horizontal="center" vertical="center"/>
      <protection locked="0"/>
    </xf>
    <xf numFmtId="0" fontId="26" fillId="10" borderId="198" xfId="0" applyFont="1" applyFill="1" applyBorder="1" applyAlignment="1" applyProtection="1">
      <alignment horizontal="center" vertical="center"/>
      <protection locked="0"/>
    </xf>
    <xf numFmtId="0" fontId="26" fillId="10" borderId="176" xfId="0" applyFont="1" applyFill="1" applyBorder="1" applyAlignment="1" applyProtection="1">
      <alignment horizontal="center" vertical="center"/>
      <protection locked="0"/>
    </xf>
    <xf numFmtId="0" fontId="26" fillId="10" borderId="199" xfId="0" applyFont="1" applyFill="1" applyBorder="1" applyAlignment="1" applyProtection="1">
      <alignment horizontal="center" vertical="center"/>
      <protection locked="0"/>
    </xf>
    <xf numFmtId="0" fontId="26" fillId="10" borderId="200" xfId="0" applyFont="1" applyFill="1" applyBorder="1" applyAlignment="1" applyProtection="1">
      <alignment horizontal="center" vertical="center"/>
      <protection locked="0"/>
    </xf>
    <xf numFmtId="0" fontId="26" fillId="10" borderId="201" xfId="0" applyFont="1" applyFill="1" applyBorder="1" applyAlignment="1" applyProtection="1">
      <alignment horizontal="center" vertical="center"/>
      <protection locked="0"/>
    </xf>
    <xf numFmtId="0" fontId="26" fillId="10" borderId="202" xfId="0" applyFont="1" applyFill="1" applyBorder="1" applyAlignment="1" applyProtection="1">
      <alignment horizontal="center" vertical="center"/>
      <protection locked="0"/>
    </xf>
    <xf numFmtId="167" fontId="13" fillId="15" borderId="0" xfId="0" applyNumberFormat="1" applyFont="1" applyFill="1" applyBorder="1" applyAlignment="1">
      <alignment horizontal="left" vertical="center" indent="1"/>
    </xf>
    <xf numFmtId="0" fontId="13" fillId="15" borderId="0" xfId="0" applyFont="1" applyFill="1" applyBorder="1" applyAlignment="1">
      <alignment horizontal="right" vertical="center"/>
    </xf>
    <xf numFmtId="0" fontId="64" fillId="0" borderId="0" xfId="0" applyFont="1" applyAlignment="1">
      <alignment horizontal="center" wrapText="1"/>
    </xf>
    <xf numFmtId="0" fontId="54" fillId="16" borderId="250" xfId="0" applyFont="1" applyFill="1" applyBorder="1" applyAlignment="1" applyProtection="1">
      <alignment horizontal="center"/>
    </xf>
    <xf numFmtId="0" fontId="54" fillId="16" borderId="251" xfId="0" applyFont="1" applyFill="1" applyBorder="1" applyAlignment="1" applyProtection="1">
      <alignment horizontal="center"/>
    </xf>
    <xf numFmtId="0" fontId="54" fillId="16" borderId="252" xfId="0" applyFont="1" applyFill="1" applyBorder="1" applyAlignment="1" applyProtection="1">
      <alignment horizontal="center"/>
    </xf>
    <xf numFmtId="0" fontId="54" fillId="16" borderId="253" xfId="0" applyFont="1" applyFill="1" applyBorder="1" applyAlignment="1" applyProtection="1">
      <alignment horizontal="center"/>
    </xf>
    <xf numFmtId="0" fontId="54" fillId="16" borderId="254" xfId="0" applyFont="1" applyFill="1" applyBorder="1" applyAlignment="1" applyProtection="1">
      <alignment horizontal="center"/>
    </xf>
    <xf numFmtId="0" fontId="54" fillId="16" borderId="255" xfId="0" applyFont="1" applyFill="1" applyBorder="1" applyAlignment="1" applyProtection="1">
      <alignment horizontal="center"/>
    </xf>
    <xf numFmtId="0" fontId="15" fillId="0" borderId="67" xfId="4" applyFont="1" applyBorder="1" applyAlignment="1">
      <alignment horizontal="left" vertical="center"/>
    </xf>
    <xf numFmtId="0" fontId="73" fillId="0" borderId="67" xfId="4" applyNumberFormat="1" applyFont="1" applyBorder="1" applyAlignment="1">
      <alignment horizontal="center" wrapText="1"/>
    </xf>
    <xf numFmtId="0" fontId="60" fillId="16" borderId="260" xfId="4" applyFont="1" applyFill="1" applyBorder="1" applyAlignment="1">
      <alignment horizontal="center" vertical="center"/>
    </xf>
    <xf numFmtId="0" fontId="60" fillId="16" borderId="261" xfId="4" applyFont="1" applyFill="1" applyBorder="1" applyAlignment="1">
      <alignment horizontal="center" vertical="center"/>
    </xf>
    <xf numFmtId="0" fontId="60" fillId="16" borderId="262" xfId="4" applyFont="1" applyFill="1" applyBorder="1" applyAlignment="1">
      <alignment horizontal="center" vertical="center"/>
    </xf>
    <xf numFmtId="0" fontId="60" fillId="16" borderId="263" xfId="4" applyFont="1" applyFill="1" applyBorder="1" applyAlignment="1">
      <alignment horizontal="center" vertical="center"/>
    </xf>
    <xf numFmtId="0" fontId="60" fillId="16" borderId="264" xfId="4" applyFont="1" applyFill="1" applyBorder="1" applyAlignment="1">
      <alignment horizontal="center" vertical="center"/>
    </xf>
    <xf numFmtId="0" fontId="60" fillId="16" borderId="265" xfId="4" applyFont="1" applyFill="1" applyBorder="1" applyAlignment="1">
      <alignment horizontal="center" vertical="center"/>
    </xf>
    <xf numFmtId="0" fontId="57" fillId="0" borderId="195" xfId="4" applyFont="1" applyBorder="1" applyAlignment="1">
      <alignment horizontal="center" vertical="center"/>
    </xf>
    <xf numFmtId="0" fontId="57" fillId="0" borderId="196" xfId="4" applyFont="1" applyBorder="1" applyAlignment="1">
      <alignment horizontal="center" vertical="center"/>
    </xf>
    <xf numFmtId="0" fontId="57" fillId="0" borderId="197" xfId="4" applyFont="1" applyBorder="1" applyAlignment="1">
      <alignment horizontal="center" vertical="center"/>
    </xf>
    <xf numFmtId="14" fontId="59" fillId="0" borderId="198" xfId="4" applyNumberFormat="1" applyFont="1" applyBorder="1" applyAlignment="1">
      <alignment horizontal="center" vertical="center"/>
    </xf>
    <xf numFmtId="14" fontId="59" fillId="0" borderId="176" xfId="4" applyNumberFormat="1" applyFont="1" applyBorder="1" applyAlignment="1">
      <alignment horizontal="center" vertical="center"/>
    </xf>
    <xf numFmtId="14" fontId="59" fillId="0" borderId="199" xfId="4" applyNumberFormat="1" applyFont="1" applyBorder="1" applyAlignment="1">
      <alignment horizontal="center" vertical="center"/>
    </xf>
    <xf numFmtId="0" fontId="59" fillId="0" borderId="198" xfId="4" applyFont="1" applyBorder="1" applyAlignment="1">
      <alignment horizontal="center" vertical="center"/>
    </xf>
    <xf numFmtId="0" fontId="59" fillId="0" borderId="176" xfId="4" applyFont="1" applyBorder="1" applyAlignment="1">
      <alignment horizontal="center" vertical="center"/>
    </xf>
    <xf numFmtId="0" fontId="59" fillId="0" borderId="199" xfId="4" applyFont="1" applyBorder="1" applyAlignment="1">
      <alignment horizontal="center" vertical="center"/>
    </xf>
    <xf numFmtId="0" fontId="59" fillId="0" borderId="200" xfId="4" applyFont="1" applyBorder="1" applyAlignment="1">
      <alignment horizontal="center" vertical="center"/>
    </xf>
    <xf numFmtId="0" fontId="59" fillId="0" borderId="201" xfId="4" applyFont="1" applyBorder="1" applyAlignment="1">
      <alignment horizontal="center" vertical="center"/>
    </xf>
    <xf numFmtId="0" fontId="59" fillId="0" borderId="202" xfId="4" applyFont="1" applyBorder="1" applyAlignment="1">
      <alignment horizontal="center" vertical="center"/>
    </xf>
    <xf numFmtId="0" fontId="31" fillId="9" borderId="206" xfId="4" applyFont="1" applyFill="1" applyBorder="1" applyAlignment="1">
      <alignment horizontal="center" vertical="center"/>
    </xf>
    <xf numFmtId="0" fontId="31" fillId="9" borderId="126" xfId="4" applyFont="1" applyFill="1" applyBorder="1" applyAlignment="1">
      <alignment horizontal="center" vertical="center"/>
    </xf>
    <xf numFmtId="0" fontId="31" fillId="9" borderId="109" xfId="4" applyFont="1" applyFill="1" applyBorder="1" applyAlignment="1">
      <alignment horizontal="center" vertical="center"/>
    </xf>
    <xf numFmtId="0" fontId="14" fillId="9" borderId="206" xfId="4" applyFont="1" applyFill="1" applyBorder="1" applyAlignment="1">
      <alignment horizontal="center" vertical="center"/>
    </xf>
    <xf numFmtId="0" fontId="14" fillId="9" borderId="126" xfId="4" applyFont="1" applyFill="1" applyBorder="1" applyAlignment="1">
      <alignment horizontal="center" vertical="center"/>
    </xf>
    <xf numFmtId="0" fontId="14" fillId="9" borderId="109" xfId="4" applyFont="1" applyFill="1" applyBorder="1" applyAlignment="1">
      <alignment horizontal="center" vertical="center"/>
    </xf>
    <xf numFmtId="0" fontId="14" fillId="9" borderId="243" xfId="4" applyFont="1" applyFill="1" applyBorder="1" applyAlignment="1">
      <alignment horizontal="center" vertical="center"/>
    </xf>
    <xf numFmtId="0" fontId="25" fillId="0" borderId="0" xfId="0" applyFont="1" applyAlignment="1">
      <alignment horizontal="center" vertical="center"/>
    </xf>
    <xf numFmtId="0" fontId="44" fillId="0" borderId="0" xfId="0" applyFont="1" applyAlignment="1">
      <alignment horizontal="center" vertical="center"/>
    </xf>
    <xf numFmtId="0" fontId="61" fillId="0" borderId="0" xfId="0" applyFont="1" applyAlignment="1">
      <alignment horizontal="center" vertical="top"/>
    </xf>
    <xf numFmtId="0" fontId="40" fillId="11" borderId="51" xfId="0" applyFont="1" applyFill="1" applyBorder="1" applyAlignment="1">
      <alignment horizontal="left" vertical="center" indent="1"/>
    </xf>
    <xf numFmtId="0" fontId="40" fillId="11" borderId="65" xfId="0" applyFont="1" applyFill="1" applyBorder="1" applyAlignment="1">
      <alignment horizontal="left" vertical="center" indent="1"/>
    </xf>
    <xf numFmtId="0" fontId="40" fillId="0" borderId="51" xfId="0" applyFont="1" applyBorder="1" applyAlignment="1">
      <alignment horizontal="left" vertical="center" indent="1"/>
    </xf>
    <xf numFmtId="0" fontId="40" fillId="0" borderId="65" xfId="0" applyFont="1" applyBorder="1" applyAlignment="1">
      <alignment horizontal="left" vertical="center" indent="1"/>
    </xf>
    <xf numFmtId="167" fontId="21" fillId="15" borderId="0" xfId="0" applyNumberFormat="1" applyFont="1" applyFill="1" applyBorder="1" applyAlignment="1">
      <alignment horizontal="right" vertical="center" indent="1"/>
    </xf>
    <xf numFmtId="0" fontId="57" fillId="0" borderId="195" xfId="0" applyFont="1" applyBorder="1" applyAlignment="1">
      <alignment horizontal="center" vertical="center"/>
    </xf>
    <xf numFmtId="0" fontId="57" fillId="0" borderId="196" xfId="0" applyFont="1" applyBorder="1" applyAlignment="1">
      <alignment horizontal="center" vertical="center"/>
    </xf>
    <xf numFmtId="0" fontId="57" fillId="0" borderId="197" xfId="0" applyFont="1" applyBorder="1" applyAlignment="1">
      <alignment horizontal="center" vertical="center"/>
    </xf>
    <xf numFmtId="14" fontId="59" fillId="0" borderId="198" xfId="0" applyNumberFormat="1" applyFont="1" applyBorder="1" applyAlignment="1">
      <alignment horizontal="center" vertical="center"/>
    </xf>
    <xf numFmtId="14" fontId="59" fillId="0" borderId="176" xfId="0" applyNumberFormat="1" applyFont="1" applyBorder="1" applyAlignment="1">
      <alignment horizontal="center" vertical="center"/>
    </xf>
    <xf numFmtId="14" fontId="59" fillId="0" borderId="199" xfId="0" applyNumberFormat="1" applyFont="1" applyBorder="1" applyAlignment="1">
      <alignment horizontal="center" vertical="center"/>
    </xf>
    <xf numFmtId="0" fontId="59" fillId="0" borderId="198" xfId="0" applyFont="1" applyBorder="1" applyAlignment="1">
      <alignment horizontal="center" vertical="center"/>
    </xf>
    <xf numFmtId="0" fontId="59" fillId="0" borderId="176" xfId="0" applyFont="1" applyBorder="1" applyAlignment="1">
      <alignment horizontal="center" vertical="center"/>
    </xf>
    <xf numFmtId="0" fontId="59" fillId="0" borderId="199" xfId="0" applyFont="1" applyBorder="1" applyAlignment="1">
      <alignment horizontal="center" vertical="center"/>
    </xf>
    <xf numFmtId="0" fontId="59" fillId="0" borderId="200" xfId="0" applyFont="1" applyBorder="1" applyAlignment="1">
      <alignment horizontal="center" vertical="center"/>
    </xf>
    <xf numFmtId="0" fontId="59" fillId="0" borderId="201" xfId="0" applyFont="1" applyBorder="1" applyAlignment="1">
      <alignment horizontal="center" vertical="center"/>
    </xf>
    <xf numFmtId="0" fontId="59" fillId="0" borderId="202" xfId="0" applyFont="1" applyBorder="1" applyAlignment="1">
      <alignment horizontal="center" vertical="center"/>
    </xf>
    <xf numFmtId="0" fontId="60" fillId="16" borderId="218" xfId="0" applyFont="1" applyFill="1" applyBorder="1" applyAlignment="1">
      <alignment horizontal="center" vertical="center"/>
    </xf>
    <xf numFmtId="0" fontId="60" fillId="16" borderId="219" xfId="0" applyFont="1" applyFill="1" applyBorder="1" applyAlignment="1">
      <alignment horizontal="center" vertical="center"/>
    </xf>
    <xf numFmtId="0" fontId="60" fillId="16" borderId="220" xfId="0" applyFont="1" applyFill="1" applyBorder="1" applyAlignment="1">
      <alignment horizontal="center" vertical="center"/>
    </xf>
    <xf numFmtId="0" fontId="60" fillId="16" borderId="221" xfId="0" applyFont="1" applyFill="1" applyBorder="1" applyAlignment="1">
      <alignment horizontal="center" vertical="center"/>
    </xf>
    <xf numFmtId="0" fontId="60" fillId="16" borderId="222" xfId="0" applyFont="1" applyFill="1" applyBorder="1" applyAlignment="1">
      <alignment horizontal="center" vertical="center"/>
    </xf>
    <xf numFmtId="0" fontId="60" fillId="16" borderId="223" xfId="0" applyFont="1" applyFill="1" applyBorder="1" applyAlignment="1">
      <alignment horizontal="center" vertical="center"/>
    </xf>
    <xf numFmtId="167" fontId="24" fillId="0" borderId="67" xfId="0" applyNumberFormat="1" applyFont="1" applyBorder="1" applyAlignment="1">
      <alignment horizontal="left"/>
    </xf>
    <xf numFmtId="0" fontId="40" fillId="0" borderId="52" xfId="0" applyFont="1" applyBorder="1" applyAlignment="1">
      <alignment horizontal="left" vertical="center" indent="1"/>
    </xf>
    <xf numFmtId="0" fontId="40" fillId="0" borderId="173" xfId="0" applyFont="1" applyBorder="1" applyAlignment="1">
      <alignment horizontal="left" vertical="center" indent="1"/>
    </xf>
    <xf numFmtId="0" fontId="21" fillId="0" borderId="122" xfId="0" applyFont="1" applyBorder="1" applyAlignment="1">
      <alignment horizontal="left" vertical="center"/>
    </xf>
    <xf numFmtId="0" fontId="21" fillId="0" borderId="123" xfId="0" applyFont="1" applyBorder="1" applyAlignment="1">
      <alignment horizontal="left" vertical="center"/>
    </xf>
    <xf numFmtId="0" fontId="40" fillId="18" borderId="138" xfId="0" applyFont="1" applyFill="1" applyBorder="1" applyAlignment="1">
      <alignment horizontal="left" vertical="center" indent="1"/>
    </xf>
    <xf numFmtId="0" fontId="40" fillId="18" borderId="139" xfId="0" applyFont="1" applyFill="1" applyBorder="1" applyAlignment="1">
      <alignment horizontal="left" vertical="center" indent="1"/>
    </xf>
    <xf numFmtId="0" fontId="40" fillId="19" borderId="51" xfId="0" applyFont="1" applyFill="1" applyBorder="1" applyAlignment="1">
      <alignment horizontal="left" vertical="center" indent="1"/>
    </xf>
    <xf numFmtId="0" fontId="40" fillId="19" borderId="65" xfId="0" applyFont="1" applyFill="1" applyBorder="1" applyAlignment="1">
      <alignment horizontal="left" vertical="center" indent="1"/>
    </xf>
    <xf numFmtId="0" fontId="77" fillId="0" borderId="0" xfId="0" applyFont="1" applyAlignment="1">
      <alignment horizontal="center"/>
    </xf>
    <xf numFmtId="0" fontId="18" fillId="9" borderId="0" xfId="0" applyFont="1" applyFill="1" applyAlignment="1">
      <alignment horizontal="center"/>
    </xf>
    <xf numFmtId="0" fontId="18" fillId="0" borderId="0" xfId="0" applyFont="1" applyAlignment="1">
      <alignment horizontal="center"/>
    </xf>
    <xf numFmtId="167" fontId="24" fillId="0" borderId="0" xfId="0" applyNumberFormat="1" applyFont="1" applyBorder="1" applyAlignment="1">
      <alignment horizontal="left"/>
    </xf>
    <xf numFmtId="0" fontId="40" fillId="0" borderId="52" xfId="0" applyFont="1" applyBorder="1" applyAlignment="1">
      <alignment horizontal="left" vertical="center"/>
    </xf>
    <xf numFmtId="0" fontId="40" fillId="0" borderId="173" xfId="0" applyFont="1" applyBorder="1" applyAlignment="1">
      <alignment horizontal="left" vertical="center"/>
    </xf>
    <xf numFmtId="167" fontId="24" fillId="0" borderId="203" xfId="0" applyNumberFormat="1" applyFont="1" applyBorder="1" applyAlignment="1">
      <alignment horizontal="left"/>
    </xf>
    <xf numFmtId="0" fontId="21" fillId="0" borderId="178" xfId="0" applyFont="1" applyBorder="1" applyAlignment="1">
      <alignment horizontal="left" vertical="center"/>
    </xf>
    <xf numFmtId="0" fontId="21" fillId="0" borderId="179" xfId="0" applyFont="1" applyBorder="1" applyAlignment="1">
      <alignment horizontal="left" vertical="center"/>
    </xf>
    <xf numFmtId="0" fontId="40" fillId="18" borderId="138" xfId="0" applyFont="1" applyFill="1" applyBorder="1" applyAlignment="1">
      <alignment horizontal="left" vertical="center"/>
    </xf>
    <xf numFmtId="0" fontId="40" fillId="18" borderId="139" xfId="0" applyFont="1" applyFill="1" applyBorder="1" applyAlignment="1">
      <alignment horizontal="left" vertical="center"/>
    </xf>
    <xf numFmtId="0" fontId="40" fillId="19" borderId="51" xfId="0" applyFont="1" applyFill="1" applyBorder="1" applyAlignment="1">
      <alignment horizontal="left" vertical="center"/>
    </xf>
    <xf numFmtId="0" fontId="40" fillId="19" borderId="65" xfId="0" applyFont="1" applyFill="1" applyBorder="1" applyAlignment="1">
      <alignment horizontal="left" vertical="center"/>
    </xf>
    <xf numFmtId="0" fontId="40" fillId="11" borderId="51" xfId="0" applyFont="1" applyFill="1" applyBorder="1" applyAlignment="1">
      <alignment horizontal="left" vertical="center"/>
    </xf>
    <xf numFmtId="0" fontId="40" fillId="11" borderId="65" xfId="0" applyFont="1" applyFill="1" applyBorder="1" applyAlignment="1">
      <alignment horizontal="left" vertical="center"/>
    </xf>
    <xf numFmtId="0" fontId="14" fillId="9" borderId="267" xfId="0" applyFont="1" applyFill="1" applyBorder="1" applyAlignment="1">
      <alignment horizontal="center" vertical="center" shrinkToFit="1"/>
    </xf>
    <xf numFmtId="0" fontId="53" fillId="0" borderId="67" xfId="0" applyFont="1" applyBorder="1" applyAlignment="1">
      <alignment horizontal="left"/>
    </xf>
    <xf numFmtId="0" fontId="79" fillId="0" borderId="67" xfId="0" applyFont="1" applyBorder="1" applyAlignment="1">
      <alignment horizontal="left"/>
    </xf>
    <xf numFmtId="0" fontId="79" fillId="0" borderId="0" xfId="0" applyFont="1" applyBorder="1" applyAlignment="1">
      <alignment horizontal="left"/>
    </xf>
    <xf numFmtId="0" fontId="13" fillId="9" borderId="207" xfId="0" applyFont="1" applyFill="1" applyBorder="1" applyAlignment="1">
      <alignment horizontal="center" vertical="center" shrinkToFit="1"/>
    </xf>
    <xf numFmtId="0" fontId="13" fillId="9" borderId="208" xfId="0" applyFont="1" applyFill="1" applyBorder="1" applyAlignment="1">
      <alignment horizontal="center" vertical="center" shrinkToFit="1"/>
    </xf>
    <xf numFmtId="0" fontId="21" fillId="0" borderId="214" xfId="0" applyFont="1" applyBorder="1" applyAlignment="1">
      <alignment horizontal="left" vertical="center"/>
    </xf>
    <xf numFmtId="0" fontId="21" fillId="0" borderId="215" xfId="0" applyFont="1" applyBorder="1" applyAlignment="1">
      <alignment horizontal="left" vertical="center"/>
    </xf>
    <xf numFmtId="0" fontId="21" fillId="0" borderId="216" xfId="0" applyFont="1" applyBorder="1" applyAlignment="1">
      <alignment horizontal="left" vertical="center"/>
    </xf>
    <xf numFmtId="0" fontId="68" fillId="0" borderId="0" xfId="0" applyFont="1" applyAlignment="1">
      <alignment horizontal="center" vertical="center"/>
    </xf>
    <xf numFmtId="0" fontId="35" fillId="13" borderId="89" xfId="0" applyFont="1" applyFill="1" applyBorder="1" applyAlignment="1">
      <alignment horizontal="center" vertical="center" wrapText="1"/>
    </xf>
    <xf numFmtId="0" fontId="35" fillId="13" borderId="91" xfId="0" applyFont="1" applyFill="1" applyBorder="1" applyAlignment="1">
      <alignment horizontal="center" vertical="center"/>
    </xf>
    <xf numFmtId="0" fontId="34" fillId="0" borderId="84" xfId="0" applyFont="1" applyBorder="1" applyAlignment="1">
      <alignment horizontal="center" vertical="top"/>
    </xf>
    <xf numFmtId="0" fontId="35" fillId="0" borderId="0"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xf>
    <xf numFmtId="0" fontId="0" fillId="0" borderId="86" xfId="0" applyBorder="1" applyAlignment="1" applyProtection="1">
      <alignment horizontal="center"/>
      <protection locked="0"/>
    </xf>
    <xf numFmtId="0" fontId="39" fillId="14" borderId="87" xfId="0" applyFont="1" applyFill="1" applyBorder="1" applyAlignment="1">
      <alignment horizontal="center" vertical="center" wrapText="1"/>
    </xf>
    <xf numFmtId="0" fontId="39" fillId="14" borderId="90" xfId="0" applyFont="1" applyFill="1" applyBorder="1" applyAlignment="1">
      <alignment horizontal="center" vertical="center"/>
    </xf>
    <xf numFmtId="0" fontId="39" fillId="12" borderId="152" xfId="0" applyFont="1" applyFill="1" applyBorder="1" applyAlignment="1">
      <alignment horizontal="center" vertical="center" wrapText="1"/>
    </xf>
    <xf numFmtId="0" fontId="39" fillId="12" borderId="153" xfId="0" applyFont="1" applyFill="1" applyBorder="1" applyAlignment="1">
      <alignment horizontal="center" vertical="center"/>
    </xf>
    <xf numFmtId="0" fontId="18" fillId="11" borderId="99" xfId="4" applyFont="1" applyFill="1" applyBorder="1" applyAlignment="1" applyProtection="1">
      <alignment horizontal="center"/>
    </xf>
    <xf numFmtId="0" fontId="18" fillId="11" borderId="100" xfId="4" applyFont="1" applyFill="1" applyBorder="1" applyAlignment="1" applyProtection="1">
      <alignment horizontal="center"/>
    </xf>
    <xf numFmtId="0" fontId="18" fillId="11" borderId="148" xfId="4" applyFont="1" applyFill="1" applyBorder="1" applyAlignment="1" applyProtection="1">
      <alignment horizontal="center"/>
    </xf>
    <xf numFmtId="0" fontId="18" fillId="11" borderId="80" xfId="4" applyFont="1" applyFill="1" applyBorder="1" applyAlignment="1" applyProtection="1">
      <alignment horizontal="center"/>
    </xf>
    <xf numFmtId="0" fontId="18" fillId="11" borderId="81" xfId="4" applyFont="1" applyFill="1" applyBorder="1" applyAlignment="1" applyProtection="1">
      <alignment horizontal="center"/>
    </xf>
    <xf numFmtId="0" fontId="18" fillId="11" borderId="147" xfId="4" applyFont="1" applyFill="1" applyBorder="1" applyAlignment="1" applyProtection="1">
      <alignment horizontal="center"/>
    </xf>
    <xf numFmtId="0" fontId="18" fillId="11" borderId="82" xfId="4" applyFont="1" applyFill="1" applyBorder="1" applyAlignment="1" applyProtection="1">
      <alignment horizontal="center" vertical="center"/>
    </xf>
    <xf numFmtId="0" fontId="18" fillId="11" borderId="0" xfId="4" applyFont="1" applyFill="1" applyBorder="1" applyAlignment="1" applyProtection="1">
      <alignment horizontal="center" vertical="center"/>
    </xf>
    <xf numFmtId="0" fontId="18" fillId="11" borderId="83" xfId="4" applyFont="1" applyFill="1" applyBorder="1" applyAlignment="1" applyProtection="1">
      <alignment horizontal="center" vertical="center"/>
    </xf>
    <xf numFmtId="0" fontId="30" fillId="11" borderId="82" xfId="3" applyFill="1" applyBorder="1" applyAlignment="1" applyProtection="1">
      <alignment horizontal="center" vertical="center"/>
      <protection locked="0"/>
    </xf>
    <xf numFmtId="0" fontId="30" fillId="11" borderId="0" xfId="3" applyFill="1" applyBorder="1" applyAlignment="1" applyProtection="1">
      <alignment horizontal="center" vertical="center"/>
      <protection locked="0"/>
    </xf>
    <xf numFmtId="0" fontId="30" fillId="11" borderId="83" xfId="3" applyFill="1" applyBorder="1" applyAlignment="1" applyProtection="1">
      <alignment horizontal="center" vertical="center"/>
      <protection locked="0"/>
    </xf>
    <xf numFmtId="3" fontId="7" fillId="0" borderId="108" xfId="0" applyNumberFormat="1" applyFont="1" applyFill="1" applyBorder="1" applyAlignment="1" applyProtection="1">
      <alignment horizontal="center" vertical="center"/>
      <protection hidden="1"/>
    </xf>
    <xf numFmtId="0" fontId="7" fillId="0" borderId="108" xfId="0" applyNumberFormat="1" applyFont="1" applyFill="1" applyBorder="1" applyAlignment="1" applyProtection="1">
      <alignment horizontal="center" vertical="center"/>
      <protection hidden="1"/>
    </xf>
    <xf numFmtId="0" fontId="8" fillId="0" borderId="0" xfId="0" applyNumberFormat="1" applyFont="1" applyFill="1" applyBorder="1" applyAlignment="1" applyProtection="1">
      <alignment horizontal="center" vertical="center"/>
      <protection hidden="1"/>
    </xf>
    <xf numFmtId="0" fontId="8" fillId="0" borderId="25" xfId="0" applyNumberFormat="1" applyFont="1" applyFill="1" applyBorder="1" applyAlignment="1" applyProtection="1">
      <alignment horizontal="center" vertical="center"/>
      <protection hidden="1"/>
    </xf>
    <xf numFmtId="0" fontId="12" fillId="0" borderId="0" xfId="0" applyNumberFormat="1" applyFont="1" applyFill="1" applyBorder="1" applyAlignment="1" applyProtection="1">
      <alignment horizontal="center" vertical="center"/>
      <protection hidden="1"/>
    </xf>
    <xf numFmtId="0" fontId="7" fillId="0" borderId="7" xfId="0" applyNumberFormat="1" applyFont="1" applyFill="1" applyBorder="1" applyAlignment="1" applyProtection="1">
      <alignment horizontal="center" vertical="center"/>
      <protection hidden="1"/>
    </xf>
    <xf numFmtId="0" fontId="7" fillId="0" borderId="5" xfId="0" applyNumberFormat="1" applyFont="1" applyFill="1" applyBorder="1" applyAlignment="1" applyProtection="1">
      <alignment horizontal="center" vertical="center"/>
      <protection hidden="1"/>
    </xf>
    <xf numFmtId="0" fontId="7" fillId="0" borderId="8" xfId="0" applyNumberFormat="1" applyFont="1" applyFill="1" applyBorder="1" applyAlignment="1" applyProtection="1">
      <alignment horizontal="center" vertical="center"/>
      <protection hidden="1"/>
    </xf>
    <xf numFmtId="0" fontId="7" fillId="0" borderId="6" xfId="0" applyNumberFormat="1" applyFont="1" applyFill="1" applyBorder="1" applyAlignment="1" applyProtection="1">
      <alignment horizontal="center" vertical="center"/>
      <protection hidden="1"/>
    </xf>
    <xf numFmtId="0" fontId="7" fillId="0" borderId="4" xfId="0" applyNumberFormat="1" applyFont="1" applyFill="1" applyBorder="1" applyAlignment="1" applyProtection="1">
      <alignment horizontal="center" vertical="center"/>
      <protection hidden="1"/>
    </xf>
  </cellXfs>
  <cellStyles count="5">
    <cellStyle name="Berechnung" xfId="2" builtinId="22"/>
    <cellStyle name="Link" xfId="3" builtinId="8"/>
    <cellStyle name="Standard" xfId="0" builtinId="0"/>
    <cellStyle name="Standard 2" xfId="1" xr:uid="{00000000-0005-0000-0000-000001000000}"/>
    <cellStyle name="Standard 3" xfId="4" xr:uid="{42E3B441-83FC-417C-9956-D7244948DA91}"/>
  </cellStyles>
  <dxfs count="77">
    <dxf>
      <font>
        <b/>
        <i val="0"/>
      </font>
      <fill>
        <patternFill>
          <bgColor rgb="FFFFFF00"/>
        </patternFill>
      </fill>
    </dxf>
    <dxf>
      <font>
        <b/>
        <i val="0"/>
      </font>
    </dxf>
    <dxf>
      <font>
        <b/>
        <i val="0"/>
      </font>
      <fill>
        <patternFill>
          <bgColor rgb="FFFFFF00"/>
        </patternFill>
      </fill>
    </dxf>
    <dxf>
      <font>
        <b/>
        <i val="0"/>
      </font>
      <fill>
        <patternFill>
          <bgColor rgb="FFFFFF00"/>
        </patternFill>
      </fill>
    </dxf>
    <dxf>
      <font>
        <b/>
        <i val="0"/>
        <color rgb="FFDA0000"/>
      </font>
    </dxf>
    <dxf>
      <numFmt numFmtId="165" formatCode=";;;"/>
    </dxf>
    <dxf>
      <font>
        <color rgb="FFDA0000"/>
      </font>
    </dxf>
    <dxf>
      <font>
        <color rgb="FFDA0000"/>
      </font>
    </dxf>
    <dxf>
      <font>
        <color rgb="FFDA0000"/>
      </font>
    </dxf>
    <dxf>
      <font>
        <color theme="2" tint="-9.9948118533890809E-2"/>
      </font>
    </dxf>
    <dxf>
      <font>
        <color rgb="FFDA0000"/>
      </font>
    </dxf>
    <dxf>
      <numFmt numFmtId="165" formatCode=";;;"/>
    </dxf>
    <dxf>
      <font>
        <color rgb="FFDA0000"/>
      </font>
    </dxf>
    <dxf>
      <numFmt numFmtId="165" formatCode=";;;"/>
    </dxf>
    <dxf>
      <numFmt numFmtId="165" formatCode=";;;"/>
    </dxf>
    <dxf>
      <font>
        <color rgb="FFDA0000"/>
      </font>
    </dxf>
    <dxf>
      <font>
        <color theme="2" tint="-9.9948118533890809E-2"/>
      </font>
    </dxf>
    <dxf>
      <font>
        <color rgb="FFDA0000"/>
      </font>
    </dxf>
    <dxf>
      <font>
        <color theme="2" tint="-9.9948118533890809E-2"/>
      </font>
    </dxf>
    <dxf>
      <numFmt numFmtId="165" formatCode=";;;"/>
    </dxf>
    <dxf>
      <numFmt numFmtId="165" formatCode=";;;"/>
    </dxf>
    <dxf>
      <numFmt numFmtId="165" formatCode=";;;"/>
    </dxf>
    <dxf>
      <font>
        <color rgb="FFDA0000"/>
      </font>
    </dxf>
    <dxf>
      <font>
        <color theme="2" tint="-9.9948118533890809E-2"/>
      </font>
    </dxf>
    <dxf>
      <font>
        <color rgb="FFDA0000"/>
      </font>
    </dxf>
    <dxf>
      <font>
        <color theme="2" tint="-9.9948118533890809E-2"/>
      </font>
    </dxf>
    <dxf>
      <numFmt numFmtId="165" formatCode=";;;"/>
    </dxf>
    <dxf>
      <numFmt numFmtId="165" formatCode=";;;"/>
    </dxf>
    <dxf>
      <numFmt numFmtId="165" formatCode=";;;"/>
    </dxf>
    <dxf>
      <font>
        <color rgb="FFDA0000"/>
      </font>
    </dxf>
    <dxf>
      <font>
        <color theme="2" tint="-9.9948118533890809E-2"/>
      </font>
    </dxf>
    <dxf>
      <font>
        <color theme="2" tint="-9.9948118533890809E-2"/>
      </font>
    </dxf>
    <dxf>
      <font>
        <color rgb="FFDA0000"/>
      </font>
    </dxf>
    <dxf>
      <numFmt numFmtId="165" formatCode=";;;"/>
    </dxf>
    <dxf>
      <numFmt numFmtId="165" formatCode=";;;"/>
    </dxf>
    <dxf>
      <numFmt numFmtId="165" formatCode=";;;"/>
    </dxf>
    <dxf>
      <font>
        <color theme="2" tint="-9.9948118533890809E-2"/>
      </font>
    </dxf>
    <dxf>
      <font>
        <color rgb="FFDA0000"/>
      </font>
    </dxf>
    <dxf>
      <font>
        <color theme="2" tint="-9.9948118533890809E-2"/>
      </font>
    </dxf>
    <dxf>
      <font>
        <color rgb="FFDA0000"/>
      </font>
    </dxf>
    <dxf>
      <font>
        <color rgb="FFDA0000"/>
      </font>
    </dxf>
    <dxf>
      <font>
        <color rgb="FFDA0000"/>
      </font>
    </dxf>
    <dxf>
      <font>
        <color theme="2" tint="-9.9948118533890809E-2"/>
      </font>
    </dxf>
    <dxf>
      <font>
        <color theme="2" tint="-9.9948118533890809E-2"/>
      </font>
    </dxf>
    <dxf>
      <font>
        <color rgb="FFDA0000"/>
      </font>
    </dxf>
    <dxf>
      <font>
        <color rgb="FFDA0000"/>
      </font>
    </dxf>
    <dxf>
      <font>
        <color rgb="FFDA0000"/>
      </font>
    </dxf>
    <dxf>
      <numFmt numFmtId="165" formatCode=";;;"/>
    </dxf>
    <dxf>
      <numFmt numFmtId="165" formatCode=";;;"/>
    </dxf>
    <dxf>
      <numFmt numFmtId="165" formatCode=";;;"/>
    </dxf>
    <dxf>
      <numFmt numFmtId="165" formatCode=";;;"/>
    </dxf>
    <dxf>
      <numFmt numFmtId="165" formatCode=";;;"/>
    </dxf>
    <dxf>
      <numFmt numFmtId="165" formatCode=";;;"/>
    </dxf>
    <dxf>
      <font>
        <b val="0"/>
        <i val="0"/>
        <color rgb="FFDA0000"/>
      </font>
    </dxf>
    <dxf>
      <numFmt numFmtId="165" formatCode=";;;"/>
    </dxf>
    <dxf>
      <font>
        <b val="0"/>
        <i val="0"/>
        <color rgb="FFDA0000"/>
      </font>
    </dxf>
    <dxf>
      <numFmt numFmtId="165" formatCode=";;;"/>
    </dxf>
    <dxf>
      <font>
        <b val="0"/>
        <i val="0"/>
        <color rgb="FFDA0000"/>
      </font>
    </dxf>
    <dxf>
      <numFmt numFmtId="165" formatCode=";;;"/>
    </dxf>
    <dxf>
      <font>
        <b val="0"/>
        <i val="0"/>
        <color rgb="FFDA0000"/>
      </font>
    </dxf>
    <dxf>
      <numFmt numFmtId="165" formatCode=";;;"/>
    </dxf>
    <dxf>
      <font>
        <b val="0"/>
        <i val="0"/>
        <color rgb="FFDA0000"/>
      </font>
    </dxf>
    <dxf>
      <numFmt numFmtId="165" formatCode=";;;"/>
    </dxf>
    <dxf>
      <font>
        <color theme="2" tint="-9.9948118533890809E-2"/>
      </font>
    </dxf>
    <dxf>
      <font>
        <b/>
        <i val="0"/>
        <color rgb="FFDA0000"/>
      </font>
      <fill>
        <patternFill patternType="none">
          <bgColor auto="1"/>
        </patternFill>
      </fill>
    </dxf>
    <dxf>
      <font>
        <b/>
        <i val="0"/>
        <color rgb="FFFF0000"/>
      </font>
    </dxf>
    <dxf>
      <font>
        <b/>
        <i val="0"/>
        <color rgb="FFDA0000"/>
      </font>
      <fill>
        <patternFill patternType="none">
          <bgColor auto="1"/>
        </patternFill>
      </fill>
    </dxf>
    <dxf>
      <font>
        <b/>
        <i val="0"/>
        <color rgb="FFDA0000"/>
      </font>
      <fill>
        <patternFill patternType="none">
          <bgColor auto="1"/>
        </patternFill>
      </fill>
    </dxf>
    <dxf>
      <font>
        <b/>
        <i val="0"/>
        <color rgb="FFDA0000"/>
      </font>
      <fill>
        <patternFill patternType="none">
          <bgColor auto="1"/>
        </patternFill>
      </fill>
    </dxf>
    <dxf>
      <font>
        <b/>
        <i val="0"/>
        <color rgb="FFDA0000"/>
      </font>
    </dxf>
    <dxf>
      <font>
        <b/>
        <i val="0"/>
        <color rgb="FFDA0000"/>
      </font>
      <fill>
        <patternFill>
          <bgColor rgb="FFFFFFCC"/>
        </patternFill>
      </fill>
    </dxf>
    <dxf>
      <numFmt numFmtId="30" formatCode="@"/>
    </dxf>
    <dxf>
      <font>
        <color theme="2" tint="-9.9948118533890809E-2"/>
      </font>
    </dxf>
    <dxf>
      <font>
        <b/>
        <i val="0"/>
        <color rgb="FFDA0000"/>
      </font>
    </dxf>
    <dxf>
      <font>
        <b/>
        <i val="0"/>
        <color rgb="FFDA0000"/>
      </font>
      <fill>
        <patternFill>
          <bgColor rgb="FFFFFFCC"/>
        </patternFill>
      </fill>
    </dxf>
    <dxf>
      <fill>
        <patternFill>
          <bgColor rgb="FFFFB4B4"/>
        </patternFill>
      </fill>
    </dxf>
    <dxf>
      <font>
        <b/>
        <i val="0"/>
        <color rgb="FFDA0000"/>
      </font>
      <fill>
        <patternFill>
          <bgColor rgb="FFFFFFCC"/>
        </patternFill>
      </fill>
    </dxf>
  </dxfs>
  <tableStyles count="0" defaultTableStyle="TableStyleMedium2" defaultPivotStyle="PivotStyleLight16"/>
  <colors>
    <mruColors>
      <color rgb="FFFFFFCC"/>
      <color rgb="FFDA0000"/>
      <color rgb="FFFDECE3"/>
      <color rgb="FFA9D08E"/>
      <color rgb="FFFFF2C9"/>
      <color rgb="FFA50021"/>
      <color rgb="FFFFFFE0"/>
      <color rgb="FFFFB4B4"/>
      <color rgb="FFF8F8F8"/>
      <color rgb="FFFFED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1</xdr:row>
      <xdr:rowOff>133350</xdr:rowOff>
    </xdr:from>
    <xdr:to>
      <xdr:col>4</xdr:col>
      <xdr:colOff>85725</xdr:colOff>
      <xdr:row>6</xdr:row>
      <xdr:rowOff>0</xdr:rowOff>
    </xdr:to>
    <xdr:pic>
      <xdr:nvPicPr>
        <xdr:cNvPr id="4" name="Grafik 3">
          <a:extLst>
            <a:ext uri="{FF2B5EF4-FFF2-40B4-BE49-F238E27FC236}">
              <a16:creationId xmlns:a16="http://schemas.microsoft.com/office/drawing/2014/main" id="{47867C12-43E3-4C49-BD04-EB17439205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304800"/>
          <a:ext cx="1581150" cy="1581150"/>
        </a:xfrm>
        <a:prstGeom prst="rect">
          <a:avLst/>
        </a:prstGeom>
      </xdr:spPr>
    </xdr:pic>
    <xdr:clientData/>
  </xdr:twoCellAnchor>
  <xdr:twoCellAnchor editAs="oneCell">
    <xdr:from>
      <xdr:col>4</xdr:col>
      <xdr:colOff>190500</xdr:colOff>
      <xdr:row>1</xdr:row>
      <xdr:rowOff>47625</xdr:rowOff>
    </xdr:from>
    <xdr:to>
      <xdr:col>6</xdr:col>
      <xdr:colOff>171450</xdr:colOff>
      <xdr:row>4</xdr:row>
      <xdr:rowOff>323303</xdr:rowOff>
    </xdr:to>
    <xdr:pic>
      <xdr:nvPicPr>
        <xdr:cNvPr id="5" name="Grafik 4">
          <a:extLst>
            <a:ext uri="{FF2B5EF4-FFF2-40B4-BE49-F238E27FC236}">
              <a16:creationId xmlns:a16="http://schemas.microsoft.com/office/drawing/2014/main" id="{3B15DF77-820F-4207-A61C-635BF94B091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28800" y="219075"/>
          <a:ext cx="2066925" cy="14948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400050</xdr:colOff>
      <xdr:row>0</xdr:row>
      <xdr:rowOff>104775</xdr:rowOff>
    </xdr:from>
    <xdr:to>
      <xdr:col>4</xdr:col>
      <xdr:colOff>266700</xdr:colOff>
      <xdr:row>5</xdr:row>
      <xdr:rowOff>66128</xdr:rowOff>
    </xdr:to>
    <xdr:pic>
      <xdr:nvPicPr>
        <xdr:cNvPr id="2" name="Grafik 1">
          <a:extLst>
            <a:ext uri="{FF2B5EF4-FFF2-40B4-BE49-F238E27FC236}">
              <a16:creationId xmlns:a16="http://schemas.microsoft.com/office/drawing/2014/main" id="{0A977F61-877D-4817-BCCE-A9BAB463A1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0050" y="104775"/>
          <a:ext cx="2066925" cy="149487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400050</xdr:colOff>
      <xdr:row>1</xdr:row>
      <xdr:rowOff>133350</xdr:rowOff>
    </xdr:from>
    <xdr:to>
      <xdr:col>3</xdr:col>
      <xdr:colOff>476250</xdr:colOff>
      <xdr:row>5</xdr:row>
      <xdr:rowOff>114300</xdr:rowOff>
    </xdr:to>
    <xdr:pic>
      <xdr:nvPicPr>
        <xdr:cNvPr id="3" name="Grafik 2">
          <a:extLst>
            <a:ext uri="{FF2B5EF4-FFF2-40B4-BE49-F238E27FC236}">
              <a16:creationId xmlns:a16="http://schemas.microsoft.com/office/drawing/2014/main" id="{1B67FBC4-BBAC-48CD-ADEF-585BCF9286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04800"/>
          <a:ext cx="1581150" cy="15811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76200</xdr:colOff>
      <xdr:row>1</xdr:row>
      <xdr:rowOff>47625</xdr:rowOff>
    </xdr:from>
    <xdr:to>
      <xdr:col>3</xdr:col>
      <xdr:colOff>638175</xdr:colOff>
      <xdr:row>4</xdr:row>
      <xdr:rowOff>323303</xdr:rowOff>
    </xdr:to>
    <xdr:pic>
      <xdr:nvPicPr>
        <xdr:cNvPr id="3" name="Grafik 2">
          <a:extLst>
            <a:ext uri="{FF2B5EF4-FFF2-40B4-BE49-F238E27FC236}">
              <a16:creationId xmlns:a16="http://schemas.microsoft.com/office/drawing/2014/main" id="{2732BF9D-04FC-4DB6-88A4-6B8A948385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19075"/>
          <a:ext cx="2066925" cy="149487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142875</xdr:colOff>
      <xdr:row>1</xdr:row>
      <xdr:rowOff>47625</xdr:rowOff>
    </xdr:from>
    <xdr:to>
      <xdr:col>3</xdr:col>
      <xdr:colOff>704850</xdr:colOff>
      <xdr:row>4</xdr:row>
      <xdr:rowOff>323303</xdr:rowOff>
    </xdr:to>
    <xdr:pic>
      <xdr:nvPicPr>
        <xdr:cNvPr id="3" name="Grafik 2">
          <a:extLst>
            <a:ext uri="{FF2B5EF4-FFF2-40B4-BE49-F238E27FC236}">
              <a16:creationId xmlns:a16="http://schemas.microsoft.com/office/drawing/2014/main" id="{B59E9899-3FAC-4014-A86A-27FFDE8AE3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219075"/>
          <a:ext cx="2066925" cy="149487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323850</xdr:colOff>
      <xdr:row>1</xdr:row>
      <xdr:rowOff>133350</xdr:rowOff>
    </xdr:from>
    <xdr:to>
      <xdr:col>3</xdr:col>
      <xdr:colOff>409575</xdr:colOff>
      <xdr:row>5</xdr:row>
      <xdr:rowOff>104775</xdr:rowOff>
    </xdr:to>
    <xdr:pic>
      <xdr:nvPicPr>
        <xdr:cNvPr id="3" name="Grafik 2">
          <a:extLst>
            <a:ext uri="{FF2B5EF4-FFF2-40B4-BE49-F238E27FC236}">
              <a16:creationId xmlns:a16="http://schemas.microsoft.com/office/drawing/2014/main" id="{53DD7736-4605-4FB9-9FF7-EAB8C3DA8B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304800"/>
          <a:ext cx="1581150" cy="15811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38100</xdr:colOff>
      <xdr:row>1</xdr:row>
      <xdr:rowOff>123825</xdr:rowOff>
    </xdr:from>
    <xdr:to>
      <xdr:col>5</xdr:col>
      <xdr:colOff>114300</xdr:colOff>
      <xdr:row>5</xdr:row>
      <xdr:rowOff>104775</xdr:rowOff>
    </xdr:to>
    <xdr:pic>
      <xdr:nvPicPr>
        <xdr:cNvPr id="3" name="Grafik 2">
          <a:extLst>
            <a:ext uri="{FF2B5EF4-FFF2-40B4-BE49-F238E27FC236}">
              <a16:creationId xmlns:a16="http://schemas.microsoft.com/office/drawing/2014/main" id="{5899AD35-845B-4B8E-B0DD-6670634968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295275"/>
          <a:ext cx="1581150" cy="1581150"/>
        </a:xfrm>
        <a:prstGeom prst="rect">
          <a:avLst/>
        </a:prstGeom>
      </xdr:spPr>
    </xdr:pic>
    <xdr:clientData/>
  </xdr:twoCellAnchor>
  <xdr:twoCellAnchor editAs="oneCell">
    <xdr:from>
      <xdr:col>6</xdr:col>
      <xdr:colOff>133350</xdr:colOff>
      <xdr:row>1</xdr:row>
      <xdr:rowOff>28575</xdr:rowOff>
    </xdr:from>
    <xdr:to>
      <xdr:col>8</xdr:col>
      <xdr:colOff>1724025</xdr:colOff>
      <xdr:row>4</xdr:row>
      <xdr:rowOff>304253</xdr:rowOff>
    </xdr:to>
    <xdr:pic>
      <xdr:nvPicPr>
        <xdr:cNvPr id="4" name="Grafik 3">
          <a:extLst>
            <a:ext uri="{FF2B5EF4-FFF2-40B4-BE49-F238E27FC236}">
              <a16:creationId xmlns:a16="http://schemas.microsoft.com/office/drawing/2014/main" id="{F5EAF8CD-A1AD-47B1-B6BA-18868D5249B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57400" y="200025"/>
          <a:ext cx="2066925" cy="149487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2</xdr:row>
      <xdr:rowOff>0</xdr:rowOff>
    </xdr:from>
    <xdr:to>
      <xdr:col>22</xdr:col>
      <xdr:colOff>2</xdr:colOff>
      <xdr:row>49</xdr:row>
      <xdr:rowOff>95251</xdr:rowOff>
    </xdr:to>
    <xdr:sp macro="" textlink="">
      <xdr:nvSpPr>
        <xdr:cNvPr id="3" name="Textfeld 2">
          <a:extLst>
            <a:ext uri="{FF2B5EF4-FFF2-40B4-BE49-F238E27FC236}">
              <a16:creationId xmlns:a16="http://schemas.microsoft.com/office/drawing/2014/main" id="{A26553C3-0526-49EF-BF45-CEAAAB8C37D0}"/>
            </a:ext>
          </a:extLst>
        </xdr:cNvPr>
        <xdr:cNvSpPr txBox="1"/>
      </xdr:nvSpPr>
      <xdr:spPr>
        <a:xfrm>
          <a:off x="9144000" y="323850"/>
          <a:ext cx="7620002" cy="7705726"/>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ANLEITUNG</a:t>
          </a:r>
        </a:p>
        <a:p>
          <a:endParaRPr lang="de-DE" sz="1400" b="1">
            <a:solidFill>
              <a:schemeClr val="tx1">
                <a:lumMod val="65000"/>
                <a:lumOff val="35000"/>
              </a:schemeClr>
            </a:solidFill>
          </a:endParaRPr>
        </a:p>
        <a:p>
          <a:r>
            <a:rPr lang="de-DE" sz="1400" b="1">
              <a:solidFill>
                <a:schemeClr val="tx1">
                  <a:lumMod val="65000"/>
                  <a:lumOff val="35000"/>
                </a:schemeClr>
              </a:solidFill>
            </a:rPr>
            <a:t>1. Schritt:</a:t>
          </a:r>
        </a:p>
        <a:p>
          <a:r>
            <a:rPr lang="de-DE" sz="1400">
              <a:solidFill>
                <a:sysClr val="windowText" lastClr="000000"/>
              </a:solidFill>
            </a:rPr>
            <a:t>Auf</a:t>
          </a:r>
          <a:r>
            <a:rPr lang="de-DE" sz="1400" baseline="0">
              <a:solidFill>
                <a:sysClr val="windowText" lastClr="000000"/>
              </a:solidFill>
            </a:rPr>
            <a:t> dem Tabellenblatt '</a:t>
          </a:r>
          <a:r>
            <a:rPr lang="de-DE" sz="1400" b="1" baseline="0">
              <a:solidFill>
                <a:sysClr val="windowText" lastClr="000000"/>
              </a:solidFill>
            </a:rPr>
            <a:t>Planung</a:t>
          </a:r>
          <a:r>
            <a:rPr lang="de-DE" sz="1400" baseline="0">
              <a:solidFill>
                <a:sysClr val="windowText" lastClr="000000"/>
              </a:solidFill>
            </a:rPr>
            <a:t>' g</a:t>
          </a:r>
          <a:r>
            <a:rPr lang="de-DE" sz="1400">
              <a:solidFill>
                <a:sysClr val="windowText" lastClr="000000"/>
              </a:solidFill>
            </a:rPr>
            <a:t>anz links die Namen der Teilnehmer</a:t>
          </a:r>
          <a:r>
            <a:rPr lang="de-DE" sz="1400" baseline="0">
              <a:solidFill>
                <a:sysClr val="windowText" lastClr="000000"/>
              </a:solidFill>
            </a:rPr>
            <a:t> eintragen und rechts die Spielzeiten. Die Anzahl der Teilnehmer pro Gruppe muss nicht unbedingt gleich sein. Es ist zum Beispiel auch möglich, mit einer Fünfer- und einer Vierergruppe zu spielen.</a:t>
          </a:r>
        </a:p>
        <a:p>
          <a:endParaRPr lang="de-DE" sz="1400" baseline="0">
            <a:solidFill>
              <a:sysClr val="windowText" lastClr="000000"/>
            </a:solidFill>
          </a:endParaRPr>
        </a:p>
        <a:p>
          <a:r>
            <a:rPr lang="de-DE" sz="1400" baseline="0">
              <a:solidFill>
                <a:sysClr val="windowText" lastClr="000000"/>
              </a:solidFill>
            </a:rPr>
            <a:t>Möchte man nach einem bestimmten Spiel eine zusätzliche Pause von 15 min, so trägt man rechts neben diesem Spiel die Zahl 15 ein. Alle nachfolgenden Spiele beginnen dann 15 Minuten später.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2. Schritt:</a:t>
          </a:r>
        </a:p>
        <a:p>
          <a:r>
            <a:rPr lang="de-DE" sz="1400" baseline="0">
              <a:solidFill>
                <a:sysClr val="windowText" lastClr="000000"/>
              </a:solidFill>
            </a:rPr>
            <a:t>Auf dem Tabellenblatt </a:t>
          </a:r>
          <a:r>
            <a:rPr lang="de-DE" sz="1400" b="1" baseline="0">
              <a:solidFill>
                <a:sysClr val="windowText" lastClr="000000"/>
              </a:solidFill>
            </a:rPr>
            <a:t>'Vorrunde'</a:t>
          </a:r>
          <a:r>
            <a:rPr lang="de-DE" sz="1400" baseline="0">
              <a:solidFill>
                <a:sysClr val="windowText" lastClr="000000"/>
              </a:solidFill>
            </a:rPr>
            <a:t> die Spielergebnisse eintragen.</a:t>
          </a:r>
        </a:p>
        <a:p>
          <a:pPr marL="0" indent="0"/>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3. Schritt:</a:t>
          </a:r>
        </a:p>
        <a:p>
          <a:r>
            <a:rPr lang="de-DE" sz="1400" b="0" baseline="0">
              <a:solidFill>
                <a:schemeClr val="dk1"/>
              </a:solidFill>
              <a:effectLst/>
              <a:latin typeface="+mn-lt"/>
              <a:ea typeface="+mn-ea"/>
              <a:cs typeface="+mn-cs"/>
            </a:rPr>
            <a:t>Eine der vier Möglichkeiten für eine Endrunde auswählen </a:t>
          </a:r>
          <a:endParaRPr lang="de-DE" sz="1400">
            <a:effectLst/>
          </a:endParaRPr>
        </a:p>
        <a:p>
          <a:r>
            <a:rPr lang="de-DE" sz="1400" b="0" baseline="0">
              <a:solidFill>
                <a:schemeClr val="dk1"/>
              </a:solidFill>
              <a:effectLst/>
              <a:latin typeface="+mn-lt"/>
              <a:ea typeface="+mn-ea"/>
              <a:cs typeface="+mn-cs"/>
            </a:rPr>
            <a:t>(Tabellenblatt </a:t>
          </a:r>
          <a:r>
            <a:rPr lang="de-DE" sz="1400" b="1" baseline="0">
              <a:solidFill>
                <a:schemeClr val="dk1"/>
              </a:solidFill>
              <a:effectLst/>
              <a:latin typeface="+mn-lt"/>
              <a:ea typeface="+mn-ea"/>
              <a:cs typeface="+mn-cs"/>
            </a:rPr>
            <a:t>'Endrunde 1'</a:t>
          </a:r>
          <a:r>
            <a:rPr lang="de-DE" sz="1400" b="0" baseline="0">
              <a:solidFill>
                <a:schemeClr val="dk1"/>
              </a:solidFill>
              <a:effectLst/>
              <a:latin typeface="+mn-lt"/>
              <a:ea typeface="+mn-ea"/>
              <a:cs typeface="+mn-cs"/>
            </a:rPr>
            <a:t>, </a:t>
          </a:r>
          <a:r>
            <a:rPr lang="de-DE" sz="1400" b="1" baseline="0">
              <a:solidFill>
                <a:schemeClr val="dk1"/>
              </a:solidFill>
              <a:effectLst/>
              <a:latin typeface="+mn-lt"/>
              <a:ea typeface="+mn-ea"/>
              <a:cs typeface="+mn-cs"/>
            </a:rPr>
            <a:t>'Endrunde 2'</a:t>
          </a:r>
          <a:r>
            <a:rPr lang="de-DE" sz="1400" b="0" baseline="0">
              <a:solidFill>
                <a:schemeClr val="dk1"/>
              </a:solidFill>
              <a:effectLst/>
              <a:latin typeface="+mn-lt"/>
              <a:ea typeface="+mn-ea"/>
              <a:cs typeface="+mn-cs"/>
            </a:rPr>
            <a:t>, </a:t>
          </a:r>
          <a:r>
            <a:rPr lang="de-DE" sz="1400" b="1" baseline="0">
              <a:solidFill>
                <a:schemeClr val="dk1"/>
              </a:solidFill>
              <a:effectLst/>
              <a:latin typeface="+mn-lt"/>
              <a:ea typeface="+mn-ea"/>
              <a:cs typeface="+mn-cs"/>
            </a:rPr>
            <a:t>'Endrunde 3'</a:t>
          </a:r>
          <a:r>
            <a:rPr lang="de-DE" sz="1400" b="0" baseline="0">
              <a:solidFill>
                <a:schemeClr val="dk1"/>
              </a:solidFill>
              <a:effectLst/>
              <a:latin typeface="+mn-lt"/>
              <a:ea typeface="+mn-ea"/>
              <a:cs typeface="+mn-cs"/>
            </a:rPr>
            <a:t> oder Tabellenblatt </a:t>
          </a:r>
          <a:r>
            <a:rPr lang="de-DE" sz="1400" b="1" baseline="0">
              <a:solidFill>
                <a:schemeClr val="dk1"/>
              </a:solidFill>
              <a:effectLst/>
              <a:latin typeface="+mn-lt"/>
              <a:ea typeface="+mn-ea"/>
              <a:cs typeface="+mn-cs"/>
            </a:rPr>
            <a:t>'Endrunde 4'</a:t>
          </a:r>
          <a:r>
            <a:rPr lang="de-DE" sz="1400" b="0" baseline="0">
              <a:solidFill>
                <a:schemeClr val="dk1"/>
              </a:solidFill>
              <a:effectLst/>
              <a:latin typeface="+mn-lt"/>
              <a:ea typeface="+mn-ea"/>
              <a:cs typeface="+mn-cs"/>
            </a:rPr>
            <a:t>) </a:t>
          </a:r>
          <a:endParaRPr lang="de-DE" sz="1400">
            <a:effectLst/>
          </a:endParaRPr>
        </a:p>
        <a:p>
          <a:r>
            <a:rPr lang="de-DE" sz="1400" b="0" baseline="0">
              <a:solidFill>
                <a:schemeClr val="dk1"/>
              </a:solidFill>
              <a:effectLst/>
              <a:latin typeface="+mn-lt"/>
              <a:ea typeface="+mn-ea"/>
              <a:cs typeface="+mn-cs"/>
            </a:rPr>
            <a:t>und dort die Ergebnisse eintragen.</a:t>
          </a:r>
          <a:endParaRPr lang="de-DE" sz="1400">
            <a:effectLst/>
          </a:endParaRP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spielen die beiden Gruppenersten um Platz 1, die beiden Gruppenzweiten um </a:t>
          </a:r>
        </a:p>
        <a:p>
          <a:pPr marL="0" indent="0"/>
          <a:r>
            <a:rPr lang="de-DE" sz="1400" b="0" baseline="0">
              <a:solidFill>
                <a:sysClr val="windowText" lastClr="000000"/>
              </a:solidFill>
              <a:latin typeface="+mn-lt"/>
              <a:ea typeface="+mn-ea"/>
              <a:cs typeface="+mn-cs"/>
            </a:rPr>
            <a:t>Platz 3, die beiden Gruppendritten um Platz 5 usw.</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2'</a:t>
          </a:r>
          <a:r>
            <a:rPr lang="de-DE" sz="1400" b="0" baseline="0">
              <a:solidFill>
                <a:sysClr val="windowText" lastClr="000000"/>
              </a:solidFill>
              <a:latin typeface="+mn-lt"/>
              <a:ea typeface="+mn-ea"/>
              <a:cs typeface="+mn-cs"/>
            </a:rPr>
            <a:t> werden die ersten vier Plätze durch ein Halbfinale (Gruppenerste und Gruppenzweite) und zwei Finalspiele ausgespielt, die anderen Plätze wie in "Endrunde 1".</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3'</a:t>
          </a:r>
          <a:r>
            <a:rPr lang="de-DE" sz="1400" b="0" baseline="0">
              <a:solidFill>
                <a:sysClr val="windowText" lastClr="000000"/>
              </a:solidFill>
              <a:latin typeface="+mn-lt"/>
              <a:ea typeface="+mn-ea"/>
              <a:cs typeface="+mn-cs"/>
            </a:rPr>
            <a:t> werden die ersten vier Plätze durch ein Halbfinale (Gruppenerste und Gruppenzweite) und zwei Finalspiele ausgespielt.</a:t>
          </a:r>
        </a:p>
        <a:p>
          <a:pPr marL="0" indent="0"/>
          <a:endParaRPr lang="de-DE" sz="1400" b="0" baseline="0">
            <a:solidFill>
              <a:sysClr val="windowText" lastClr="000000"/>
            </a:solidFill>
            <a:latin typeface="+mn-lt"/>
            <a:ea typeface="+mn-ea"/>
            <a:cs typeface="+mn-cs"/>
          </a:endParaRPr>
        </a:p>
        <a:p>
          <a:r>
            <a:rPr lang="de-DE" sz="1400" b="0" baseline="0">
              <a:solidFill>
                <a:schemeClr val="dk1"/>
              </a:solidFill>
              <a:effectLst/>
              <a:latin typeface="+mn-lt"/>
              <a:ea typeface="+mn-ea"/>
              <a:cs typeface="+mn-cs"/>
            </a:rPr>
            <a:t>In </a:t>
          </a:r>
          <a:r>
            <a:rPr lang="de-DE" sz="1400" b="1" baseline="0">
              <a:solidFill>
                <a:schemeClr val="dk1"/>
              </a:solidFill>
              <a:effectLst/>
              <a:latin typeface="+mn-lt"/>
              <a:ea typeface="+mn-ea"/>
              <a:cs typeface="+mn-cs"/>
            </a:rPr>
            <a:t>'Endrunde 4'</a:t>
          </a:r>
          <a:r>
            <a:rPr lang="de-DE" sz="1400" b="0" baseline="0">
              <a:solidFill>
                <a:schemeClr val="dk1"/>
              </a:solidFill>
              <a:effectLst/>
              <a:latin typeface="+mn-lt"/>
              <a:ea typeface="+mn-ea"/>
              <a:cs typeface="+mn-cs"/>
            </a:rPr>
            <a:t> spielen die zwei Gruppenersten und die zwei Gruppenzweiten in einer Vierergruppe jeder gegen jeden um die Plätze 1 bis 4. Die zwei Gruppendritten und die zwei Gruppenvierten spielen in gleicher Weise um die Plätze 5 bis 8. Die Gruppenfünften und die Gruppensechsten (soweit vorhanden) spielen in gleicher Weise um die Plätze 9 bis 12.</a:t>
          </a:r>
          <a:endParaRPr lang="de-DE" sz="1400">
            <a:effectLst/>
          </a:endParaRPr>
        </a:p>
        <a:p>
          <a:r>
            <a:rPr lang="de-DE" sz="1400" b="0" baseline="0">
              <a:solidFill>
                <a:schemeClr val="dk1"/>
              </a:solidFill>
              <a:effectLst/>
              <a:latin typeface="+mn-lt"/>
              <a:ea typeface="+mn-ea"/>
              <a:cs typeface="+mn-cs"/>
            </a:rPr>
            <a:t>Kann auch mit unterschiedlicher Anzahl an Teams pro Gruppe gespielt werden.</a:t>
          </a:r>
          <a:endParaRPr lang="de-DE" sz="1400">
            <a:effectLst/>
          </a:endParaRPr>
        </a:p>
      </xdr:txBody>
    </xdr:sp>
    <xdr:clientData/>
  </xdr:twoCellAnchor>
  <xdr:twoCellAnchor>
    <xdr:from>
      <xdr:col>1</xdr:col>
      <xdr:colOff>0</xdr:colOff>
      <xdr:row>52</xdr:row>
      <xdr:rowOff>0</xdr:rowOff>
    </xdr:from>
    <xdr:to>
      <xdr:col>10</xdr:col>
      <xdr:colOff>752475</xdr:colOff>
      <xdr:row>96</xdr:row>
      <xdr:rowOff>152400</xdr:rowOff>
    </xdr:to>
    <xdr:sp macro="" textlink="">
      <xdr:nvSpPr>
        <xdr:cNvPr id="4" name="Textfeld 3">
          <a:extLst>
            <a:ext uri="{FF2B5EF4-FFF2-40B4-BE49-F238E27FC236}">
              <a16:creationId xmlns:a16="http://schemas.microsoft.com/office/drawing/2014/main" id="{32A72B06-DB58-4715-8F9B-96A54EFE0768}"/>
            </a:ext>
          </a:extLst>
        </xdr:cNvPr>
        <xdr:cNvSpPr txBox="1"/>
      </xdr:nvSpPr>
      <xdr:spPr>
        <a:xfrm>
          <a:off x="762000" y="8420100"/>
          <a:ext cx="7610475" cy="72771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HINTS</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a:t>Teams whose ranking is not clear appear in red in the group table.</a:t>
          </a:r>
        </a:p>
        <a:p>
          <a:endParaRPr lang="de-DE" sz="1400">
            <a:effectLst/>
          </a:endParaRPr>
        </a:p>
        <a:p>
          <a:r>
            <a:rPr lang="de-DE" sz="1400" b="1" baseline="0">
              <a:solidFill>
                <a:schemeClr val="tx1">
                  <a:lumMod val="65000"/>
                  <a:lumOff val="35000"/>
                </a:schemeClr>
              </a:solidFill>
              <a:effectLst/>
              <a:latin typeface="+mn-lt"/>
              <a:ea typeface="+mn-ea"/>
              <a:cs typeface="+mn-cs"/>
            </a:rPr>
            <a:t>2.</a:t>
          </a:r>
          <a:endParaRPr lang="de-DE" sz="1400">
            <a:solidFill>
              <a:schemeClr val="tx1">
                <a:lumMod val="65000"/>
                <a:lumOff val="35000"/>
              </a:schemeClr>
            </a:solidFill>
            <a:effectLst/>
          </a:endParaRPr>
        </a:p>
        <a:p>
          <a:r>
            <a:rPr lang="de-DE" sz="1400">
              <a:solidFill>
                <a:schemeClr val="dk1"/>
              </a:solidFill>
              <a:effectLst/>
              <a:latin typeface="+mn-lt"/>
              <a:ea typeface="+mn-ea"/>
              <a:cs typeface="+mn-cs"/>
            </a:rPr>
            <a:t>The ranking of the teams within a group is determined according to the following criteria</a:t>
          </a:r>
          <a:r>
            <a:rPr lang="de-DE" sz="1400" b="0" baseline="0">
              <a:solidFill>
                <a:schemeClr val="dk1"/>
              </a:solidFill>
              <a:effectLst/>
              <a:latin typeface="+mn-lt"/>
              <a:ea typeface="+mn-ea"/>
              <a:cs typeface="+mn-cs"/>
            </a:rPr>
            <a:t>:</a:t>
          </a:r>
        </a:p>
        <a:p>
          <a:endParaRPr lang="de-DE" sz="800">
            <a:effectLst/>
          </a:endParaRPr>
        </a:p>
        <a:p>
          <a:r>
            <a:rPr lang="de-DE" sz="1200" b="1" baseline="0">
              <a:solidFill>
                <a:schemeClr val="dk1"/>
              </a:solidFill>
              <a:effectLst/>
              <a:latin typeface="+mn-lt"/>
              <a:ea typeface="+mn-ea"/>
              <a:cs typeface="+mn-cs"/>
            </a:rPr>
            <a:t>Criteria:</a:t>
          </a:r>
        </a:p>
        <a:p>
          <a:endParaRPr lang="de-DE" sz="400">
            <a:effectLst/>
          </a:endParaRPr>
        </a:p>
        <a:p>
          <a:r>
            <a:rPr lang="de-DE" sz="1100">
              <a:solidFill>
                <a:schemeClr val="dk1"/>
              </a:solidFill>
              <a:effectLst/>
              <a:latin typeface="+mn-lt"/>
              <a:ea typeface="+mn-ea"/>
              <a:cs typeface="+mn-cs"/>
            </a:rPr>
            <a:t>1. Number of points or number of sets won</a:t>
          </a:r>
          <a:r>
            <a:rPr lang="de-DE" sz="1100" baseline="0">
              <a:solidFill>
                <a:schemeClr val="dk1"/>
              </a:solidFill>
              <a:effectLst/>
              <a:latin typeface="+mn-lt"/>
              <a:ea typeface="+mn-ea"/>
              <a:cs typeface="+mn-cs"/>
            </a:rPr>
            <a:t> (adjustable)</a:t>
          </a:r>
          <a:endParaRPr lang="de-DE">
            <a:effectLst/>
          </a:endParaRPr>
        </a:p>
        <a:p>
          <a:r>
            <a:rPr lang="de-DE" sz="1100">
              <a:solidFill>
                <a:schemeClr val="dk1"/>
              </a:solidFill>
              <a:effectLst/>
              <a:latin typeface="+mn-lt"/>
              <a:ea typeface="+mn-ea"/>
              <a:cs typeface="+mn-cs"/>
            </a:rPr>
            <a:t>2. Set difference (adjustable YES/NO)</a:t>
          </a:r>
          <a:endParaRPr lang="de-DE">
            <a:effectLst/>
          </a:endParaRPr>
        </a:p>
        <a:p>
          <a:r>
            <a:rPr lang="de-DE" sz="1100">
              <a:solidFill>
                <a:schemeClr val="dk1"/>
              </a:solidFill>
              <a:effectLst/>
              <a:latin typeface="+mn-lt"/>
              <a:ea typeface="+mn-ea"/>
              <a:cs typeface="+mn-cs"/>
            </a:rPr>
            <a:t>3.   Number of sets won (adjustable YES/NO)</a:t>
          </a:r>
          <a:endParaRPr lang="de-DE">
            <a:effectLst/>
          </a:endParaRPr>
        </a:p>
        <a:p>
          <a:r>
            <a:rPr lang="de-DE" sz="1100">
              <a:solidFill>
                <a:schemeClr val="dk1"/>
              </a:solidFill>
              <a:effectLst/>
              <a:latin typeface="+mn-lt"/>
              <a:ea typeface="+mn-ea"/>
              <a:cs typeface="+mn-cs"/>
            </a:rPr>
            <a:t>      (Only makes sense if the number of points is the first criterion)</a:t>
          </a:r>
          <a:endParaRPr lang="de-DE">
            <a:effectLst/>
          </a:endParaRPr>
        </a:p>
        <a:p>
          <a:r>
            <a:rPr lang="de-DE" sz="1100">
              <a:solidFill>
                <a:schemeClr val="dk1"/>
              </a:solidFill>
              <a:effectLst/>
              <a:latin typeface="+mn-lt"/>
              <a:ea typeface="+mn-ea"/>
              <a:cs typeface="+mn-cs"/>
            </a:rPr>
            <a:t>4. Ball difference or ball quotient (adjustable)</a:t>
          </a:r>
          <a:endParaRPr lang="de-DE">
            <a:effectLst/>
          </a:endParaRPr>
        </a:p>
        <a:p>
          <a:r>
            <a:rPr lang="de-DE" sz="1100">
              <a:solidFill>
                <a:schemeClr val="dk1"/>
              </a:solidFill>
              <a:effectLst/>
              <a:latin typeface="+mn-lt"/>
              <a:ea typeface="+mn-ea"/>
              <a:cs typeface="+mn-cs"/>
            </a:rPr>
            <a:t>5. Number of sets won from the driect comparison</a:t>
          </a:r>
          <a:endParaRPr lang="de-DE">
            <a:effectLst/>
          </a:endParaRPr>
        </a:p>
        <a:p>
          <a:r>
            <a:rPr lang="de-DE" sz="1100">
              <a:solidFill>
                <a:schemeClr val="dk1"/>
              </a:solidFill>
              <a:effectLst/>
              <a:latin typeface="+mn-lt"/>
              <a:ea typeface="+mn-ea"/>
              <a:cs typeface="+mn-cs"/>
            </a:rPr>
            <a:t>6. Ball</a:t>
          </a:r>
          <a:r>
            <a:rPr lang="de-DE" sz="1100" baseline="0">
              <a:solidFill>
                <a:schemeClr val="dk1"/>
              </a:solidFill>
              <a:effectLst/>
              <a:latin typeface="+mn-lt"/>
              <a:ea typeface="+mn-ea"/>
              <a:cs typeface="+mn-cs"/>
            </a:rPr>
            <a:t> difference from the direct compar</a:t>
          </a:r>
          <a:r>
            <a:rPr lang="de-DE" sz="1100">
              <a:solidFill>
                <a:schemeClr val="dk1"/>
              </a:solidFill>
              <a:effectLst/>
              <a:latin typeface="+mn-lt"/>
              <a:ea typeface="+mn-ea"/>
              <a:cs typeface="+mn-cs"/>
            </a:rPr>
            <a:t>ison</a:t>
          </a:r>
          <a:endParaRPr lang="de-DE">
            <a:effectLst/>
          </a:endParaRPr>
        </a:p>
        <a:p>
          <a:r>
            <a:rPr lang="de-DE" sz="1100">
              <a:solidFill>
                <a:schemeClr val="dk1"/>
              </a:solidFill>
              <a:effectLst/>
              <a:latin typeface="+mn-lt"/>
              <a:ea typeface="+mn-ea"/>
              <a:cs typeface="+mn-cs"/>
            </a:rPr>
            <a:t>7. Drawing</a:t>
          </a:r>
          <a:r>
            <a:rPr lang="de-DE" sz="1100" baseline="0">
              <a:solidFill>
                <a:schemeClr val="dk1"/>
              </a:solidFill>
              <a:effectLst/>
              <a:latin typeface="+mn-lt"/>
              <a:ea typeface="+mn-ea"/>
              <a:cs typeface="+mn-cs"/>
            </a:rPr>
            <a:t> of lots or playoffs</a:t>
          </a:r>
          <a:endParaRPr lang="de-DE">
            <a:effectLst/>
          </a:endParaRPr>
        </a:p>
        <a:p>
          <a:endParaRPr lang="de-DE" sz="1400">
            <a:effectLst/>
          </a:endParaRPr>
        </a:p>
        <a:p>
          <a:r>
            <a:rPr lang="de-DE" sz="1400" b="1" baseline="0">
              <a:solidFill>
                <a:schemeClr val="tx1">
                  <a:lumMod val="65000"/>
                  <a:lumOff val="35000"/>
                </a:schemeClr>
              </a:solidFill>
              <a:effectLst/>
              <a:latin typeface="+mn-lt"/>
              <a:ea typeface="+mn-ea"/>
              <a:cs typeface="+mn-cs"/>
            </a:rPr>
            <a:t>3.</a:t>
          </a:r>
          <a:endParaRPr lang="de-DE" sz="1400">
            <a:solidFill>
              <a:schemeClr val="tx1">
                <a:lumMod val="65000"/>
                <a:lumOff val="35000"/>
              </a:schemeClr>
            </a:solidFill>
            <a:effectLst/>
          </a:endParaRPr>
        </a:p>
        <a:p>
          <a:r>
            <a:rPr lang="de-DE" sz="1400">
              <a:solidFill>
                <a:schemeClr val="dk1"/>
              </a:solidFill>
              <a:effectLst/>
              <a:latin typeface="+mn-lt"/>
              <a:ea typeface="+mn-ea"/>
              <a:cs typeface="+mn-cs"/>
            </a:rPr>
            <a:t>In the case of a direct comparison, it may be interesting to display the sheets </a:t>
          </a:r>
          <a:r>
            <a:rPr lang="de-DE" sz="1400" b="1">
              <a:solidFill>
                <a:schemeClr val="dk1"/>
              </a:solidFill>
              <a:effectLst/>
              <a:latin typeface="+mn-lt"/>
              <a:ea typeface="+mn-ea"/>
              <a:cs typeface="+mn-cs"/>
            </a:rPr>
            <a:t>'DirVergleich_A'</a:t>
          </a:r>
          <a:r>
            <a:rPr lang="de-DE" sz="1400">
              <a:solidFill>
                <a:schemeClr val="dk1"/>
              </a:solidFill>
              <a:effectLst/>
              <a:latin typeface="+mn-lt"/>
              <a:ea typeface="+mn-ea"/>
              <a:cs typeface="+mn-cs"/>
            </a:rPr>
            <a:t> </a:t>
          </a:r>
        </a:p>
        <a:p>
          <a:r>
            <a:rPr lang="de-DE" sz="1400">
              <a:solidFill>
                <a:schemeClr val="dk1"/>
              </a:solidFill>
              <a:effectLst/>
              <a:latin typeface="+mn-lt"/>
              <a:ea typeface="+mn-ea"/>
              <a:cs typeface="+mn-cs"/>
            </a:rPr>
            <a:t>and </a:t>
          </a:r>
          <a:r>
            <a:rPr lang="de-DE" sz="1400" b="1">
              <a:solidFill>
                <a:schemeClr val="dk1"/>
              </a:solidFill>
              <a:effectLst/>
              <a:latin typeface="+mn-lt"/>
              <a:ea typeface="+mn-ea"/>
              <a:cs typeface="+mn-cs"/>
            </a:rPr>
            <a:t>'DirVergleich_B' </a:t>
          </a:r>
          <a:r>
            <a:rPr lang="de-DE" sz="1400">
              <a:solidFill>
                <a:schemeClr val="dk1"/>
              </a:solidFill>
              <a:effectLst/>
              <a:latin typeface="+mn-lt"/>
              <a:ea typeface="+mn-ea"/>
              <a:cs typeface="+mn-cs"/>
            </a:rPr>
            <a:t>in order to view the tables for the direct encounters in the event of a tie in </a:t>
          </a:r>
        </a:p>
        <a:p>
          <a:r>
            <a:rPr lang="de-DE" sz="1400">
              <a:solidFill>
                <a:schemeClr val="dk1"/>
              </a:solidFill>
              <a:effectLst/>
              <a:latin typeface="+mn-lt"/>
              <a:ea typeface="+mn-ea"/>
              <a:cs typeface="+mn-cs"/>
            </a:rPr>
            <a:t>criteria 1 and 2.</a:t>
          </a:r>
        </a:p>
        <a:p>
          <a:endParaRPr lang="de-DE" sz="1400">
            <a:effectLst/>
          </a:endParaRPr>
        </a:p>
        <a:p>
          <a:r>
            <a:rPr lang="de-DE" sz="1400" b="1" baseline="0">
              <a:solidFill>
                <a:schemeClr val="tx1">
                  <a:lumMod val="65000"/>
                  <a:lumOff val="35000"/>
                </a:schemeClr>
              </a:solidFill>
              <a:effectLst/>
              <a:latin typeface="+mn-lt"/>
              <a:ea typeface="+mn-ea"/>
              <a:cs typeface="+mn-cs"/>
            </a:rPr>
            <a:t>4.</a:t>
          </a:r>
          <a:endParaRPr lang="de-DE" sz="1400">
            <a:solidFill>
              <a:schemeClr val="tx1">
                <a:lumMod val="65000"/>
                <a:lumOff val="35000"/>
              </a:schemeClr>
            </a:solidFill>
            <a:effectLst/>
          </a:endParaRPr>
        </a:p>
        <a:p>
          <a:r>
            <a:rPr lang="de-DE" sz="1400">
              <a:solidFill>
                <a:schemeClr val="dk1"/>
              </a:solidFill>
              <a:effectLst/>
              <a:latin typeface="+mn-lt"/>
              <a:ea typeface="+mn-ea"/>
              <a:cs typeface="+mn-cs"/>
            </a:rPr>
            <a:t>In the rare case of a tie in criteria 1 to 4, a playoff match can be entered on the </a:t>
          </a:r>
          <a:r>
            <a:rPr lang="de-DE" sz="1400" b="1">
              <a:solidFill>
                <a:schemeClr val="dk1"/>
              </a:solidFill>
              <a:effectLst/>
              <a:latin typeface="+mn-lt"/>
              <a:ea typeface="+mn-ea"/>
              <a:cs typeface="+mn-cs"/>
            </a:rPr>
            <a:t>'Playoffs'</a:t>
          </a:r>
          <a:r>
            <a:rPr lang="de-DE" sz="1400">
              <a:solidFill>
                <a:schemeClr val="dk1"/>
              </a:solidFill>
              <a:effectLst/>
              <a:latin typeface="+mn-lt"/>
              <a:ea typeface="+mn-ea"/>
              <a:cs typeface="+mn-cs"/>
            </a:rPr>
            <a:t> sheet or, in the case of a draw, a bonus point can be entered for the favored team on the </a:t>
          </a:r>
          <a:r>
            <a:rPr lang="de-DE" sz="1400" b="1">
              <a:solidFill>
                <a:schemeClr val="dk1"/>
              </a:solidFill>
              <a:effectLst/>
              <a:latin typeface="+mn-lt"/>
              <a:ea typeface="+mn-ea"/>
              <a:cs typeface="+mn-cs"/>
            </a:rPr>
            <a:t>'Vorrunde' </a:t>
          </a:r>
          <a:r>
            <a:rPr lang="de-DE" sz="1400">
              <a:solidFill>
                <a:schemeClr val="dk1"/>
              </a:solidFill>
              <a:effectLst/>
              <a:latin typeface="+mn-lt"/>
              <a:ea typeface="+mn-ea"/>
              <a:cs typeface="+mn-cs"/>
            </a:rPr>
            <a:t>or </a:t>
          </a:r>
          <a:br>
            <a:rPr lang="de-DE" sz="1400">
              <a:solidFill>
                <a:schemeClr val="dk1"/>
              </a:solidFill>
              <a:effectLst/>
              <a:latin typeface="+mn-lt"/>
              <a:ea typeface="+mn-ea"/>
              <a:cs typeface="+mn-cs"/>
            </a:rPr>
          </a:br>
          <a:r>
            <a:rPr lang="de-DE" sz="1400" b="1">
              <a:solidFill>
                <a:schemeClr val="dk1"/>
              </a:solidFill>
              <a:effectLst/>
              <a:latin typeface="+mn-lt"/>
              <a:ea typeface="+mn-ea"/>
              <a:cs typeface="+mn-cs"/>
            </a:rPr>
            <a:t>'Endrunde 4' </a:t>
          </a:r>
          <a:r>
            <a:rPr lang="de-DE" sz="1400">
              <a:solidFill>
                <a:schemeClr val="dk1"/>
              </a:solidFill>
              <a:effectLst/>
              <a:latin typeface="+mn-lt"/>
              <a:ea typeface="+mn-ea"/>
              <a:cs typeface="+mn-cs"/>
            </a:rPr>
            <a:t>sheet.</a:t>
          </a:r>
          <a:endParaRPr lang="de-DE" sz="1400">
            <a:effectLst/>
          </a:endParaRPr>
        </a:p>
        <a:p>
          <a:endParaRPr lang="de-DE" sz="1400" b="0" baseline="0">
            <a:solidFill>
              <a:schemeClr val="dk1"/>
            </a:solidFill>
            <a:effectLst/>
            <a:latin typeface="+mn-lt"/>
            <a:ea typeface="+mn-ea"/>
            <a:cs typeface="+mn-cs"/>
          </a:endParaRPr>
        </a:p>
        <a:p>
          <a:pPr marL="0" indent="0"/>
          <a:r>
            <a:rPr lang="de-DE" sz="1400" b="1" baseline="0">
              <a:solidFill>
                <a:schemeClr val="tx1">
                  <a:lumMod val="65000"/>
                  <a:lumOff val="35000"/>
                </a:schemeClr>
              </a:solidFill>
              <a:effectLst/>
              <a:latin typeface="+mn-lt"/>
              <a:ea typeface="+mn-ea"/>
              <a:cs typeface="+mn-cs"/>
            </a:rPr>
            <a:t>5.</a:t>
          </a:r>
        </a:p>
        <a:p>
          <a:r>
            <a:rPr lang="de-DE" sz="1400"/>
            <a:t>If you want to change the game pairings, you can display the </a:t>
          </a:r>
          <a:r>
            <a:rPr lang="de-DE" sz="1400" b="1"/>
            <a:t>'Pairings'</a:t>
          </a:r>
          <a:r>
            <a:rPr lang="de-DE" sz="1400"/>
            <a:t> sheet and make the desired changes there.</a:t>
          </a:r>
          <a:endParaRPr lang="de-DE" sz="1400" b="0" baseline="0">
            <a:solidFill>
              <a:schemeClr val="dk1"/>
            </a:solidFill>
            <a:effectLst/>
            <a:latin typeface="+mn-lt"/>
            <a:ea typeface="+mn-ea"/>
            <a:cs typeface="+mn-cs"/>
          </a:endParaRPr>
        </a:p>
      </xdr:txBody>
    </xdr:sp>
    <xdr:clientData/>
  </xdr:twoCellAnchor>
  <xdr:twoCellAnchor>
    <xdr:from>
      <xdr:col>12</xdr:col>
      <xdr:colOff>0</xdr:colOff>
      <xdr:row>52</xdr:row>
      <xdr:rowOff>0</xdr:rowOff>
    </xdr:from>
    <xdr:to>
      <xdr:col>21</xdr:col>
      <xdr:colOff>752475</xdr:colOff>
      <xdr:row>96</xdr:row>
      <xdr:rowOff>152400</xdr:rowOff>
    </xdr:to>
    <xdr:sp macro="" textlink="">
      <xdr:nvSpPr>
        <xdr:cNvPr id="5" name="Textfeld 4">
          <a:extLst>
            <a:ext uri="{FF2B5EF4-FFF2-40B4-BE49-F238E27FC236}">
              <a16:creationId xmlns:a16="http://schemas.microsoft.com/office/drawing/2014/main" id="{E8CF145D-56F3-40A1-BB86-CDC108D2B59A}"/>
            </a:ext>
          </a:extLst>
        </xdr:cNvPr>
        <xdr:cNvSpPr txBox="1"/>
      </xdr:nvSpPr>
      <xdr:spPr>
        <a:xfrm>
          <a:off x="9144000" y="8420100"/>
          <a:ext cx="7610475" cy="72771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HINWEISE</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b="0" baseline="0">
              <a:solidFill>
                <a:schemeClr val="dk1"/>
              </a:solidFill>
              <a:effectLst/>
              <a:latin typeface="+mn-lt"/>
              <a:ea typeface="+mn-ea"/>
              <a:cs typeface="+mn-cs"/>
            </a:rPr>
            <a:t>Teams, deren Rangfolge nicht eindeutig geklärt ist, erscheinen in der Gruppentabelle in roter Schrift.</a:t>
          </a:r>
          <a:endParaRPr lang="de-DE" sz="1400">
            <a:effectLst/>
          </a:endParaRPr>
        </a:p>
        <a:p>
          <a:endParaRPr lang="de-DE" sz="1400">
            <a:effectLst/>
          </a:endParaRPr>
        </a:p>
        <a:p>
          <a:r>
            <a:rPr lang="de-DE" sz="1400" b="1" baseline="0">
              <a:solidFill>
                <a:schemeClr val="tx1">
                  <a:lumMod val="65000"/>
                  <a:lumOff val="35000"/>
                </a:schemeClr>
              </a:solidFill>
              <a:effectLst/>
              <a:latin typeface="+mn-lt"/>
              <a:ea typeface="+mn-ea"/>
              <a:cs typeface="+mn-cs"/>
            </a:rPr>
            <a:t>2.</a:t>
          </a:r>
          <a:endParaRPr lang="de-DE" sz="1400">
            <a:solidFill>
              <a:schemeClr val="tx1">
                <a:lumMod val="65000"/>
                <a:lumOff val="35000"/>
              </a:schemeClr>
            </a:solidFill>
            <a:effectLst/>
          </a:endParaRPr>
        </a:p>
        <a:p>
          <a:r>
            <a:rPr lang="de-DE" sz="1400" b="0" baseline="0">
              <a:solidFill>
                <a:schemeClr val="dk1"/>
              </a:solidFill>
              <a:effectLst/>
              <a:latin typeface="+mn-lt"/>
              <a:ea typeface="+mn-ea"/>
              <a:cs typeface="+mn-cs"/>
            </a:rPr>
            <a:t>Die Rangreihenfolge der Teams innerhalb einer Gruppe wird nach folgenden Kriterien bestimmt:</a:t>
          </a:r>
        </a:p>
        <a:p>
          <a:endParaRPr lang="de-DE" sz="800">
            <a:effectLst/>
          </a:endParaRPr>
        </a:p>
        <a:p>
          <a:r>
            <a:rPr lang="de-DE" sz="1200" b="1" baseline="0">
              <a:solidFill>
                <a:schemeClr val="dk1"/>
              </a:solidFill>
              <a:effectLst/>
              <a:latin typeface="+mn-lt"/>
              <a:ea typeface="+mn-ea"/>
              <a:cs typeface="+mn-cs"/>
            </a:rPr>
            <a:t>Kriterien:</a:t>
          </a:r>
        </a:p>
        <a:p>
          <a:endParaRPr lang="de-DE" sz="4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Anzahl der Punkte oder Anzahl der gewonnenen Sätze (einstellbar)</a:t>
          </a:r>
          <a:endParaRPr lang="de-DE">
            <a:effectLst/>
          </a:endParaRPr>
        </a:p>
        <a:p>
          <a:r>
            <a:rPr lang="de-DE" sz="1100" baseline="0">
              <a:solidFill>
                <a:schemeClr val="dk1"/>
              </a:solidFill>
              <a:effectLst/>
              <a:latin typeface="+mn-lt"/>
              <a:ea typeface="+mn-ea"/>
              <a:cs typeface="+mn-cs"/>
            </a:rPr>
            <a:t>2.   Satz</a:t>
          </a:r>
          <a:r>
            <a:rPr lang="de-DE" sz="1100">
              <a:solidFill>
                <a:schemeClr val="dk1"/>
              </a:solidFill>
              <a:effectLst/>
              <a:latin typeface="+mn-lt"/>
              <a:ea typeface="+mn-ea"/>
              <a:cs typeface="+mn-cs"/>
            </a:rPr>
            <a:t>differenz (JA/NEIN einstellbar)</a:t>
          </a:r>
          <a:endParaRPr lang="de-DE">
            <a:effectLst/>
          </a:endParaRPr>
        </a:p>
        <a:p>
          <a:r>
            <a:rPr lang="de-DE" sz="1100">
              <a:solidFill>
                <a:schemeClr val="dk1"/>
              </a:solidFill>
              <a:effectLst/>
              <a:latin typeface="+mn-lt"/>
              <a:ea typeface="+mn-ea"/>
              <a:cs typeface="+mn-cs"/>
            </a:rPr>
            <a:t>3.   Anzahl gewonnener Sätze (JA/NEIN einstellbar)</a:t>
          </a:r>
          <a:endParaRPr lang="de-DE">
            <a:effectLst/>
          </a:endParaRPr>
        </a:p>
        <a:p>
          <a:r>
            <a:rPr lang="de-DE" sz="1100">
              <a:solidFill>
                <a:schemeClr val="dk1"/>
              </a:solidFill>
              <a:effectLst/>
              <a:latin typeface="+mn-lt"/>
              <a:ea typeface="+mn-ea"/>
              <a:cs typeface="+mn-cs"/>
            </a:rPr>
            <a:t>       (nur sinnvoll, wenn die Anzahl der Punkte das erste Kriterium ist)</a:t>
          </a:r>
          <a:endParaRPr lang="de-DE">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Balldifferenz oder Ballquotient (einstellbar)</a:t>
          </a:r>
          <a:endParaRPr lang="de-DE">
            <a:effectLst/>
          </a:endParaRPr>
        </a:p>
        <a:p>
          <a:pPr eaLnBrk="1" fontAlgn="auto" latinLnBrk="0" hangingPunct="1"/>
          <a:r>
            <a:rPr lang="de-DE" sz="1100" baseline="0">
              <a:solidFill>
                <a:schemeClr val="dk1"/>
              </a:solidFill>
              <a:effectLst/>
              <a:latin typeface="+mn-lt"/>
              <a:ea typeface="+mn-ea"/>
              <a:cs typeface="+mn-cs"/>
            </a:rPr>
            <a:t>5.   </a:t>
          </a:r>
          <a:r>
            <a:rPr lang="de-DE" sz="1100">
              <a:solidFill>
                <a:schemeClr val="dk1"/>
              </a:solidFill>
              <a:effectLst/>
              <a:latin typeface="+mn-lt"/>
              <a:ea typeface="+mn-ea"/>
              <a:cs typeface="+mn-cs"/>
            </a:rPr>
            <a:t>Anzahl der gewonnenen Sätze aus dem direkten Vergleich</a:t>
          </a:r>
          <a:endParaRPr lang="de-DE">
            <a:effectLst/>
          </a:endParaRPr>
        </a:p>
        <a:p>
          <a:pPr eaLnBrk="1" fontAlgn="auto" latinLnBrk="0" hangingPunct="1"/>
          <a:r>
            <a:rPr lang="de-DE" sz="1100">
              <a:solidFill>
                <a:schemeClr val="dk1"/>
              </a:solidFill>
              <a:effectLst/>
              <a:latin typeface="+mn-lt"/>
              <a:ea typeface="+mn-ea"/>
              <a:cs typeface="+mn-cs"/>
            </a:rPr>
            <a:t>6.   Balldifferenz aus dem direkten Vergleich</a:t>
          </a:r>
          <a:endParaRPr lang="de-DE">
            <a:effectLst/>
          </a:endParaRPr>
        </a:p>
        <a:p>
          <a:r>
            <a:rPr lang="de-DE" sz="1100" baseline="0">
              <a:solidFill>
                <a:schemeClr val="dk1"/>
              </a:solidFill>
              <a:effectLst/>
              <a:latin typeface="+mn-lt"/>
              <a:ea typeface="+mn-ea"/>
              <a:cs typeface="+mn-cs"/>
            </a:rPr>
            <a:t>7.   Losentscheid oder Entscheidungsspiel</a:t>
          </a:r>
          <a:endParaRPr lang="de-DE">
            <a:effectLst/>
          </a:endParaRPr>
        </a:p>
        <a:p>
          <a:endParaRPr lang="de-DE" sz="1400">
            <a:effectLst/>
          </a:endParaRPr>
        </a:p>
        <a:p>
          <a:r>
            <a:rPr lang="de-DE" sz="1400" b="1" baseline="0">
              <a:solidFill>
                <a:schemeClr val="tx1">
                  <a:lumMod val="65000"/>
                  <a:lumOff val="35000"/>
                </a:schemeClr>
              </a:solidFill>
              <a:effectLst/>
              <a:latin typeface="+mn-lt"/>
              <a:ea typeface="+mn-ea"/>
              <a:cs typeface="+mn-cs"/>
            </a:rPr>
            <a:t>3.</a:t>
          </a:r>
          <a:endParaRPr lang="de-DE" sz="1400">
            <a:solidFill>
              <a:schemeClr val="tx1">
                <a:lumMod val="65000"/>
                <a:lumOff val="35000"/>
              </a:schemeClr>
            </a:solidFill>
            <a:effectLst/>
          </a:endParaRPr>
        </a:p>
        <a:p>
          <a:r>
            <a:rPr lang="de-DE" sz="1400" b="0" baseline="0">
              <a:solidFill>
                <a:schemeClr val="dk1"/>
              </a:solidFill>
              <a:effectLst/>
              <a:latin typeface="+mn-lt"/>
              <a:ea typeface="+mn-ea"/>
              <a:cs typeface="+mn-cs"/>
            </a:rPr>
            <a:t>Im Fall eines direkten Vergleichs kann es interessant sein, die Tabellenblätter </a:t>
          </a:r>
          <a:r>
            <a:rPr lang="de-DE" sz="1400" b="1" baseline="0">
              <a:solidFill>
                <a:schemeClr val="dk1"/>
              </a:solidFill>
              <a:effectLst/>
              <a:latin typeface="+mn-lt"/>
              <a:ea typeface="+mn-ea"/>
              <a:cs typeface="+mn-cs"/>
            </a:rPr>
            <a:t>'DirVergleich_A'</a:t>
          </a:r>
          <a:r>
            <a:rPr lang="de-DE" sz="1400" b="0" baseline="0">
              <a:solidFill>
                <a:schemeClr val="dk1"/>
              </a:solidFill>
              <a:effectLst/>
              <a:latin typeface="+mn-lt"/>
              <a:ea typeface="+mn-ea"/>
              <a:cs typeface="+mn-cs"/>
            </a:rPr>
            <a:t> und </a:t>
          </a:r>
          <a:r>
            <a:rPr lang="de-DE" sz="1400" b="1" baseline="0">
              <a:solidFill>
                <a:schemeClr val="dk1"/>
              </a:solidFill>
              <a:effectLst/>
              <a:latin typeface="+mn-lt"/>
              <a:ea typeface="+mn-ea"/>
              <a:cs typeface="+mn-cs"/>
            </a:rPr>
            <a:t>'DirVergleich_B'</a:t>
          </a:r>
          <a:r>
            <a:rPr lang="de-DE" sz="1400" b="0" baseline="0">
              <a:solidFill>
                <a:schemeClr val="dk1"/>
              </a:solidFill>
              <a:effectLst/>
              <a:latin typeface="+mn-lt"/>
              <a:ea typeface="+mn-ea"/>
              <a:cs typeface="+mn-cs"/>
            </a:rPr>
            <a:t> einzublenden, um die Tabellen für die Direktbegegnungen bei Gleichstand in den Kriterien 1 und 2 anzuschauen.</a:t>
          </a:r>
        </a:p>
        <a:p>
          <a:endParaRPr lang="de-DE" sz="1400">
            <a:effectLst/>
          </a:endParaRPr>
        </a:p>
        <a:p>
          <a:r>
            <a:rPr lang="de-DE" sz="1400" b="1" baseline="0">
              <a:solidFill>
                <a:schemeClr val="tx1">
                  <a:lumMod val="65000"/>
                  <a:lumOff val="35000"/>
                </a:schemeClr>
              </a:solidFill>
              <a:effectLst/>
              <a:latin typeface="+mn-lt"/>
              <a:ea typeface="+mn-ea"/>
              <a:cs typeface="+mn-cs"/>
            </a:rPr>
            <a:t>4.</a:t>
          </a:r>
          <a:endParaRPr lang="de-DE" sz="1400">
            <a:solidFill>
              <a:schemeClr val="tx1">
                <a:lumMod val="65000"/>
                <a:lumOff val="35000"/>
              </a:schemeClr>
            </a:solidFill>
            <a:effectLst/>
          </a:endParaRPr>
        </a:p>
        <a:p>
          <a:r>
            <a:rPr lang="de-DE" sz="1400" b="0" baseline="0">
              <a:solidFill>
                <a:schemeClr val="dk1"/>
              </a:solidFill>
              <a:effectLst/>
              <a:latin typeface="+mn-lt"/>
              <a:ea typeface="+mn-ea"/>
              <a:cs typeface="+mn-cs"/>
            </a:rPr>
            <a:t>Im seltenen Fall eines Gleichstands der Kriterien 1 bis 4 kann man auf dem Tabellenblatt </a:t>
          </a:r>
          <a:r>
            <a:rPr lang="de-DE" sz="1400" b="1" baseline="0">
              <a:solidFill>
                <a:schemeClr val="dk1"/>
              </a:solidFill>
              <a:effectLst/>
              <a:latin typeface="+mn-lt"/>
              <a:ea typeface="+mn-ea"/>
              <a:cs typeface="+mn-cs"/>
            </a:rPr>
            <a:t>'Playoffs'</a:t>
          </a:r>
          <a:r>
            <a:rPr lang="de-DE" sz="1400" b="0" baseline="0">
              <a:solidFill>
                <a:schemeClr val="dk1"/>
              </a:solidFill>
              <a:effectLst/>
              <a:latin typeface="+mn-lt"/>
              <a:ea typeface="+mn-ea"/>
              <a:cs typeface="+mn-cs"/>
            </a:rPr>
            <a:t> ein Entscheidungsspiel oder im Fall eines Losentscheids auf den Tabellenblättern </a:t>
          </a:r>
          <a:r>
            <a:rPr lang="de-DE" sz="1400" b="1" baseline="0">
              <a:solidFill>
                <a:schemeClr val="dk1"/>
              </a:solidFill>
              <a:effectLst/>
              <a:latin typeface="+mn-lt"/>
              <a:ea typeface="+mn-ea"/>
              <a:cs typeface="+mn-cs"/>
            </a:rPr>
            <a:t>'Vorrunde'</a:t>
          </a:r>
          <a:r>
            <a:rPr lang="de-DE" sz="1400" b="0" baseline="0">
              <a:solidFill>
                <a:schemeClr val="dk1"/>
              </a:solidFill>
              <a:effectLst/>
              <a:latin typeface="+mn-lt"/>
              <a:ea typeface="+mn-ea"/>
              <a:cs typeface="+mn-cs"/>
            </a:rPr>
            <a:t> bzw. </a:t>
          </a:r>
          <a:r>
            <a:rPr lang="de-DE" sz="1400" b="1" baseline="0">
              <a:solidFill>
                <a:schemeClr val="dk1"/>
              </a:solidFill>
              <a:effectLst/>
              <a:latin typeface="+mn-lt"/>
              <a:ea typeface="+mn-ea"/>
              <a:cs typeface="+mn-cs"/>
            </a:rPr>
            <a:t>'Endrunde 4' </a:t>
          </a:r>
          <a:r>
            <a:rPr lang="de-DE" sz="1400" b="0" baseline="0">
              <a:solidFill>
                <a:schemeClr val="dk1"/>
              </a:solidFill>
              <a:effectLst/>
              <a:latin typeface="+mn-lt"/>
              <a:ea typeface="+mn-ea"/>
              <a:cs typeface="+mn-cs"/>
            </a:rPr>
            <a:t>einen Bonuspunkt für das begünstigte Team eintragen.</a:t>
          </a:r>
          <a:endParaRPr lang="de-DE" sz="1400">
            <a:effectLst/>
          </a:endParaRPr>
        </a:p>
        <a:p>
          <a:endParaRPr lang="de-DE" sz="1400" b="0" baseline="0">
            <a:solidFill>
              <a:schemeClr val="dk1"/>
            </a:solidFill>
            <a:effectLst/>
            <a:latin typeface="+mn-lt"/>
            <a:ea typeface="+mn-ea"/>
            <a:cs typeface="+mn-cs"/>
          </a:endParaRPr>
        </a:p>
        <a:p>
          <a:pPr marL="0" indent="0"/>
          <a:r>
            <a:rPr lang="de-DE" sz="1400" b="1" baseline="0">
              <a:solidFill>
                <a:schemeClr val="tx1">
                  <a:lumMod val="65000"/>
                  <a:lumOff val="35000"/>
                </a:schemeClr>
              </a:solidFill>
              <a:effectLst/>
              <a:latin typeface="+mn-lt"/>
              <a:ea typeface="+mn-ea"/>
              <a:cs typeface="+mn-cs"/>
            </a:rPr>
            <a:t>5.</a:t>
          </a:r>
        </a:p>
        <a:p>
          <a:r>
            <a:rPr lang="de-DE" sz="1400" b="0" baseline="0">
              <a:solidFill>
                <a:schemeClr val="dk1"/>
              </a:solidFill>
              <a:effectLst/>
              <a:latin typeface="+mn-lt"/>
              <a:ea typeface="+mn-ea"/>
              <a:cs typeface="+mn-cs"/>
            </a:rPr>
            <a:t>Wer die Spielpaarungen ändern möchte, kann das Tabellenblatt </a:t>
          </a:r>
          <a:r>
            <a:rPr lang="de-DE" sz="1400" b="1" baseline="0">
              <a:solidFill>
                <a:schemeClr val="dk1"/>
              </a:solidFill>
              <a:effectLst/>
              <a:latin typeface="+mn-lt"/>
              <a:ea typeface="+mn-ea"/>
              <a:cs typeface="+mn-cs"/>
            </a:rPr>
            <a:t>'Pairings'</a:t>
          </a:r>
          <a:r>
            <a:rPr lang="de-DE" sz="1400" b="0" baseline="0">
              <a:solidFill>
                <a:schemeClr val="dk1"/>
              </a:solidFill>
              <a:effectLst/>
              <a:latin typeface="+mn-lt"/>
              <a:ea typeface="+mn-ea"/>
              <a:cs typeface="+mn-cs"/>
            </a:rPr>
            <a:t> einblenden und dort die gewünschten Änderungen vornehmen.</a:t>
          </a:r>
        </a:p>
      </xdr:txBody>
    </xdr:sp>
    <xdr:clientData/>
  </xdr:twoCellAnchor>
  <xdr:twoCellAnchor>
    <xdr:from>
      <xdr:col>1</xdr:col>
      <xdr:colOff>0</xdr:colOff>
      <xdr:row>2</xdr:row>
      <xdr:rowOff>0</xdr:rowOff>
    </xdr:from>
    <xdr:to>
      <xdr:col>11</xdr:col>
      <xdr:colOff>2</xdr:colOff>
      <xdr:row>49</xdr:row>
      <xdr:rowOff>95250</xdr:rowOff>
    </xdr:to>
    <xdr:sp macro="" textlink="">
      <xdr:nvSpPr>
        <xdr:cNvPr id="2" name="Textfeld 1">
          <a:extLst>
            <a:ext uri="{FF2B5EF4-FFF2-40B4-BE49-F238E27FC236}">
              <a16:creationId xmlns:a16="http://schemas.microsoft.com/office/drawing/2014/main" id="{2E439136-7D89-484F-BF67-521CD6E43354}"/>
            </a:ext>
          </a:extLst>
        </xdr:cNvPr>
        <xdr:cNvSpPr txBox="1"/>
      </xdr:nvSpPr>
      <xdr:spPr>
        <a:xfrm>
          <a:off x="762000" y="323850"/>
          <a:ext cx="7620002" cy="7705725"/>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INSTRUCTIONS</a:t>
          </a:r>
        </a:p>
        <a:p>
          <a:endParaRPr lang="de-DE" sz="1400" b="1">
            <a:solidFill>
              <a:schemeClr val="tx1">
                <a:lumMod val="65000"/>
                <a:lumOff val="35000"/>
              </a:schemeClr>
            </a:solidFill>
          </a:endParaRPr>
        </a:p>
        <a:p>
          <a:r>
            <a:rPr lang="de-DE" sz="1400" b="1">
              <a:solidFill>
                <a:schemeClr val="tx1">
                  <a:lumMod val="65000"/>
                  <a:lumOff val="35000"/>
                </a:schemeClr>
              </a:solidFill>
            </a:rPr>
            <a:t>Step 1:</a:t>
          </a:r>
        </a:p>
        <a:p>
          <a:r>
            <a:rPr lang="de-DE" sz="1400"/>
            <a:t>On the '</a:t>
          </a:r>
          <a:r>
            <a:rPr lang="de-DE" sz="1400" b="1"/>
            <a:t>Planung</a:t>
          </a:r>
          <a:r>
            <a:rPr lang="de-DE" sz="1400"/>
            <a:t>' sheet, enter the names of the participants on the far left and the playing times on the right. The number of participants per group does not necessarily have to be the same. For example, it is also possible to play with a group of five and a group of four.</a:t>
          </a:r>
        </a:p>
        <a:p>
          <a:endParaRPr lang="de-DE" sz="1400" baseline="0">
            <a:solidFill>
              <a:schemeClr val="tx1">
                <a:lumMod val="65000"/>
                <a:lumOff val="35000"/>
              </a:schemeClr>
            </a:solidFill>
          </a:endParaRPr>
        </a:p>
        <a:p>
          <a:r>
            <a:rPr lang="de-DE" sz="1400"/>
            <a:t>If you would like an additional pause of 15 minutes after a certain game, enter the number 15 to the right of this game. All subsequent games then start 15 minutes later.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Step 2:</a:t>
          </a:r>
        </a:p>
        <a:p>
          <a:r>
            <a:rPr lang="de-DE" sz="1400"/>
            <a:t>Enter the game results on the </a:t>
          </a:r>
          <a:r>
            <a:rPr lang="de-DE" sz="1400" b="1"/>
            <a:t>'Vorrunde'</a:t>
          </a:r>
          <a:r>
            <a:rPr lang="de-DE" sz="1400"/>
            <a:t> sheet.</a:t>
          </a:r>
        </a:p>
        <a:p>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Step 3:</a:t>
          </a:r>
        </a:p>
        <a:p>
          <a:r>
            <a:rPr lang="de-DE" sz="1400">
              <a:solidFill>
                <a:schemeClr val="dk1"/>
              </a:solidFill>
              <a:effectLst/>
              <a:latin typeface="+mn-lt"/>
              <a:ea typeface="+mn-ea"/>
              <a:cs typeface="+mn-cs"/>
            </a:rPr>
            <a:t>Choose one of the four options for a final round </a:t>
          </a:r>
          <a:endParaRPr lang="de-DE" sz="1400">
            <a:effectLst/>
          </a:endParaRPr>
        </a:p>
        <a:p>
          <a:r>
            <a:rPr lang="de-DE" sz="1400">
              <a:solidFill>
                <a:schemeClr val="dk1"/>
              </a:solidFill>
              <a:effectLst/>
              <a:latin typeface="+mn-lt"/>
              <a:ea typeface="+mn-ea"/>
              <a:cs typeface="+mn-cs"/>
            </a:rPr>
            <a:t>(</a:t>
          </a:r>
          <a:r>
            <a:rPr lang="de-DE" sz="1400" b="1">
              <a:solidFill>
                <a:schemeClr val="dk1"/>
              </a:solidFill>
              <a:effectLst/>
              <a:latin typeface="+mn-lt"/>
              <a:ea typeface="+mn-ea"/>
              <a:cs typeface="+mn-cs"/>
            </a:rPr>
            <a:t>'Endrunde 1'</a:t>
          </a:r>
          <a:r>
            <a:rPr lang="de-DE" sz="1400">
              <a:solidFill>
                <a:schemeClr val="dk1"/>
              </a:solidFill>
              <a:effectLst/>
              <a:latin typeface="+mn-lt"/>
              <a:ea typeface="+mn-ea"/>
              <a:cs typeface="+mn-cs"/>
            </a:rPr>
            <a:t>, </a:t>
          </a:r>
          <a:r>
            <a:rPr lang="de-DE" sz="1400" b="1">
              <a:solidFill>
                <a:schemeClr val="dk1"/>
              </a:solidFill>
              <a:effectLst/>
              <a:latin typeface="+mn-lt"/>
              <a:ea typeface="+mn-ea"/>
              <a:cs typeface="+mn-cs"/>
            </a:rPr>
            <a:t>'Endrunde 2'</a:t>
          </a:r>
          <a:r>
            <a:rPr lang="de-DE" sz="1400">
              <a:solidFill>
                <a:schemeClr val="dk1"/>
              </a:solidFill>
              <a:effectLst/>
              <a:latin typeface="+mn-lt"/>
              <a:ea typeface="+mn-ea"/>
              <a:cs typeface="+mn-cs"/>
            </a:rPr>
            <a:t>, </a:t>
          </a:r>
          <a:r>
            <a:rPr lang="de-DE" sz="1400" b="1">
              <a:solidFill>
                <a:schemeClr val="dk1"/>
              </a:solidFill>
              <a:effectLst/>
              <a:latin typeface="+mn-lt"/>
              <a:ea typeface="+mn-ea"/>
              <a:cs typeface="+mn-cs"/>
            </a:rPr>
            <a:t>'Endrunde 3'</a:t>
          </a:r>
          <a:r>
            <a:rPr lang="de-DE" sz="1400">
              <a:solidFill>
                <a:schemeClr val="dk1"/>
              </a:solidFill>
              <a:effectLst/>
              <a:latin typeface="+mn-lt"/>
              <a:ea typeface="+mn-ea"/>
              <a:cs typeface="+mn-cs"/>
            </a:rPr>
            <a:t> or </a:t>
          </a:r>
          <a:r>
            <a:rPr lang="de-DE" sz="1400" b="1">
              <a:solidFill>
                <a:schemeClr val="dk1"/>
              </a:solidFill>
              <a:effectLst/>
              <a:latin typeface="+mn-lt"/>
              <a:ea typeface="+mn-ea"/>
              <a:cs typeface="+mn-cs"/>
            </a:rPr>
            <a:t>'Endrunde 4'</a:t>
          </a:r>
          <a:r>
            <a:rPr lang="de-DE" sz="1400">
              <a:solidFill>
                <a:schemeClr val="dk1"/>
              </a:solidFill>
              <a:effectLst/>
              <a:latin typeface="+mn-lt"/>
              <a:ea typeface="+mn-ea"/>
              <a:cs typeface="+mn-cs"/>
            </a:rPr>
            <a:t> sheet) </a:t>
          </a:r>
          <a:endParaRPr lang="de-DE" sz="1400">
            <a:effectLst/>
          </a:endParaRPr>
        </a:p>
        <a:p>
          <a:r>
            <a:rPr lang="de-DE" sz="1400">
              <a:solidFill>
                <a:schemeClr val="dk1"/>
              </a:solidFill>
              <a:effectLst/>
              <a:latin typeface="+mn-lt"/>
              <a:ea typeface="+mn-ea"/>
              <a:cs typeface="+mn-cs"/>
            </a:rPr>
            <a:t>and enter the results there.</a:t>
          </a:r>
          <a:endParaRPr lang="de-DE" sz="1400">
            <a:effectLst/>
          </a:endParaRPr>
        </a:p>
        <a:p>
          <a:pPr marL="0" indent="0"/>
          <a:endParaRPr lang="de-DE" sz="1400" b="0" baseline="0">
            <a:solidFill>
              <a:schemeClr val="tx1">
                <a:lumMod val="65000"/>
                <a:lumOff val="35000"/>
              </a:schemeClr>
            </a:solidFill>
            <a:latin typeface="+mn-lt"/>
            <a:ea typeface="+mn-ea"/>
            <a:cs typeface="+mn-cs"/>
          </a:endParaRPr>
        </a:p>
        <a:p>
          <a:pPr marL="0" indent="0"/>
          <a:r>
            <a:rPr lang="de-DE" sz="1400"/>
            <a:t>In </a:t>
          </a:r>
          <a:r>
            <a:rPr lang="de-DE" sz="1400" b="1"/>
            <a:t>'Endrunde 1'</a:t>
          </a:r>
          <a:r>
            <a:rPr lang="de-DE" sz="1400"/>
            <a:t> the two group winners play for first place and the two group runners-up play for </a:t>
          </a:r>
        </a:p>
        <a:p>
          <a:pPr marL="0" indent="0"/>
          <a:r>
            <a:rPr lang="de-DE" sz="1400"/>
            <a:t>3rd place, the two third-placed teams for 5th place, etc. </a:t>
          </a:r>
        </a:p>
        <a:p>
          <a:pPr marL="0" indent="0"/>
          <a:endParaRPr lang="de-DE" sz="1400"/>
        </a:p>
        <a:p>
          <a:pPr marL="0" indent="0"/>
          <a:r>
            <a:rPr lang="de-DE" sz="1400"/>
            <a:t>In </a:t>
          </a:r>
          <a:r>
            <a:rPr lang="de-DE" sz="1400" b="1"/>
            <a:t>'Endrunde 2'</a:t>
          </a:r>
          <a:r>
            <a:rPr lang="de-DE" sz="1400"/>
            <a:t> the first four places will be determined by a semi-final (group first and runners-up) and two finals, the other places as in "Finals 1".</a:t>
          </a:r>
        </a:p>
        <a:p>
          <a:pPr marL="0" indent="0"/>
          <a:endParaRPr lang="de-DE" sz="1400" b="0" baseline="0">
            <a:solidFill>
              <a:schemeClr val="tx1">
                <a:lumMod val="65000"/>
                <a:lumOff val="35000"/>
              </a:schemeClr>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3'</a:t>
          </a:r>
          <a:r>
            <a:rPr lang="de-DE" sz="1400" b="0" baseline="0">
              <a:solidFill>
                <a:sysClr val="windowText" lastClr="000000"/>
              </a:solidFill>
              <a:latin typeface="+mn-lt"/>
              <a:ea typeface="+mn-ea"/>
              <a:cs typeface="+mn-cs"/>
            </a:rPr>
            <a:t> the first four places will be determined by a semi-final (group first and group runners-up) and two finals.</a:t>
          </a:r>
        </a:p>
        <a:p>
          <a:pPr marL="0" indent="0"/>
          <a:endParaRPr lang="de-DE" sz="1400" b="0" baseline="0">
            <a:solidFill>
              <a:sysClr val="windowText" lastClr="000000"/>
            </a:solidFill>
            <a:latin typeface="+mn-lt"/>
            <a:ea typeface="+mn-ea"/>
            <a:cs typeface="+mn-cs"/>
          </a:endParaRPr>
        </a:p>
        <a:p>
          <a:r>
            <a:rPr lang="de-DE" sz="1400">
              <a:solidFill>
                <a:schemeClr val="dk1"/>
              </a:solidFill>
              <a:effectLst/>
              <a:latin typeface="+mn-lt"/>
              <a:ea typeface="+mn-ea"/>
              <a:cs typeface="+mn-cs"/>
            </a:rPr>
            <a:t>In </a:t>
          </a:r>
          <a:r>
            <a:rPr lang="de-DE" sz="1400" b="1">
              <a:solidFill>
                <a:schemeClr val="dk1"/>
              </a:solidFill>
              <a:effectLst/>
              <a:latin typeface="+mn-lt"/>
              <a:ea typeface="+mn-ea"/>
              <a:cs typeface="+mn-cs"/>
            </a:rPr>
            <a:t>'Endrunde 4'</a:t>
          </a:r>
          <a:r>
            <a:rPr lang="de-DE" sz="1400">
              <a:solidFill>
                <a:schemeClr val="dk1"/>
              </a:solidFill>
              <a:effectLst/>
              <a:latin typeface="+mn-lt"/>
              <a:ea typeface="+mn-ea"/>
              <a:cs typeface="+mn-cs"/>
            </a:rPr>
            <a:t> the two group winners and the two group runners-up play in a group of four against each other for places 1 to 4. The two third and the two fourth places play in the same way for places 5 to 8. The fifth and sixth in the group (if available) play in the same way for places 9 to 12.</a:t>
          </a:r>
          <a:endParaRPr lang="de-DE" sz="1400">
            <a:effectLst/>
          </a:endParaRPr>
        </a:p>
        <a:p>
          <a:r>
            <a:rPr lang="de-DE" sz="1400">
              <a:solidFill>
                <a:schemeClr val="dk1"/>
              </a:solidFill>
              <a:effectLst/>
              <a:latin typeface="+mn-lt"/>
              <a:ea typeface="+mn-ea"/>
              <a:cs typeface="+mn-cs"/>
            </a:rPr>
            <a:t>Can also be played with different numbers of teams per group.</a:t>
          </a:r>
        </a:p>
        <a:p>
          <a:endParaRPr lang="de-DE" sz="1400">
            <a:effectLst/>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mailto:mail@hermann-baum.de" TargetMode="External"/><Relationship Id="rId1" Type="http://schemas.openxmlformats.org/officeDocument/2006/relationships/hyperlink" Target="mailto:mail@hermann-baum.de" TargetMode="External"/><Relationship Id="rId4" Type="http://schemas.openxmlformats.org/officeDocument/2006/relationships/drawing" Target="../drawings/drawing8.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7F295-DFA2-4090-BB62-9C4F59712D4A}">
  <dimension ref="A1:AF79"/>
  <sheetViews>
    <sheetView showGridLines="0" showRowColHeaders="0" workbookViewId="0">
      <selection activeCell="C7" sqref="C7:C8"/>
    </sheetView>
  </sheetViews>
  <sheetFormatPr baseColWidth="10" defaultColWidth="0" defaultRowHeight="15.75" zeroHeight="1" x14ac:dyDescent="0.25"/>
  <cols>
    <col min="1" max="1" width="10.7109375" style="47" customWidth="1"/>
    <col min="2" max="2" width="6.7109375" style="47" customWidth="1"/>
    <col min="3" max="3" width="29.85546875" style="47" customWidth="1"/>
    <col min="4" max="4" width="11.42578125" style="47" customWidth="1"/>
    <col min="5" max="6" width="9.85546875" style="47" customWidth="1"/>
    <col min="7" max="7" width="7.28515625" style="47" customWidth="1"/>
    <col min="8" max="8" width="4.5703125" style="47" customWidth="1"/>
    <col min="9" max="9" width="4.7109375" style="47" customWidth="1"/>
    <col min="10" max="10" width="3" style="47" customWidth="1"/>
    <col min="11" max="11" width="4.7109375" style="47" customWidth="1"/>
    <col min="12" max="12" width="24.7109375" style="47" customWidth="1"/>
    <col min="13" max="13" width="3.85546875" style="47" customWidth="1"/>
    <col min="14" max="14" width="24.7109375" style="47" customWidth="1"/>
    <col min="15" max="15" width="18.7109375" style="47" customWidth="1"/>
    <col min="16" max="16" width="9" style="47" customWidth="1"/>
    <col min="17" max="17" width="8.42578125" style="47" customWidth="1"/>
    <col min="18" max="18" width="29.7109375" style="151" customWidth="1"/>
    <col min="19" max="19" width="12.42578125" style="151" customWidth="1"/>
    <col min="20" max="20" width="11.42578125" style="151" customWidth="1"/>
    <col min="21" max="21" width="10.7109375" style="151" customWidth="1"/>
    <col min="22" max="22" width="11.42578125" hidden="1" customWidth="1"/>
    <col min="23" max="32" width="4.7109375" hidden="1" customWidth="1"/>
    <col min="33" max="16384" width="11.42578125" hidden="1"/>
  </cols>
  <sheetData>
    <row r="1" spans="1:32" ht="9.75" customHeight="1" x14ac:dyDescent="0.25">
      <c r="A1" s="147"/>
    </row>
    <row r="2" spans="1:32" ht="33.75" x14ac:dyDescent="0.5">
      <c r="A2" s="146"/>
      <c r="B2" s="212"/>
      <c r="C2" s="212"/>
      <c r="D2" s="212"/>
      <c r="E2" s="807" t="str">
        <f>Sprache!$E$30</f>
        <v>Teilnehmer und Ablaufplan</v>
      </c>
      <c r="F2" s="807"/>
      <c r="G2" s="807"/>
      <c r="H2" s="807"/>
      <c r="I2" s="807"/>
      <c r="J2" s="807"/>
      <c r="K2" s="807"/>
      <c r="L2" s="807"/>
      <c r="M2" s="807"/>
      <c r="N2" s="807"/>
      <c r="O2" s="557"/>
      <c r="P2" s="212"/>
      <c r="Q2" s="212"/>
      <c r="R2" s="212"/>
      <c r="S2" s="212"/>
      <c r="T2" s="212"/>
    </row>
    <row r="3" spans="1:32" x14ac:dyDescent="0.25"/>
    <row r="4" spans="1:32" ht="29.25" customHeight="1" thickBot="1" x14ac:dyDescent="0.3">
      <c r="C4" s="251" t="str">
        <f>Sprache!$E$16&amp;" A"</f>
        <v>Gruppe A</v>
      </c>
      <c r="D4" s="153"/>
      <c r="E4" s="808" t="str">
        <f>Sprache!$E$32</f>
        <v>Ablaufplan</v>
      </c>
      <c r="F4" s="808"/>
      <c r="G4" s="273"/>
      <c r="H4" s="273"/>
      <c r="I4" s="273"/>
      <c r="J4" s="273"/>
      <c r="K4" s="273"/>
      <c r="L4" s="273"/>
      <c r="M4" s="273"/>
      <c r="N4" s="273"/>
      <c r="O4" s="562"/>
      <c r="P4" s="809" t="str">
        <f>Sprache!$E$20</f>
        <v>Zusätzl. Pause (min)</v>
      </c>
      <c r="R4" s="313" t="str">
        <f>Sprache!$E$41</f>
        <v>Spielzeiten</v>
      </c>
    </row>
    <row r="5" spans="1:32" ht="15.95" customHeight="1" thickTop="1" thickBot="1" x14ac:dyDescent="0.3">
      <c r="A5" s="67"/>
      <c r="B5" s="799"/>
      <c r="C5" s="801" t="str">
        <f>Sprache!$E$10</f>
        <v>Teilnehmer bzw. Mannschaft</v>
      </c>
      <c r="D5" s="63"/>
      <c r="E5" s="167" t="str">
        <f>Sprache!$E$33</f>
        <v>Bonus</v>
      </c>
      <c r="F5" s="168" t="str">
        <f>Sprache!$E$39</f>
        <v>Beginn</v>
      </c>
      <c r="G5" s="168" t="str">
        <f>Sprache!$E$48</f>
        <v>Feld</v>
      </c>
      <c r="H5" s="168" t="str">
        <f>Sprache!$E$17</f>
        <v>Grp</v>
      </c>
      <c r="I5" s="803" t="str">
        <f>Sprache!$E$34</f>
        <v>Paarungen</v>
      </c>
      <c r="J5" s="803"/>
      <c r="K5" s="803"/>
      <c r="L5" s="803" t="str">
        <f>Sprache!$E$31</f>
        <v>Teilnehmer</v>
      </c>
      <c r="M5" s="803"/>
      <c r="N5" s="804"/>
      <c r="O5" s="566" t="str">
        <f>Sprache!$E$59</f>
        <v>Schiedsrichter</v>
      </c>
      <c r="P5" s="810"/>
      <c r="R5" s="805" t="str">
        <f>Sprache!$E$39</f>
        <v>Beginn</v>
      </c>
      <c r="S5" s="811">
        <v>0.375</v>
      </c>
      <c r="T5" s="813" t="str">
        <f>Sprache!$E$45</f>
        <v>Uhr</v>
      </c>
      <c r="U5" s="152"/>
      <c r="W5" s="494"/>
      <c r="X5" s="494"/>
      <c r="Y5" s="494"/>
      <c r="Z5" s="494"/>
      <c r="AA5" s="494"/>
      <c r="AB5" s="494"/>
      <c r="AC5" s="494"/>
      <c r="AD5" s="494"/>
      <c r="AE5" s="494"/>
      <c r="AF5" s="494"/>
    </row>
    <row r="6" spans="1:32" ht="15.95" customHeight="1" x14ac:dyDescent="0.25">
      <c r="A6" s="67"/>
      <c r="B6" s="800"/>
      <c r="C6" s="802"/>
      <c r="D6" s="397">
        <v>1</v>
      </c>
      <c r="E6" s="369">
        <f>IF($D6&gt;Calc1!$B$14,"",1)</f>
        <v>1</v>
      </c>
      <c r="F6" s="169">
        <f>IF(OR($V$16,$D6&gt;Calc1!$B$14),"",$S$5)</f>
        <v>0.375</v>
      </c>
      <c r="G6" s="159" t="str">
        <f>IF(OR($V$16,$D6&gt;Calc1!$B$14),"","1")</f>
        <v>1</v>
      </c>
      <c r="H6" s="256" t="str">
        <f ca="1">IF($I6="","",IF(LEFT($I6,1)&lt;&gt;LEFT($K6,1),"??",LEFT($I6,1)))</f>
        <v>A</v>
      </c>
      <c r="I6" s="276" t="str">
        <f t="array" aca="1" ref="I6:I77" ca="1">IF(Calc1!$F$14&lt;3,"",IF(OFFSET(Pairings!$A$1,0,(Calc1!$F$14-2)*4-1,72,1)="","",OFFSET(Pairings!$A$1,0,(Calc1!$F$14-2)*4-1,72,1)))</f>
        <v>A5</v>
      </c>
      <c r="J6" s="277" t="s">
        <v>5</v>
      </c>
      <c r="K6" s="278" t="str">
        <f t="array" aca="1" ref="K6:K77" ca="1">IF(Calc1!$F$14&lt;3,"",IF(OFFSET(Pairings!$A$1,0,(Calc1!$F$14-2)*4,72,1)="","",OFFSET(Pairings!$A$1,0,(Calc1!$F$14-2)*4,72,1)))</f>
        <v>A2</v>
      </c>
      <c r="L6" s="164" t="str">
        <f t="shared" ref="L6:L34" ca="1" si="0">IF($I6="","",IF(VLOOKUP($I6,$B$7:$C$48,2,0)="","",VLOOKUP($I6,$B$7:$C$48,2,0)))</f>
        <v>VFB Essenheim</v>
      </c>
      <c r="M6" s="165" t="s">
        <v>5</v>
      </c>
      <c r="N6" s="166" t="str">
        <f t="shared" ref="N6:N34" ca="1" si="1">IF($K6="","",IF(VLOOKUP($K6,$B$7:$C$48,2,0)="","",VLOOKUP($K6,$B$7:$C$48,2,0)))</f>
        <v>FC Barcelona</v>
      </c>
      <c r="O6" s="681"/>
      <c r="P6" s="563"/>
      <c r="Q6" s="274"/>
      <c r="R6" s="792"/>
      <c r="S6" s="812"/>
      <c r="T6" s="798"/>
      <c r="U6" s="152"/>
      <c r="W6" s="494"/>
      <c r="X6" s="495"/>
      <c r="Y6" s="495"/>
      <c r="Z6" s="495"/>
      <c r="AA6" s="495"/>
      <c r="AB6" s="495"/>
      <c r="AC6" s="495"/>
      <c r="AD6" s="495"/>
      <c r="AE6" s="495"/>
      <c r="AF6" s="495"/>
    </row>
    <row r="7" spans="1:32" ht="15.95" customHeight="1" x14ac:dyDescent="0.25">
      <c r="A7" s="67"/>
      <c r="B7" s="796" t="s">
        <v>195</v>
      </c>
      <c r="C7" s="791" t="s">
        <v>253</v>
      </c>
      <c r="D7" s="397">
        <v>2</v>
      </c>
      <c r="E7" s="370">
        <f t="array" aca="1" ref="E7" ca="1">IF($D7&gt;Calc1!$B$14,"",ROW(2:2)-SUM((($L$6:$L6="")+($N$6:$N6="")&gt;0)*1))</f>
        <v>2</v>
      </c>
      <c r="F7" s="158">
        <f ca="1">IF(OR($V$16,$D7&gt;Calc1!$B$14),"",$S$5+QUOTIENT(($E7-1),$V$18)*($S$7+$S$9)/1440+SUM($P$6:$P6)/1440)</f>
        <v>0.375</v>
      </c>
      <c r="G7" s="160">
        <f ca="1">IF(OR($V$16,$D7&gt;Calc1!$B$14),"",MOD($E7-1,$V$18)+1)</f>
        <v>2</v>
      </c>
      <c r="H7" s="256" t="str">
        <f t="shared" ref="H7:H77" ca="1" si="2">IF($I7="","",IF(LEFT($I7,1)&lt;&gt;LEFT($K7,1),"??",LEFT($I7,1)))</f>
        <v>B</v>
      </c>
      <c r="I7" s="279" t="str">
        <f ca="1"/>
        <v>B5</v>
      </c>
      <c r="J7" s="280" t="s">
        <v>5</v>
      </c>
      <c r="K7" s="281" t="str">
        <f ca="1"/>
        <v>B2</v>
      </c>
      <c r="L7" s="164" t="str">
        <f t="shared" ca="1" si="0"/>
        <v>FC Grönlingen</v>
      </c>
      <c r="M7" s="48" t="s">
        <v>5</v>
      </c>
      <c r="N7" s="166" t="str">
        <f t="shared" ca="1" si="1"/>
        <v>Inter Mailand</v>
      </c>
      <c r="O7" s="681"/>
      <c r="P7" s="564"/>
      <c r="Q7" s="274"/>
      <c r="R7" s="792" t="str">
        <f>Sprache!$E$42</f>
        <v>Spielzeit pro Spiel:</v>
      </c>
      <c r="S7" s="797">
        <v>30</v>
      </c>
      <c r="T7" s="798" t="s">
        <v>155</v>
      </c>
      <c r="U7" s="119"/>
      <c r="W7" s="494"/>
      <c r="X7" s="495"/>
      <c r="Y7" s="495"/>
      <c r="Z7" s="495"/>
      <c r="AA7" s="495"/>
      <c r="AB7" s="495"/>
      <c r="AC7" s="495"/>
      <c r="AD7" s="495"/>
      <c r="AE7" s="495"/>
      <c r="AF7" s="495"/>
    </row>
    <row r="8" spans="1:32" ht="15.95" customHeight="1" x14ac:dyDescent="0.25">
      <c r="A8" s="67"/>
      <c r="B8" s="790"/>
      <c r="C8" s="788"/>
      <c r="D8" s="397">
        <v>3</v>
      </c>
      <c r="E8" s="370">
        <f t="array" aca="1" ref="E8" ca="1">IF($D8&gt;Calc1!$B$14,"",ROW(3:3)-SUM((($L$6:$L7="")+($N$6:$N7="")&gt;0)*1))</f>
        <v>3</v>
      </c>
      <c r="F8" s="158">
        <f ca="1">IF(OR($V$16,$D8&gt;Calc1!$B$14),"",$S$5+QUOTIENT(($E8-1),$V$18)*($S$7+$S$9)/1440+SUM($P$6:$P7)/1440)</f>
        <v>0.375</v>
      </c>
      <c r="G8" s="160">
        <f ca="1">IF(OR($V$16,$D8&gt;Calc1!$B$14),"",MOD($E8-1,$V$18)+1)</f>
        <v>3</v>
      </c>
      <c r="H8" s="256" t="str">
        <f t="shared" ca="1" si="2"/>
        <v>A</v>
      </c>
      <c r="I8" s="279" t="str">
        <f ca="1"/>
        <v>A3</v>
      </c>
      <c r="J8" s="280" t="s">
        <v>5</v>
      </c>
      <c r="K8" s="281" t="str">
        <f ca="1"/>
        <v>A4</v>
      </c>
      <c r="L8" s="164" t="str">
        <f t="shared" ca="1" si="0"/>
        <v>Eintracht Frankfurt</v>
      </c>
      <c r="M8" s="48" t="s">
        <v>5</v>
      </c>
      <c r="N8" s="166" t="str">
        <f t="shared" ca="1" si="1"/>
        <v>Maibach 1822 eV</v>
      </c>
      <c r="O8" s="681"/>
      <c r="P8" s="564"/>
      <c r="Q8" s="274"/>
      <c r="R8" s="792"/>
      <c r="S8" s="797"/>
      <c r="T8" s="798"/>
      <c r="U8" s="152"/>
      <c r="W8" s="494"/>
      <c r="X8" s="495"/>
      <c r="Y8" s="495"/>
      <c r="Z8" s="495"/>
      <c r="AA8" s="495"/>
      <c r="AB8" s="495"/>
      <c r="AC8" s="495"/>
      <c r="AD8" s="495"/>
      <c r="AE8" s="495"/>
      <c r="AF8" s="495"/>
    </row>
    <row r="9" spans="1:32" ht="15.95" customHeight="1" x14ac:dyDescent="0.25">
      <c r="A9" s="67"/>
      <c r="B9" s="789" t="s">
        <v>197</v>
      </c>
      <c r="C9" s="787" t="s">
        <v>254</v>
      </c>
      <c r="D9" s="397">
        <v>4</v>
      </c>
      <c r="E9" s="370">
        <f t="array" aca="1" ref="E9" ca="1">IF($D9&gt;Calc1!$B$14,"",ROW(4:4)-SUM((($L$6:$L8="")+($N$6:$N8="")&gt;0)*1))</f>
        <v>4</v>
      </c>
      <c r="F9" s="158">
        <f ca="1">IF(OR($V$16,$D9&gt;Calc1!$B$14),"",$S$5+QUOTIENT(($E9-1),$V$18)*($S$7+$S$9)/1440+SUM($P$6:$P8)/1440)</f>
        <v>0.375</v>
      </c>
      <c r="G9" s="160">
        <f ca="1">IF(OR($V$16,$D9&gt;Calc1!$B$14),"",MOD($E9-1,$V$18)+1)</f>
        <v>4</v>
      </c>
      <c r="H9" s="256" t="str">
        <f t="shared" ca="1" si="2"/>
        <v>B</v>
      </c>
      <c r="I9" s="279" t="str">
        <f ca="1"/>
        <v>B3</v>
      </c>
      <c r="J9" s="280" t="s">
        <v>5</v>
      </c>
      <c r="K9" s="281" t="str">
        <f ca="1"/>
        <v>B4</v>
      </c>
      <c r="L9" s="164" t="str">
        <f t="shared" ca="1" si="0"/>
        <v>SSV Wildbach</v>
      </c>
      <c r="M9" s="48" t="s">
        <v>5</v>
      </c>
      <c r="N9" s="166" t="str">
        <f t="shared" ca="1" si="1"/>
        <v>Manchester City</v>
      </c>
      <c r="O9" s="681"/>
      <c r="P9" s="564"/>
      <c r="Q9" s="274"/>
      <c r="R9" s="792" t="str">
        <f>Sprache!$E$43</f>
        <v>Wechselzeit:</v>
      </c>
      <c r="S9" s="797">
        <v>5</v>
      </c>
      <c r="T9" s="798" t="s">
        <v>155</v>
      </c>
      <c r="U9" s="152"/>
      <c r="W9" s="494"/>
      <c r="X9" s="495"/>
      <c r="Y9" s="495"/>
      <c r="Z9" s="495"/>
      <c r="AA9" s="495"/>
      <c r="AB9" s="495"/>
      <c r="AC9" s="495"/>
      <c r="AD9" s="495"/>
      <c r="AE9" s="495"/>
      <c r="AF9" s="495"/>
    </row>
    <row r="10" spans="1:32" ht="15.95" customHeight="1" x14ac:dyDescent="0.25">
      <c r="A10" s="67"/>
      <c r="B10" s="790"/>
      <c r="C10" s="788"/>
      <c r="D10" s="397">
        <v>5</v>
      </c>
      <c r="E10" s="370">
        <f t="array" aca="1" ref="E10" ca="1">IF($D10&gt;Calc1!$B$14,"",ROW(5:5)-SUM((($L$6:$L9="")+($N$6:$N9="")&gt;0)*1))</f>
        <v>5</v>
      </c>
      <c r="F10" s="158">
        <f ca="1">IF(OR($V$16,$D10&gt;Calc1!$B$14),"",$S$5+QUOTIENT(($E10-1),$V$18)*($S$7+$S$9)/1440+SUM($P$6:$P9)/1440)</f>
        <v>0.39930555555555558</v>
      </c>
      <c r="G10" s="160">
        <f ca="1">IF(OR($V$16,$D10&gt;Calc1!$B$14),"",MOD($E10-1,$V$18)+1)</f>
        <v>1</v>
      </c>
      <c r="H10" s="256" t="str">
        <f t="shared" ca="1" si="2"/>
        <v>A</v>
      </c>
      <c r="I10" s="279" t="str">
        <f ca="1"/>
        <v>A5</v>
      </c>
      <c r="J10" s="280" t="s">
        <v>5</v>
      </c>
      <c r="K10" s="281" t="str">
        <f ca="1"/>
        <v>A1</v>
      </c>
      <c r="L10" s="164" t="str">
        <f t="shared" ca="1" si="0"/>
        <v>VFB Essenheim</v>
      </c>
      <c r="M10" s="48" t="s">
        <v>5</v>
      </c>
      <c r="N10" s="166" t="str">
        <f t="shared" ca="1" si="1"/>
        <v>1. FC Riedwald</v>
      </c>
      <c r="O10" s="681"/>
      <c r="P10" s="564"/>
      <c r="Q10" s="274"/>
      <c r="R10" s="792"/>
      <c r="S10" s="797"/>
      <c r="T10" s="798"/>
      <c r="U10" s="152"/>
      <c r="W10" s="494"/>
      <c r="X10" s="495"/>
      <c r="Y10" s="495"/>
      <c r="Z10" s="495"/>
      <c r="AA10" s="495"/>
      <c r="AB10" s="495"/>
      <c r="AC10" s="495"/>
      <c r="AD10" s="495"/>
      <c r="AE10" s="495"/>
      <c r="AF10" s="495"/>
    </row>
    <row r="11" spans="1:32" ht="15.95" customHeight="1" x14ac:dyDescent="0.25">
      <c r="A11" s="67"/>
      <c r="B11" s="789" t="s">
        <v>193</v>
      </c>
      <c r="C11" s="787" t="s">
        <v>255</v>
      </c>
      <c r="D11" s="397">
        <v>6</v>
      </c>
      <c r="E11" s="370">
        <f t="array" aca="1" ref="E11" ca="1">IF($D11&gt;Calc1!$B$14,"",ROW(6:6)-SUM((($L$6:$L10="")+($N$6:$N10="")&gt;0)*1))</f>
        <v>6</v>
      </c>
      <c r="F11" s="158">
        <f ca="1">IF(OR($V$16,$D11&gt;Calc1!$B$14),"",$S$5+QUOTIENT(($E11-1),$V$18)*($S$7+$S$9)/1440+SUM($P$6:$P10)/1440)</f>
        <v>0.39930555555555558</v>
      </c>
      <c r="G11" s="160">
        <f ca="1">IF(OR($V$16,$D11&gt;Calc1!$B$14),"",MOD($E11-1,$V$18)+1)</f>
        <v>2</v>
      </c>
      <c r="H11" s="256" t="str">
        <f t="shared" ca="1" si="2"/>
        <v>B</v>
      </c>
      <c r="I11" s="279" t="str">
        <f ca="1"/>
        <v>B5</v>
      </c>
      <c r="J11" s="280" t="s">
        <v>5</v>
      </c>
      <c r="K11" s="281" t="str">
        <f ca="1"/>
        <v>B1</v>
      </c>
      <c r="L11" s="164" t="str">
        <f t="shared" ca="1" si="0"/>
        <v>FC Grönlingen</v>
      </c>
      <c r="M11" s="48" t="s">
        <v>5</v>
      </c>
      <c r="N11" s="166" t="str">
        <f t="shared" ca="1" si="1"/>
        <v>Mainz 05</v>
      </c>
      <c r="O11" s="681"/>
      <c r="P11" s="564"/>
      <c r="Q11" s="274"/>
      <c r="R11" s="792" t="str">
        <f>Sprache!$E$44</f>
        <v>Anzahl der Spielfelder:</v>
      </c>
      <c r="S11" s="797">
        <v>4</v>
      </c>
      <c r="T11" s="820" t="str">
        <f>"(max. "&amp;$V$17&amp;")"</f>
        <v>(max. 6)</v>
      </c>
      <c r="W11" s="494"/>
      <c r="X11" s="495"/>
      <c r="Y11" s="495"/>
      <c r="Z11" s="495"/>
      <c r="AA11" s="495"/>
      <c r="AB11" s="495"/>
      <c r="AC11" s="495"/>
      <c r="AD11" s="495"/>
      <c r="AE11" s="495"/>
      <c r="AF11" s="495"/>
    </row>
    <row r="12" spans="1:32" ht="15.95" customHeight="1" thickBot="1" x14ac:dyDescent="0.3">
      <c r="A12" s="67"/>
      <c r="B12" s="790"/>
      <c r="C12" s="788"/>
      <c r="D12" s="397">
        <v>7</v>
      </c>
      <c r="E12" s="370">
        <f t="array" aca="1" ref="E12" ca="1">IF($D12&gt;Calc1!$B$14,"",ROW(7:7)-SUM((($L$6:$L11="")+($N$6:$N11="")&gt;0)*1))</f>
        <v>7</v>
      </c>
      <c r="F12" s="158">
        <f ca="1">IF(OR($V$16,$D12&gt;Calc1!$B$14),"",$S$5+QUOTIENT(($E12-1),$V$18)*($S$7+$S$9)/1440+SUM($P$6:$P11)/1440)</f>
        <v>0.39930555555555558</v>
      </c>
      <c r="G12" s="160">
        <f ca="1">IF(OR($V$16,$D12&gt;Calc1!$B$14),"",MOD($E12-1,$V$18)+1)</f>
        <v>3</v>
      </c>
      <c r="H12" s="256" t="str">
        <f t="shared" ca="1" si="2"/>
        <v>A</v>
      </c>
      <c r="I12" s="279" t="str">
        <f ca="1"/>
        <v>A2</v>
      </c>
      <c r="J12" s="280" t="s">
        <v>5</v>
      </c>
      <c r="K12" s="281" t="str">
        <f ca="1"/>
        <v>A3</v>
      </c>
      <c r="L12" s="164" t="str">
        <f t="shared" ca="1" si="0"/>
        <v>FC Barcelona</v>
      </c>
      <c r="M12" s="48" t="s">
        <v>5</v>
      </c>
      <c r="N12" s="166" t="str">
        <f t="shared" ca="1" si="1"/>
        <v>Eintracht Frankfurt</v>
      </c>
      <c r="O12" s="681"/>
      <c r="P12" s="564"/>
      <c r="Q12" s="274"/>
      <c r="R12" s="795"/>
      <c r="S12" s="819"/>
      <c r="T12" s="821"/>
      <c r="U12" s="119"/>
      <c r="V12" s="368"/>
      <c r="W12" s="494"/>
      <c r="X12" s="495"/>
      <c r="Y12" s="495"/>
      <c r="Z12" s="495"/>
      <c r="AA12" s="495"/>
      <c r="AB12" s="495"/>
      <c r="AC12" s="495"/>
      <c r="AD12" s="495"/>
      <c r="AE12" s="495"/>
      <c r="AF12" s="495"/>
    </row>
    <row r="13" spans="1:32" ht="15.95" customHeight="1" x14ac:dyDescent="0.25">
      <c r="A13" s="67"/>
      <c r="B13" s="789" t="s">
        <v>199</v>
      </c>
      <c r="C13" s="787" t="s">
        <v>256</v>
      </c>
      <c r="D13" s="397">
        <v>8</v>
      </c>
      <c r="E13" s="370">
        <f t="array" aca="1" ref="E13" ca="1">IF($D13&gt;Calc1!$B$14,"",ROW(8:8)-SUM((($L$6:$L12="")+($N$6:$N12="")&gt;0)*1))</f>
        <v>8</v>
      </c>
      <c r="F13" s="158">
        <f ca="1">IF(OR($V$16,$D13&gt;Calc1!$B$14),"",$S$5+QUOTIENT(($E13-1),$V$18)*($S$7+$S$9)/1440+SUM($P$6:$P12)/1440)</f>
        <v>0.39930555555555558</v>
      </c>
      <c r="G13" s="160">
        <f ca="1">IF(OR($V$16,$D13&gt;Calc1!$B$14),"",MOD($E13-1,$V$18)+1)</f>
        <v>4</v>
      </c>
      <c r="H13" s="256" t="str">
        <f t="shared" ca="1" si="2"/>
        <v>B</v>
      </c>
      <c r="I13" s="279" t="str">
        <f ca="1"/>
        <v>B2</v>
      </c>
      <c r="J13" s="280" t="s">
        <v>5</v>
      </c>
      <c r="K13" s="281" t="str">
        <f ca="1"/>
        <v>B3</v>
      </c>
      <c r="L13" s="164" t="str">
        <f t="shared" ca="1" si="0"/>
        <v>Inter Mailand</v>
      </c>
      <c r="M13" s="48" t="s">
        <v>5</v>
      </c>
      <c r="N13" s="166" t="str">
        <f t="shared" ca="1" si="1"/>
        <v>SSV Wildbach</v>
      </c>
      <c r="O13" s="681"/>
      <c r="P13" s="564"/>
      <c r="Q13" s="274"/>
      <c r="R13" s="793" t="str">
        <f>Sprache!$E$40</f>
        <v>Ende der Vorrunde:</v>
      </c>
      <c r="S13" s="814">
        <f t="array" aca="1" ref="S13" ca="1">IF($V$16,"",$S$5+(ROUNDUP((Calc1!$B$14-SUM(((OFFSET($L$6,,,Calc1!$B$14,1)="")+(OFFSET($N$6,,,Calc1!$B$14,1)="")&gt;0)*1))/$V18,0)*($S$7+$S$9)-$S$9)/1440+SUM(OFFSET($P$6,,,Calc1!$B$14-1,1))/1440)</f>
        <v>0.49305555555555558</v>
      </c>
      <c r="T13" s="816"/>
      <c r="U13" s="152"/>
      <c r="V13" s="347"/>
      <c r="W13" s="494"/>
      <c r="X13" s="495"/>
      <c r="Y13" s="495"/>
      <c r="Z13" s="495"/>
      <c r="AA13" s="495"/>
      <c r="AB13" s="495"/>
      <c r="AC13" s="495"/>
      <c r="AD13" s="495"/>
      <c r="AE13" s="495"/>
      <c r="AF13" s="495"/>
    </row>
    <row r="14" spans="1:32" ht="15.95" customHeight="1" thickBot="1" x14ac:dyDescent="0.3">
      <c r="A14" s="67"/>
      <c r="B14" s="790"/>
      <c r="C14" s="788"/>
      <c r="D14" s="397">
        <v>9</v>
      </c>
      <c r="E14" s="370">
        <f t="array" aca="1" ref="E14" ca="1">IF($D14&gt;Calc1!$B$14,"",ROW(9:9)-SUM((($L$6:$L13="")+($N$6:$N13="")&gt;0)*1))</f>
        <v>9</v>
      </c>
      <c r="F14" s="158">
        <f ca="1">IF(OR($V$16,$D14&gt;Calc1!$B$14),"",$S$5+QUOTIENT(($E14-1),$V$18)*($S$7+$S$9)/1440+SUM($P$6:$P13)/1440)</f>
        <v>0.4236111111111111</v>
      </c>
      <c r="G14" s="160">
        <f ca="1">IF(OR($V$16,$D14&gt;Calc1!$B$14),"",MOD($E14-1,$V$18)+1)</f>
        <v>1</v>
      </c>
      <c r="H14" s="256" t="str">
        <f t="shared" ca="1" si="2"/>
        <v>A</v>
      </c>
      <c r="I14" s="279" t="str">
        <f ca="1"/>
        <v>A1</v>
      </c>
      <c r="J14" s="280" t="s">
        <v>5</v>
      </c>
      <c r="K14" s="281" t="str">
        <f ca="1"/>
        <v>A4</v>
      </c>
      <c r="L14" s="164" t="str">
        <f t="shared" ca="1" si="0"/>
        <v>1. FC Riedwald</v>
      </c>
      <c r="M14" s="48" t="s">
        <v>5</v>
      </c>
      <c r="N14" s="166" t="str">
        <f t="shared" ca="1" si="1"/>
        <v>Maibach 1822 eV</v>
      </c>
      <c r="O14" s="681"/>
      <c r="P14" s="564"/>
      <c r="Q14" s="274"/>
      <c r="R14" s="794"/>
      <c r="S14" s="815"/>
      <c r="T14" s="817"/>
      <c r="U14" s="152"/>
      <c r="V14" s="347"/>
      <c r="W14" s="494"/>
      <c r="X14" s="495"/>
      <c r="Y14" s="495"/>
      <c r="Z14" s="495"/>
      <c r="AA14" s="495"/>
      <c r="AB14" s="495"/>
      <c r="AC14" s="495"/>
      <c r="AD14" s="495"/>
      <c r="AE14" s="495"/>
      <c r="AF14" s="495"/>
    </row>
    <row r="15" spans="1:32" ht="15.95" customHeight="1" x14ac:dyDescent="0.25">
      <c r="A15" s="67"/>
      <c r="B15" s="789" t="s">
        <v>201</v>
      </c>
      <c r="C15" s="787" t="s">
        <v>318</v>
      </c>
      <c r="D15" s="397">
        <v>10</v>
      </c>
      <c r="E15" s="370">
        <f t="array" aca="1" ref="E15" ca="1">IF($D15&gt;Calc1!$B$14,"",ROW(10:10)-SUM((($L$6:$L14="")+($N$6:$N14="")&gt;0)*1))</f>
        <v>10</v>
      </c>
      <c r="F15" s="158">
        <f ca="1">IF(OR($V$16,$D15&gt;Calc1!$B$14),"",$S$5+QUOTIENT(($E15-1),$V$18)*($S$7+$S$9)/1440+SUM($P$6:$P14)/1440)</f>
        <v>0.4236111111111111</v>
      </c>
      <c r="G15" s="160">
        <f ca="1">IF(OR($V$16,$D15&gt;Calc1!$B$14),"",MOD($E15-1,$V$18)+1)</f>
        <v>2</v>
      </c>
      <c r="H15" s="256" t="str">
        <f t="shared" ca="1" si="2"/>
        <v>B</v>
      </c>
      <c r="I15" s="279" t="str">
        <f ca="1"/>
        <v>B1</v>
      </c>
      <c r="J15" s="280" t="s">
        <v>5</v>
      </c>
      <c r="K15" s="281" t="str">
        <f ca="1"/>
        <v>B4</v>
      </c>
      <c r="L15" s="164" t="str">
        <f t="shared" ca="1" si="0"/>
        <v>Mainz 05</v>
      </c>
      <c r="M15" s="48" t="s">
        <v>5</v>
      </c>
      <c r="N15" s="166" t="str">
        <f t="shared" ca="1" si="1"/>
        <v>Manchester City</v>
      </c>
      <c r="O15" s="681"/>
      <c r="P15" s="564"/>
      <c r="Q15" s="274"/>
      <c r="R15" s="401" t="str">
        <f>Sprache!$E$121</f>
        <v>Turnierende (Endrunde 1):</v>
      </c>
      <c r="S15" s="404">
        <f ca="1">'Endrunde 1'!$I$22</f>
        <v>0.54166666666666674</v>
      </c>
      <c r="T15" s="351"/>
      <c r="U15" s="152"/>
    </row>
    <row r="16" spans="1:32" ht="15.95" customHeight="1" x14ac:dyDescent="0.25">
      <c r="A16" s="67"/>
      <c r="B16" s="790"/>
      <c r="C16" s="788"/>
      <c r="D16" s="397">
        <v>11</v>
      </c>
      <c r="E16" s="370">
        <f t="array" aca="1" ref="E16" ca="1">IF($D16&gt;Calc1!$B$14,"",ROW(11:11)-SUM((($L$6:$L15="")+($N$6:$N15="")&gt;0)*1))</f>
        <v>11</v>
      </c>
      <c r="F16" s="158">
        <f ca="1">IF(OR($V$16,$D16&gt;Calc1!$B$14),"",$S$5+QUOTIENT(($E16-1),$V$18)*($S$7+$S$9)/1440+SUM($P$6:$P15)/1440)</f>
        <v>0.4236111111111111</v>
      </c>
      <c r="G16" s="160">
        <f ca="1">IF(OR($V$16,$D16&gt;Calc1!$B$14),"",MOD($E16-1,$V$18)+1)</f>
        <v>3</v>
      </c>
      <c r="H16" s="256" t="str">
        <f t="shared" ca="1" si="2"/>
        <v>A</v>
      </c>
      <c r="I16" s="279" t="str">
        <f ca="1"/>
        <v>A3</v>
      </c>
      <c r="J16" s="280" t="s">
        <v>5</v>
      </c>
      <c r="K16" s="281" t="str">
        <f ca="1"/>
        <v>A5</v>
      </c>
      <c r="L16" s="164" t="str">
        <f t="shared" ca="1" si="0"/>
        <v>Eintracht Frankfurt</v>
      </c>
      <c r="M16" s="48" t="s">
        <v>5</v>
      </c>
      <c r="N16" s="166" t="str">
        <f t="shared" ca="1" si="1"/>
        <v>VFB Essenheim</v>
      </c>
      <c r="O16" s="681"/>
      <c r="P16" s="564"/>
      <c r="Q16" s="274"/>
      <c r="R16" s="402" t="str">
        <f>Sprache!$E$122</f>
        <v>Turnierende (Endrunde 2):</v>
      </c>
      <c r="S16" s="405">
        <f ca="1">'Endrunde 2'!$I$26</f>
        <v>0.5902777777777779</v>
      </c>
      <c r="T16" s="400"/>
      <c r="U16" s="152"/>
      <c r="V16" s="348" t="b">
        <f>OR($S$5="",$S$7="",$S$9="",$S$11="",Calc1!$F$14&lt;3)</f>
        <v>0</v>
      </c>
      <c r="W16" t="s">
        <v>329</v>
      </c>
    </row>
    <row r="17" spans="1:29" ht="15.95" customHeight="1" x14ac:dyDescent="0.25">
      <c r="A17" s="67"/>
      <c r="B17" s="789" t="s">
        <v>203</v>
      </c>
      <c r="C17" s="787"/>
      <c r="D17" s="397">
        <v>12</v>
      </c>
      <c r="E17" s="370">
        <f t="array" aca="1" ref="E17" ca="1">IF($D17&gt;Calc1!$B$14,"",ROW(12:12)-SUM((($L$6:$L16="")+($N$6:$N16="")&gt;0)*1))</f>
        <v>12</v>
      </c>
      <c r="F17" s="158">
        <f ca="1">IF(OR($V$16,$D17&gt;Calc1!$B$14),"",$S$5+QUOTIENT(($E17-1),$V$18)*($S$7+$S$9)/1440+SUM($P$6:$P16)/1440)</f>
        <v>0.4236111111111111</v>
      </c>
      <c r="G17" s="160">
        <f ca="1">IF(OR($V$16,$D17&gt;Calc1!$B$14),"",MOD($E17-1,$V$18)+1)</f>
        <v>4</v>
      </c>
      <c r="H17" s="256" t="str">
        <f t="shared" ca="1" si="2"/>
        <v>B</v>
      </c>
      <c r="I17" s="279" t="str">
        <f ca="1"/>
        <v>B3</v>
      </c>
      <c r="J17" s="280" t="s">
        <v>5</v>
      </c>
      <c r="K17" s="281" t="str">
        <f ca="1"/>
        <v>B5</v>
      </c>
      <c r="L17" s="164" t="str">
        <f t="shared" ca="1" si="0"/>
        <v>SSV Wildbach</v>
      </c>
      <c r="M17" s="48" t="s">
        <v>5</v>
      </c>
      <c r="N17" s="166" t="str">
        <f t="shared" ca="1" si="1"/>
        <v>FC Grönlingen</v>
      </c>
      <c r="O17" s="681"/>
      <c r="P17" s="564"/>
      <c r="Q17" s="274"/>
      <c r="R17" s="402" t="str">
        <f>Sprache!$E$125</f>
        <v>Turnierende (Endrunde 2a):</v>
      </c>
      <c r="S17" s="405">
        <f ca="1">'Endrunde 2a'!$I$30</f>
        <v>0.5902777777777779</v>
      </c>
      <c r="T17" s="400"/>
      <c r="U17" s="152"/>
      <c r="V17" s="346">
        <v>6</v>
      </c>
      <c r="W17" s="347" t="s">
        <v>330</v>
      </c>
      <c r="X17" s="150"/>
    </row>
    <row r="18" spans="1:29" ht="15.95" customHeight="1" x14ac:dyDescent="0.25">
      <c r="A18" s="67"/>
      <c r="B18" s="790"/>
      <c r="C18" s="788"/>
      <c r="D18" s="397">
        <v>13</v>
      </c>
      <c r="E18" s="370">
        <f t="array" aca="1" ref="E18" ca="1">IF($D18&gt;Calc1!$B$14,"",ROW(13:13)-SUM((($L$6:$L17="")+($N$6:$N17="")&gt;0)*1))</f>
        <v>13</v>
      </c>
      <c r="F18" s="158">
        <f ca="1">IF(OR($V$16,$D18&gt;Calc1!$B$14),"",$S$5+QUOTIENT(($E18-1),$V$18)*($S$7+$S$9)/1440+SUM($P$6:$P17)/1440)</f>
        <v>0.44791666666666669</v>
      </c>
      <c r="G18" s="160">
        <f ca="1">IF(OR($V$16,$D18&gt;Calc1!$B$14),"",MOD($E18-1,$V$18)+1)</f>
        <v>1</v>
      </c>
      <c r="H18" s="256" t="str">
        <f t="shared" ca="1" si="2"/>
        <v>A</v>
      </c>
      <c r="I18" s="279" t="str">
        <f ca="1"/>
        <v>A2</v>
      </c>
      <c r="J18" s="280" t="s">
        <v>5</v>
      </c>
      <c r="K18" s="281" t="str">
        <f ca="1"/>
        <v>A4</v>
      </c>
      <c r="L18" s="164" t="str">
        <f t="shared" ca="1" si="0"/>
        <v>FC Barcelona</v>
      </c>
      <c r="M18" s="48" t="s">
        <v>5</v>
      </c>
      <c r="N18" s="166" t="str">
        <f t="shared" ca="1" si="1"/>
        <v>Maibach 1822 eV</v>
      </c>
      <c r="O18" s="681"/>
      <c r="P18" s="564"/>
      <c r="Q18" s="274"/>
      <c r="R18" s="402" t="str">
        <f>Sprache!$E$123</f>
        <v>Turnierende (Endrunde 3):</v>
      </c>
      <c r="S18" s="405">
        <f ca="1">'Endrunde 3'!$I$18</f>
        <v>0.56597222222222232</v>
      </c>
      <c r="T18" s="400"/>
      <c r="U18" s="152"/>
      <c r="V18" s="346">
        <f>MIN($S$11,$V$17)</f>
        <v>4</v>
      </c>
      <c r="W18" t="s">
        <v>328</v>
      </c>
    </row>
    <row r="19" spans="1:29" ht="15.95" customHeight="1" thickBot="1" x14ac:dyDescent="0.3">
      <c r="A19" s="67"/>
      <c r="B19" s="789" t="s">
        <v>319</v>
      </c>
      <c r="C19" s="787"/>
      <c r="D19" s="397">
        <v>14</v>
      </c>
      <c r="E19" s="370">
        <f t="array" aca="1" ref="E19" ca="1">IF($D19&gt;Calc1!$B$14,"",ROW(14:14)-SUM((($L$6:$L18="")+($N$6:$N18="")&gt;0)*1))</f>
        <v>14</v>
      </c>
      <c r="F19" s="158">
        <f ca="1">IF(OR($V$16,$D19&gt;Calc1!$B$14),"",$S$5+QUOTIENT(($E19-1),$V$18)*($S$7+$S$9)/1440+SUM($P$6:$P18)/1440)</f>
        <v>0.44791666666666669</v>
      </c>
      <c r="G19" s="160">
        <f ca="1">IF(OR($V$16,$D19&gt;Calc1!$B$14),"",MOD($E19-1,$V$18)+1)</f>
        <v>2</v>
      </c>
      <c r="H19" s="256" t="str">
        <f t="shared" ca="1" si="2"/>
        <v>B</v>
      </c>
      <c r="I19" s="279" t="str">
        <f ca="1"/>
        <v>B2</v>
      </c>
      <c r="J19" s="280" t="s">
        <v>5</v>
      </c>
      <c r="K19" s="281" t="str">
        <f ca="1"/>
        <v>B4</v>
      </c>
      <c r="L19" s="164" t="str">
        <f t="shared" ca="1" si="0"/>
        <v>Inter Mailand</v>
      </c>
      <c r="M19" s="48" t="s">
        <v>5</v>
      </c>
      <c r="N19" s="166" t="str">
        <f t="shared" ca="1" si="1"/>
        <v>Manchester City</v>
      </c>
      <c r="O19" s="681"/>
      <c r="P19" s="564"/>
      <c r="Q19" s="274"/>
      <c r="R19" s="403" t="str">
        <f>Sprache!$E$124</f>
        <v>Turnierende (Endrunde 4):</v>
      </c>
      <c r="S19" s="406">
        <f ca="1">'Endrunde 4'!$K$38</f>
        <v>0.59027777777777779</v>
      </c>
      <c r="T19" s="352"/>
      <c r="U19" s="152"/>
      <c r="W19" s="494"/>
      <c r="X19" s="494"/>
      <c r="Y19" s="494"/>
      <c r="Z19" s="494"/>
      <c r="AA19" s="494"/>
      <c r="AB19" s="494"/>
      <c r="AC19" s="494"/>
    </row>
    <row r="20" spans="1:29" ht="15.95" customHeight="1" thickTop="1" x14ac:dyDescent="0.25">
      <c r="A20" s="67"/>
      <c r="B20" s="790"/>
      <c r="C20" s="788"/>
      <c r="D20" s="397">
        <v>15</v>
      </c>
      <c r="E20" s="370">
        <f t="array" aca="1" ref="E20" ca="1">IF($D20&gt;Calc1!$B$14,"",ROW(15:15)-SUM((($L$6:$L19="")+($N$6:$N19="")&gt;0)*1))</f>
        <v>15</v>
      </c>
      <c r="F20" s="158">
        <f ca="1">IF(OR($V$16,$D20&gt;Calc1!$B$14),"",$S$5+QUOTIENT(($E20-1),$V$18)*($S$7+$S$9)/1440+SUM($P$6:$P19)/1440)</f>
        <v>0.44791666666666669</v>
      </c>
      <c r="G20" s="160">
        <f ca="1">IF(OR($V$16,$D20&gt;Calc1!$B$14),"",MOD($E20-1,$V$18)+1)</f>
        <v>3</v>
      </c>
      <c r="H20" s="256" t="str">
        <f t="shared" ca="1" si="2"/>
        <v>A</v>
      </c>
      <c r="I20" s="279" t="str">
        <f ca="1"/>
        <v>A3</v>
      </c>
      <c r="J20" s="280" t="s">
        <v>5</v>
      </c>
      <c r="K20" s="281" t="str">
        <f ca="1"/>
        <v>A1</v>
      </c>
      <c r="L20" s="164" t="str">
        <f t="shared" ca="1" si="0"/>
        <v>Eintracht Frankfurt</v>
      </c>
      <c r="M20" s="48" t="s">
        <v>5</v>
      </c>
      <c r="N20" s="166" t="str">
        <f t="shared" ca="1" si="1"/>
        <v>1. FC Riedwald</v>
      </c>
      <c r="O20" s="681"/>
      <c r="P20" s="564"/>
      <c r="Q20" s="274"/>
      <c r="U20" s="152"/>
      <c r="W20" s="494"/>
      <c r="X20" s="495"/>
      <c r="Y20" s="495"/>
      <c r="Z20" s="495"/>
      <c r="AA20" s="495"/>
      <c r="AB20" s="495"/>
      <c r="AC20" s="495"/>
    </row>
    <row r="21" spans="1:29" ht="15.95" customHeight="1" x14ac:dyDescent="0.25">
      <c r="A21" s="67"/>
      <c r="B21" s="789" t="s">
        <v>320</v>
      </c>
      <c r="C21" s="787"/>
      <c r="D21" s="397">
        <v>16</v>
      </c>
      <c r="E21" s="370">
        <f t="array" aca="1" ref="E21" ca="1">IF($D21&gt;Calc1!$B$14,"",ROW(16:16)-SUM((($L$6:$L20="")+($N$6:$N20="")&gt;0)*1))</f>
        <v>16</v>
      </c>
      <c r="F21" s="158">
        <f ca="1">IF(OR($V$16,$D21&gt;Calc1!$B$14),"",$S$5+QUOTIENT(($E21-1),$V$18)*($S$7+$S$9)/1440+SUM($P$6:$P20)/1440)</f>
        <v>0.44791666666666669</v>
      </c>
      <c r="G21" s="160">
        <f ca="1">IF(OR($V$16,$D21&gt;Calc1!$B$14),"",MOD($E21-1,$V$18)+1)</f>
        <v>4</v>
      </c>
      <c r="H21" s="256" t="str">
        <f t="shared" ca="1" si="2"/>
        <v>B</v>
      </c>
      <c r="I21" s="279" t="str">
        <f ca="1"/>
        <v>B3</v>
      </c>
      <c r="J21" s="280" t="s">
        <v>5</v>
      </c>
      <c r="K21" s="281" t="str">
        <f ca="1"/>
        <v>B1</v>
      </c>
      <c r="L21" s="164" t="str">
        <f t="shared" ca="1" si="0"/>
        <v>SSV Wildbach</v>
      </c>
      <c r="M21" s="48" t="s">
        <v>5</v>
      </c>
      <c r="N21" s="166" t="str">
        <f t="shared" ca="1" si="1"/>
        <v>Mainz 05</v>
      </c>
      <c r="O21" s="681"/>
      <c r="P21" s="564"/>
      <c r="Q21" s="274"/>
      <c r="U21" s="152"/>
      <c r="W21" s="494"/>
      <c r="X21" s="495"/>
      <c r="Y21" s="495"/>
      <c r="Z21" s="495"/>
      <c r="AA21" s="495"/>
      <c r="AB21" s="495"/>
      <c r="AC21" s="495"/>
    </row>
    <row r="22" spans="1:29" ht="15.95" customHeight="1" x14ac:dyDescent="0.25">
      <c r="A22" s="67"/>
      <c r="B22" s="790"/>
      <c r="C22" s="788"/>
      <c r="D22" s="397">
        <v>17</v>
      </c>
      <c r="E22" s="370">
        <f t="array" aca="1" ref="E22" ca="1">IF($D22&gt;Calc1!$B$14,"",ROW(17:17)-SUM((($L$6:$L21="")+($N$6:$N21="")&gt;0)*1))</f>
        <v>17</v>
      </c>
      <c r="F22" s="158">
        <f ca="1">IF(OR($V$16,$D22&gt;Calc1!$B$14),"",$S$5+QUOTIENT(($E22-1),$V$18)*($S$7+$S$9)/1440+SUM($P$6:$P21)/1440)</f>
        <v>0.47222222222222221</v>
      </c>
      <c r="G22" s="160">
        <f ca="1">IF(OR($V$16,$D22&gt;Calc1!$B$14),"",MOD($E22-1,$V$18)+1)</f>
        <v>1</v>
      </c>
      <c r="H22" s="256" t="str">
        <f t="shared" ca="1" si="2"/>
        <v>A</v>
      </c>
      <c r="I22" s="279" t="str">
        <f ca="1"/>
        <v>A4</v>
      </c>
      <c r="J22" s="280" t="s">
        <v>5</v>
      </c>
      <c r="K22" s="281" t="str">
        <f ca="1"/>
        <v>A5</v>
      </c>
      <c r="L22" s="164" t="str">
        <f t="shared" ca="1" si="0"/>
        <v>Maibach 1822 eV</v>
      </c>
      <c r="M22" s="48" t="s">
        <v>5</v>
      </c>
      <c r="N22" s="166" t="str">
        <f t="shared" ca="1" si="1"/>
        <v>VFB Essenheim</v>
      </c>
      <c r="O22" s="681"/>
      <c r="P22" s="564"/>
      <c r="Q22" s="274"/>
      <c r="R22" s="818" t="str">
        <f>Sprache!$E$119&amp;$V$17&amp;Sprache!$E$120</f>
        <v>Wegen zeitlicher Konflikte kann nur auf maximal 6 Spielplätzen gleichzeitig gespielt werden.</v>
      </c>
      <c r="S22" s="818"/>
      <c r="T22" s="818"/>
      <c r="U22" s="152"/>
      <c r="W22" s="494"/>
      <c r="X22" s="495"/>
      <c r="Y22" s="495"/>
      <c r="Z22" s="495"/>
      <c r="AA22" s="495"/>
      <c r="AB22" s="495"/>
      <c r="AC22" s="495"/>
    </row>
    <row r="23" spans="1:29" ht="15.95" customHeight="1" x14ac:dyDescent="0.25">
      <c r="A23" s="67"/>
      <c r="B23" s="789" t="s">
        <v>321</v>
      </c>
      <c r="C23" s="787"/>
      <c r="D23" s="397">
        <v>18</v>
      </c>
      <c r="E23" s="370">
        <f t="array" aca="1" ref="E23" ca="1">IF($D23&gt;Calc1!$B$14,"",ROW(18:18)-SUM((($L$6:$L22="")+($N$6:$N22="")&gt;0)*1))</f>
        <v>18</v>
      </c>
      <c r="F23" s="158">
        <f ca="1">IF(OR($V$16,$D23&gt;Calc1!$B$14),"",$S$5+QUOTIENT(($E23-1),$V$18)*($S$7+$S$9)/1440+SUM($P$6:$P22)/1440)</f>
        <v>0.47222222222222221</v>
      </c>
      <c r="G23" s="160">
        <f ca="1">IF(OR($V$16,$D23&gt;Calc1!$B$14),"",MOD($E23-1,$V$18)+1)</f>
        <v>2</v>
      </c>
      <c r="H23" s="256" t="str">
        <f t="shared" ca="1" si="2"/>
        <v>B</v>
      </c>
      <c r="I23" s="279" t="str">
        <f ca="1"/>
        <v>B4</v>
      </c>
      <c r="J23" s="280" t="s">
        <v>5</v>
      </c>
      <c r="K23" s="281" t="str">
        <f ca="1"/>
        <v>B5</v>
      </c>
      <c r="L23" s="164" t="str">
        <f t="shared" ca="1" si="0"/>
        <v>Manchester City</v>
      </c>
      <c r="M23" s="48" t="s">
        <v>5</v>
      </c>
      <c r="N23" s="166" t="str">
        <f t="shared" ca="1" si="1"/>
        <v>FC Grönlingen</v>
      </c>
      <c r="O23" s="681"/>
      <c r="P23" s="564"/>
      <c r="Q23" s="274"/>
      <c r="R23" s="818"/>
      <c r="S23" s="818"/>
      <c r="T23" s="818"/>
      <c r="U23" s="152"/>
      <c r="W23" s="494"/>
      <c r="X23" s="495"/>
      <c r="Y23" s="495"/>
      <c r="Z23" s="495"/>
      <c r="AA23" s="495"/>
      <c r="AB23" s="495"/>
      <c r="AC23" s="495"/>
    </row>
    <row r="24" spans="1:29" ht="15.95" customHeight="1" thickBot="1" x14ac:dyDescent="0.3">
      <c r="A24" s="67"/>
      <c r="B24" s="822"/>
      <c r="C24" s="823"/>
      <c r="D24" s="397">
        <v>19</v>
      </c>
      <c r="E24" s="370">
        <f t="array" aca="1" ref="E24" ca="1">IF($D24&gt;Calc1!$B$14,"",ROW(19:19)-SUM((($L$6:$L23="")+($N$6:$N23="")&gt;0)*1))</f>
        <v>19</v>
      </c>
      <c r="F24" s="158">
        <f ca="1">IF(OR($V$16,$D24&gt;Calc1!$B$14),"",$S$5+QUOTIENT(($E24-1),$V$18)*($S$7+$S$9)/1440+SUM($P$6:$P23)/1440)</f>
        <v>0.47222222222222221</v>
      </c>
      <c r="G24" s="160">
        <f ca="1">IF(OR($V$16,$D24&gt;Calc1!$B$14),"",MOD($E24-1,$V$18)+1)</f>
        <v>3</v>
      </c>
      <c r="H24" s="256" t="str">
        <f t="shared" ca="1" si="2"/>
        <v>A</v>
      </c>
      <c r="I24" s="279" t="str">
        <f ca="1"/>
        <v>A1</v>
      </c>
      <c r="J24" s="280" t="s">
        <v>5</v>
      </c>
      <c r="K24" s="281" t="str">
        <f ca="1"/>
        <v>A2</v>
      </c>
      <c r="L24" s="164" t="str">
        <f t="shared" ca="1" si="0"/>
        <v>1. FC Riedwald</v>
      </c>
      <c r="M24" s="48" t="s">
        <v>5</v>
      </c>
      <c r="N24" s="166" t="str">
        <f t="shared" ca="1" si="1"/>
        <v>FC Barcelona</v>
      </c>
      <c r="O24" s="681"/>
      <c r="P24" s="564"/>
      <c r="Q24" s="274"/>
      <c r="R24" s="349"/>
      <c r="S24" s="388" t="str">
        <f t="array" aca="1" ref="S24" ca="1">IFERROR(proof!$E$3-SUM(((OFFSET($L$6,0,0,proof!$E$3,1)="")+(OFFSET($N$6,0,0,proof!$E$3,1)="")&gt;0)*1),"")</f>
        <v/>
      </c>
      <c r="T24" s="388" t="str">
        <f t="array" aca="1" ref="T24" ca="1">IFERROR(proof!$E$4-SUM(((OFFSET($L$6,0,0,proof!$E$4,1)="")+(OFFSET($N$6,0,0,proof!$E$4,1)="")&gt;0)*1),"")</f>
        <v/>
      </c>
      <c r="U24" s="152"/>
      <c r="W24" s="494"/>
      <c r="X24" s="495"/>
      <c r="Y24" s="495"/>
      <c r="Z24" s="495"/>
      <c r="AA24" s="495"/>
      <c r="AB24" s="495"/>
      <c r="AC24" s="495"/>
    </row>
    <row r="25" spans="1:29" ht="15.95" customHeight="1" thickTop="1" x14ac:dyDescent="0.25">
      <c r="D25" s="397">
        <v>20</v>
      </c>
      <c r="E25" s="370">
        <f t="array" aca="1" ref="E25" ca="1">IF($D25&gt;Calc1!$B$14,"",ROW(20:20)-SUM((($L$6:$L24="")+($N$6:$N24="")&gt;0)*1))</f>
        <v>20</v>
      </c>
      <c r="F25" s="158">
        <f ca="1">IF(OR($V$16,$D25&gt;Calc1!$B$14),"",$S$5+QUOTIENT(($E25-1),$V$18)*($S$7+$S$9)/1440+SUM($P$6:$P24)/1440)</f>
        <v>0.47222222222222221</v>
      </c>
      <c r="G25" s="160">
        <f ca="1">IF(OR($V$16,$D25&gt;Calc1!$B$14),"",MOD($E25-1,$V$18)+1)</f>
        <v>4</v>
      </c>
      <c r="H25" s="256" t="str">
        <f t="shared" ca="1" si="2"/>
        <v>B</v>
      </c>
      <c r="I25" s="279" t="str">
        <f ca="1"/>
        <v>B1</v>
      </c>
      <c r="J25" s="280" t="s">
        <v>5</v>
      </c>
      <c r="K25" s="281" t="str">
        <f ca="1"/>
        <v>B2</v>
      </c>
      <c r="L25" s="164" t="str">
        <f t="shared" ca="1" si="0"/>
        <v>Mainz 05</v>
      </c>
      <c r="M25" s="48" t="s">
        <v>5</v>
      </c>
      <c r="N25" s="166" t="str">
        <f t="shared" ca="1" si="1"/>
        <v>Inter Mailand</v>
      </c>
      <c r="O25" s="681"/>
      <c r="P25" s="564"/>
      <c r="Q25" s="274"/>
      <c r="R25" s="806" t="str">
        <f ca="1">IF($V$16,"",IF(proof!$G$2="FEHLER",Sprache!$E$126&amp;proof!$E$6,""))</f>
        <v/>
      </c>
      <c r="S25" s="806"/>
      <c r="T25" s="806"/>
      <c r="U25" s="152"/>
      <c r="W25" s="494"/>
      <c r="X25" s="495"/>
      <c r="Y25" s="495"/>
      <c r="Z25" s="495"/>
      <c r="AA25" s="495"/>
      <c r="AB25" s="495"/>
      <c r="AC25" s="495"/>
    </row>
    <row r="26" spans="1:29" ht="15.95" customHeight="1" x14ac:dyDescent="0.25">
      <c r="D26" s="397">
        <v>21</v>
      </c>
      <c r="E26" s="370" t="str">
        <f t="array" ref="E26">IF($D26&gt;Calc1!$B$14,"",ROW(21:21)-SUM((($L$6:$L25="")+($N$6:$N25="")&gt;0)*1))</f>
        <v/>
      </c>
      <c r="F26" s="158" t="str">
        <f>IF(OR($V$16,$D26&gt;Calc1!$B$14),"",$S$5+QUOTIENT(($E26-1),$V$18)*($S$7+$S$9)/1440+SUM($P$6:$P25)/1440)</f>
        <v/>
      </c>
      <c r="G26" s="160" t="str">
        <f>IF(OR($V$16,$D26&gt;Calc1!$B$14),"",MOD($E26-1,$V$18)+1)</f>
        <v/>
      </c>
      <c r="H26" s="256" t="str">
        <f t="shared" ca="1" si="2"/>
        <v/>
      </c>
      <c r="I26" s="279" t="str">
        <f ca="1"/>
        <v/>
      </c>
      <c r="J26" s="280" t="s">
        <v>5</v>
      </c>
      <c r="K26" s="281" t="str">
        <f ca="1"/>
        <v/>
      </c>
      <c r="L26" s="164" t="str">
        <f t="shared" ca="1" si="0"/>
        <v/>
      </c>
      <c r="M26" s="48" t="s">
        <v>5</v>
      </c>
      <c r="N26" s="166" t="str">
        <f t="shared" ca="1" si="1"/>
        <v/>
      </c>
      <c r="O26" s="681"/>
      <c r="P26" s="564"/>
      <c r="Q26" s="274"/>
      <c r="R26" s="806" t="str">
        <f ca="1">IF($V$16,"",IF(proof!$G$2="FEHLER",Sprache!$E$127&amp;$S$24&amp;Sprache!$E$128&amp;$T$24,""))</f>
        <v/>
      </c>
      <c r="S26" s="806"/>
      <c r="T26" s="806"/>
      <c r="U26" s="152"/>
    </row>
    <row r="27" spans="1:29" ht="15.95" customHeight="1" x14ac:dyDescent="0.25">
      <c r="B27" s="454"/>
      <c r="C27" s="824" t="str">
        <f>Sprache!$E$16&amp;" B"</f>
        <v>Gruppe B</v>
      </c>
      <c r="D27" s="397">
        <v>22</v>
      </c>
      <c r="E27" s="370" t="str">
        <f t="array" ref="E27">IF($D27&gt;Calc1!$B$14,"",ROW(22:22)-SUM((($L$6:$L26="")+($N$6:$N26="")&gt;0)*1))</f>
        <v/>
      </c>
      <c r="F27" s="158" t="str">
        <f>IF(OR($V$16,$D27&gt;Calc1!$B$14),"",$S$5+QUOTIENT(($E27-1),$V$18)*($S$7+$S$9)/1440+SUM($P$6:$P26)/1440)</f>
        <v/>
      </c>
      <c r="G27" s="160" t="str">
        <f>IF(OR($V$16,$D27&gt;Calc1!$B$14),"",MOD($E27-1,$V$18)+1)</f>
        <v/>
      </c>
      <c r="H27" s="256" t="str">
        <f t="shared" ca="1" si="2"/>
        <v/>
      </c>
      <c r="I27" s="279" t="str">
        <f ca="1"/>
        <v/>
      </c>
      <c r="J27" s="280" t="s">
        <v>5</v>
      </c>
      <c r="K27" s="281" t="str">
        <f ca="1"/>
        <v/>
      </c>
      <c r="L27" s="164" t="str">
        <f t="shared" ca="1" si="0"/>
        <v/>
      </c>
      <c r="M27" s="48" t="s">
        <v>5</v>
      </c>
      <c r="N27" s="166" t="str">
        <f t="shared" ca="1" si="1"/>
        <v/>
      </c>
      <c r="O27" s="681"/>
      <c r="P27" s="564"/>
      <c r="Q27" s="274"/>
      <c r="R27" s="349"/>
      <c r="S27" s="155"/>
      <c r="T27" s="155"/>
      <c r="U27" s="152"/>
    </row>
    <row r="28" spans="1:29" ht="15.95" customHeight="1" thickBot="1" x14ac:dyDescent="0.3">
      <c r="B28" s="455"/>
      <c r="C28" s="825"/>
      <c r="D28" s="397">
        <v>23</v>
      </c>
      <c r="E28" s="370" t="str">
        <f t="array" ref="E28">IF($D28&gt;Calc1!$B$14,"",ROW(23:23)-SUM((($L$6:$L27="")+($N$6:$N27="")&gt;0)*1))</f>
        <v/>
      </c>
      <c r="F28" s="158" t="str">
        <f>IF(OR($V$16,$D28&gt;Calc1!$B$14),"",$S$5+QUOTIENT(($E28-1),$V$18)*($S$7+$S$9)/1440+SUM($P$6:$P27)/1440)</f>
        <v/>
      </c>
      <c r="G28" s="160" t="str">
        <f>IF(OR($V$16,$D28&gt;Calc1!$B$14),"",MOD($E28-1,$V$18)+1)</f>
        <v/>
      </c>
      <c r="H28" s="256" t="str">
        <f t="shared" ca="1" si="2"/>
        <v/>
      </c>
      <c r="I28" s="279" t="str">
        <f ca="1"/>
        <v/>
      </c>
      <c r="J28" s="280" t="s">
        <v>5</v>
      </c>
      <c r="K28" s="281" t="str">
        <f ca="1"/>
        <v/>
      </c>
      <c r="L28" s="50" t="str">
        <f t="shared" ca="1" si="0"/>
        <v/>
      </c>
      <c r="M28" s="48" t="s">
        <v>5</v>
      </c>
      <c r="N28" s="49" t="str">
        <f t="shared" ca="1" si="1"/>
        <v/>
      </c>
      <c r="O28" s="298"/>
      <c r="P28" s="564"/>
      <c r="Q28" s="274"/>
      <c r="R28" s="155"/>
      <c r="S28" s="155"/>
      <c r="T28" s="155"/>
      <c r="U28" s="152"/>
    </row>
    <row r="29" spans="1:29" ht="15.95" customHeight="1" thickTop="1" x14ac:dyDescent="0.25">
      <c r="B29" s="799"/>
      <c r="C29" s="801" t="str">
        <f>Sprache!$E$10</f>
        <v>Teilnehmer bzw. Mannschaft</v>
      </c>
      <c r="D29" s="397">
        <v>24</v>
      </c>
      <c r="E29" s="370" t="str">
        <f t="array" ref="E29">IF($D29&gt;Calc1!$B$14,"",ROW(24:24)-SUM((($L$6:$L28="")+($N$6:$N28="")&gt;0)*1))</f>
        <v/>
      </c>
      <c r="F29" s="158" t="str">
        <f>IF(OR($V$16,$D29&gt;Calc1!$B$14),"",$S$5+QUOTIENT(($E29-1),$V$18)*($S$7+$S$9)/1440+SUM($P$6:$P28)/1440)</f>
        <v/>
      </c>
      <c r="G29" s="160" t="str">
        <f>IF(OR($V$16,$D29&gt;Calc1!$B$14),"",MOD($E29-1,$V$18)+1)</f>
        <v/>
      </c>
      <c r="H29" s="256" t="str">
        <f t="shared" ca="1" si="2"/>
        <v/>
      </c>
      <c r="I29" s="279" t="str">
        <f ca="1"/>
        <v/>
      </c>
      <c r="J29" s="280" t="s">
        <v>5</v>
      </c>
      <c r="K29" s="281" t="str">
        <f ca="1"/>
        <v/>
      </c>
      <c r="L29" s="164" t="str">
        <f t="shared" ca="1" si="0"/>
        <v/>
      </c>
      <c r="M29" s="48" t="s">
        <v>5</v>
      </c>
      <c r="N29" s="166" t="str">
        <f t="shared" ca="1" si="1"/>
        <v/>
      </c>
      <c r="O29" s="681"/>
      <c r="P29" s="564"/>
      <c r="Q29" s="274"/>
      <c r="R29" s="349"/>
      <c r="S29" s="155"/>
      <c r="T29" s="155"/>
      <c r="U29" s="152"/>
    </row>
    <row r="30" spans="1:29" ht="15.95" customHeight="1" x14ac:dyDescent="0.25">
      <c r="B30" s="800"/>
      <c r="C30" s="802"/>
      <c r="D30" s="397">
        <v>25</v>
      </c>
      <c r="E30" s="370" t="str">
        <f t="array" ref="E30">IF($D30&gt;Calc1!$B$14,"",ROW(25:25)-SUM((($L$6:$L29="")+($N$6:$N29="")&gt;0)*1))</f>
        <v/>
      </c>
      <c r="F30" s="158" t="str">
        <f>IF(OR($V$16,$D30&gt;Calc1!$B$14),"",$S$5+QUOTIENT(($E30-1),$V$18)*($S$7+$S$9)/1440+SUM($P$6:$P29)/1440)</f>
        <v/>
      </c>
      <c r="G30" s="160" t="str">
        <f>IF(OR($V$16,$D30&gt;Calc1!$B$14),"",MOD($E30-1,$V$18)+1)</f>
        <v/>
      </c>
      <c r="H30" s="256" t="str">
        <f t="shared" ca="1" si="2"/>
        <v/>
      </c>
      <c r="I30" s="279" t="str">
        <f ca="1"/>
        <v/>
      </c>
      <c r="J30" s="280" t="s">
        <v>5</v>
      </c>
      <c r="K30" s="281" t="str">
        <f ca="1"/>
        <v/>
      </c>
      <c r="L30" s="164" t="str">
        <f t="shared" ca="1" si="0"/>
        <v/>
      </c>
      <c r="M30" s="48" t="s">
        <v>5</v>
      </c>
      <c r="N30" s="166" t="str">
        <f t="shared" ca="1" si="1"/>
        <v/>
      </c>
      <c r="O30" s="681"/>
      <c r="P30" s="564"/>
      <c r="Q30" s="274"/>
      <c r="R30" s="349"/>
      <c r="S30" s="155"/>
      <c r="T30" s="155"/>
      <c r="U30" s="152"/>
    </row>
    <row r="31" spans="1:29" ht="15.95" customHeight="1" x14ac:dyDescent="0.25">
      <c r="B31" s="452" t="s">
        <v>196</v>
      </c>
      <c r="C31" s="791" t="s">
        <v>257</v>
      </c>
      <c r="D31" s="397">
        <v>26</v>
      </c>
      <c r="E31" s="370" t="str">
        <f t="array" ref="E31">IF($D31&gt;Calc1!$B$14,"",ROW(26:26)-SUM((($L$6:$L30="")+($N$6:$N30="")&gt;0)*1))</f>
        <v/>
      </c>
      <c r="F31" s="158" t="str">
        <f>IF(OR($V$16,$D31&gt;Calc1!$B$14),"",$S$5+QUOTIENT(($E31-1),$V$18)*($S$7+$S$9)/1440+SUM($P$6:$P30)/1440)</f>
        <v/>
      </c>
      <c r="G31" s="160" t="str">
        <f>IF(OR($V$16,$D31&gt;Calc1!$B$14),"",MOD($E31-1,$V$18)+1)</f>
        <v/>
      </c>
      <c r="H31" s="256" t="str">
        <f t="shared" ca="1" si="2"/>
        <v/>
      </c>
      <c r="I31" s="279" t="str">
        <f ca="1"/>
        <v/>
      </c>
      <c r="J31" s="280" t="s">
        <v>5</v>
      </c>
      <c r="K31" s="281" t="str">
        <f ca="1"/>
        <v/>
      </c>
      <c r="L31" s="164" t="str">
        <f t="shared" ca="1" si="0"/>
        <v/>
      </c>
      <c r="M31" s="48" t="s">
        <v>5</v>
      </c>
      <c r="N31" s="166" t="str">
        <f t="shared" ca="1" si="1"/>
        <v/>
      </c>
      <c r="O31" s="681"/>
      <c r="P31" s="564"/>
      <c r="Q31" s="274"/>
      <c r="R31" s="349"/>
      <c r="S31" s="155"/>
      <c r="T31" s="155"/>
      <c r="U31" s="152"/>
    </row>
    <row r="32" spans="1:29" ht="15.95" customHeight="1" x14ac:dyDescent="0.25">
      <c r="B32" s="453"/>
      <c r="C32" s="788"/>
      <c r="D32" s="397">
        <v>27</v>
      </c>
      <c r="E32" s="370" t="str">
        <f t="array" ref="E32">IF($D32&gt;Calc1!$B$14,"",ROW(27:27)-SUM((($L$6:$L31="")+($N$6:$N31="")&gt;0)*1))</f>
        <v/>
      </c>
      <c r="F32" s="158" t="str">
        <f>IF(OR($V$16,$D32&gt;Calc1!$B$14),"",$S$5+QUOTIENT(($E32-1),$V$18)*($S$7+$S$9)/1440+SUM($P$6:$P31)/1440)</f>
        <v/>
      </c>
      <c r="G32" s="160" t="str">
        <f>IF(OR($V$16,$D32&gt;Calc1!$B$14),"",MOD($E32-1,$V$18)+1)</f>
        <v/>
      </c>
      <c r="H32" s="257" t="str">
        <f t="shared" ca="1" si="2"/>
        <v/>
      </c>
      <c r="I32" s="279" t="str">
        <f ca="1"/>
        <v/>
      </c>
      <c r="J32" s="280" t="s">
        <v>5</v>
      </c>
      <c r="K32" s="281" t="str">
        <f ca="1"/>
        <v/>
      </c>
      <c r="L32" s="50" t="str">
        <f t="shared" ca="1" si="0"/>
        <v/>
      </c>
      <c r="M32" s="48" t="s">
        <v>5</v>
      </c>
      <c r="N32" s="49" t="str">
        <f t="shared" ca="1" si="1"/>
        <v/>
      </c>
      <c r="O32" s="298"/>
      <c r="P32" s="564"/>
      <c r="Q32" s="274"/>
      <c r="R32" s="349"/>
      <c r="S32" s="155"/>
      <c r="T32" s="155"/>
      <c r="U32" s="152"/>
    </row>
    <row r="33" spans="2:21" ht="15.95" customHeight="1" x14ac:dyDescent="0.25">
      <c r="B33" s="789" t="s">
        <v>198</v>
      </c>
      <c r="C33" s="787" t="s">
        <v>258</v>
      </c>
      <c r="D33" s="397">
        <v>28</v>
      </c>
      <c r="E33" s="370" t="str">
        <f t="array" ref="E33">IF($D33&gt;Calc1!$B$14,"",ROW(28:28)-SUM((($L$6:$L32="")+($N$6:$N32="")&gt;0)*1))</f>
        <v/>
      </c>
      <c r="F33" s="158" t="str">
        <f>IF(OR($V$16,$D33&gt;Calc1!$B$14),"",$S$5+QUOTIENT(($E33-1),$V$18)*($S$7+$S$9)/1440+SUM($P$6:$P32)/1440)</f>
        <v/>
      </c>
      <c r="G33" s="160" t="str">
        <f>IF(OR($V$16,$D33&gt;Calc1!$B$14),"",MOD($E33-1,$V$18)+1)</f>
        <v/>
      </c>
      <c r="H33" s="257" t="str">
        <f t="shared" ca="1" si="2"/>
        <v/>
      </c>
      <c r="I33" s="279" t="str">
        <f ca="1"/>
        <v/>
      </c>
      <c r="J33" s="280" t="s">
        <v>5</v>
      </c>
      <c r="K33" s="281" t="str">
        <f ca="1"/>
        <v/>
      </c>
      <c r="L33" s="50" t="str">
        <f t="shared" ca="1" si="0"/>
        <v/>
      </c>
      <c r="M33" s="48" t="s">
        <v>5</v>
      </c>
      <c r="N33" s="49" t="str">
        <f t="shared" ca="1" si="1"/>
        <v/>
      </c>
      <c r="O33" s="298"/>
      <c r="P33" s="564"/>
      <c r="Q33" s="274"/>
      <c r="R33" s="349"/>
      <c r="S33" s="155"/>
      <c r="T33" s="155"/>
      <c r="U33" s="152"/>
    </row>
    <row r="34" spans="2:21" ht="15.95" customHeight="1" x14ac:dyDescent="0.25">
      <c r="B34" s="790"/>
      <c r="C34" s="788"/>
      <c r="D34" s="397">
        <v>29</v>
      </c>
      <c r="E34" s="370" t="str">
        <f t="array" ref="E34">IF($D34&gt;Calc1!$B$14,"",ROW(29:29)-SUM((($L$6:$L33="")+($N$6:$N33="")&gt;0)*1))</f>
        <v/>
      </c>
      <c r="F34" s="158" t="str">
        <f>IF(OR($V$16,$D34&gt;Calc1!$B$14),"",$S$5+QUOTIENT(($E34-1),$V$18)*($S$7+$S$9)/1440+SUM($P$6:$P33)/1440)</f>
        <v/>
      </c>
      <c r="G34" s="160" t="str">
        <f>IF(OR($V$16,$D34&gt;Calc1!$B$14),"",MOD($E34-1,$V$18)+1)</f>
        <v/>
      </c>
      <c r="H34" s="256" t="str">
        <f t="shared" ca="1" si="2"/>
        <v/>
      </c>
      <c r="I34" s="279" t="str">
        <f ca="1"/>
        <v/>
      </c>
      <c r="J34" s="280" t="s">
        <v>5</v>
      </c>
      <c r="K34" s="281" t="str">
        <f ca="1"/>
        <v/>
      </c>
      <c r="L34" s="50" t="str">
        <f t="shared" ca="1" si="0"/>
        <v/>
      </c>
      <c r="M34" s="48" t="s">
        <v>5</v>
      </c>
      <c r="N34" s="49" t="str">
        <f t="shared" ca="1" si="1"/>
        <v/>
      </c>
      <c r="O34" s="310"/>
      <c r="P34" s="565"/>
      <c r="Q34" s="274"/>
      <c r="R34" s="349"/>
      <c r="S34" s="155"/>
      <c r="T34" s="155"/>
      <c r="U34" s="152"/>
    </row>
    <row r="35" spans="2:21" ht="15.95" customHeight="1" x14ac:dyDescent="0.25">
      <c r="B35" s="789" t="s">
        <v>194</v>
      </c>
      <c r="C35" s="787" t="s">
        <v>260</v>
      </c>
      <c r="D35" s="397">
        <v>30</v>
      </c>
      <c r="E35" s="370" t="str">
        <f t="array" ref="E35">IF($D35&gt;Calc1!$B$14,"",ROW(30:30)-SUM((($L$6:$L34="")+($N$6:$N34="")&gt;0)*1))</f>
        <v/>
      </c>
      <c r="F35" s="158" t="str">
        <f>IF(OR($V$16,$D35&gt;Calc1!$B$14),"",$S$5+QUOTIENT(($E35-1),$V$18)*($S$7+$S$9)/1440+SUM($P$6:$P34)/1440)</f>
        <v/>
      </c>
      <c r="G35" s="160" t="str">
        <f>IF(OR($V$16,$D35&gt;Calc1!$B$14),"",MOD($E35-1,$V$18)+1)</f>
        <v/>
      </c>
      <c r="H35" s="257" t="str">
        <f t="shared" ca="1" si="2"/>
        <v/>
      </c>
      <c r="I35" s="279" t="str">
        <f ca="1"/>
        <v/>
      </c>
      <c r="J35" s="280" t="s">
        <v>5</v>
      </c>
      <c r="K35" s="281" t="str">
        <f ca="1"/>
        <v/>
      </c>
      <c r="L35" s="50" t="str">
        <f t="shared" ref="L35:L77" ca="1" si="3">IF($I35="","",IF(VLOOKUP($I35,$B$7:$C$48,2,0)="","",VLOOKUP($I35,$B$7:$C$48,2,0)))</f>
        <v/>
      </c>
      <c r="M35" s="48" t="s">
        <v>5</v>
      </c>
      <c r="N35" s="49" t="str">
        <f t="shared" ref="N35:N77" ca="1" si="4">IF($K35="","",IF(VLOOKUP($K35,$B$7:$C$48,2,0)="","",VLOOKUP($K35,$B$7:$C$48,2,0)))</f>
        <v/>
      </c>
      <c r="O35" s="298"/>
      <c r="P35" s="564"/>
      <c r="Q35" s="274"/>
      <c r="R35" s="349"/>
      <c r="S35" s="155"/>
      <c r="T35" s="155"/>
      <c r="U35" s="152"/>
    </row>
    <row r="36" spans="2:21" ht="17.25" x14ac:dyDescent="0.25">
      <c r="B36" s="790"/>
      <c r="C36" s="788"/>
      <c r="D36" s="397">
        <v>31</v>
      </c>
      <c r="E36" s="370" t="str">
        <f t="array" ref="E36">IF($D36&gt;Calc1!$B$14,"",ROW(31:31)-SUM((($L$6:$L35="")+($N$6:$N35="")&gt;0)*1))</f>
        <v/>
      </c>
      <c r="F36" s="158" t="str">
        <f>IF(OR($V$16,$D36&gt;Calc1!$B$14),"",$S$5+QUOTIENT(($E36-1),$V$18)*($S$7+$S$9)/1440+SUM($P$6:$P35)/1440)</f>
        <v/>
      </c>
      <c r="G36" s="160" t="str">
        <f>IF(OR($V$16,$D36&gt;Calc1!$B$14),"",MOD($E36-1,$V$18)+1)</f>
        <v/>
      </c>
      <c r="H36" s="257" t="str">
        <f t="shared" ca="1" si="2"/>
        <v/>
      </c>
      <c r="I36" s="470" t="str">
        <f ca="1"/>
        <v/>
      </c>
      <c r="J36" s="280" t="s">
        <v>5</v>
      </c>
      <c r="K36" s="471" t="str">
        <f ca="1"/>
        <v/>
      </c>
      <c r="L36" s="50" t="str">
        <f t="shared" ca="1" si="3"/>
        <v/>
      </c>
      <c r="M36" s="48" t="s">
        <v>5</v>
      </c>
      <c r="N36" s="49" t="str">
        <f t="shared" ca="1" si="4"/>
        <v/>
      </c>
      <c r="O36" s="298"/>
      <c r="P36" s="564"/>
      <c r="Q36" s="154"/>
      <c r="R36" s="349"/>
      <c r="S36" s="155"/>
      <c r="T36" s="155"/>
      <c r="U36" s="275"/>
    </row>
    <row r="37" spans="2:21" ht="17.25" x14ac:dyDescent="0.25">
      <c r="B37" s="789" t="s">
        <v>200</v>
      </c>
      <c r="C37" s="787" t="s">
        <v>259</v>
      </c>
      <c r="D37" s="397">
        <v>32</v>
      </c>
      <c r="E37" s="370" t="str">
        <f t="array" ref="E37">IF($D37&gt;Calc1!$B$14,"",ROW(32:32)-SUM((($L$6:$L36="")+($N$6:$N36="")&gt;0)*1))</f>
        <v/>
      </c>
      <c r="F37" s="158" t="str">
        <f>IF(OR($V$16,$D37&gt;Calc1!$B$14),"",$S$5+QUOTIENT(($E37-1),$V$18)*($S$7+$S$9)/1440+SUM($P$6:$P36)/1440)</f>
        <v/>
      </c>
      <c r="G37" s="160" t="str">
        <f>IF(OR($V$16,$D37&gt;Calc1!$B$14),"",MOD($E37-1,$V$18)+1)</f>
        <v/>
      </c>
      <c r="H37" s="257" t="str">
        <f t="shared" ca="1" si="2"/>
        <v/>
      </c>
      <c r="I37" s="470" t="str">
        <f ca="1"/>
        <v/>
      </c>
      <c r="J37" s="280" t="s">
        <v>5</v>
      </c>
      <c r="K37" s="471" t="str">
        <f ca="1"/>
        <v/>
      </c>
      <c r="L37" s="50" t="str">
        <f t="shared" ca="1" si="3"/>
        <v/>
      </c>
      <c r="M37" s="48" t="s">
        <v>5</v>
      </c>
      <c r="N37" s="49" t="str">
        <f t="shared" ca="1" si="4"/>
        <v/>
      </c>
      <c r="O37" s="298"/>
      <c r="P37" s="564"/>
      <c r="Q37" s="154"/>
      <c r="R37" s="349"/>
      <c r="S37" s="155"/>
      <c r="T37" s="155"/>
      <c r="U37" s="275"/>
    </row>
    <row r="38" spans="2:21" ht="17.25" customHeight="1" x14ac:dyDescent="0.25">
      <c r="B38" s="790"/>
      <c r="C38" s="788"/>
      <c r="D38" s="397">
        <v>33</v>
      </c>
      <c r="E38" s="370" t="str">
        <f t="array" ref="E38">IF($D38&gt;Calc1!$B$14,"",ROW(33:33)-SUM((($L$6:$L37="")+($N$6:$N37="")&gt;0)*1))</f>
        <v/>
      </c>
      <c r="F38" s="158" t="str">
        <f>IF(OR($V$16,$D38&gt;Calc1!$B$14),"",$S$5+QUOTIENT(($E38-1),$V$18)*($S$7+$S$9)/1440+SUM($P$6:$P37)/1440)</f>
        <v/>
      </c>
      <c r="G38" s="160" t="str">
        <f>IF(OR($V$16,$D38&gt;Calc1!$B$14),"",MOD($E38-1,$V$18)+1)</f>
        <v/>
      </c>
      <c r="H38" s="257" t="str">
        <f t="shared" ca="1" si="2"/>
        <v/>
      </c>
      <c r="I38" s="470" t="str">
        <f ca="1"/>
        <v/>
      </c>
      <c r="J38" s="280" t="s">
        <v>5</v>
      </c>
      <c r="K38" s="471" t="str">
        <f ca="1"/>
        <v/>
      </c>
      <c r="L38" s="50" t="str">
        <f t="shared" ca="1" si="3"/>
        <v/>
      </c>
      <c r="M38" s="48" t="s">
        <v>5</v>
      </c>
      <c r="N38" s="49" t="str">
        <f t="shared" ca="1" si="4"/>
        <v/>
      </c>
      <c r="O38" s="298"/>
      <c r="P38" s="564"/>
      <c r="Q38" s="154"/>
      <c r="R38" s="349"/>
      <c r="S38" s="155"/>
      <c r="T38" s="155"/>
      <c r="U38" s="155"/>
    </row>
    <row r="39" spans="2:21" ht="18" customHeight="1" x14ac:dyDescent="0.25">
      <c r="B39" s="789" t="s">
        <v>202</v>
      </c>
      <c r="C39" s="787" t="s">
        <v>261</v>
      </c>
      <c r="D39" s="397">
        <v>34</v>
      </c>
      <c r="E39" s="370" t="str">
        <f t="array" ref="E39">IF($D39&gt;Calc1!$B$14,"",ROW(34:34)-SUM((($L$6:$L38="")+($N$6:$N38="")&gt;0)*1))</f>
        <v/>
      </c>
      <c r="F39" s="158" t="str">
        <f>IF(OR($V$16,$D39&gt;Calc1!$B$14),"",$S$5+QUOTIENT(($E39-1),$V$18)*($S$7+$S$9)/1440+SUM($P$6:$P38)/1440)</f>
        <v/>
      </c>
      <c r="G39" s="160" t="str">
        <f>IF(OR($V$16,$D39&gt;Calc1!$B$14),"",MOD($E39-1,$V$18)+1)</f>
        <v/>
      </c>
      <c r="H39" s="257" t="str">
        <f t="shared" ca="1" si="2"/>
        <v/>
      </c>
      <c r="I39" s="470" t="str">
        <f ca="1"/>
        <v/>
      </c>
      <c r="J39" s="280" t="s">
        <v>5</v>
      </c>
      <c r="K39" s="471" t="str">
        <f ca="1"/>
        <v/>
      </c>
      <c r="L39" s="50" t="str">
        <f t="shared" ca="1" si="3"/>
        <v/>
      </c>
      <c r="M39" s="48" t="s">
        <v>5</v>
      </c>
      <c r="N39" s="49" t="str">
        <f t="shared" ca="1" si="4"/>
        <v/>
      </c>
      <c r="O39" s="298"/>
      <c r="P39" s="564"/>
      <c r="Q39" s="154"/>
      <c r="R39" s="155"/>
      <c r="S39" s="155"/>
      <c r="T39" s="155"/>
      <c r="U39" s="155"/>
    </row>
    <row r="40" spans="2:21" ht="17.25" x14ac:dyDescent="0.3">
      <c r="B40" s="790"/>
      <c r="C40" s="788"/>
      <c r="D40" s="397">
        <v>35</v>
      </c>
      <c r="E40" s="370" t="str">
        <f t="array" ref="E40">IF($D40&gt;Calc1!$B$14,"",ROW(35:35)-SUM((($L$6:$L39="")+($N$6:$N39="")&gt;0)*1))</f>
        <v/>
      </c>
      <c r="F40" s="158" t="str">
        <f>IF(OR($V$16,$D40&gt;Calc1!$B$14),"",$S$5+QUOTIENT(($E40-1),$V$18)*($S$7+$S$9)/1440+SUM($P$6:$P39)/1440)</f>
        <v/>
      </c>
      <c r="G40" s="160" t="str">
        <f>IF(OR($V$16,$D40&gt;Calc1!$B$14),"",MOD($E40-1,$V$18)+1)</f>
        <v/>
      </c>
      <c r="H40" s="257" t="str">
        <f t="shared" ca="1" si="2"/>
        <v/>
      </c>
      <c r="I40" s="472" t="str">
        <f ca="1"/>
        <v/>
      </c>
      <c r="J40" s="280" t="s">
        <v>5</v>
      </c>
      <c r="K40" s="473" t="str">
        <f ca="1"/>
        <v/>
      </c>
      <c r="L40" s="50" t="str">
        <f t="shared" ca="1" si="3"/>
        <v/>
      </c>
      <c r="M40" s="48" t="s">
        <v>5</v>
      </c>
      <c r="N40" s="49" t="str">
        <f t="shared" ca="1" si="4"/>
        <v/>
      </c>
      <c r="O40" s="298"/>
      <c r="P40" s="564"/>
    </row>
    <row r="41" spans="2:21" ht="15.75" customHeight="1" x14ac:dyDescent="0.3">
      <c r="B41" s="789" t="s">
        <v>204</v>
      </c>
      <c r="C41" s="787"/>
      <c r="D41" s="397">
        <v>36</v>
      </c>
      <c r="E41" s="370" t="str">
        <f t="array" ref="E41">IF($D41&gt;Calc1!$B$14,"",ROW(36:36)-SUM((($L$6:$L40="")+($N$6:$N40="")&gt;0)*1))</f>
        <v/>
      </c>
      <c r="F41" s="158" t="str">
        <f>IF(OR($V$16,$D41&gt;Calc1!$B$14),"",$S$5+QUOTIENT(($E41-1),$V$18)*($S$7+$S$9)/1440+SUM($P$6:$P40)/1440)</f>
        <v/>
      </c>
      <c r="G41" s="160" t="str">
        <f>IF(OR($V$16,$D41&gt;Calc1!$B$14),"",MOD($E41-1,$V$18)+1)</f>
        <v/>
      </c>
      <c r="H41" s="257" t="str">
        <f t="shared" ca="1" si="2"/>
        <v/>
      </c>
      <c r="I41" s="472" t="str">
        <f ca="1"/>
        <v/>
      </c>
      <c r="J41" s="280" t="s">
        <v>5</v>
      </c>
      <c r="K41" s="473" t="str">
        <f ca="1"/>
        <v/>
      </c>
      <c r="L41" s="50" t="str">
        <f t="shared" ca="1" si="3"/>
        <v/>
      </c>
      <c r="M41" s="48" t="s">
        <v>5</v>
      </c>
      <c r="N41" s="49" t="str">
        <f t="shared" ca="1" si="4"/>
        <v/>
      </c>
      <c r="O41" s="298"/>
      <c r="P41" s="564"/>
    </row>
    <row r="42" spans="2:21" ht="15.75" customHeight="1" x14ac:dyDescent="0.3">
      <c r="B42" s="790"/>
      <c r="C42" s="788"/>
      <c r="D42" s="397">
        <v>37</v>
      </c>
      <c r="E42" s="370" t="str">
        <f t="array" ref="E42">IF($D42&gt;Calc1!$B$14,"",ROW(37:37)-SUM((($L$6:$L41="")+($N$6:$N41="")&gt;0)*1))</f>
        <v/>
      </c>
      <c r="F42" s="158" t="str">
        <f>IF(OR($V$16,$D42&gt;Calc1!$B$14),"",$S$5+QUOTIENT(($E42-1),$V$18)*($S$7+$S$9)/1440+SUM($P$6:$P41)/1440)</f>
        <v/>
      </c>
      <c r="G42" s="160" t="str">
        <f>IF(OR($V$16,$D42&gt;Calc1!$B$14),"",MOD($E42-1,$V$18)+1)</f>
        <v/>
      </c>
      <c r="H42" s="257" t="str">
        <f t="shared" ca="1" si="2"/>
        <v/>
      </c>
      <c r="I42" s="472" t="str">
        <f ca="1"/>
        <v/>
      </c>
      <c r="J42" s="280" t="s">
        <v>5</v>
      </c>
      <c r="K42" s="473" t="str">
        <f ca="1"/>
        <v/>
      </c>
      <c r="L42" s="50" t="str">
        <f t="shared" ca="1" si="3"/>
        <v/>
      </c>
      <c r="M42" s="48" t="s">
        <v>5</v>
      </c>
      <c r="N42" s="49" t="str">
        <f t="shared" ca="1" si="4"/>
        <v/>
      </c>
      <c r="O42" s="298"/>
      <c r="P42" s="564"/>
    </row>
    <row r="43" spans="2:21" ht="15.75" customHeight="1" x14ac:dyDescent="0.3">
      <c r="B43" s="789" t="s">
        <v>322</v>
      </c>
      <c r="C43" s="787"/>
      <c r="D43" s="397">
        <v>38</v>
      </c>
      <c r="E43" s="370" t="str">
        <f t="array" ref="E43">IF($D43&gt;Calc1!$B$14,"",ROW(38:38)-SUM((($L$6:$L42="")+($N$6:$N42="")&gt;0)*1))</f>
        <v/>
      </c>
      <c r="F43" s="158" t="str">
        <f>IF(OR($V$16,$D43&gt;Calc1!$B$14),"",$S$5+QUOTIENT(($E43-1),$V$18)*($S$7+$S$9)/1440+SUM($P$6:$P42)/1440)</f>
        <v/>
      </c>
      <c r="G43" s="160" t="str">
        <f>IF(OR($V$16,$D43&gt;Calc1!$B$14),"",MOD($E43-1,$V$18)+1)</f>
        <v/>
      </c>
      <c r="H43" s="257" t="str">
        <f t="shared" ca="1" si="2"/>
        <v/>
      </c>
      <c r="I43" s="472" t="str">
        <f ca="1"/>
        <v/>
      </c>
      <c r="J43" s="280" t="s">
        <v>5</v>
      </c>
      <c r="K43" s="473" t="str">
        <f ca="1"/>
        <v/>
      </c>
      <c r="L43" s="50" t="str">
        <f t="shared" ca="1" si="3"/>
        <v/>
      </c>
      <c r="M43" s="48" t="s">
        <v>5</v>
      </c>
      <c r="N43" s="49" t="str">
        <f t="shared" ca="1" si="4"/>
        <v/>
      </c>
      <c r="O43" s="298"/>
      <c r="P43" s="564"/>
    </row>
    <row r="44" spans="2:21" ht="17.25" x14ac:dyDescent="0.3">
      <c r="B44" s="790"/>
      <c r="C44" s="788"/>
      <c r="D44" s="397">
        <v>39</v>
      </c>
      <c r="E44" s="370" t="str">
        <f t="array" ref="E44">IF($D44&gt;Calc1!$B$14,"",ROW(39:39)-SUM((($L$6:$L43="")+($N$6:$N43="")&gt;0)*1))</f>
        <v/>
      </c>
      <c r="F44" s="158" t="str">
        <f>IF(OR($V$16,$D44&gt;Calc1!$B$14),"",$S$5+QUOTIENT(($E44-1),$V$18)*($S$7+$S$9)/1440+SUM($P$6:$P43)/1440)</f>
        <v/>
      </c>
      <c r="G44" s="160" t="str">
        <f>IF(OR($V$16,$D44&gt;Calc1!$B$14),"",MOD($E44-1,$V$18)+1)</f>
        <v/>
      </c>
      <c r="H44" s="257" t="str">
        <f t="shared" ca="1" si="2"/>
        <v/>
      </c>
      <c r="I44" s="472" t="str">
        <f ca="1"/>
        <v/>
      </c>
      <c r="J44" s="280" t="s">
        <v>5</v>
      </c>
      <c r="K44" s="473" t="str">
        <f ca="1"/>
        <v/>
      </c>
      <c r="L44" s="50" t="str">
        <f t="shared" ca="1" si="3"/>
        <v/>
      </c>
      <c r="M44" s="48" t="s">
        <v>5</v>
      </c>
      <c r="N44" s="49" t="str">
        <f t="shared" ca="1" si="4"/>
        <v/>
      </c>
      <c r="O44" s="298"/>
      <c r="P44" s="564"/>
    </row>
    <row r="45" spans="2:21" ht="17.25" x14ac:dyDescent="0.3">
      <c r="B45" s="789" t="s">
        <v>323</v>
      </c>
      <c r="C45" s="787"/>
      <c r="D45" s="397">
        <v>40</v>
      </c>
      <c r="E45" s="370" t="str">
        <f t="array" ref="E45">IF($D45&gt;Calc1!$B$14,"",ROW(40:40)-SUM((($L$6:$L44="")+($N$6:$N44="")&gt;0)*1))</f>
        <v/>
      </c>
      <c r="F45" s="158" t="str">
        <f>IF(OR($V$16,$D45&gt;Calc1!$B$14),"",$S$5+QUOTIENT(($E45-1),$V$18)*($S$7+$S$9)/1440+SUM($P$6:$P44)/1440)</f>
        <v/>
      </c>
      <c r="G45" s="160" t="str">
        <f>IF(OR($V$16,$D45&gt;Calc1!$B$14),"",MOD($E45-1,$V$18)+1)</f>
        <v/>
      </c>
      <c r="H45" s="257" t="str">
        <f t="shared" ca="1" si="2"/>
        <v/>
      </c>
      <c r="I45" s="472" t="str">
        <f ca="1"/>
        <v/>
      </c>
      <c r="J45" s="280" t="s">
        <v>5</v>
      </c>
      <c r="K45" s="473" t="str">
        <f ca="1"/>
        <v/>
      </c>
      <c r="L45" s="50" t="str">
        <f t="shared" ca="1" si="3"/>
        <v/>
      </c>
      <c r="M45" s="48" t="s">
        <v>5</v>
      </c>
      <c r="N45" s="49" t="str">
        <f t="shared" ca="1" si="4"/>
        <v/>
      </c>
      <c r="O45" s="298"/>
      <c r="P45" s="564"/>
    </row>
    <row r="46" spans="2:21" ht="17.25" x14ac:dyDescent="0.3">
      <c r="B46" s="790"/>
      <c r="C46" s="788"/>
      <c r="D46" s="397">
        <v>41</v>
      </c>
      <c r="E46" s="370" t="str">
        <f t="array" ref="E46">IF($D46&gt;Calc1!$B$14,"",ROW(41:41)-SUM((($L$6:$L45="")+($N$6:$N45="")&gt;0)*1))</f>
        <v/>
      </c>
      <c r="F46" s="158" t="str">
        <f>IF(OR($V$16,$D46&gt;Calc1!$B$14),"",$S$5+QUOTIENT(($E46-1),$V$18)*($S$7+$S$9)/1440+SUM($P$6:$P45)/1440)</f>
        <v/>
      </c>
      <c r="G46" s="160" t="str">
        <f>IF(OR($V$16,$D46&gt;Calc1!$B$14),"",MOD($E46-1,$V$18)+1)</f>
        <v/>
      </c>
      <c r="H46" s="257" t="str">
        <f t="shared" ca="1" si="2"/>
        <v/>
      </c>
      <c r="I46" s="472" t="str">
        <f ca="1"/>
        <v/>
      </c>
      <c r="J46" s="280" t="s">
        <v>5</v>
      </c>
      <c r="K46" s="473" t="str">
        <f ca="1"/>
        <v/>
      </c>
      <c r="L46" s="50" t="str">
        <f t="shared" ca="1" si="3"/>
        <v/>
      </c>
      <c r="M46" s="48" t="s">
        <v>5</v>
      </c>
      <c r="N46" s="49" t="str">
        <f t="shared" ca="1" si="4"/>
        <v/>
      </c>
      <c r="O46" s="298"/>
      <c r="P46" s="564"/>
    </row>
    <row r="47" spans="2:21" ht="18.75" customHeight="1" x14ac:dyDescent="0.3">
      <c r="B47" s="789" t="s">
        <v>324</v>
      </c>
      <c r="C47" s="787"/>
      <c r="D47" s="397">
        <v>42</v>
      </c>
      <c r="E47" s="370" t="str">
        <f t="array" ref="E47">IF($D47&gt;Calc1!$B$14,"",ROW(42:42)-SUM((($L$6:$L46="")+($N$6:$N46="")&gt;0)*1))</f>
        <v/>
      </c>
      <c r="F47" s="158" t="str">
        <f>IF(OR($V$16,$D47&gt;Calc1!$B$14),"",$S$5+QUOTIENT(($E47-1),$V$18)*($S$7+$S$9)/1440+SUM($P$6:$P46)/1440)</f>
        <v/>
      </c>
      <c r="G47" s="160" t="str">
        <f>IF(OR($V$16,$D47&gt;Calc1!$B$14),"",MOD($E47-1,$V$18)+1)</f>
        <v/>
      </c>
      <c r="H47" s="257" t="str">
        <f t="shared" ca="1" si="2"/>
        <v/>
      </c>
      <c r="I47" s="472" t="str">
        <f ca="1"/>
        <v/>
      </c>
      <c r="J47" s="280" t="s">
        <v>5</v>
      </c>
      <c r="K47" s="473" t="str">
        <f ca="1"/>
        <v/>
      </c>
      <c r="L47" s="50" t="str">
        <f t="shared" ca="1" si="3"/>
        <v/>
      </c>
      <c r="M47" s="48" t="s">
        <v>5</v>
      </c>
      <c r="N47" s="49" t="str">
        <f t="shared" ca="1" si="4"/>
        <v/>
      </c>
      <c r="O47" s="298"/>
      <c r="P47" s="564"/>
    </row>
    <row r="48" spans="2:21" ht="18" thickBot="1" x14ac:dyDescent="0.35">
      <c r="B48" s="822"/>
      <c r="C48" s="823"/>
      <c r="D48" s="397">
        <v>43</v>
      </c>
      <c r="E48" s="370" t="str">
        <f t="array" ref="E48">IF($D48&gt;Calc1!$B$14,"",ROW(43:43)-SUM((($L$6:$L47="")+($N$6:$N47="")&gt;0)*1))</f>
        <v/>
      </c>
      <c r="F48" s="158" t="str">
        <f>IF(OR($V$16,$D48&gt;Calc1!$B$14),"",$S$5+QUOTIENT(($E48-1),$V$18)*($S$7+$S$9)/1440+SUM($P$6:$P47)/1440)</f>
        <v/>
      </c>
      <c r="G48" s="160" t="str">
        <f>IF(OR($V$16,$D48&gt;Calc1!$B$14),"",MOD($E48-1,$V$18)+1)</f>
        <v/>
      </c>
      <c r="H48" s="257" t="str">
        <f t="shared" ca="1" si="2"/>
        <v/>
      </c>
      <c r="I48" s="472" t="str">
        <f ca="1"/>
        <v/>
      </c>
      <c r="J48" s="280" t="s">
        <v>5</v>
      </c>
      <c r="K48" s="473" t="str">
        <f ca="1"/>
        <v/>
      </c>
      <c r="L48" s="50" t="str">
        <f t="shared" ca="1" si="3"/>
        <v/>
      </c>
      <c r="M48" s="48" t="s">
        <v>5</v>
      </c>
      <c r="N48" s="49" t="str">
        <f t="shared" ca="1" si="4"/>
        <v/>
      </c>
      <c r="O48" s="298"/>
      <c r="P48" s="564"/>
    </row>
    <row r="49" spans="4:16" ht="18" thickTop="1" x14ac:dyDescent="0.3">
      <c r="D49" s="397">
        <v>44</v>
      </c>
      <c r="E49" s="370" t="str">
        <f t="array" ref="E49">IF($D49&gt;Calc1!$B$14,"",ROW(44:44)-SUM((($L$6:$L48="")+($N$6:$N48="")&gt;0)*1))</f>
        <v/>
      </c>
      <c r="F49" s="158" t="str">
        <f>IF(OR($V$16,$D49&gt;Calc1!$B$14),"",$S$5+QUOTIENT(($E49-1),$V$18)*($S$7+$S$9)/1440+SUM($P$6:$P48)/1440)</f>
        <v/>
      </c>
      <c r="G49" s="160" t="str">
        <f>IF(OR($V$16,$D49&gt;Calc1!$B$14),"",MOD($E49-1,$V$18)+1)</f>
        <v/>
      </c>
      <c r="H49" s="257" t="str">
        <f t="shared" ca="1" si="2"/>
        <v/>
      </c>
      <c r="I49" s="472" t="str">
        <f ca="1"/>
        <v/>
      </c>
      <c r="J49" s="280" t="s">
        <v>5</v>
      </c>
      <c r="K49" s="473" t="str">
        <f ca="1"/>
        <v/>
      </c>
      <c r="L49" s="50" t="str">
        <f t="shared" ca="1" si="3"/>
        <v/>
      </c>
      <c r="M49" s="48" t="s">
        <v>5</v>
      </c>
      <c r="N49" s="49" t="str">
        <f t="shared" ca="1" si="4"/>
        <v/>
      </c>
      <c r="O49" s="298"/>
      <c r="P49" s="564"/>
    </row>
    <row r="50" spans="4:16" ht="17.25" x14ac:dyDescent="0.3">
      <c r="D50" s="397">
        <v>45</v>
      </c>
      <c r="E50" s="370" t="str">
        <f t="array" ref="E50">IF($D50&gt;Calc1!$B$14,"",ROW(45:45)-SUM((($L$6:$L49="")+($N$6:$N49="")&gt;0)*1))</f>
        <v/>
      </c>
      <c r="F50" s="158" t="str">
        <f>IF(OR($V$16,$D50&gt;Calc1!$B$14),"",$S$5+QUOTIENT(($E50-1),$V$18)*($S$7+$S$9)/1440+SUM($P$6:$P49)/1440)</f>
        <v/>
      </c>
      <c r="G50" s="160" t="str">
        <f>IF(OR($V$16,$D50&gt;Calc1!$B$14),"",MOD($E50-1,$V$18)+1)</f>
        <v/>
      </c>
      <c r="H50" s="257" t="str">
        <f t="shared" ca="1" si="2"/>
        <v/>
      </c>
      <c r="I50" s="472" t="str">
        <f ca="1"/>
        <v/>
      </c>
      <c r="J50" s="280" t="s">
        <v>5</v>
      </c>
      <c r="K50" s="473" t="str">
        <f ca="1"/>
        <v/>
      </c>
      <c r="L50" s="50" t="str">
        <f t="shared" ca="1" si="3"/>
        <v/>
      </c>
      <c r="M50" s="48" t="s">
        <v>5</v>
      </c>
      <c r="N50" s="49" t="str">
        <f t="shared" ca="1" si="4"/>
        <v/>
      </c>
      <c r="O50" s="298"/>
      <c r="P50" s="564"/>
    </row>
    <row r="51" spans="4:16" ht="17.25" x14ac:dyDescent="0.3">
      <c r="D51" s="397">
        <v>46</v>
      </c>
      <c r="E51" s="370" t="str">
        <f t="array" ref="E51">IF($D51&gt;Calc1!$B$14,"",ROW(46:46)-SUM((($L$6:$L50="")+($N$6:$N50="")&gt;0)*1))</f>
        <v/>
      </c>
      <c r="F51" s="158" t="str">
        <f>IF(OR($V$16,$D51&gt;Calc1!$B$14),"",$S$5+QUOTIENT(($E51-1),$V$18)*($S$7+$S$9)/1440+SUM($P$6:$P50)/1440)</f>
        <v/>
      </c>
      <c r="G51" s="160" t="str">
        <f>IF(OR($V$16,$D51&gt;Calc1!$B$14),"",MOD($E51-1,$V$18)+1)</f>
        <v/>
      </c>
      <c r="H51" s="257" t="str">
        <f t="shared" ca="1" si="2"/>
        <v/>
      </c>
      <c r="I51" s="472" t="str">
        <f ca="1"/>
        <v/>
      </c>
      <c r="J51" s="280" t="s">
        <v>5</v>
      </c>
      <c r="K51" s="473" t="str">
        <f ca="1"/>
        <v/>
      </c>
      <c r="L51" s="50" t="str">
        <f t="shared" ca="1" si="3"/>
        <v/>
      </c>
      <c r="M51" s="48" t="s">
        <v>5</v>
      </c>
      <c r="N51" s="49" t="str">
        <f t="shared" ca="1" si="4"/>
        <v/>
      </c>
      <c r="O51" s="298"/>
      <c r="P51" s="564"/>
    </row>
    <row r="52" spans="4:16" ht="17.25" x14ac:dyDescent="0.3">
      <c r="D52" s="397">
        <v>47</v>
      </c>
      <c r="E52" s="370" t="str">
        <f t="array" ref="E52">IF($D52&gt;Calc1!$B$14,"",ROW(47:47)-SUM((($L$6:$L51="")+($N$6:$N51="")&gt;0)*1))</f>
        <v/>
      </c>
      <c r="F52" s="158" t="str">
        <f>IF(OR($V$16,$D52&gt;Calc1!$B$14),"",$S$5+QUOTIENT(($E52-1),$V$18)*($S$7+$S$9)/1440+SUM($P$6:$P51)/1440)</f>
        <v/>
      </c>
      <c r="G52" s="160" t="str">
        <f>IF(OR($V$16,$D52&gt;Calc1!$B$14),"",MOD($E52-1,$V$18)+1)</f>
        <v/>
      </c>
      <c r="H52" s="257" t="str">
        <f t="shared" ca="1" si="2"/>
        <v/>
      </c>
      <c r="I52" s="472" t="str">
        <f ca="1"/>
        <v/>
      </c>
      <c r="J52" s="280" t="s">
        <v>5</v>
      </c>
      <c r="K52" s="473" t="str">
        <f ca="1"/>
        <v/>
      </c>
      <c r="L52" s="50" t="str">
        <f t="shared" ca="1" si="3"/>
        <v/>
      </c>
      <c r="M52" s="48" t="s">
        <v>5</v>
      </c>
      <c r="N52" s="49" t="str">
        <f t="shared" ca="1" si="4"/>
        <v/>
      </c>
      <c r="O52" s="298"/>
      <c r="P52" s="564"/>
    </row>
    <row r="53" spans="4:16" ht="17.25" x14ac:dyDescent="0.3">
      <c r="D53" s="397">
        <v>48</v>
      </c>
      <c r="E53" s="370" t="str">
        <f t="array" ref="E53">IF($D53&gt;Calc1!$B$14,"",ROW(48:48)-SUM((($L$6:$L52="")+($N$6:$N52="")&gt;0)*1))</f>
        <v/>
      </c>
      <c r="F53" s="158" t="str">
        <f>IF(OR($V$16,$D53&gt;Calc1!$B$14),"",$S$5+QUOTIENT(($E53-1),$V$18)*($S$7+$S$9)/1440+SUM($P$6:$P52)/1440)</f>
        <v/>
      </c>
      <c r="G53" s="160" t="str">
        <f>IF(OR($V$16,$D53&gt;Calc1!$B$14),"",MOD($E53-1,$V$18)+1)</f>
        <v/>
      </c>
      <c r="H53" s="257" t="str">
        <f t="shared" ca="1" si="2"/>
        <v/>
      </c>
      <c r="I53" s="472" t="str">
        <f ca="1"/>
        <v/>
      </c>
      <c r="J53" s="280" t="s">
        <v>5</v>
      </c>
      <c r="K53" s="473" t="str">
        <f ca="1"/>
        <v/>
      </c>
      <c r="L53" s="50" t="str">
        <f t="shared" ca="1" si="3"/>
        <v/>
      </c>
      <c r="M53" s="48" t="s">
        <v>5</v>
      </c>
      <c r="N53" s="49" t="str">
        <f t="shared" ca="1" si="4"/>
        <v/>
      </c>
      <c r="O53" s="298"/>
      <c r="P53" s="564"/>
    </row>
    <row r="54" spans="4:16" ht="17.25" x14ac:dyDescent="0.3">
      <c r="D54" s="397">
        <v>49</v>
      </c>
      <c r="E54" s="370" t="str">
        <f t="array" ref="E54">IF($D54&gt;Calc1!$B$14,"",ROW(49:49)-SUM((($L$6:$L53="")+($N$6:$N53="")&gt;0)*1))</f>
        <v/>
      </c>
      <c r="F54" s="158" t="str">
        <f>IF(OR($V$16,$D54&gt;Calc1!$B$14),"",$S$5+QUOTIENT(($E54-1),$V$18)*($S$7+$S$9)/1440+SUM($P$6:$P53)/1440)</f>
        <v/>
      </c>
      <c r="G54" s="160" t="str">
        <f>IF(OR($V$16,$D54&gt;Calc1!$B$14),"",MOD($E54-1,$V$18)+1)</f>
        <v/>
      </c>
      <c r="H54" s="257" t="str">
        <f t="shared" ca="1" si="2"/>
        <v/>
      </c>
      <c r="I54" s="472" t="str">
        <f ca="1"/>
        <v/>
      </c>
      <c r="J54" s="280" t="s">
        <v>5</v>
      </c>
      <c r="K54" s="473" t="str">
        <f ca="1"/>
        <v/>
      </c>
      <c r="L54" s="50" t="str">
        <f t="shared" ca="1" si="3"/>
        <v/>
      </c>
      <c r="M54" s="48" t="s">
        <v>5</v>
      </c>
      <c r="N54" s="49" t="str">
        <f t="shared" ca="1" si="4"/>
        <v/>
      </c>
      <c r="O54" s="298"/>
      <c r="P54" s="564"/>
    </row>
    <row r="55" spans="4:16" ht="17.25" x14ac:dyDescent="0.3">
      <c r="D55" s="397">
        <v>50</v>
      </c>
      <c r="E55" s="370" t="str">
        <f t="array" ref="E55">IF($D55&gt;Calc1!$B$14,"",ROW(50:50)-SUM((($L$6:$L54="")+($N$6:$N54="")&gt;0)*1))</f>
        <v/>
      </c>
      <c r="F55" s="158" t="str">
        <f>IF(OR($V$16,$D55&gt;Calc1!$B$14),"",$S$5+QUOTIENT(($E55-1),$V$18)*($S$7+$S$9)/1440+SUM($P$6:$P54)/1440)</f>
        <v/>
      </c>
      <c r="G55" s="160" t="str">
        <f>IF(OR($V$16,$D55&gt;Calc1!$B$14),"",MOD($E55-1,$V$18)+1)</f>
        <v/>
      </c>
      <c r="H55" s="257" t="str">
        <f t="shared" ca="1" si="2"/>
        <v/>
      </c>
      <c r="I55" s="472" t="str">
        <f ca="1"/>
        <v/>
      </c>
      <c r="J55" s="280" t="s">
        <v>5</v>
      </c>
      <c r="K55" s="473" t="str">
        <f ca="1"/>
        <v/>
      </c>
      <c r="L55" s="50" t="str">
        <f t="shared" ca="1" si="3"/>
        <v/>
      </c>
      <c r="M55" s="48" t="s">
        <v>5</v>
      </c>
      <c r="N55" s="49" t="str">
        <f t="shared" ca="1" si="4"/>
        <v/>
      </c>
      <c r="O55" s="298"/>
      <c r="P55" s="564"/>
    </row>
    <row r="56" spans="4:16" ht="17.25" x14ac:dyDescent="0.3">
      <c r="D56" s="397">
        <v>51</v>
      </c>
      <c r="E56" s="370" t="str">
        <f t="array" ref="E56">IF($D56&gt;Calc1!$B$14,"",ROW(51:51)-SUM((($L$6:$L55="")+($N$6:$N55="")&gt;0)*1))</f>
        <v/>
      </c>
      <c r="F56" s="158" t="str">
        <f>IF(OR($V$16,$D56&gt;Calc1!$B$14),"",$S$5+QUOTIENT(($E56-1),$V$18)*($S$7+$S$9)/1440+SUM($P$6:$P55)/1440)</f>
        <v/>
      </c>
      <c r="G56" s="160" t="str">
        <f>IF(OR($V$16,$D56&gt;Calc1!$B$14),"",MOD($E56-1,$V$18)+1)</f>
        <v/>
      </c>
      <c r="H56" s="257" t="str">
        <f t="shared" ca="1" si="2"/>
        <v/>
      </c>
      <c r="I56" s="472" t="str">
        <f ca="1"/>
        <v/>
      </c>
      <c r="J56" s="280" t="s">
        <v>5</v>
      </c>
      <c r="K56" s="473" t="str">
        <f ca="1"/>
        <v/>
      </c>
      <c r="L56" s="50" t="str">
        <f t="shared" ca="1" si="3"/>
        <v/>
      </c>
      <c r="M56" s="48" t="s">
        <v>5</v>
      </c>
      <c r="N56" s="49" t="str">
        <f t="shared" ca="1" si="4"/>
        <v/>
      </c>
      <c r="O56" s="298"/>
      <c r="P56" s="564"/>
    </row>
    <row r="57" spans="4:16" ht="17.25" x14ac:dyDescent="0.3">
      <c r="D57" s="397">
        <v>52</v>
      </c>
      <c r="E57" s="370" t="str">
        <f t="array" ref="E57">IF($D57&gt;Calc1!$B$14,"",ROW(52:52)-SUM((($L$6:$L56="")+($N$6:$N56="")&gt;0)*1))</f>
        <v/>
      </c>
      <c r="F57" s="158" t="str">
        <f>IF(OR($V$16,$D57&gt;Calc1!$B$14),"",$S$5+QUOTIENT(($E57-1),$V$18)*($S$7+$S$9)/1440+SUM($P$6:$P56)/1440)</f>
        <v/>
      </c>
      <c r="G57" s="160" t="str">
        <f>IF(OR($V$16,$D57&gt;Calc1!$B$14),"",MOD($E57-1,$V$18)+1)</f>
        <v/>
      </c>
      <c r="H57" s="257" t="str">
        <f t="shared" ca="1" si="2"/>
        <v/>
      </c>
      <c r="I57" s="472" t="str">
        <f ca="1"/>
        <v/>
      </c>
      <c r="J57" s="280" t="s">
        <v>5</v>
      </c>
      <c r="K57" s="473" t="str">
        <f ca="1"/>
        <v/>
      </c>
      <c r="L57" s="50" t="str">
        <f t="shared" ca="1" si="3"/>
        <v/>
      </c>
      <c r="M57" s="48" t="s">
        <v>5</v>
      </c>
      <c r="N57" s="49" t="str">
        <f t="shared" ca="1" si="4"/>
        <v/>
      </c>
      <c r="O57" s="298"/>
      <c r="P57" s="564"/>
    </row>
    <row r="58" spans="4:16" ht="17.25" x14ac:dyDescent="0.3">
      <c r="D58" s="397">
        <v>53</v>
      </c>
      <c r="E58" s="370" t="str">
        <f t="array" ref="E58">IF($D58&gt;Calc1!$B$14,"",ROW(53:53)-SUM((($L$6:$L57="")+($N$6:$N57="")&gt;0)*1))</f>
        <v/>
      </c>
      <c r="F58" s="158" t="str">
        <f>IF(OR($V$16,$D58&gt;Calc1!$B$14),"",$S$5+QUOTIENT(($E58-1),$V$18)*($S$7+$S$9)/1440+SUM($P$6:$P57)/1440)</f>
        <v/>
      </c>
      <c r="G58" s="160" t="str">
        <f>IF(OR($V$16,$D58&gt;Calc1!$B$14),"",MOD($E58-1,$V$18)+1)</f>
        <v/>
      </c>
      <c r="H58" s="257" t="str">
        <f t="shared" ca="1" si="2"/>
        <v/>
      </c>
      <c r="I58" s="472" t="str">
        <f ca="1"/>
        <v/>
      </c>
      <c r="J58" s="280" t="s">
        <v>5</v>
      </c>
      <c r="K58" s="473" t="str">
        <f ca="1"/>
        <v/>
      </c>
      <c r="L58" s="50" t="str">
        <f t="shared" ca="1" si="3"/>
        <v/>
      </c>
      <c r="M58" s="48" t="s">
        <v>5</v>
      </c>
      <c r="N58" s="49" t="str">
        <f t="shared" ca="1" si="4"/>
        <v/>
      </c>
      <c r="O58" s="298"/>
      <c r="P58" s="564"/>
    </row>
    <row r="59" spans="4:16" ht="17.25" x14ac:dyDescent="0.3">
      <c r="D59" s="397">
        <v>54</v>
      </c>
      <c r="E59" s="370" t="str">
        <f t="array" ref="E59">IF($D59&gt;Calc1!$B$14,"",ROW(54:54)-SUM((($L$6:$L58="")+($N$6:$N58="")&gt;0)*1))</f>
        <v/>
      </c>
      <c r="F59" s="158" t="str">
        <f>IF(OR($V$16,$D59&gt;Calc1!$B$14),"",$S$5+QUOTIENT(($E59-1),$V$18)*($S$7+$S$9)/1440+SUM($P$6:$P58)/1440)</f>
        <v/>
      </c>
      <c r="G59" s="160" t="str">
        <f>IF(OR($V$16,$D59&gt;Calc1!$B$14),"",MOD($E59-1,$V$18)+1)</f>
        <v/>
      </c>
      <c r="H59" s="257" t="str">
        <f t="shared" ca="1" si="2"/>
        <v/>
      </c>
      <c r="I59" s="472" t="str">
        <f ca="1"/>
        <v/>
      </c>
      <c r="J59" s="280" t="s">
        <v>5</v>
      </c>
      <c r="K59" s="473" t="str">
        <f ca="1"/>
        <v/>
      </c>
      <c r="L59" s="50" t="str">
        <f t="shared" ca="1" si="3"/>
        <v/>
      </c>
      <c r="M59" s="48" t="s">
        <v>5</v>
      </c>
      <c r="N59" s="49" t="str">
        <f t="shared" ca="1" si="4"/>
        <v/>
      </c>
      <c r="O59" s="298"/>
      <c r="P59" s="564"/>
    </row>
    <row r="60" spans="4:16" ht="17.25" x14ac:dyDescent="0.3">
      <c r="D60" s="397">
        <v>55</v>
      </c>
      <c r="E60" s="370" t="str">
        <f t="array" ref="E60">IF($D60&gt;Calc1!$B$14,"",ROW(55:55)-SUM((($L$6:$L59="")+($N$6:$N59="")&gt;0)*1))</f>
        <v/>
      </c>
      <c r="F60" s="158" t="str">
        <f>IF(OR($V$16,$D60&gt;Calc1!$B$14),"",$S$5+QUOTIENT(($E60-1),$V$18)*($S$7+$S$9)/1440+SUM($P$6:$P59)/1440)</f>
        <v/>
      </c>
      <c r="G60" s="160" t="str">
        <f>IF(OR($V$16,$D60&gt;Calc1!$B$14),"",MOD($E60-1,$V$18)+1)</f>
        <v/>
      </c>
      <c r="H60" s="257" t="str">
        <f t="shared" ca="1" si="2"/>
        <v/>
      </c>
      <c r="I60" s="472" t="str">
        <f ca="1"/>
        <v/>
      </c>
      <c r="J60" s="280" t="s">
        <v>5</v>
      </c>
      <c r="K60" s="473" t="str">
        <f ca="1"/>
        <v/>
      </c>
      <c r="L60" s="50" t="str">
        <f t="shared" ca="1" si="3"/>
        <v/>
      </c>
      <c r="M60" s="48" t="s">
        <v>5</v>
      </c>
      <c r="N60" s="49" t="str">
        <f t="shared" ca="1" si="4"/>
        <v/>
      </c>
      <c r="O60" s="298"/>
      <c r="P60" s="564"/>
    </row>
    <row r="61" spans="4:16" ht="17.25" x14ac:dyDescent="0.3">
      <c r="D61" s="397">
        <v>56</v>
      </c>
      <c r="E61" s="370" t="str">
        <f t="array" ref="E61">IF($D61&gt;Calc1!$B$14,"",ROW(56:56)-SUM((($L$6:$L60="")+($N$6:$N60="")&gt;0)*1))</f>
        <v/>
      </c>
      <c r="F61" s="158" t="str">
        <f>IF(OR($V$16,$D61&gt;Calc1!$B$14),"",$S$5+QUOTIENT(($E61-1),$V$18)*($S$7+$S$9)/1440+SUM($P$6:$P60)/1440)</f>
        <v/>
      </c>
      <c r="G61" s="160" t="str">
        <f>IF(OR($V$16,$D61&gt;Calc1!$B$14),"",MOD($E61-1,$V$18)+1)</f>
        <v/>
      </c>
      <c r="H61" s="257" t="str">
        <f t="shared" ca="1" si="2"/>
        <v/>
      </c>
      <c r="I61" s="472" t="str">
        <f ca="1"/>
        <v/>
      </c>
      <c r="J61" s="280" t="s">
        <v>5</v>
      </c>
      <c r="K61" s="473" t="str">
        <f ca="1"/>
        <v/>
      </c>
      <c r="L61" s="50" t="str">
        <f t="shared" ca="1" si="3"/>
        <v/>
      </c>
      <c r="M61" s="48" t="s">
        <v>5</v>
      </c>
      <c r="N61" s="49" t="str">
        <f t="shared" ca="1" si="4"/>
        <v/>
      </c>
      <c r="O61" s="298"/>
      <c r="P61" s="564"/>
    </row>
    <row r="62" spans="4:16" ht="17.25" x14ac:dyDescent="0.3">
      <c r="D62" s="397">
        <v>57</v>
      </c>
      <c r="E62" s="370" t="str">
        <f t="array" ref="E62">IF($D62&gt;Calc1!$B$14,"",ROW(57:57)-SUM((($L$6:$L61="")+($N$6:$N61="")&gt;0)*1))</f>
        <v/>
      </c>
      <c r="F62" s="158" t="str">
        <f>IF(OR($V$16,$D62&gt;Calc1!$B$14),"",$S$5+QUOTIENT(($E62-1),$V$18)*($S$7+$S$9)/1440+SUM($P$6:$P61)/1440)</f>
        <v/>
      </c>
      <c r="G62" s="160" t="str">
        <f>IF(OR($V$16,$D62&gt;Calc1!$B$14),"",MOD($E62-1,$V$18)+1)</f>
        <v/>
      </c>
      <c r="H62" s="257" t="str">
        <f t="shared" ca="1" si="2"/>
        <v/>
      </c>
      <c r="I62" s="472" t="str">
        <f ca="1"/>
        <v/>
      </c>
      <c r="J62" s="280" t="s">
        <v>5</v>
      </c>
      <c r="K62" s="473" t="str">
        <f ca="1"/>
        <v/>
      </c>
      <c r="L62" s="50" t="str">
        <f t="shared" ca="1" si="3"/>
        <v/>
      </c>
      <c r="M62" s="48" t="s">
        <v>5</v>
      </c>
      <c r="N62" s="49" t="str">
        <f t="shared" ca="1" si="4"/>
        <v/>
      </c>
      <c r="O62" s="298"/>
      <c r="P62" s="564"/>
    </row>
    <row r="63" spans="4:16" ht="17.25" x14ac:dyDescent="0.3">
      <c r="D63" s="397">
        <v>58</v>
      </c>
      <c r="E63" s="370" t="str">
        <f t="array" ref="E63">IF($D63&gt;Calc1!$B$14,"",ROW(58:58)-SUM((($L$6:$L62="")+($N$6:$N62="")&gt;0)*1))</f>
        <v/>
      </c>
      <c r="F63" s="158" t="str">
        <f>IF(OR($V$16,$D63&gt;Calc1!$B$14),"",$S$5+QUOTIENT(($E63-1),$V$18)*($S$7+$S$9)/1440+SUM($P$6:$P62)/1440)</f>
        <v/>
      </c>
      <c r="G63" s="160" t="str">
        <f>IF(OR($V$16,$D63&gt;Calc1!$B$14),"",MOD($E63-1,$V$18)+1)</f>
        <v/>
      </c>
      <c r="H63" s="257" t="str">
        <f t="shared" ca="1" si="2"/>
        <v/>
      </c>
      <c r="I63" s="472" t="str">
        <f ca="1"/>
        <v/>
      </c>
      <c r="J63" s="280" t="s">
        <v>5</v>
      </c>
      <c r="K63" s="473" t="str">
        <f ca="1"/>
        <v/>
      </c>
      <c r="L63" s="50" t="str">
        <f t="shared" ca="1" si="3"/>
        <v/>
      </c>
      <c r="M63" s="48" t="s">
        <v>5</v>
      </c>
      <c r="N63" s="49" t="str">
        <f t="shared" ca="1" si="4"/>
        <v/>
      </c>
      <c r="O63" s="298"/>
      <c r="P63" s="564"/>
    </row>
    <row r="64" spans="4:16" ht="17.25" x14ac:dyDescent="0.3">
      <c r="D64" s="397">
        <v>59</v>
      </c>
      <c r="E64" s="370" t="str">
        <f t="array" ref="E64">IF($D64&gt;Calc1!$B$14,"",ROW(59:59)-SUM((($L$6:$L63="")+($N$6:$N63="")&gt;0)*1))</f>
        <v/>
      </c>
      <c r="F64" s="158" t="str">
        <f>IF(OR($V$16,$D64&gt;Calc1!$B$14),"",$S$5+QUOTIENT(($E64-1),$V$18)*($S$7+$S$9)/1440+SUM($P$6:$P63)/1440)</f>
        <v/>
      </c>
      <c r="G64" s="160" t="str">
        <f>IF(OR($V$16,$D64&gt;Calc1!$B$14),"",MOD($E64-1,$V$18)+1)</f>
        <v/>
      </c>
      <c r="H64" s="257" t="str">
        <f t="shared" ca="1" si="2"/>
        <v/>
      </c>
      <c r="I64" s="472" t="str">
        <f ca="1"/>
        <v/>
      </c>
      <c r="J64" s="280" t="s">
        <v>5</v>
      </c>
      <c r="K64" s="473" t="str">
        <f ca="1"/>
        <v/>
      </c>
      <c r="L64" s="50" t="str">
        <f t="shared" ca="1" si="3"/>
        <v/>
      </c>
      <c r="M64" s="48" t="s">
        <v>5</v>
      </c>
      <c r="N64" s="49" t="str">
        <f t="shared" ca="1" si="4"/>
        <v/>
      </c>
      <c r="O64" s="298"/>
      <c r="P64" s="564"/>
    </row>
    <row r="65" spans="4:17" ht="17.25" x14ac:dyDescent="0.3">
      <c r="D65" s="397">
        <v>60</v>
      </c>
      <c r="E65" s="370" t="str">
        <f t="array" ref="E65">IF($D65&gt;Calc1!$B$14,"",ROW(60:60)-SUM((($L$6:$L64="")+($N$6:$N64="")&gt;0)*1))</f>
        <v/>
      </c>
      <c r="F65" s="158" t="str">
        <f>IF(OR($V$16,$D65&gt;Calc1!$B$14),"",$S$5+QUOTIENT(($E65-1),$V$18)*($S$7+$S$9)/1440+SUM($P$6:$P64)/1440)</f>
        <v/>
      </c>
      <c r="G65" s="160" t="str">
        <f>IF(OR($V$16,$D65&gt;Calc1!$B$14),"",MOD($E65-1,$V$18)+1)</f>
        <v/>
      </c>
      <c r="H65" s="257" t="str">
        <f t="shared" ca="1" si="2"/>
        <v/>
      </c>
      <c r="I65" s="472" t="str">
        <f ca="1"/>
        <v/>
      </c>
      <c r="J65" s="280" t="s">
        <v>5</v>
      </c>
      <c r="K65" s="473" t="str">
        <f ca="1"/>
        <v/>
      </c>
      <c r="L65" s="50" t="str">
        <f t="shared" ca="1" si="3"/>
        <v/>
      </c>
      <c r="M65" s="48" t="s">
        <v>5</v>
      </c>
      <c r="N65" s="49" t="str">
        <f t="shared" ca="1" si="4"/>
        <v/>
      </c>
      <c r="O65" s="298"/>
      <c r="P65" s="564"/>
    </row>
    <row r="66" spans="4:17" ht="17.25" x14ac:dyDescent="0.3">
      <c r="D66" s="397">
        <v>61</v>
      </c>
      <c r="E66" s="370" t="str">
        <f t="array" ref="E66">IF($D66&gt;Calc1!$B$14,"",ROW(61:61)-SUM((($L$6:$L65="")+($N$6:$N65="")&gt;0)*1))</f>
        <v/>
      </c>
      <c r="F66" s="158" t="str">
        <f>IF(OR($V$16,$D66&gt;Calc1!$B$14),"",$S$5+QUOTIENT(($E66-1),$V$18)*($S$7+$S$9)/1440+SUM($P$6:$P65)/1440)</f>
        <v/>
      </c>
      <c r="G66" s="160" t="str">
        <f>IF(OR($V$16,$D66&gt;Calc1!$B$14),"",MOD($E66-1,$V$18)+1)</f>
        <v/>
      </c>
      <c r="H66" s="257" t="str">
        <f t="shared" ca="1" si="2"/>
        <v/>
      </c>
      <c r="I66" s="472" t="str">
        <f ca="1"/>
        <v/>
      </c>
      <c r="J66" s="280" t="s">
        <v>5</v>
      </c>
      <c r="K66" s="473" t="str">
        <f ca="1"/>
        <v/>
      </c>
      <c r="L66" s="50" t="str">
        <f t="shared" ca="1" si="3"/>
        <v/>
      </c>
      <c r="M66" s="48" t="s">
        <v>5</v>
      </c>
      <c r="N66" s="49" t="str">
        <f t="shared" ca="1" si="4"/>
        <v/>
      </c>
      <c r="O66" s="298"/>
      <c r="P66" s="564"/>
    </row>
    <row r="67" spans="4:17" ht="17.25" x14ac:dyDescent="0.3">
      <c r="D67" s="397">
        <v>62</v>
      </c>
      <c r="E67" s="370" t="str">
        <f t="array" ref="E67">IF($D67&gt;Calc1!$B$14,"",ROW(62:62)-SUM((($L$6:$L66="")+($N$6:$N66="")&gt;0)*1))</f>
        <v/>
      </c>
      <c r="F67" s="158" t="str">
        <f>IF(OR($V$16,$D67&gt;Calc1!$B$14),"",$S$5+QUOTIENT(($E67-1),$V$18)*($S$7+$S$9)/1440+SUM($P$6:$P66)/1440)</f>
        <v/>
      </c>
      <c r="G67" s="160" t="str">
        <f>IF(OR($V$16,$D67&gt;Calc1!$B$14),"",MOD($E67-1,$V$18)+1)</f>
        <v/>
      </c>
      <c r="H67" s="257" t="str">
        <f t="shared" ca="1" si="2"/>
        <v/>
      </c>
      <c r="I67" s="472" t="str">
        <f ca="1"/>
        <v/>
      </c>
      <c r="J67" s="280" t="s">
        <v>5</v>
      </c>
      <c r="K67" s="473" t="str">
        <f ca="1"/>
        <v/>
      </c>
      <c r="L67" s="50" t="str">
        <f t="shared" ca="1" si="3"/>
        <v/>
      </c>
      <c r="M67" s="48" t="s">
        <v>5</v>
      </c>
      <c r="N67" s="49" t="str">
        <f t="shared" ca="1" si="4"/>
        <v/>
      </c>
      <c r="O67" s="298"/>
      <c r="P67" s="564"/>
    </row>
    <row r="68" spans="4:17" ht="17.25" x14ac:dyDescent="0.3">
      <c r="D68" s="397">
        <v>63</v>
      </c>
      <c r="E68" s="370" t="str">
        <f t="array" ref="E68">IF($D68&gt;Calc1!$B$14,"",ROW(63:63)-SUM((($L$6:$L67="")+($N$6:$N67="")&gt;0)*1))</f>
        <v/>
      </c>
      <c r="F68" s="158" t="str">
        <f>IF(OR($V$16,$D68&gt;Calc1!$B$14),"",$S$5+QUOTIENT(($E68-1),$V$18)*($S$7+$S$9)/1440+SUM($P$6:$P67)/1440)</f>
        <v/>
      </c>
      <c r="G68" s="160" t="str">
        <f>IF(OR($V$16,$D68&gt;Calc1!$B$14),"",MOD($E68-1,$V$18)+1)</f>
        <v/>
      </c>
      <c r="H68" s="257" t="str">
        <f t="shared" ca="1" si="2"/>
        <v/>
      </c>
      <c r="I68" s="472" t="str">
        <f ca="1"/>
        <v/>
      </c>
      <c r="J68" s="280" t="s">
        <v>5</v>
      </c>
      <c r="K68" s="473" t="str">
        <f ca="1"/>
        <v/>
      </c>
      <c r="L68" s="50" t="str">
        <f t="shared" ca="1" si="3"/>
        <v/>
      </c>
      <c r="M68" s="48" t="s">
        <v>5</v>
      </c>
      <c r="N68" s="49" t="str">
        <f t="shared" ca="1" si="4"/>
        <v/>
      </c>
      <c r="O68" s="298"/>
      <c r="P68" s="564"/>
    </row>
    <row r="69" spans="4:17" ht="17.25" x14ac:dyDescent="0.3">
      <c r="D69" s="397">
        <v>64</v>
      </c>
      <c r="E69" s="370" t="str">
        <f t="array" ref="E69">IF($D69&gt;Calc1!$B$14,"",ROW(64:64)-SUM((($L$6:$L68="")+($N$6:$N68="")&gt;0)*1))</f>
        <v/>
      </c>
      <c r="F69" s="158" t="str">
        <f>IF(OR($V$16,$D69&gt;Calc1!$B$14),"",$S$5+QUOTIENT(($E69-1),$V$18)*($S$7+$S$9)/1440+SUM($P$6:$P68)/1440)</f>
        <v/>
      </c>
      <c r="G69" s="160" t="str">
        <f>IF(OR($V$16,$D69&gt;Calc1!$B$14),"",MOD($E69-1,$V$18)+1)</f>
        <v/>
      </c>
      <c r="H69" s="257" t="str">
        <f t="shared" ca="1" si="2"/>
        <v/>
      </c>
      <c r="I69" s="472" t="str">
        <f ca="1"/>
        <v/>
      </c>
      <c r="J69" s="280" t="s">
        <v>5</v>
      </c>
      <c r="K69" s="473" t="str">
        <f ca="1"/>
        <v/>
      </c>
      <c r="L69" s="50" t="str">
        <f t="shared" ca="1" si="3"/>
        <v/>
      </c>
      <c r="M69" s="48" t="s">
        <v>5</v>
      </c>
      <c r="N69" s="49" t="str">
        <f t="shared" ca="1" si="4"/>
        <v/>
      </c>
      <c r="O69" s="298"/>
      <c r="P69" s="564"/>
    </row>
    <row r="70" spans="4:17" ht="17.25" x14ac:dyDescent="0.3">
      <c r="D70" s="397">
        <v>65</v>
      </c>
      <c r="E70" s="370" t="str">
        <f t="array" ref="E70">IF($D70&gt;Calc1!$B$14,"",ROW(65:65)-SUM((($L$6:$L69="")+($N$6:$N69="")&gt;0)*1))</f>
        <v/>
      </c>
      <c r="F70" s="158" t="str">
        <f>IF(OR($V$16,$D70&gt;Calc1!$B$14),"",$S$5+QUOTIENT(($E70-1),$V$18)*($S$7+$S$9)/1440+SUM($P$6:$P69)/1440)</f>
        <v/>
      </c>
      <c r="G70" s="160" t="str">
        <f>IF(OR($V$16,$D70&gt;Calc1!$B$14),"",MOD($E70-1,$V$18)+1)</f>
        <v/>
      </c>
      <c r="H70" s="257" t="str">
        <f t="shared" ca="1" si="2"/>
        <v/>
      </c>
      <c r="I70" s="472" t="str">
        <f ca="1"/>
        <v/>
      </c>
      <c r="J70" s="280" t="s">
        <v>5</v>
      </c>
      <c r="K70" s="473" t="str">
        <f ca="1"/>
        <v/>
      </c>
      <c r="L70" s="50" t="str">
        <f t="shared" ca="1" si="3"/>
        <v/>
      </c>
      <c r="M70" s="48" t="s">
        <v>5</v>
      </c>
      <c r="N70" s="49" t="str">
        <f t="shared" ca="1" si="4"/>
        <v/>
      </c>
      <c r="O70" s="298"/>
      <c r="P70" s="564"/>
    </row>
    <row r="71" spans="4:17" ht="17.25" x14ac:dyDescent="0.3">
      <c r="D71" s="397">
        <v>66</v>
      </c>
      <c r="E71" s="370" t="str">
        <f t="array" ref="E71">IF($D71&gt;Calc1!$B$14,"",ROW(66:66)-SUM((($L$6:$L70="")+($N$6:$N70="")&gt;0)*1))</f>
        <v/>
      </c>
      <c r="F71" s="158" t="str">
        <f>IF(OR($V$16,$D71&gt;Calc1!$B$14),"",$S$5+QUOTIENT(($E71-1),$V$18)*($S$7+$S$9)/1440+SUM($P$6:$P70)/1440)</f>
        <v/>
      </c>
      <c r="G71" s="160" t="str">
        <f>IF(OR($V$16,$D71&gt;Calc1!$B$14),"",MOD($E71-1,$V$18)+1)</f>
        <v/>
      </c>
      <c r="H71" s="257" t="str">
        <f t="shared" ca="1" si="2"/>
        <v/>
      </c>
      <c r="I71" s="472" t="str">
        <f ca="1"/>
        <v/>
      </c>
      <c r="J71" s="280" t="s">
        <v>5</v>
      </c>
      <c r="K71" s="473" t="str">
        <f ca="1"/>
        <v/>
      </c>
      <c r="L71" s="50" t="str">
        <f t="shared" ca="1" si="3"/>
        <v/>
      </c>
      <c r="M71" s="48" t="s">
        <v>5</v>
      </c>
      <c r="N71" s="49" t="str">
        <f t="shared" ca="1" si="4"/>
        <v/>
      </c>
      <c r="O71" s="298"/>
      <c r="P71" s="564"/>
    </row>
    <row r="72" spans="4:17" ht="17.25" x14ac:dyDescent="0.3">
      <c r="D72" s="397">
        <v>67</v>
      </c>
      <c r="E72" s="370" t="str">
        <f t="array" ref="E72">IF($D72&gt;Calc1!$B$14,"",ROW(67:67)-SUM((($L$6:$L71="")+($N$6:$N71="")&gt;0)*1))</f>
        <v/>
      </c>
      <c r="F72" s="158" t="str">
        <f>IF(OR($V$16,$D72&gt;Calc1!$B$14),"",$S$5+QUOTIENT(($E72-1),$V$18)*($S$7+$S$9)/1440+SUM($P$6:$P71)/1440)</f>
        <v/>
      </c>
      <c r="G72" s="160" t="str">
        <f>IF(OR($V$16,$D72&gt;Calc1!$B$14),"",MOD($E72-1,$V$18)+1)</f>
        <v/>
      </c>
      <c r="H72" s="257" t="str">
        <f t="shared" ca="1" si="2"/>
        <v/>
      </c>
      <c r="I72" s="472" t="str">
        <f ca="1"/>
        <v/>
      </c>
      <c r="J72" s="280" t="s">
        <v>5</v>
      </c>
      <c r="K72" s="473" t="str">
        <f ca="1"/>
        <v/>
      </c>
      <c r="L72" s="50" t="str">
        <f t="shared" ca="1" si="3"/>
        <v/>
      </c>
      <c r="M72" s="48" t="s">
        <v>5</v>
      </c>
      <c r="N72" s="49" t="str">
        <f t="shared" ca="1" si="4"/>
        <v/>
      </c>
      <c r="O72" s="298"/>
      <c r="P72" s="564"/>
    </row>
    <row r="73" spans="4:17" ht="17.25" x14ac:dyDescent="0.3">
      <c r="D73" s="397">
        <v>68</v>
      </c>
      <c r="E73" s="370" t="str">
        <f t="array" ref="E73">IF($D73&gt;Calc1!$B$14,"",ROW(68:68)-SUM((($L$6:$L72="")+($N$6:$N72="")&gt;0)*1))</f>
        <v/>
      </c>
      <c r="F73" s="158" t="str">
        <f>IF(OR($V$16,$D73&gt;Calc1!$B$14),"",$S$5+QUOTIENT(($E73-1),$V$18)*($S$7+$S$9)/1440+SUM($P$6:$P72)/1440)</f>
        <v/>
      </c>
      <c r="G73" s="160" t="str">
        <f>IF(OR($V$16,$D73&gt;Calc1!$B$14),"",MOD($E73-1,$V$18)+1)</f>
        <v/>
      </c>
      <c r="H73" s="257" t="str">
        <f t="shared" ca="1" si="2"/>
        <v/>
      </c>
      <c r="I73" s="472" t="str">
        <f ca="1"/>
        <v/>
      </c>
      <c r="J73" s="280" t="s">
        <v>5</v>
      </c>
      <c r="K73" s="473" t="str">
        <f ca="1"/>
        <v/>
      </c>
      <c r="L73" s="50" t="str">
        <f t="shared" ca="1" si="3"/>
        <v/>
      </c>
      <c r="M73" s="48" t="s">
        <v>5</v>
      </c>
      <c r="N73" s="49" t="str">
        <f t="shared" ca="1" si="4"/>
        <v/>
      </c>
      <c r="O73" s="298"/>
      <c r="P73" s="564"/>
    </row>
    <row r="74" spans="4:17" ht="17.25" x14ac:dyDescent="0.3">
      <c r="D74" s="397">
        <v>69</v>
      </c>
      <c r="E74" s="370" t="str">
        <f t="array" ref="E74">IF($D74&gt;Calc1!$B$14,"",ROW(69:69)-SUM((($L$6:$L73="")+($N$6:$N73="")&gt;0)*1))</f>
        <v/>
      </c>
      <c r="F74" s="158" t="str">
        <f>IF(OR($V$16,$D74&gt;Calc1!$B$14),"",$S$5+QUOTIENT(($E74-1),$V$18)*($S$7+$S$9)/1440+SUM($P$6:$P73)/1440)</f>
        <v/>
      </c>
      <c r="G74" s="160" t="str">
        <f>IF(OR($V$16,$D74&gt;Calc1!$B$14),"",MOD($E74-1,$V$18)+1)</f>
        <v/>
      </c>
      <c r="H74" s="257" t="str">
        <f t="shared" ca="1" si="2"/>
        <v/>
      </c>
      <c r="I74" s="472" t="str">
        <f ca="1"/>
        <v/>
      </c>
      <c r="J74" s="280" t="s">
        <v>5</v>
      </c>
      <c r="K74" s="473" t="str">
        <f ca="1"/>
        <v/>
      </c>
      <c r="L74" s="50" t="str">
        <f t="shared" ca="1" si="3"/>
        <v/>
      </c>
      <c r="M74" s="48" t="s">
        <v>5</v>
      </c>
      <c r="N74" s="49" t="str">
        <f t="shared" ca="1" si="4"/>
        <v/>
      </c>
      <c r="O74" s="298"/>
      <c r="P74" s="564"/>
    </row>
    <row r="75" spans="4:17" ht="17.25" x14ac:dyDescent="0.3">
      <c r="D75" s="397">
        <v>70</v>
      </c>
      <c r="E75" s="370" t="str">
        <f t="array" ref="E75">IF($D75&gt;Calc1!$B$14,"",ROW(70:70)-SUM((($L$6:$L74="")+($N$6:$N74="")&gt;0)*1))</f>
        <v/>
      </c>
      <c r="F75" s="158" t="str">
        <f>IF(OR($V$16,$D75&gt;Calc1!$B$14),"",$S$5+QUOTIENT(($E75-1),$V$18)*($S$7+$S$9)/1440+SUM($P$6:$P74)/1440)</f>
        <v/>
      </c>
      <c r="G75" s="160" t="str">
        <f>IF(OR($V$16,$D75&gt;Calc1!$B$14),"",MOD($E75-1,$V$18)+1)</f>
        <v/>
      </c>
      <c r="H75" s="257" t="str">
        <f t="shared" ca="1" si="2"/>
        <v/>
      </c>
      <c r="I75" s="472" t="str">
        <f ca="1"/>
        <v/>
      </c>
      <c r="J75" s="280" t="s">
        <v>5</v>
      </c>
      <c r="K75" s="473" t="str">
        <f ca="1"/>
        <v/>
      </c>
      <c r="L75" s="50" t="str">
        <f t="shared" ca="1" si="3"/>
        <v/>
      </c>
      <c r="M75" s="48" t="s">
        <v>5</v>
      </c>
      <c r="N75" s="49" t="str">
        <f t="shared" ca="1" si="4"/>
        <v/>
      </c>
      <c r="O75" s="298"/>
      <c r="P75" s="564"/>
    </row>
    <row r="76" spans="4:17" ht="17.25" x14ac:dyDescent="0.3">
      <c r="D76" s="397">
        <v>71</v>
      </c>
      <c r="E76" s="370" t="str">
        <f t="array" ref="E76">IF($D76&gt;Calc1!$B$14,"",ROW(71:71)-SUM((($L$6:$L75="")+($N$6:$N75="")&gt;0)*1))</f>
        <v/>
      </c>
      <c r="F76" s="158" t="str">
        <f>IF(OR($V$16,$D76&gt;Calc1!$B$14),"",$S$5+QUOTIENT(($E76-1),$V$18)*($S$7+$S$9)/1440+SUM($P$6:$P75)/1440)</f>
        <v/>
      </c>
      <c r="G76" s="160" t="str">
        <f>IF(OR($V$16,$D76&gt;Calc1!$B$14),"",MOD($E76-1,$V$18)+1)</f>
        <v/>
      </c>
      <c r="H76" s="257" t="str">
        <f t="shared" ca="1" si="2"/>
        <v/>
      </c>
      <c r="I76" s="472" t="str">
        <f ca="1"/>
        <v/>
      </c>
      <c r="J76" s="280" t="s">
        <v>5</v>
      </c>
      <c r="K76" s="473" t="str">
        <f ca="1"/>
        <v/>
      </c>
      <c r="L76" s="50" t="str">
        <f t="shared" ca="1" si="3"/>
        <v/>
      </c>
      <c r="M76" s="48" t="s">
        <v>5</v>
      </c>
      <c r="N76" s="49" t="str">
        <f t="shared" ca="1" si="4"/>
        <v/>
      </c>
      <c r="O76" s="298"/>
      <c r="P76" s="564"/>
    </row>
    <row r="77" spans="4:17" ht="18" thickBot="1" x14ac:dyDescent="0.35">
      <c r="D77" s="397">
        <v>72</v>
      </c>
      <c r="E77" s="371" t="str">
        <f t="array" ref="E77">IF($D77&gt;Calc1!$B$14,"",ROW(72:72)-SUM((($L$6:$L76="")+($N$6:$N76="")&gt;0)*1))</f>
        <v/>
      </c>
      <c r="F77" s="161" t="str">
        <f>IF(OR($V$16,$D77&gt;Calc1!$B$14),"",$S$5+QUOTIENT(($E77-1),$V$18)*($S$7+$S$9)/1440+SUM($P$6:$P76)/1440)</f>
        <v/>
      </c>
      <c r="G77" s="162" t="str">
        <f>IF(OR($V$16,$D77&gt;Calc1!$B$14),"",MOD($E77-1,$V$18)+1)</f>
        <v/>
      </c>
      <c r="H77" s="474" t="str">
        <f t="shared" ca="1" si="2"/>
        <v/>
      </c>
      <c r="I77" s="475" t="str">
        <f ca="1"/>
        <v/>
      </c>
      <c r="J77" s="282" t="s">
        <v>5</v>
      </c>
      <c r="K77" s="476" t="str">
        <f ca="1"/>
        <v/>
      </c>
      <c r="L77" s="477" t="str">
        <f t="shared" ca="1" si="3"/>
        <v/>
      </c>
      <c r="M77" s="163" t="s">
        <v>5</v>
      </c>
      <c r="N77" s="478" t="str">
        <f t="shared" ca="1" si="4"/>
        <v/>
      </c>
      <c r="O77" s="323"/>
      <c r="P77" s="567"/>
      <c r="Q77" s="504">
        <f ca="1">OFFSET($P$6,Calc1!$B$14-1,0)</f>
        <v>0</v>
      </c>
    </row>
    <row r="78" spans="4:17" ht="16.5" thickTop="1" x14ac:dyDescent="0.25"/>
    <row r="79" spans="4:17" x14ac:dyDescent="0.25"/>
  </sheetData>
  <sheetProtection sheet="1" selectLockedCells="1"/>
  <mergeCells count="63">
    <mergeCell ref="B47:B48"/>
    <mergeCell ref="C23:C24"/>
    <mergeCell ref="C47:C48"/>
    <mergeCell ref="C19:C20"/>
    <mergeCell ref="B19:B20"/>
    <mergeCell ref="B23:B24"/>
    <mergeCell ref="B43:B44"/>
    <mergeCell ref="C43:C44"/>
    <mergeCell ref="B29:B30"/>
    <mergeCell ref="C29:C30"/>
    <mergeCell ref="C27:C28"/>
    <mergeCell ref="C21:C22"/>
    <mergeCell ref="B21:B22"/>
    <mergeCell ref="B45:B46"/>
    <mergeCell ref="C45:C46"/>
    <mergeCell ref="R25:T25"/>
    <mergeCell ref="R26:T26"/>
    <mergeCell ref="E2:N2"/>
    <mergeCell ref="E4:F4"/>
    <mergeCell ref="P4:P5"/>
    <mergeCell ref="S5:S6"/>
    <mergeCell ref="T5:T6"/>
    <mergeCell ref="S9:S10"/>
    <mergeCell ref="T9:T10"/>
    <mergeCell ref="S13:S14"/>
    <mergeCell ref="T13:T14"/>
    <mergeCell ref="R22:T23"/>
    <mergeCell ref="S11:S12"/>
    <mergeCell ref="T11:T12"/>
    <mergeCell ref="B5:B6"/>
    <mergeCell ref="C5:C6"/>
    <mergeCell ref="I5:K5"/>
    <mergeCell ref="L5:N5"/>
    <mergeCell ref="R5:R6"/>
    <mergeCell ref="B7:B8"/>
    <mergeCell ref="C7:C8"/>
    <mergeCell ref="R7:R8"/>
    <mergeCell ref="S7:S8"/>
    <mergeCell ref="T7:T8"/>
    <mergeCell ref="B9:B10"/>
    <mergeCell ref="C9:C10"/>
    <mergeCell ref="R9:R10"/>
    <mergeCell ref="B13:B14"/>
    <mergeCell ref="C13:C14"/>
    <mergeCell ref="R13:R14"/>
    <mergeCell ref="B11:B12"/>
    <mergeCell ref="C11:C12"/>
    <mergeCell ref="R11:R12"/>
    <mergeCell ref="C17:C18"/>
    <mergeCell ref="B15:B16"/>
    <mergeCell ref="C15:C16"/>
    <mergeCell ref="B17:B18"/>
    <mergeCell ref="B41:B42"/>
    <mergeCell ref="C41:C42"/>
    <mergeCell ref="B35:B36"/>
    <mergeCell ref="C35:C36"/>
    <mergeCell ref="B37:B38"/>
    <mergeCell ref="C37:C38"/>
    <mergeCell ref="B39:B40"/>
    <mergeCell ref="C39:C40"/>
    <mergeCell ref="B33:B34"/>
    <mergeCell ref="C33:C34"/>
    <mergeCell ref="C31:C32"/>
  </mergeCells>
  <conditionalFormatting sqref="C31 C7:C23 C33:C40">
    <cfRule type="duplicateValues" dxfId="76" priority="6"/>
  </conditionalFormatting>
  <conditionalFormatting sqref="H6:H77">
    <cfRule type="expression" dxfId="75" priority="3">
      <formula>$H6="??"</formula>
    </cfRule>
  </conditionalFormatting>
  <conditionalFormatting sqref="C43:C47">
    <cfRule type="duplicateValues" dxfId="74" priority="2"/>
  </conditionalFormatting>
  <conditionalFormatting sqref="E6:O34 I35 E35:H77 K35 J35:J77 L35:O77">
    <cfRule type="expression" dxfId="73" priority="318">
      <formula>AND($L6&lt;&gt;"",$N6&lt;&gt;"",OR($E6=$S$24,$E6=$T$24),NOT($V$16))</formula>
    </cfRule>
    <cfRule type="expression" dxfId="72" priority="319">
      <formula>OR($L6="",$N6="")</formula>
    </cfRule>
  </conditionalFormatting>
  <conditionalFormatting sqref="R22:T23">
    <cfRule type="expression" dxfId="71" priority="330">
      <formula>AND($S$11&gt;$V$18,NOT($V$16))</formula>
    </cfRule>
  </conditionalFormatting>
  <conditionalFormatting sqref="C41:C42">
    <cfRule type="duplicateValues" dxfId="70" priority="1"/>
  </conditionalFormatting>
  <dataValidations count="5">
    <dataValidation allowBlank="1" showInputMessage="1" showErrorMessage="1" errorTitle="Unzulässige Teilnehmernummer" error="Es müssen Zahlen von 1 bis 9 eingetragen werden!" sqref="I6:I35 K6:K35" xr:uid="{4EC0A2C7-0480-41C9-9861-54C76FB5C4C3}"/>
    <dataValidation type="time" allowBlank="1" showInputMessage="1" showErrorMessage="1" sqref="S5:S6" xr:uid="{ABADACB9-80D4-41E7-9EE7-5D7969913C18}">
      <formula1>0</formula1>
      <formula2>0.999305555555556</formula2>
    </dataValidation>
    <dataValidation type="whole" allowBlank="1" showInputMessage="1" showErrorMessage="1" sqref="S11:S12" xr:uid="{0240EE7E-BDB9-4DC0-97E3-48C8F4218C8A}">
      <formula1>1</formula1>
      <formula2>6</formula2>
    </dataValidation>
    <dataValidation type="whole" allowBlank="1" showInputMessage="1" showErrorMessage="1" sqref="S9:S10" xr:uid="{1488E6B3-9147-4B3B-A84A-C90AFC62EE8F}">
      <formula1>0</formula1>
      <formula2>120</formula2>
    </dataValidation>
    <dataValidation type="whole" allowBlank="1" showInputMessage="1" showErrorMessage="1" sqref="S7:S8" xr:uid="{04CFABFD-2F90-41EE-993D-C74B4F18493F}">
      <formula1>1</formula1>
      <formula2>300</formula2>
    </dataValidation>
  </dataValidations>
  <pageMargins left="0.7" right="0.7" top="0.78740157499999996" bottom="0.78740157499999996"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0E1B5-580E-4DFD-BA91-40D6C13B68D6}">
  <dimension ref="A1:AO54"/>
  <sheetViews>
    <sheetView showGridLines="0" showRowColHeaders="0" zoomScaleNormal="100" workbookViewId="0">
      <selection activeCell="J12" sqref="J12"/>
    </sheetView>
  </sheetViews>
  <sheetFormatPr baseColWidth="10" defaultColWidth="0" defaultRowHeight="12.75" customHeight="1" zeroHeight="1" x14ac:dyDescent="0.2"/>
  <cols>
    <col min="1" max="1" width="10.42578125" style="47" customWidth="1"/>
    <col min="2" max="2" width="5.28515625" style="47" customWidth="1"/>
    <col min="3" max="3" width="6.85546875" style="47" customWidth="1"/>
    <col min="4" max="4" width="11.42578125" style="47" customWidth="1"/>
    <col min="5" max="5" width="8.42578125" style="47" customWidth="1"/>
    <col min="6" max="6" width="11.42578125" style="47" customWidth="1"/>
    <col min="7" max="7" width="28.7109375" style="47" customWidth="1"/>
    <col min="8" max="8" width="2.85546875" style="47" customWidth="1"/>
    <col min="9" max="9" width="28.7109375" style="47" customWidth="1"/>
    <col min="10" max="10" width="4.7109375" style="47" customWidth="1"/>
    <col min="11" max="11" width="2.28515625" style="47" customWidth="1"/>
    <col min="12" max="13" width="4.7109375" style="47" customWidth="1"/>
    <col min="14" max="14" width="2" style="47" customWidth="1"/>
    <col min="15" max="16" width="4.7109375" style="47" customWidth="1"/>
    <col min="17" max="17" width="2.28515625" style="47" customWidth="1"/>
    <col min="18" max="18" width="4.7109375" style="47" customWidth="1"/>
    <col min="19" max="19" width="18.7109375" style="47" customWidth="1"/>
    <col min="20" max="20" width="8" style="47" customWidth="1"/>
    <col min="21" max="21" width="6.140625" style="47" customWidth="1"/>
    <col min="22" max="22" width="11.42578125" style="47" customWidth="1"/>
    <col min="23" max="23" width="16" style="47" hidden="1" customWidth="1"/>
    <col min="24" max="24" width="17" style="47" hidden="1" customWidth="1"/>
    <col min="25" max="25" width="8.85546875" style="47" hidden="1" customWidth="1"/>
    <col min="26" max="26" width="9.5703125" style="47" hidden="1" customWidth="1"/>
    <col min="27" max="27" width="8.42578125" style="47" hidden="1" customWidth="1"/>
    <col min="28" max="28" width="5.28515625" style="47" hidden="1" customWidth="1"/>
    <col min="29" max="29" width="5.5703125" style="47" hidden="1" customWidth="1"/>
    <col min="30" max="30" width="2.85546875" style="47" hidden="1" customWidth="1"/>
    <col min="31" max="32" width="11.42578125" style="47" hidden="1" customWidth="1"/>
    <col min="33" max="33" width="3.140625" style="47" hidden="1" customWidth="1"/>
    <col min="34" max="36" width="11.42578125" style="47" hidden="1" customWidth="1"/>
    <col min="37" max="37" width="5.28515625" style="47" hidden="1" customWidth="1"/>
    <col min="38" max="38" width="5" style="47" hidden="1" customWidth="1"/>
    <col min="39" max="39" width="2.42578125" style="47" hidden="1" customWidth="1"/>
    <col min="40" max="41" width="5.42578125" style="47" hidden="1" customWidth="1"/>
    <col min="42" max="16384" width="11.42578125" style="47" hidden="1"/>
  </cols>
  <sheetData>
    <row r="1" spans="2:41" ht="13.5" thickBot="1" x14ac:dyDescent="0.25"/>
    <row r="2" spans="2:41" ht="36" customHeight="1" thickTop="1" x14ac:dyDescent="0.2">
      <c r="E2" s="902" t="str">
        <f>Vorrunde!$H$2</f>
        <v>Internationales U10-Turnier am 27.01.2026</v>
      </c>
      <c r="F2" s="903"/>
      <c r="G2" s="903"/>
      <c r="H2" s="903"/>
      <c r="I2" s="903"/>
      <c r="J2" s="903"/>
      <c r="K2" s="903"/>
      <c r="L2" s="903"/>
      <c r="M2" s="903"/>
      <c r="N2" s="903"/>
      <c r="O2" s="903"/>
      <c r="P2" s="903"/>
      <c r="Q2" s="903"/>
      <c r="R2" s="903"/>
      <c r="S2" s="903"/>
      <c r="T2" s="904"/>
    </row>
    <row r="3" spans="2:41" ht="30" customHeight="1" x14ac:dyDescent="0.2">
      <c r="E3" s="905" t="str">
        <f>Vorrunde!$H$3</f>
        <v>Veranstalter:  1. FC Riedwald</v>
      </c>
      <c r="F3" s="906"/>
      <c r="G3" s="906"/>
      <c r="H3" s="906"/>
      <c r="I3" s="906"/>
      <c r="J3" s="906"/>
      <c r="K3" s="906"/>
      <c r="L3" s="906"/>
      <c r="M3" s="906"/>
      <c r="N3" s="906"/>
      <c r="O3" s="906"/>
      <c r="P3" s="906"/>
      <c r="Q3" s="906"/>
      <c r="R3" s="906"/>
      <c r="S3" s="906"/>
      <c r="T3" s="907"/>
    </row>
    <row r="4" spans="2:41" ht="30" customHeight="1" x14ac:dyDescent="0.2">
      <c r="E4" s="908" t="str">
        <f>Vorrunde!$H$4</f>
        <v>Sporthalle Wiesengrund, Wendiger Str. 51, 65432 Riedwald</v>
      </c>
      <c r="F4" s="909"/>
      <c r="G4" s="909"/>
      <c r="H4" s="909"/>
      <c r="I4" s="909"/>
      <c r="J4" s="909"/>
      <c r="K4" s="909"/>
      <c r="L4" s="909"/>
      <c r="M4" s="909"/>
      <c r="N4" s="909"/>
      <c r="O4" s="909"/>
      <c r="P4" s="909"/>
      <c r="Q4" s="909"/>
      <c r="R4" s="909"/>
      <c r="S4" s="909"/>
      <c r="T4" s="910"/>
    </row>
    <row r="5" spans="2:41" ht="30" customHeight="1" thickBot="1" x14ac:dyDescent="0.25">
      <c r="E5" s="911" t="str">
        <f>Vorrunde!$H$5</f>
        <v>Beginn:  9:00 Uhr</v>
      </c>
      <c r="F5" s="912"/>
      <c r="G5" s="912"/>
      <c r="H5" s="912"/>
      <c r="I5" s="912"/>
      <c r="J5" s="912"/>
      <c r="K5" s="912"/>
      <c r="L5" s="912"/>
      <c r="M5" s="912"/>
      <c r="N5" s="912"/>
      <c r="O5" s="912"/>
      <c r="P5" s="912"/>
      <c r="Q5" s="912"/>
      <c r="R5" s="912"/>
      <c r="S5" s="912"/>
      <c r="T5" s="913"/>
    </row>
    <row r="6" spans="2:41" ht="18" customHeight="1" thickTop="1" thickBot="1" x14ac:dyDescent="0.25"/>
    <row r="7" spans="2:41" ht="30" customHeight="1" thickTop="1" x14ac:dyDescent="0.2">
      <c r="G7" s="914" t="str">
        <f>Sprache!$E$19</f>
        <v>Endrunde</v>
      </c>
      <c r="H7" s="915"/>
      <c r="I7" s="915"/>
      <c r="J7" s="915"/>
      <c r="K7" s="915"/>
      <c r="L7" s="915"/>
      <c r="M7" s="915"/>
      <c r="N7" s="915"/>
      <c r="O7" s="915"/>
      <c r="P7" s="915"/>
      <c r="Q7" s="916"/>
    </row>
    <row r="8" spans="2:41" ht="30" customHeight="1" thickBot="1" x14ac:dyDescent="0.25">
      <c r="G8" s="917"/>
      <c r="H8" s="918"/>
      <c r="I8" s="918"/>
      <c r="J8" s="918"/>
      <c r="K8" s="918"/>
      <c r="L8" s="918"/>
      <c r="M8" s="918"/>
      <c r="N8" s="918"/>
      <c r="O8" s="918"/>
      <c r="P8" s="918"/>
      <c r="Q8" s="919"/>
    </row>
    <row r="9" spans="2:41" ht="12.6" customHeight="1" thickTop="1" x14ac:dyDescent="0.2">
      <c r="T9" s="809" t="str">
        <f>Sprache!$E$20</f>
        <v>Zusätzl. Pause (min)</v>
      </c>
      <c r="W9" s="779" t="s">
        <v>471</v>
      </c>
    </row>
    <row r="10" spans="2:41" ht="27.95" customHeight="1" thickBot="1" x14ac:dyDescent="0.35">
      <c r="C10" s="920" t="str">
        <f>Sprache!$E$62&amp;IF(MIN(Calc1!$F$13,Calc2!$F$13)*2&lt;6,""," 9 - "&amp;MIN(Calc1!$F$13,Calc2!$F$13)*2)</f>
        <v>Spiele um die Plätze  9 - 10</v>
      </c>
      <c r="D10" s="920"/>
      <c r="E10" s="920"/>
      <c r="F10" s="920"/>
      <c r="T10" s="809"/>
      <c r="W10" s="777" t="b">
        <f>Einstellungen!$B$43=Sprache!$E$79</f>
        <v>1</v>
      </c>
      <c r="Y10" s="930" t="s">
        <v>468</v>
      </c>
      <c r="Z10" s="930"/>
      <c r="AA10" s="930"/>
      <c r="AB10" s="930"/>
      <c r="AC10" s="930"/>
      <c r="AE10" s="931" t="s">
        <v>469</v>
      </c>
      <c r="AF10" s="931"/>
      <c r="AH10" s="930" t="s">
        <v>470</v>
      </c>
      <c r="AI10" s="930"/>
      <c r="AJ10" s="930"/>
      <c r="AK10" s="930"/>
      <c r="AL10" s="930"/>
    </row>
    <row r="11" spans="2:41" ht="24" customHeight="1" thickTop="1" thickBot="1" x14ac:dyDescent="0.25">
      <c r="B11" s="304"/>
      <c r="C11" s="339" t="str">
        <f>Sprache!$E$9</f>
        <v>Nr.</v>
      </c>
      <c r="D11" s="300" t="str">
        <f>Sprache!$E$39</f>
        <v>Beginn</v>
      </c>
      <c r="E11" s="556" t="str">
        <f>Sprache!$E$48</f>
        <v>Feld</v>
      </c>
      <c r="F11" s="556"/>
      <c r="G11" s="830" t="str">
        <f>Sprache!$E$14</f>
        <v>Spielpaarung</v>
      </c>
      <c r="H11" s="830"/>
      <c r="I11" s="830"/>
      <c r="J11" s="830" t="str">
        <f>Sprache!$E$91</f>
        <v>1. Satz</v>
      </c>
      <c r="K11" s="830"/>
      <c r="L11" s="830"/>
      <c r="M11" s="830" t="str">
        <f>Sprache!$E$92</f>
        <v>2. Satz</v>
      </c>
      <c r="N11" s="830"/>
      <c r="O11" s="830"/>
      <c r="P11" s="830" t="str">
        <f>Sprache!$E$93</f>
        <v>3. Satz</v>
      </c>
      <c r="Q11" s="830"/>
      <c r="R11" s="830"/>
      <c r="S11" s="574" t="str">
        <f>Sprache!$E$59</f>
        <v>Schiedsrichter</v>
      </c>
      <c r="T11" s="810"/>
      <c r="W11" s="778" t="s">
        <v>448</v>
      </c>
      <c r="X11" s="778" t="s">
        <v>449</v>
      </c>
      <c r="Y11" s="737" t="s">
        <v>450</v>
      </c>
      <c r="Z11" s="737" t="s">
        <v>451</v>
      </c>
      <c r="AA11" s="737" t="s">
        <v>452</v>
      </c>
      <c r="AB11" s="929" t="s">
        <v>453</v>
      </c>
      <c r="AC11" s="929"/>
      <c r="AE11" s="737" t="s">
        <v>463</v>
      </c>
      <c r="AF11" s="737" t="s">
        <v>464</v>
      </c>
      <c r="AH11" s="737" t="s">
        <v>465</v>
      </c>
      <c r="AI11" s="737" t="s">
        <v>466</v>
      </c>
      <c r="AJ11" s="737" t="s">
        <v>452</v>
      </c>
      <c r="AK11" s="929" t="s">
        <v>453</v>
      </c>
      <c r="AL11" s="929"/>
      <c r="AN11" s="929" t="s">
        <v>467</v>
      </c>
      <c r="AO11" s="929"/>
    </row>
    <row r="12" spans="2:41" s="283" customFormat="1" ht="24" customHeight="1" x14ac:dyDescent="0.2">
      <c r="B12" s="330"/>
      <c r="C12" s="338">
        <f t="array" aca="1" ref="C12" ca="1">73-SUM(((Planung!$L$6:$L$77="")+(Planung!$N$6:$N$77="")&gt;0)*1)</f>
        <v>21</v>
      </c>
      <c r="D12" s="301">
        <f ca="1">IF(Planung!$V$16,"",Planung!$S$13+(Planung!$S$9+Planung!$Q$77)/1440)</f>
        <v>0.49652777777777779</v>
      </c>
      <c r="E12" s="519">
        <f>IF(Planung!$V$16,"",1)</f>
        <v>1</v>
      </c>
      <c r="F12" s="520" t="s">
        <v>331</v>
      </c>
      <c r="G12" s="291" t="str">
        <f ca="1">Vorrunde!$X$20</f>
        <v/>
      </c>
      <c r="H12" s="292" t="s">
        <v>5</v>
      </c>
      <c r="I12" s="293" t="str">
        <f ca="1">Vorrunde!$X$33</f>
        <v/>
      </c>
      <c r="J12" s="697"/>
      <c r="K12" s="295" t="str">
        <f>Sprache!$E$108</f>
        <v xml:space="preserve"> : </v>
      </c>
      <c r="L12" s="733"/>
      <c r="M12" s="697"/>
      <c r="N12" s="723" t="str">
        <f>Sprache!$E$108</f>
        <v xml:space="preserve"> : </v>
      </c>
      <c r="O12" s="733"/>
      <c r="P12" s="701"/>
      <c r="Q12" s="295" t="str">
        <f>Sprache!$E$108</f>
        <v xml:space="preserve"> : </v>
      </c>
      <c r="R12" s="707"/>
      <c r="S12" s="713"/>
      <c r="T12" s="710"/>
      <c r="W12" s="283" t="str">
        <f ca="1">IF(AN12&gt;AO12,$G12,IF(AN12&lt;AO12,$I12,""))</f>
        <v/>
      </c>
      <c r="X12" s="283" t="str">
        <f ca="1">IF(AN12&lt;AO12,$G12,IF(AN12&gt;AO12,$I12,""))</f>
        <v/>
      </c>
      <c r="Y12" s="283" t="b">
        <f>OR(NOT($W$10),AND($J12&lt;&gt;"",$L12&lt;&gt;"",$M12&lt;&gt;"",$O12&lt;&gt;"",$J12&lt;&gt;$L12,$M12&lt;&gt;$O12,($J12&gt;$L12)+($M12&gt;$O12)=1))</f>
        <v>0</v>
      </c>
      <c r="Z12" s="716" t="b">
        <f ca="1">AND($J12&lt;&gt;"",$L12&lt;&gt;"",$J12&lt;&gt;$L12,OR(AND($M12="",$O12=""),AND($M12&lt;&gt;"",$O12&lt;&gt;"",$M12&lt;&gt;$O12)),$G12&lt;&gt;"",$I12&lt;&gt;"",$G12&lt;&gt;$I12)</f>
        <v>0</v>
      </c>
      <c r="AA12" s="283" t="b">
        <f>AND(Y12,$P12&lt;&gt;"",$R12&lt;&gt;"",$P12&lt;&gt;$R12)</f>
        <v>0</v>
      </c>
      <c r="AB12" s="716">
        <f ca="1">(($J12&gt;$L12)+($M12&gt;$O12)+($P12&gt;$R12)*AA12)*Z12</f>
        <v>0</v>
      </c>
      <c r="AC12" s="716">
        <f ca="1">(($J12&lt;$L12)+($M12&lt;$O12)+($P12&lt;$R12)*AA12)*Z12</f>
        <v>0</v>
      </c>
      <c r="AE12" s="283" t="b">
        <f>AND($W$10,OR(AND($J12&lt;&gt;"",$J12=$L12),AND($M12&lt;&gt;"",$M12=$O12)))</f>
        <v>0</v>
      </c>
      <c r="AF12" s="283" t="b">
        <f>AND($W$10,$P12&lt;&gt;"",$R12&lt;&gt;"",$P12=$R12,$Y12)</f>
        <v>0</v>
      </c>
      <c r="AH12" s="283" t="b">
        <f ca="1">AND($J12&lt;&gt;"",$L12&lt;&gt;"",$G12&lt;&gt;"",$I12&lt;&gt;"",$G12&lt;&gt;$I12)</f>
        <v>0</v>
      </c>
      <c r="AI12" s="283" t="b">
        <f ca="1">AND($M12&lt;&gt;"",$O12&lt;&gt;"",$G12&lt;&gt;"",$I12&lt;&gt;"",$G12&lt;&gt;$I12)</f>
        <v>0</v>
      </c>
      <c r="AJ12" s="283" t="b">
        <f ca="1">AND($P12&lt;&gt;"",$R12&lt;&gt;"",$G12&lt;&gt;"",$I12&lt;&gt;"",$G12&lt;&gt;$I12)</f>
        <v>0</v>
      </c>
      <c r="AK12" s="716">
        <f ca="1">(($J12&gt;$L12)+($J12=$L12)*0.5)*$AH12+(($M12&gt;$O12)+($M12=$O12)*0.5)*$AI12+(($P12&gt;$R12)+($P12=$R12)*0.5)*$AJ12</f>
        <v>0</v>
      </c>
      <c r="AL12" s="716">
        <f ca="1">(($J12&lt;$L12)+($J12=$L12)*0.5)*$AH12+(($M12&lt;$O12)+($M12=$O12)*0.5)*$AI12+(($P12&lt;$R12)+($P12=$R12)*0.5)*$AJ12</f>
        <v>0</v>
      </c>
      <c r="AN12" s="716">
        <f ca="1">IF($W$10,$AB12,$AK12)</f>
        <v>0</v>
      </c>
      <c r="AO12" s="716">
        <f ca="1">IF($W$10,$AC12,$AL12)</f>
        <v>0</v>
      </c>
    </row>
    <row r="13" spans="2:41" s="283" customFormat="1" ht="24" customHeight="1" x14ac:dyDescent="0.2">
      <c r="B13" s="330"/>
      <c r="C13" s="338">
        <f t="array" aca="1" ref="C13" ca="1">$C$12+ROW(A1)-SUM((($G$12:$G12="")+($I$12:$I12="")&gt;0)*1)</f>
        <v>21</v>
      </c>
      <c r="D13" s="302">
        <f ca="1">IF(Planung!$V$16,"",$D$12+QUOTIENT(($C13-$C$12),Planung!$V$18)*(Planung!$S$7+Planung!$S$9)/1440+SUM($T$12:$T12)/1440)</f>
        <v>0.49652777777777779</v>
      </c>
      <c r="E13" s="297">
        <f ca="1">IF(Planung!$V$16,"",MOD($C13-$C$12,Planung!$V$18)+1)</f>
        <v>1</v>
      </c>
      <c r="F13" s="288" t="s">
        <v>332</v>
      </c>
      <c r="G13" s="284" t="str">
        <f ca="1">Vorrunde!$X$19</f>
        <v/>
      </c>
      <c r="H13" s="140" t="s">
        <v>5</v>
      </c>
      <c r="I13" s="286" t="str">
        <f ca="1">Vorrunde!$X$32</f>
        <v/>
      </c>
      <c r="J13" s="698"/>
      <c r="K13" s="295" t="str">
        <f>Sprache!$E$108</f>
        <v xml:space="preserve"> : </v>
      </c>
      <c r="L13" s="705"/>
      <c r="M13" s="698"/>
      <c r="N13" s="723" t="str">
        <f>Sprache!$E$108</f>
        <v xml:space="preserve"> : </v>
      </c>
      <c r="O13" s="733"/>
      <c r="P13" s="701"/>
      <c r="Q13" s="295" t="str">
        <f>Sprache!$E$108</f>
        <v xml:space="preserve"> : </v>
      </c>
      <c r="R13" s="708"/>
      <c r="S13" s="714"/>
      <c r="T13" s="711"/>
      <c r="W13" s="283" t="str">
        <f t="shared" ref="W13:W28" ca="1" si="0">IF(AN13&gt;AO13,$G13,IF(AN13&lt;AO13,$I13,""))</f>
        <v/>
      </c>
      <c r="X13" s="283" t="str">
        <f t="shared" ref="X13:X28" ca="1" si="1">IF(AN13&lt;AO13,$G13,IF(AN13&gt;AO13,$I13,""))</f>
        <v/>
      </c>
      <c r="Y13" s="283" t="b">
        <f t="shared" ref="Y13:Y28" si="2">OR(NOT($W$10),AND($J13&lt;&gt;"",$L13&lt;&gt;"",$M13&lt;&gt;"",$O13&lt;&gt;"",$J13&lt;&gt;$L13,$M13&lt;&gt;$O13,($J13&gt;$L13)+($M13&gt;$O13)=1))</f>
        <v>0</v>
      </c>
      <c r="Z13" s="716" t="b">
        <f t="shared" ref="Z13:Z28" ca="1" si="3">AND($J13&lt;&gt;"",$L13&lt;&gt;"",$J13&lt;&gt;$L13,OR(AND($M13="",$O13=""),AND($M13&lt;&gt;"",$O13&lt;&gt;"",$M13&lt;&gt;$O13)),$G13&lt;&gt;"",$I13&lt;&gt;"",$G13&lt;&gt;$I13)</f>
        <v>0</v>
      </c>
      <c r="AA13" s="283" t="b">
        <f t="shared" ref="AA13:AA28" si="4">AND(Y13,$P13&lt;&gt;"",$R13&lt;&gt;"",$P13&lt;&gt;$R13)</f>
        <v>0</v>
      </c>
      <c r="AB13" s="716">
        <f t="shared" ref="AB13:AB28" ca="1" si="5">(($J13&gt;$L13)+($M13&gt;$O13)+($P13&gt;$R13)*AA13)*Z13</f>
        <v>0</v>
      </c>
      <c r="AC13" s="716">
        <f t="shared" ref="AC13:AC28" ca="1" si="6">(($J13&lt;$L13)+($M13&lt;$O13)+($P13&lt;$R13)*AA13)*Z13</f>
        <v>0</v>
      </c>
      <c r="AE13" s="283" t="b">
        <f t="shared" ref="AE13:AE28" si="7">AND($W$10,OR(AND($J13&lt;&gt;"",$J13=$L13),AND($M13&lt;&gt;"",$M13=$O13)))</f>
        <v>0</v>
      </c>
      <c r="AF13" s="283" t="b">
        <f t="shared" ref="AF13:AF28" si="8">AND($W$10,$P13&lt;&gt;"",$R13&lt;&gt;"",$P13=$R13,$Y13)</f>
        <v>0</v>
      </c>
      <c r="AH13" s="283" t="b">
        <f t="shared" ref="AH13:AH28" ca="1" si="9">AND($J13&lt;&gt;"",$L13&lt;&gt;"",$G13&lt;&gt;"",$I13&lt;&gt;"",$G13&lt;&gt;$I13)</f>
        <v>0</v>
      </c>
      <c r="AI13" s="283" t="b">
        <f t="shared" ref="AI13:AI28" ca="1" si="10">AND($M13&lt;&gt;"",$O13&lt;&gt;"",$G13&lt;&gt;"",$I13&lt;&gt;"",$G13&lt;&gt;$I13)</f>
        <v>0</v>
      </c>
      <c r="AJ13" s="283" t="b">
        <f t="shared" ref="AJ13:AJ28" ca="1" si="11">AND($P13&lt;&gt;"",$R13&lt;&gt;"",$G13&lt;&gt;"",$I13&lt;&gt;"",$G13&lt;&gt;$I13)</f>
        <v>0</v>
      </c>
      <c r="AK13" s="716">
        <f t="shared" ref="AK13:AK28" ca="1" si="12">(($J13&gt;$L13)+($J13=$L13)*0.5)*$AH13+(($M13&gt;$O13)+($M13=$O13)*0.5)*$AI13+(($P13&gt;$R13)+($P13=$R13)*0.5)*$AJ13</f>
        <v>0</v>
      </c>
      <c r="AL13" s="716">
        <f t="shared" ref="AL13:AL28" ca="1" si="13">(($J13&lt;$L13)+($J13=$L13)*0.5)*$AH13+(($M13&lt;$O13)+($M13=$O13)*0.5)*$AI13+(($P13&lt;$R13)+($P13=$R13)*0.5)*$AJ13</f>
        <v>0</v>
      </c>
      <c r="AN13" s="716">
        <f t="shared" ref="AN13:AN28" ca="1" si="14">IF($W$10,$AB13,$AK13)</f>
        <v>0</v>
      </c>
      <c r="AO13" s="716">
        <f t="shared" ref="AO13:AO28" ca="1" si="15">IF($W$10,$AC13,$AL13)</f>
        <v>0</v>
      </c>
    </row>
    <row r="14" spans="2:41" s="283" customFormat="1" ht="24" customHeight="1" x14ac:dyDescent="0.2">
      <c r="B14" s="330"/>
      <c r="C14" s="338">
        <f t="array" aca="1" ref="C14" ca="1">$C$12+ROW(A2)-SUM((($G$12:$G13="")+($I$12:$I13="")&gt;0)*1)</f>
        <v>21</v>
      </c>
      <c r="D14" s="302">
        <f ca="1">IF(Planung!$V$16,"",$D$12+QUOTIENT(($C14-$C$12),Planung!$V$18)*(Planung!$S$7+Planung!$S$9)/1440+SUM($T$12:$T13)/1440)</f>
        <v>0.49652777777777779</v>
      </c>
      <c r="E14" s="297">
        <f ca="1">IF(Planung!$V$16,"",MOD($C14-$C$12,Planung!$V$18)+1)</f>
        <v>1</v>
      </c>
      <c r="F14" s="288" t="s">
        <v>333</v>
      </c>
      <c r="G14" s="284" t="str">
        <f ca="1">Vorrunde!$X$18</f>
        <v/>
      </c>
      <c r="H14" s="140" t="s">
        <v>5</v>
      </c>
      <c r="I14" s="286" t="str">
        <f ca="1">Vorrunde!$X$31</f>
        <v/>
      </c>
      <c r="J14" s="698"/>
      <c r="K14" s="295" t="str">
        <f>Sprache!$E$108</f>
        <v xml:space="preserve"> : </v>
      </c>
      <c r="L14" s="705"/>
      <c r="M14" s="698"/>
      <c r="N14" s="723" t="str">
        <f>Sprache!$E$108</f>
        <v xml:space="preserve"> : </v>
      </c>
      <c r="O14" s="733"/>
      <c r="P14" s="701"/>
      <c r="Q14" s="295" t="str">
        <f>Sprache!$E$108</f>
        <v xml:space="preserve"> : </v>
      </c>
      <c r="R14" s="708"/>
      <c r="S14" s="714"/>
      <c r="T14" s="711"/>
      <c r="W14" s="283" t="str">
        <f t="shared" ca="1" si="0"/>
        <v/>
      </c>
      <c r="X14" s="283" t="str">
        <f t="shared" ca="1" si="1"/>
        <v/>
      </c>
      <c r="Y14" s="283" t="b">
        <f t="shared" si="2"/>
        <v>0</v>
      </c>
      <c r="Z14" s="716" t="b">
        <f t="shared" ca="1" si="3"/>
        <v>0</v>
      </c>
      <c r="AA14" s="283" t="b">
        <f t="shared" si="4"/>
        <v>0</v>
      </c>
      <c r="AB14" s="716">
        <f t="shared" ca="1" si="5"/>
        <v>0</v>
      </c>
      <c r="AC14" s="716">
        <f t="shared" ca="1" si="6"/>
        <v>0</v>
      </c>
      <c r="AE14" s="283" t="b">
        <f t="shared" si="7"/>
        <v>0</v>
      </c>
      <c r="AF14" s="283" t="b">
        <f t="shared" si="8"/>
        <v>0</v>
      </c>
      <c r="AH14" s="283" t="b">
        <f t="shared" ca="1" si="9"/>
        <v>0</v>
      </c>
      <c r="AI14" s="283" t="b">
        <f t="shared" ca="1" si="10"/>
        <v>0</v>
      </c>
      <c r="AJ14" s="283" t="b">
        <f t="shared" ca="1" si="11"/>
        <v>0</v>
      </c>
      <c r="AK14" s="716">
        <f t="shared" ca="1" si="12"/>
        <v>0</v>
      </c>
      <c r="AL14" s="716">
        <f t="shared" ca="1" si="13"/>
        <v>0</v>
      </c>
      <c r="AN14" s="716">
        <f t="shared" ca="1" si="14"/>
        <v>0</v>
      </c>
      <c r="AO14" s="716">
        <f t="shared" ca="1" si="15"/>
        <v>0</v>
      </c>
    </row>
    <row r="15" spans="2:41" s="283" customFormat="1" ht="24" customHeight="1" x14ac:dyDescent="0.2">
      <c r="B15" s="330"/>
      <c r="C15" s="332">
        <f t="array" aca="1" ref="C15" ca="1">$C$12+ROW(A3)-SUM((($G$12:$G14="")+($I$12:$I14="")&gt;0)*1)</f>
        <v>21</v>
      </c>
      <c r="D15" s="302">
        <f ca="1">IF(Planung!$V$16,"",$D$12+QUOTIENT(($C15-$C$12),Planung!$V$18)*(Planung!$S$7+Planung!$S$9)/1440+SUM($T$12:$T14)/1440)</f>
        <v>0.49652777777777779</v>
      </c>
      <c r="E15" s="443">
        <f ca="1">IF(Planung!$V$16,"",MOD($C15-$C$12,Planung!$V$18)+1)</f>
        <v>1</v>
      </c>
      <c r="F15" s="288" t="s">
        <v>213</v>
      </c>
      <c r="G15" s="284" t="str">
        <f ca="1">Vorrunde!$X$17</f>
        <v/>
      </c>
      <c r="H15" s="140" t="s">
        <v>5</v>
      </c>
      <c r="I15" s="286" t="str">
        <f ca="1">Vorrunde!$X$30</f>
        <v/>
      </c>
      <c r="J15" s="698"/>
      <c r="K15" s="296" t="str">
        <f>Sprache!$E$108</f>
        <v xml:space="preserve"> : </v>
      </c>
      <c r="L15" s="705"/>
      <c r="M15" s="698"/>
      <c r="N15" s="724" t="str">
        <f>Sprache!$E$108</f>
        <v xml:space="preserve"> : </v>
      </c>
      <c r="O15" s="705"/>
      <c r="P15" s="702"/>
      <c r="Q15" s="296" t="str">
        <f>Sprache!$E$108</f>
        <v xml:space="preserve"> : </v>
      </c>
      <c r="R15" s="708"/>
      <c r="S15" s="714"/>
      <c r="T15" s="711"/>
      <c r="W15" s="283" t="str">
        <f t="shared" ca="1" si="0"/>
        <v/>
      </c>
      <c r="X15" s="283" t="str">
        <f t="shared" ca="1" si="1"/>
        <v/>
      </c>
      <c r="Y15" s="283" t="b">
        <f t="shared" si="2"/>
        <v>0</v>
      </c>
      <c r="Z15" s="716" t="b">
        <f t="shared" ca="1" si="3"/>
        <v>0</v>
      </c>
      <c r="AA15" s="283" t="b">
        <f t="shared" si="4"/>
        <v>0</v>
      </c>
      <c r="AB15" s="716">
        <f t="shared" ca="1" si="5"/>
        <v>0</v>
      </c>
      <c r="AC15" s="716">
        <f t="shared" ca="1" si="6"/>
        <v>0</v>
      </c>
      <c r="AE15" s="283" t="b">
        <f t="shared" si="7"/>
        <v>0</v>
      </c>
      <c r="AF15" s="283" t="b">
        <f t="shared" si="8"/>
        <v>0</v>
      </c>
      <c r="AH15" s="283" t="b">
        <f t="shared" ca="1" si="9"/>
        <v>0</v>
      </c>
      <c r="AI15" s="283" t="b">
        <f t="shared" ca="1" si="10"/>
        <v>0</v>
      </c>
      <c r="AJ15" s="283" t="b">
        <f t="shared" ca="1" si="11"/>
        <v>0</v>
      </c>
      <c r="AK15" s="716">
        <f t="shared" ca="1" si="12"/>
        <v>0</v>
      </c>
      <c r="AL15" s="716">
        <f t="shared" ca="1" si="13"/>
        <v>0</v>
      </c>
      <c r="AN15" s="716">
        <f t="shared" ca="1" si="14"/>
        <v>0</v>
      </c>
      <c r="AO15" s="716">
        <f t="shared" ca="1" si="15"/>
        <v>0</v>
      </c>
    </row>
    <row r="16" spans="2:41" s="283" customFormat="1" ht="24" customHeight="1" thickBot="1" x14ac:dyDescent="0.25">
      <c r="B16" s="330"/>
      <c r="C16" s="496">
        <f t="array" aca="1" ref="C16" ca="1">$C$12+ROW(A4)-SUM((($G$12:$G15="")+($I$12:$I15="")&gt;0)*1)</f>
        <v>21</v>
      </c>
      <c r="D16" s="303">
        <f ca="1">IF(Planung!$V$16,"",$D$12+QUOTIENT(($C16-$C$12),Planung!$V$18)*(Planung!$S$7+Planung!$S$9)/1440+SUM($T$12:$T15)/1440)</f>
        <v>0.49652777777777779</v>
      </c>
      <c r="E16" s="299">
        <f ca="1">IF(Planung!$V$16,"",MOD($C16-$C$12,Planung!$V$18)+1)</f>
        <v>1</v>
      </c>
      <c r="F16" s="289" t="s">
        <v>214</v>
      </c>
      <c r="G16" s="285" t="str">
        <f ca="1">Vorrunde!$X$16</f>
        <v>FC Barcelona</v>
      </c>
      <c r="H16" s="141" t="s">
        <v>5</v>
      </c>
      <c r="I16" s="287" t="str">
        <f ca="1">Vorrunde!$X$29</f>
        <v>Inter Mailand</v>
      </c>
      <c r="J16" s="699">
        <v>16</v>
      </c>
      <c r="K16" s="322" t="str">
        <f>Sprache!$E$108</f>
        <v xml:space="preserve"> : </v>
      </c>
      <c r="L16" s="706">
        <v>25</v>
      </c>
      <c r="M16" s="699">
        <v>25</v>
      </c>
      <c r="N16" s="725" t="str">
        <f>Sprache!$E$108</f>
        <v xml:space="preserve"> : </v>
      </c>
      <c r="O16" s="706">
        <v>23</v>
      </c>
      <c r="P16" s="703">
        <v>15</v>
      </c>
      <c r="Q16" s="322" t="str">
        <f>Sprache!$E$108</f>
        <v xml:space="preserve"> : </v>
      </c>
      <c r="R16" s="709">
        <v>13</v>
      </c>
      <c r="S16" s="715"/>
      <c r="T16" s="718"/>
      <c r="W16" s="283" t="str">
        <f t="shared" ca="1" si="0"/>
        <v>FC Barcelona</v>
      </c>
      <c r="X16" s="283" t="str">
        <f t="shared" ca="1" si="1"/>
        <v>Inter Mailand</v>
      </c>
      <c r="Y16" s="283" t="b">
        <f t="shared" si="2"/>
        <v>1</v>
      </c>
      <c r="Z16" s="716" t="b">
        <f t="shared" ca="1" si="3"/>
        <v>1</v>
      </c>
      <c r="AA16" s="283" t="b">
        <f t="shared" si="4"/>
        <v>1</v>
      </c>
      <c r="AB16" s="716">
        <f t="shared" ca="1" si="5"/>
        <v>2</v>
      </c>
      <c r="AC16" s="716">
        <f t="shared" ca="1" si="6"/>
        <v>1</v>
      </c>
      <c r="AE16" s="283" t="b">
        <f t="shared" si="7"/>
        <v>0</v>
      </c>
      <c r="AF16" s="283" t="b">
        <f t="shared" si="8"/>
        <v>0</v>
      </c>
      <c r="AH16" s="283" t="b">
        <f t="shared" ca="1" si="9"/>
        <v>1</v>
      </c>
      <c r="AI16" s="283" t="b">
        <f t="shared" ca="1" si="10"/>
        <v>1</v>
      </c>
      <c r="AJ16" s="283" t="b">
        <f t="shared" ca="1" si="11"/>
        <v>1</v>
      </c>
      <c r="AK16" s="716">
        <f t="shared" ca="1" si="12"/>
        <v>2</v>
      </c>
      <c r="AL16" s="716">
        <f t="shared" ca="1" si="13"/>
        <v>1</v>
      </c>
      <c r="AN16" s="716">
        <f t="shared" ca="1" si="14"/>
        <v>2</v>
      </c>
      <c r="AO16" s="716">
        <f t="shared" ca="1" si="15"/>
        <v>1</v>
      </c>
    </row>
    <row r="17" spans="2:41" s="283" customFormat="1" ht="24" customHeight="1" thickTop="1" thickBot="1" x14ac:dyDescent="0.35">
      <c r="B17" s="331"/>
      <c r="C17" s="932" t="str">
        <f>Sprache!$E$54</f>
        <v>Halbfinale Plätze 5 - 8</v>
      </c>
      <c r="D17" s="932"/>
      <c r="E17" s="932"/>
      <c r="F17" s="932"/>
      <c r="G17" s="345" t="s">
        <v>263</v>
      </c>
      <c r="H17" s="119"/>
      <c r="I17" s="345" t="s">
        <v>263</v>
      </c>
      <c r="J17" s="730"/>
      <c r="K17" s="312"/>
      <c r="L17" s="734"/>
      <c r="M17" s="730"/>
      <c r="N17" s="312"/>
      <c r="O17" s="734"/>
      <c r="P17" s="730"/>
      <c r="Q17" s="312"/>
      <c r="R17" s="734"/>
      <c r="S17" s="312"/>
      <c r="T17" s="314"/>
      <c r="Z17" s="716"/>
      <c r="AB17" s="716"/>
      <c r="AC17" s="716"/>
      <c r="AK17" s="716"/>
      <c r="AL17" s="716"/>
      <c r="AN17" s="716"/>
      <c r="AO17" s="716"/>
    </row>
    <row r="18" spans="2:41" s="283" customFormat="1" ht="24" customHeight="1" thickTop="1" x14ac:dyDescent="0.2">
      <c r="B18" s="331"/>
      <c r="C18" s="497">
        <f t="array" aca="1" ref="C18" ca="1">$C$12+ROW(A5)-SUM((($G$12:$G17="")+($I$12:$I17="")&gt;0)*1)</f>
        <v>22</v>
      </c>
      <c r="D18" s="498">
        <f ca="1">IF(Planung!$V$16,"",$D$12+QUOTIENT(($C18-$C$12),Planung!$V$18)*(Planung!$S$7+Planung!$S$9)/1440+SUM($T$12:$T17)/1440)</f>
        <v>0.49652777777777779</v>
      </c>
      <c r="E18" s="315">
        <f ca="1">IF(Planung!$V$16,"",MOD($C18-$C$12,Planung!$V$18)+1)</f>
        <v>2</v>
      </c>
      <c r="F18" s="316" t="s">
        <v>352</v>
      </c>
      <c r="G18" s="317" t="str">
        <f ca="1">Vorrunde!$X$14</f>
        <v>VFB Essenheim</v>
      </c>
      <c r="H18" s="318" t="s">
        <v>5</v>
      </c>
      <c r="I18" s="319" t="str">
        <f ca="1">Vorrunde!$X$28</f>
        <v>SSV Wildbach</v>
      </c>
      <c r="J18" s="731">
        <v>25</v>
      </c>
      <c r="K18" s="320" t="str">
        <f>Sprache!$E$108</f>
        <v xml:space="preserve"> : </v>
      </c>
      <c r="L18" s="735">
        <v>23</v>
      </c>
      <c r="M18" s="731">
        <v>25</v>
      </c>
      <c r="N18" s="726" t="str">
        <f>Sprache!$E$108</f>
        <v xml:space="preserve"> : </v>
      </c>
      <c r="O18" s="735">
        <v>16</v>
      </c>
      <c r="P18" s="732"/>
      <c r="Q18" s="320" t="s">
        <v>219</v>
      </c>
      <c r="R18" s="736"/>
      <c r="S18" s="721"/>
      <c r="T18" s="720"/>
      <c r="W18" s="283" t="str">
        <f t="shared" ca="1" si="0"/>
        <v>VFB Essenheim</v>
      </c>
      <c r="X18" s="283" t="str">
        <f t="shared" ca="1" si="1"/>
        <v>SSV Wildbach</v>
      </c>
      <c r="Y18" s="283" t="b">
        <f t="shared" si="2"/>
        <v>0</v>
      </c>
      <c r="Z18" s="716" t="b">
        <f t="shared" ca="1" si="3"/>
        <v>1</v>
      </c>
      <c r="AA18" s="283" t="b">
        <f t="shared" si="4"/>
        <v>0</v>
      </c>
      <c r="AB18" s="716">
        <f t="shared" ca="1" si="5"/>
        <v>2</v>
      </c>
      <c r="AC18" s="716">
        <f t="shared" ca="1" si="6"/>
        <v>0</v>
      </c>
      <c r="AE18" s="283" t="b">
        <f t="shared" si="7"/>
        <v>0</v>
      </c>
      <c r="AF18" s="283" t="b">
        <f t="shared" si="8"/>
        <v>0</v>
      </c>
      <c r="AH18" s="283" t="b">
        <f t="shared" ca="1" si="9"/>
        <v>1</v>
      </c>
      <c r="AI18" s="283" t="b">
        <f t="shared" ca="1" si="10"/>
        <v>1</v>
      </c>
      <c r="AJ18" s="283" t="b">
        <f t="shared" ca="1" si="11"/>
        <v>0</v>
      </c>
      <c r="AK18" s="716">
        <f t="shared" ca="1" si="12"/>
        <v>2</v>
      </c>
      <c r="AL18" s="716">
        <f t="shared" ca="1" si="13"/>
        <v>0</v>
      </c>
      <c r="AN18" s="716">
        <f t="shared" ca="1" si="14"/>
        <v>2</v>
      </c>
      <c r="AO18" s="716">
        <f t="shared" ca="1" si="15"/>
        <v>0</v>
      </c>
    </row>
    <row r="19" spans="2:41" s="283" customFormat="1" ht="24" customHeight="1" thickBot="1" x14ac:dyDescent="0.25">
      <c r="B19" s="331"/>
      <c r="C19" s="496">
        <f ca="1">$C$18+1</f>
        <v>23</v>
      </c>
      <c r="D19" s="303">
        <f ca="1">IF(Planung!$V$16,"",$D$12+QUOTIENT(($C19-$C$12),Planung!$V$18)*(Planung!$S$7+Planung!$S$9)/1440+SUM($T$12:$T18)/1440)</f>
        <v>0.49652777777777779</v>
      </c>
      <c r="E19" s="299">
        <f ca="1">IF(Planung!$V$16,"",MOD($C19-$C$12,Planung!$V$18)+1)</f>
        <v>3</v>
      </c>
      <c r="F19" s="289" t="s">
        <v>353</v>
      </c>
      <c r="G19" s="285" t="str">
        <f ca="1">Vorrunde!$X$27</f>
        <v>FC Grönlingen</v>
      </c>
      <c r="H19" s="141" t="s">
        <v>5</v>
      </c>
      <c r="I19" s="287" t="str">
        <f ca="1">Vorrunde!$X$15</f>
        <v>1. FC Riedwald</v>
      </c>
      <c r="J19" s="699">
        <v>24</v>
      </c>
      <c r="K19" s="322" t="str">
        <f>Sprache!$E$108</f>
        <v xml:space="preserve"> : </v>
      </c>
      <c r="L19" s="706">
        <v>26</v>
      </c>
      <c r="M19" s="699">
        <v>25</v>
      </c>
      <c r="N19" s="725" t="str">
        <f>Sprache!$E$108</f>
        <v xml:space="preserve"> : </v>
      </c>
      <c r="O19" s="706">
        <v>22</v>
      </c>
      <c r="P19" s="703">
        <v>7</v>
      </c>
      <c r="Q19" s="322" t="s">
        <v>219</v>
      </c>
      <c r="R19" s="709">
        <v>15</v>
      </c>
      <c r="S19" s="715"/>
      <c r="T19" s="718"/>
      <c r="W19" s="283" t="str">
        <f t="shared" ca="1" si="0"/>
        <v>1. FC Riedwald</v>
      </c>
      <c r="X19" s="283" t="str">
        <f t="shared" ca="1" si="1"/>
        <v>FC Grönlingen</v>
      </c>
      <c r="Y19" s="283" t="b">
        <f t="shared" si="2"/>
        <v>1</v>
      </c>
      <c r="Z19" s="716" t="b">
        <f t="shared" ca="1" si="3"/>
        <v>1</v>
      </c>
      <c r="AA19" s="283" t="b">
        <f t="shared" si="4"/>
        <v>1</v>
      </c>
      <c r="AB19" s="716">
        <f t="shared" ca="1" si="5"/>
        <v>1</v>
      </c>
      <c r="AC19" s="716">
        <f t="shared" ca="1" si="6"/>
        <v>2</v>
      </c>
      <c r="AE19" s="283" t="b">
        <f t="shared" si="7"/>
        <v>0</v>
      </c>
      <c r="AF19" s="283" t="b">
        <f t="shared" si="8"/>
        <v>0</v>
      </c>
      <c r="AH19" s="283" t="b">
        <f t="shared" ca="1" si="9"/>
        <v>1</v>
      </c>
      <c r="AI19" s="283" t="b">
        <f t="shared" ca="1" si="10"/>
        <v>1</v>
      </c>
      <c r="AJ19" s="283" t="b">
        <f t="shared" ca="1" si="11"/>
        <v>1</v>
      </c>
      <c r="AK19" s="716">
        <f t="shared" ca="1" si="12"/>
        <v>1</v>
      </c>
      <c r="AL19" s="716">
        <f t="shared" ca="1" si="13"/>
        <v>2</v>
      </c>
      <c r="AN19" s="716">
        <f t="shared" ca="1" si="14"/>
        <v>1</v>
      </c>
      <c r="AO19" s="716">
        <f t="shared" ca="1" si="15"/>
        <v>2</v>
      </c>
    </row>
    <row r="20" spans="2:41" s="283" customFormat="1" ht="24" customHeight="1" thickTop="1" thickBot="1" x14ac:dyDescent="0.35">
      <c r="B20" s="331"/>
      <c r="C20" s="932" t="str">
        <f>Sprache!$E$53</f>
        <v>Halbfinale Plätze 1 - 4</v>
      </c>
      <c r="D20" s="932"/>
      <c r="E20" s="932"/>
      <c r="F20" s="932"/>
      <c r="G20" s="385"/>
      <c r="H20" s="119"/>
      <c r="I20" s="385"/>
      <c r="J20" s="730"/>
      <c r="K20" s="312"/>
      <c r="L20" s="734"/>
      <c r="M20" s="730"/>
      <c r="N20" s="312"/>
      <c r="O20" s="734"/>
      <c r="P20" s="730"/>
      <c r="Q20" s="312"/>
      <c r="R20" s="734"/>
      <c r="S20" s="312"/>
      <c r="T20" s="314"/>
      <c r="Z20" s="716"/>
      <c r="AB20" s="716"/>
      <c r="AC20" s="716"/>
      <c r="AK20" s="716"/>
      <c r="AL20" s="716"/>
      <c r="AN20" s="716"/>
      <c r="AO20" s="716"/>
    </row>
    <row r="21" spans="2:41" s="283" customFormat="1" ht="24" customHeight="1" thickTop="1" x14ac:dyDescent="0.2">
      <c r="B21" s="331"/>
      <c r="C21" s="497">
        <f ca="1">$C$18+2</f>
        <v>24</v>
      </c>
      <c r="D21" s="498">
        <f ca="1">IF(Planung!$V$16,"",$D$12+QUOTIENT(($C21-$C$12),Planung!$V$18)*(Planung!$S$7+Planung!$S$9)/1440+SUM($T$12:$T20)/1440)</f>
        <v>0.49652777777777779</v>
      </c>
      <c r="E21" s="315">
        <f ca="1">IF(Planung!$V$16,"",MOD($C21-$C$12,Planung!$V$18)+1)</f>
        <v>4</v>
      </c>
      <c r="F21" s="316" t="s">
        <v>237</v>
      </c>
      <c r="G21" s="317" t="str">
        <f ca="1">Vorrunde!$X$12</f>
        <v>Eintracht Frankfurt</v>
      </c>
      <c r="H21" s="318" t="s">
        <v>5</v>
      </c>
      <c r="I21" s="319" t="str">
        <f ca="1">Vorrunde!$X$26</f>
        <v>Manchester City</v>
      </c>
      <c r="J21" s="731">
        <v>25</v>
      </c>
      <c r="K21" s="320" t="str">
        <f>Sprache!$E$108</f>
        <v xml:space="preserve"> : </v>
      </c>
      <c r="L21" s="735">
        <v>22</v>
      </c>
      <c r="M21" s="731">
        <v>25</v>
      </c>
      <c r="N21" s="726" t="str">
        <f>Sprache!$E$108</f>
        <v xml:space="preserve"> : </v>
      </c>
      <c r="O21" s="735">
        <v>21</v>
      </c>
      <c r="P21" s="732"/>
      <c r="Q21" s="320" t="str">
        <f>Sprache!$E$108</f>
        <v xml:space="preserve"> : </v>
      </c>
      <c r="R21" s="736"/>
      <c r="S21" s="722"/>
      <c r="T21" s="710"/>
      <c r="W21" s="283" t="str">
        <f t="shared" ca="1" si="0"/>
        <v>Eintracht Frankfurt</v>
      </c>
      <c r="X21" s="283" t="str">
        <f t="shared" ca="1" si="1"/>
        <v>Manchester City</v>
      </c>
      <c r="Y21" s="283" t="b">
        <f t="shared" si="2"/>
        <v>0</v>
      </c>
      <c r="Z21" s="716" t="b">
        <f t="shared" ca="1" si="3"/>
        <v>1</v>
      </c>
      <c r="AA21" s="283" t="b">
        <f t="shared" si="4"/>
        <v>0</v>
      </c>
      <c r="AB21" s="716">
        <f t="shared" ca="1" si="5"/>
        <v>2</v>
      </c>
      <c r="AC21" s="716">
        <f t="shared" ca="1" si="6"/>
        <v>0</v>
      </c>
      <c r="AE21" s="283" t="b">
        <f t="shared" si="7"/>
        <v>0</v>
      </c>
      <c r="AF21" s="283" t="b">
        <f t="shared" si="8"/>
        <v>0</v>
      </c>
      <c r="AH21" s="283" t="b">
        <f t="shared" ca="1" si="9"/>
        <v>1</v>
      </c>
      <c r="AI21" s="283" t="b">
        <f t="shared" ca="1" si="10"/>
        <v>1</v>
      </c>
      <c r="AJ21" s="283" t="b">
        <f t="shared" ca="1" si="11"/>
        <v>0</v>
      </c>
      <c r="AK21" s="716">
        <f t="shared" ca="1" si="12"/>
        <v>2</v>
      </c>
      <c r="AL21" s="716">
        <f t="shared" ca="1" si="13"/>
        <v>0</v>
      </c>
      <c r="AN21" s="716">
        <f t="shared" ca="1" si="14"/>
        <v>2</v>
      </c>
      <c r="AO21" s="716">
        <f t="shared" ca="1" si="15"/>
        <v>0</v>
      </c>
    </row>
    <row r="22" spans="2:41" s="283" customFormat="1" ht="24" customHeight="1" thickBot="1" x14ac:dyDescent="0.25">
      <c r="B22" s="331"/>
      <c r="C22" s="496">
        <f ca="1">$C$18+3</f>
        <v>25</v>
      </c>
      <c r="D22" s="303">
        <f ca="1">IF(Planung!$V$16,"",$D$12+QUOTIENT(($C22-$C$12),Planung!$V$18)*(Planung!$S$7+Planung!$S$9)/1440+SUM($T$12:$T21)/1440)</f>
        <v>0.52083333333333337</v>
      </c>
      <c r="E22" s="299">
        <f ca="1">IF(Planung!$V$16,"",MOD($C22-$C$12,Planung!$V$18)+1)</f>
        <v>1</v>
      </c>
      <c r="F22" s="289" t="s">
        <v>238</v>
      </c>
      <c r="G22" s="285" t="str">
        <f ca="1">Vorrunde!$X$25</f>
        <v>Mainz 05</v>
      </c>
      <c r="H22" s="141" t="s">
        <v>5</v>
      </c>
      <c r="I22" s="287" t="str">
        <f ca="1">Vorrunde!$X$13</f>
        <v>Maibach 1822 eV</v>
      </c>
      <c r="J22" s="699">
        <v>14</v>
      </c>
      <c r="K22" s="322" t="s">
        <v>219</v>
      </c>
      <c r="L22" s="706">
        <v>25</v>
      </c>
      <c r="M22" s="699">
        <v>22</v>
      </c>
      <c r="N22" s="725" t="str">
        <f>Sprache!$E$108</f>
        <v xml:space="preserve"> : </v>
      </c>
      <c r="O22" s="706">
        <v>25</v>
      </c>
      <c r="P22" s="703"/>
      <c r="Q22" s="322" t="str">
        <f>Sprache!$E$108</f>
        <v xml:space="preserve"> : </v>
      </c>
      <c r="R22" s="709"/>
      <c r="S22" s="715"/>
      <c r="T22" s="728"/>
      <c r="W22" s="283" t="str">
        <f t="shared" ca="1" si="0"/>
        <v>Maibach 1822 eV</v>
      </c>
      <c r="X22" s="283" t="str">
        <f t="shared" ca="1" si="1"/>
        <v>Mainz 05</v>
      </c>
      <c r="Y22" s="283" t="b">
        <f t="shared" si="2"/>
        <v>0</v>
      </c>
      <c r="Z22" s="716" t="b">
        <f t="shared" ca="1" si="3"/>
        <v>1</v>
      </c>
      <c r="AA22" s="283" t="b">
        <f t="shared" si="4"/>
        <v>0</v>
      </c>
      <c r="AB22" s="716">
        <f t="shared" ca="1" si="5"/>
        <v>0</v>
      </c>
      <c r="AC22" s="716">
        <f t="shared" ca="1" si="6"/>
        <v>2</v>
      </c>
      <c r="AE22" s="283" t="b">
        <f t="shared" si="7"/>
        <v>0</v>
      </c>
      <c r="AF22" s="283" t="b">
        <f t="shared" si="8"/>
        <v>0</v>
      </c>
      <c r="AH22" s="283" t="b">
        <f t="shared" ca="1" si="9"/>
        <v>1</v>
      </c>
      <c r="AI22" s="283" t="b">
        <f t="shared" ca="1" si="10"/>
        <v>1</v>
      </c>
      <c r="AJ22" s="283" t="b">
        <f t="shared" ca="1" si="11"/>
        <v>0</v>
      </c>
      <c r="AK22" s="716">
        <f t="shared" ca="1" si="12"/>
        <v>0</v>
      </c>
      <c r="AL22" s="716">
        <f t="shared" ca="1" si="13"/>
        <v>2</v>
      </c>
      <c r="AN22" s="716">
        <f t="shared" ca="1" si="14"/>
        <v>0</v>
      </c>
      <c r="AO22" s="716">
        <f t="shared" ca="1" si="15"/>
        <v>2</v>
      </c>
    </row>
    <row r="23" spans="2:41" s="283" customFormat="1" ht="24" customHeight="1" thickTop="1" thickBot="1" x14ac:dyDescent="0.35">
      <c r="B23" s="331"/>
      <c r="C23" s="932" t="str">
        <f>Sprache!$E$56</f>
        <v>Endspiele Plätze 5 - 8</v>
      </c>
      <c r="D23" s="932"/>
      <c r="E23" s="932"/>
      <c r="F23" s="932"/>
      <c r="G23" s="345"/>
      <c r="H23" s="119"/>
      <c r="I23" s="345"/>
      <c r="J23" s="730"/>
      <c r="K23" s="312"/>
      <c r="L23" s="734"/>
      <c r="M23" s="730"/>
      <c r="N23" s="312"/>
      <c r="O23" s="734"/>
      <c r="P23" s="730"/>
      <c r="Q23" s="312"/>
      <c r="R23" s="734"/>
      <c r="S23" s="312"/>
      <c r="T23" s="314"/>
      <c r="Z23" s="716"/>
      <c r="AB23" s="716"/>
      <c r="AC23" s="716"/>
      <c r="AK23" s="716"/>
      <c r="AL23" s="716"/>
      <c r="AN23" s="716"/>
      <c r="AO23" s="716"/>
    </row>
    <row r="24" spans="2:41" s="283" customFormat="1" ht="24" customHeight="1" thickTop="1" x14ac:dyDescent="0.2">
      <c r="B24" s="331"/>
      <c r="C24" s="497">
        <f ca="1">$C$18+4</f>
        <v>26</v>
      </c>
      <c r="D24" s="498">
        <f ca="1">IF(Planung!$V$16,"",$D$22+($T$22+Planung!$S$9+Planung!$S$7)/1440)</f>
        <v>0.54513888888888895</v>
      </c>
      <c r="E24" s="315">
        <f>IF(Planung!$V$16,"",1)</f>
        <v>1</v>
      </c>
      <c r="F24" s="316" t="str">
        <f>Sprache!$E$58</f>
        <v>7. Platz</v>
      </c>
      <c r="G24" s="317" t="str">
        <f ca="1">$X18</f>
        <v>SSV Wildbach</v>
      </c>
      <c r="H24" s="318" t="s">
        <v>5</v>
      </c>
      <c r="I24" s="319" t="str">
        <f ca="1">$X19</f>
        <v>FC Grönlingen</v>
      </c>
      <c r="J24" s="731">
        <v>19</v>
      </c>
      <c r="K24" s="320" t="str">
        <f>Sprache!$E$108</f>
        <v xml:space="preserve"> : </v>
      </c>
      <c r="L24" s="735">
        <v>25</v>
      </c>
      <c r="M24" s="731">
        <v>21</v>
      </c>
      <c r="N24" s="726" t="str">
        <f>Sprache!$E$108</f>
        <v xml:space="preserve"> : </v>
      </c>
      <c r="O24" s="735">
        <v>25</v>
      </c>
      <c r="P24" s="732"/>
      <c r="Q24" s="320" t="s">
        <v>219</v>
      </c>
      <c r="R24" s="736"/>
      <c r="S24" s="721"/>
      <c r="T24" s="720"/>
      <c r="W24" s="283" t="str">
        <f t="shared" ca="1" si="0"/>
        <v>FC Grönlingen</v>
      </c>
      <c r="X24" s="283" t="str">
        <f t="shared" ca="1" si="1"/>
        <v>SSV Wildbach</v>
      </c>
      <c r="Y24" s="283" t="b">
        <f t="shared" si="2"/>
        <v>0</v>
      </c>
      <c r="Z24" s="716" t="b">
        <f t="shared" ca="1" si="3"/>
        <v>1</v>
      </c>
      <c r="AA24" s="283" t="b">
        <f t="shared" si="4"/>
        <v>0</v>
      </c>
      <c r="AB24" s="716">
        <f t="shared" ca="1" si="5"/>
        <v>0</v>
      </c>
      <c r="AC24" s="716">
        <f t="shared" ca="1" si="6"/>
        <v>2</v>
      </c>
      <c r="AE24" s="283" t="b">
        <f t="shared" si="7"/>
        <v>0</v>
      </c>
      <c r="AF24" s="283" t="b">
        <f t="shared" si="8"/>
        <v>0</v>
      </c>
      <c r="AH24" s="283" t="b">
        <f t="shared" ca="1" si="9"/>
        <v>1</v>
      </c>
      <c r="AI24" s="283" t="b">
        <f t="shared" ca="1" si="10"/>
        <v>1</v>
      </c>
      <c r="AJ24" s="283" t="b">
        <f t="shared" ca="1" si="11"/>
        <v>0</v>
      </c>
      <c r="AK24" s="716">
        <f t="shared" ca="1" si="12"/>
        <v>0</v>
      </c>
      <c r="AL24" s="716">
        <f t="shared" ca="1" si="13"/>
        <v>2</v>
      </c>
      <c r="AN24" s="716">
        <f t="shared" ca="1" si="14"/>
        <v>0</v>
      </c>
      <c r="AO24" s="716">
        <f t="shared" ca="1" si="15"/>
        <v>2</v>
      </c>
    </row>
    <row r="25" spans="2:41" s="283" customFormat="1" ht="24" customHeight="1" thickBot="1" x14ac:dyDescent="0.25">
      <c r="B25" s="331"/>
      <c r="C25" s="496">
        <f ca="1">$C$18+5</f>
        <v>27</v>
      </c>
      <c r="D25" s="303">
        <f ca="1">IF(Planung!$V$16,"",$D$24+QUOTIENT(1,Planung!$V$18)*(Planung!$S$7+Planung!$S$9)/1440+$T24/1440)</f>
        <v>0.54513888888888895</v>
      </c>
      <c r="E25" s="299">
        <f>IF(Planung!$V$16,"",MOD(1,Planung!$V$18)+1)</f>
        <v>2</v>
      </c>
      <c r="F25" s="289" t="str">
        <f>Sprache!$E$57</f>
        <v>5. Platz</v>
      </c>
      <c r="G25" s="285" t="str">
        <f ca="1">$W$18</f>
        <v>VFB Essenheim</v>
      </c>
      <c r="H25" s="141" t="s">
        <v>5</v>
      </c>
      <c r="I25" s="287" t="str">
        <f ca="1">$W$19</f>
        <v>1. FC Riedwald</v>
      </c>
      <c r="J25" s="699">
        <v>16</v>
      </c>
      <c r="K25" s="322" t="str">
        <f>Sprache!$E$108</f>
        <v xml:space="preserve"> : </v>
      </c>
      <c r="L25" s="706">
        <v>25</v>
      </c>
      <c r="M25" s="699">
        <v>19</v>
      </c>
      <c r="N25" s="725" t="str">
        <f>Sprache!$E$108</f>
        <v xml:space="preserve"> : </v>
      </c>
      <c r="O25" s="706">
        <v>25</v>
      </c>
      <c r="P25" s="703"/>
      <c r="Q25" s="322" t="s">
        <v>219</v>
      </c>
      <c r="R25" s="709"/>
      <c r="S25" s="715"/>
      <c r="T25" s="718"/>
      <c r="W25" s="283" t="str">
        <f t="shared" ca="1" si="0"/>
        <v>1. FC Riedwald</v>
      </c>
      <c r="X25" s="283" t="str">
        <f t="shared" ca="1" si="1"/>
        <v>VFB Essenheim</v>
      </c>
      <c r="Y25" s="283" t="b">
        <f t="shared" si="2"/>
        <v>0</v>
      </c>
      <c r="Z25" s="716" t="b">
        <f t="shared" ca="1" si="3"/>
        <v>1</v>
      </c>
      <c r="AA25" s="283" t="b">
        <f t="shared" si="4"/>
        <v>0</v>
      </c>
      <c r="AB25" s="716">
        <f t="shared" ca="1" si="5"/>
        <v>0</v>
      </c>
      <c r="AC25" s="716">
        <f t="shared" ca="1" si="6"/>
        <v>2</v>
      </c>
      <c r="AE25" s="283" t="b">
        <f t="shared" si="7"/>
        <v>0</v>
      </c>
      <c r="AF25" s="283" t="b">
        <f t="shared" si="8"/>
        <v>0</v>
      </c>
      <c r="AH25" s="283" t="b">
        <f t="shared" ca="1" si="9"/>
        <v>1</v>
      </c>
      <c r="AI25" s="283" t="b">
        <f t="shared" ca="1" si="10"/>
        <v>1</v>
      </c>
      <c r="AJ25" s="283" t="b">
        <f t="shared" ca="1" si="11"/>
        <v>0</v>
      </c>
      <c r="AK25" s="716">
        <f t="shared" ca="1" si="12"/>
        <v>0</v>
      </c>
      <c r="AL25" s="716">
        <f t="shared" ca="1" si="13"/>
        <v>2</v>
      </c>
      <c r="AN25" s="716">
        <f t="shared" ca="1" si="14"/>
        <v>0</v>
      </c>
      <c r="AO25" s="716">
        <f t="shared" ca="1" si="15"/>
        <v>2</v>
      </c>
    </row>
    <row r="26" spans="2:41" s="283" customFormat="1" ht="24" customHeight="1" thickTop="1" thickBot="1" x14ac:dyDescent="0.35">
      <c r="B26" s="331"/>
      <c r="C26" s="932" t="str">
        <f>Sprache!$E$55</f>
        <v>Endspiele Plätze 1 - 4</v>
      </c>
      <c r="D26" s="932"/>
      <c r="E26" s="932"/>
      <c r="F26" s="932"/>
      <c r="G26" s="385"/>
      <c r="H26" s="119"/>
      <c r="I26" s="385"/>
      <c r="J26" s="730"/>
      <c r="K26" s="312"/>
      <c r="L26" s="734"/>
      <c r="M26" s="730"/>
      <c r="N26" s="312"/>
      <c r="O26" s="734"/>
      <c r="P26" s="730"/>
      <c r="Q26" s="312"/>
      <c r="R26" s="734"/>
      <c r="S26" s="312"/>
      <c r="T26" s="314"/>
      <c r="Z26" s="716"/>
      <c r="AB26" s="716"/>
      <c r="AC26" s="716"/>
      <c r="AK26" s="716"/>
      <c r="AL26" s="716"/>
      <c r="AN26" s="716"/>
      <c r="AO26" s="716"/>
    </row>
    <row r="27" spans="2:41" s="283" customFormat="1" ht="24" customHeight="1" thickTop="1" x14ac:dyDescent="0.2">
      <c r="B27" s="331"/>
      <c r="C27" s="497">
        <f ca="1">$C$18+6</f>
        <v>28</v>
      </c>
      <c r="D27" s="498">
        <f ca="1">IF(Planung!$V$16,"",$D$24+QUOTIENT(2,Planung!$V$18)*(Planung!$S$7+Planung!$S$9)/1440+$T25/1440)</f>
        <v>0.54513888888888895</v>
      </c>
      <c r="E27" s="315">
        <f>IF(Planung!$V$16,"",MOD(2,Planung!$V$18)+1)</f>
        <v>3</v>
      </c>
      <c r="F27" s="316" t="str">
        <f>Sprache!$E$117</f>
        <v>3. Platz</v>
      </c>
      <c r="G27" s="317" t="str">
        <f ca="1">$X21</f>
        <v>Manchester City</v>
      </c>
      <c r="H27" s="318" t="s">
        <v>5</v>
      </c>
      <c r="I27" s="319" t="str">
        <f ca="1">$X22</f>
        <v>Mainz 05</v>
      </c>
      <c r="J27" s="731">
        <v>25</v>
      </c>
      <c r="K27" s="320" t="str">
        <f>Sprache!$E$108</f>
        <v xml:space="preserve"> : </v>
      </c>
      <c r="L27" s="735">
        <v>16</v>
      </c>
      <c r="M27" s="731">
        <v>25</v>
      </c>
      <c r="N27" s="726" t="str">
        <f>Sprache!$E$108</f>
        <v xml:space="preserve"> : </v>
      </c>
      <c r="O27" s="735">
        <v>12</v>
      </c>
      <c r="P27" s="732"/>
      <c r="Q27" s="320" t="str">
        <f>Sprache!$E$108</f>
        <v xml:space="preserve"> : </v>
      </c>
      <c r="R27" s="736"/>
      <c r="S27" s="722"/>
      <c r="T27" s="710"/>
      <c r="W27" s="283" t="str">
        <f t="shared" ca="1" si="0"/>
        <v>Manchester City</v>
      </c>
      <c r="X27" s="283" t="str">
        <f t="shared" ca="1" si="1"/>
        <v>Mainz 05</v>
      </c>
      <c r="Y27" s="283" t="b">
        <f t="shared" si="2"/>
        <v>0</v>
      </c>
      <c r="Z27" s="716" t="b">
        <f t="shared" ca="1" si="3"/>
        <v>1</v>
      </c>
      <c r="AA27" s="283" t="b">
        <f t="shared" si="4"/>
        <v>0</v>
      </c>
      <c r="AB27" s="716">
        <f t="shared" ca="1" si="5"/>
        <v>2</v>
      </c>
      <c r="AC27" s="716">
        <f t="shared" ca="1" si="6"/>
        <v>0</v>
      </c>
      <c r="AE27" s="283" t="b">
        <f t="shared" si="7"/>
        <v>0</v>
      </c>
      <c r="AF27" s="283" t="b">
        <f t="shared" si="8"/>
        <v>0</v>
      </c>
      <c r="AH27" s="283" t="b">
        <f t="shared" ca="1" si="9"/>
        <v>1</v>
      </c>
      <c r="AI27" s="283" t="b">
        <f t="shared" ca="1" si="10"/>
        <v>1</v>
      </c>
      <c r="AJ27" s="283" t="b">
        <f t="shared" ca="1" si="11"/>
        <v>0</v>
      </c>
      <c r="AK27" s="716">
        <f t="shared" ca="1" si="12"/>
        <v>2</v>
      </c>
      <c r="AL27" s="716">
        <f t="shared" ca="1" si="13"/>
        <v>0</v>
      </c>
      <c r="AN27" s="716">
        <f t="shared" ca="1" si="14"/>
        <v>2</v>
      </c>
      <c r="AO27" s="716">
        <f t="shared" ca="1" si="15"/>
        <v>0</v>
      </c>
    </row>
    <row r="28" spans="2:41" s="283" customFormat="1" ht="24" customHeight="1" thickBot="1" x14ac:dyDescent="0.25">
      <c r="B28" s="331"/>
      <c r="C28" s="496">
        <f ca="1">$C$18+7</f>
        <v>29</v>
      </c>
      <c r="D28" s="303">
        <f ca="1">IF(Planung!$V$16,"",$D$27+($T$27+Planung!$S$9+Planung!$S$7)/1440)</f>
        <v>0.56944444444444453</v>
      </c>
      <c r="E28" s="299">
        <f>IF(Planung!$V$16,"",1)</f>
        <v>1</v>
      </c>
      <c r="F28" s="289" t="str">
        <f>Sprache!$E$118</f>
        <v>Finale</v>
      </c>
      <c r="G28" s="285" t="str">
        <f ca="1">$W21</f>
        <v>Eintracht Frankfurt</v>
      </c>
      <c r="H28" s="141" t="s">
        <v>5</v>
      </c>
      <c r="I28" s="287" t="str">
        <f ca="1">$W22</f>
        <v>Maibach 1822 eV</v>
      </c>
      <c r="J28" s="699">
        <v>25</v>
      </c>
      <c r="K28" s="322" t="s">
        <v>219</v>
      </c>
      <c r="L28" s="706">
        <v>22</v>
      </c>
      <c r="M28" s="699">
        <v>25</v>
      </c>
      <c r="N28" s="725" t="str">
        <f>Sprache!$E$108</f>
        <v xml:space="preserve"> : </v>
      </c>
      <c r="O28" s="706">
        <v>14</v>
      </c>
      <c r="P28" s="703"/>
      <c r="Q28" s="322" t="str">
        <f>Sprache!$E$108</f>
        <v xml:space="preserve"> : </v>
      </c>
      <c r="R28" s="709"/>
      <c r="S28" s="715"/>
      <c r="T28" s="712"/>
      <c r="W28" s="283" t="str">
        <f t="shared" ca="1" si="0"/>
        <v>Eintracht Frankfurt</v>
      </c>
      <c r="X28" s="283" t="str">
        <f t="shared" ca="1" si="1"/>
        <v>Maibach 1822 eV</v>
      </c>
      <c r="Y28" s="283" t="b">
        <f t="shared" si="2"/>
        <v>0</v>
      </c>
      <c r="Z28" s="716" t="b">
        <f t="shared" ca="1" si="3"/>
        <v>1</v>
      </c>
      <c r="AA28" s="283" t="b">
        <f t="shared" si="4"/>
        <v>0</v>
      </c>
      <c r="AB28" s="716">
        <f t="shared" ca="1" si="5"/>
        <v>2</v>
      </c>
      <c r="AC28" s="716">
        <f t="shared" ca="1" si="6"/>
        <v>0</v>
      </c>
      <c r="AE28" s="283" t="b">
        <f t="shared" si="7"/>
        <v>0</v>
      </c>
      <c r="AF28" s="283" t="b">
        <f t="shared" si="8"/>
        <v>0</v>
      </c>
      <c r="AH28" s="283" t="b">
        <f t="shared" ca="1" si="9"/>
        <v>1</v>
      </c>
      <c r="AI28" s="283" t="b">
        <f t="shared" ca="1" si="10"/>
        <v>1</v>
      </c>
      <c r="AJ28" s="283" t="b">
        <f t="shared" ca="1" si="11"/>
        <v>0</v>
      </c>
      <c r="AK28" s="716">
        <f t="shared" ca="1" si="12"/>
        <v>2</v>
      </c>
      <c r="AL28" s="716">
        <f t="shared" ca="1" si="13"/>
        <v>0</v>
      </c>
      <c r="AN28" s="716">
        <f t="shared" ca="1" si="14"/>
        <v>2</v>
      </c>
      <c r="AO28" s="716">
        <f t="shared" ca="1" si="15"/>
        <v>0</v>
      </c>
    </row>
    <row r="29" spans="2:41" ht="13.5" thickTop="1" x14ac:dyDescent="0.2"/>
    <row r="30" spans="2:41" ht="24" customHeight="1" x14ac:dyDescent="0.2">
      <c r="C30" s="307"/>
      <c r="D30" s="307"/>
      <c r="E30" s="307"/>
      <c r="F30" s="307"/>
      <c r="G30" s="901" t="str">
        <f>Sprache!$E$29</f>
        <v>Turnierende:</v>
      </c>
      <c r="H30" s="901"/>
      <c r="I30" s="308">
        <f ca="1">IF(Planung!$S$13="","",$D$28+Planung!$S$7/1440)</f>
        <v>0.5902777777777779</v>
      </c>
      <c r="J30" s="309"/>
      <c r="K30" s="309"/>
      <c r="L30" s="309"/>
      <c r="M30" s="309"/>
      <c r="N30" s="309"/>
      <c r="O30" s="309"/>
      <c r="P30" s="309"/>
      <c r="Q30" s="309"/>
      <c r="R30" s="309"/>
      <c r="S30" s="309"/>
      <c r="T30" s="309"/>
    </row>
    <row r="31" spans="2:41" x14ac:dyDescent="0.2">
      <c r="D31" s="305"/>
    </row>
    <row r="32" spans="2:41" ht="13.5" thickBot="1" x14ac:dyDescent="0.25">
      <c r="D32" s="305"/>
    </row>
    <row r="33" spans="5:9" ht="22.5" customHeight="1" thickBot="1" x14ac:dyDescent="0.25">
      <c r="F33" s="386" t="str">
        <f>Sprache!$E$116</f>
        <v>Rang</v>
      </c>
      <c r="G33" s="923" t="str">
        <f>"  "&amp;Sprache!$E$10</f>
        <v xml:space="preserve">  Teilnehmer bzw. Mannschaft</v>
      </c>
      <c r="H33" s="923"/>
      <c r="I33" s="924"/>
    </row>
    <row r="34" spans="5:9" ht="22.5" customHeight="1" thickTop="1" x14ac:dyDescent="0.2">
      <c r="F34" s="340">
        <v>1</v>
      </c>
      <c r="G34" s="925" t="str">
        <f ca="1">$W28</f>
        <v>Eintracht Frankfurt</v>
      </c>
      <c r="H34" s="925"/>
      <c r="I34" s="926"/>
    </row>
    <row r="35" spans="5:9" ht="22.5" customHeight="1" x14ac:dyDescent="0.2">
      <c r="F35" s="341">
        <v>2</v>
      </c>
      <c r="G35" s="927" t="str">
        <f ca="1">$X28</f>
        <v>Maibach 1822 eV</v>
      </c>
      <c r="H35" s="927"/>
      <c r="I35" s="928"/>
    </row>
    <row r="36" spans="5:9" ht="22.5" customHeight="1" x14ac:dyDescent="0.2">
      <c r="F36" s="342">
        <v>3</v>
      </c>
      <c r="G36" s="897" t="str">
        <f ca="1">$W27</f>
        <v>Manchester City</v>
      </c>
      <c r="H36" s="897"/>
      <c r="I36" s="898"/>
    </row>
    <row r="37" spans="5:9" ht="22.5" customHeight="1" x14ac:dyDescent="0.2">
      <c r="F37" s="343">
        <v>4</v>
      </c>
      <c r="G37" s="899" t="str">
        <f ca="1">$X27</f>
        <v>Mainz 05</v>
      </c>
      <c r="H37" s="899"/>
      <c r="I37" s="900"/>
    </row>
    <row r="38" spans="5:9" ht="22.5" customHeight="1" x14ac:dyDescent="0.2">
      <c r="F38" s="343">
        <v>5</v>
      </c>
      <c r="G38" s="899" t="str">
        <f ca="1">$W25</f>
        <v>1. FC Riedwald</v>
      </c>
      <c r="H38" s="899"/>
      <c r="I38" s="900"/>
    </row>
    <row r="39" spans="5:9" ht="22.5" customHeight="1" x14ac:dyDescent="0.2">
      <c r="F39" s="343">
        <v>6</v>
      </c>
      <c r="G39" s="899" t="str">
        <f ca="1">$X25</f>
        <v>VFB Essenheim</v>
      </c>
      <c r="H39" s="899"/>
      <c r="I39" s="900"/>
    </row>
    <row r="40" spans="5:9" ht="24" customHeight="1" x14ac:dyDescent="0.2">
      <c r="E40" s="306">
        <v>1</v>
      </c>
      <c r="F40" s="343">
        <v>7</v>
      </c>
      <c r="G40" s="899" t="str">
        <f ca="1">$W24</f>
        <v>FC Grönlingen</v>
      </c>
      <c r="H40" s="899"/>
      <c r="I40" s="900"/>
    </row>
    <row r="41" spans="5:9" ht="24" customHeight="1" x14ac:dyDescent="0.2">
      <c r="E41" s="306">
        <v>2</v>
      </c>
      <c r="F41" s="343">
        <v>8</v>
      </c>
      <c r="G41" s="899" t="str">
        <f ca="1">$X24</f>
        <v>SSV Wildbach</v>
      </c>
      <c r="H41" s="899"/>
      <c r="I41" s="900"/>
    </row>
    <row r="42" spans="5:9" ht="24" customHeight="1" x14ac:dyDescent="0.2">
      <c r="E42" s="306">
        <v>3</v>
      </c>
      <c r="F42" s="343">
        <v>9</v>
      </c>
      <c r="G42" s="899" t="str">
        <f ca="1">$W16</f>
        <v>FC Barcelona</v>
      </c>
      <c r="H42" s="899"/>
      <c r="I42" s="900"/>
    </row>
    <row r="43" spans="5:9" ht="24" customHeight="1" x14ac:dyDescent="0.2">
      <c r="E43" s="306">
        <v>4</v>
      </c>
      <c r="F43" s="343">
        <v>10</v>
      </c>
      <c r="G43" s="899" t="str">
        <f ca="1">$X16</f>
        <v>Inter Mailand</v>
      </c>
      <c r="H43" s="899"/>
      <c r="I43" s="900"/>
    </row>
    <row r="44" spans="5:9" ht="24" customHeight="1" x14ac:dyDescent="0.2">
      <c r="E44" s="306">
        <v>5</v>
      </c>
      <c r="F44" s="343">
        <v>11</v>
      </c>
      <c r="G44" s="899" t="str">
        <f ca="1">$W15</f>
        <v/>
      </c>
      <c r="H44" s="899"/>
      <c r="I44" s="900"/>
    </row>
    <row r="45" spans="5:9" ht="24" customHeight="1" x14ac:dyDescent="0.2">
      <c r="E45" s="306">
        <v>6</v>
      </c>
      <c r="F45" s="343">
        <v>12</v>
      </c>
      <c r="G45" s="899" t="str">
        <f ca="1">$X15</f>
        <v/>
      </c>
      <c r="H45" s="899"/>
      <c r="I45" s="900"/>
    </row>
    <row r="46" spans="5:9" ht="24" customHeight="1" x14ac:dyDescent="0.2">
      <c r="E46" s="306">
        <v>7</v>
      </c>
      <c r="F46" s="343">
        <v>13</v>
      </c>
      <c r="G46" s="899" t="str">
        <f ca="1">$W14</f>
        <v/>
      </c>
      <c r="H46" s="899"/>
      <c r="I46" s="900"/>
    </row>
    <row r="47" spans="5:9" ht="24" customHeight="1" x14ac:dyDescent="0.2">
      <c r="E47" s="306">
        <v>8</v>
      </c>
      <c r="F47" s="343">
        <v>14</v>
      </c>
      <c r="G47" s="899" t="str">
        <f ca="1">$X14</f>
        <v/>
      </c>
      <c r="H47" s="899"/>
      <c r="I47" s="900"/>
    </row>
    <row r="48" spans="5:9" ht="24" customHeight="1" x14ac:dyDescent="0.2">
      <c r="E48" s="306">
        <v>9</v>
      </c>
      <c r="F48" s="343">
        <v>15</v>
      </c>
      <c r="G48" s="899" t="str">
        <f ca="1">$W13</f>
        <v/>
      </c>
      <c r="H48" s="899"/>
      <c r="I48" s="900"/>
    </row>
    <row r="49" spans="5:9" ht="24" customHeight="1" x14ac:dyDescent="0.2">
      <c r="E49" s="306">
        <v>10</v>
      </c>
      <c r="F49" s="343">
        <v>16</v>
      </c>
      <c r="G49" s="899" t="str">
        <f ca="1">$X13</f>
        <v/>
      </c>
      <c r="H49" s="899"/>
      <c r="I49" s="900"/>
    </row>
    <row r="50" spans="5:9" ht="24" customHeight="1" x14ac:dyDescent="0.2">
      <c r="E50" s="306">
        <v>11</v>
      </c>
      <c r="F50" s="343">
        <v>17</v>
      </c>
      <c r="G50" s="899" t="str">
        <f ca="1">$W12</f>
        <v/>
      </c>
      <c r="H50" s="899"/>
      <c r="I50" s="900"/>
    </row>
    <row r="51" spans="5:9" ht="24" customHeight="1" thickBot="1" x14ac:dyDescent="0.25">
      <c r="E51" s="306">
        <v>12</v>
      </c>
      <c r="F51" s="344">
        <v>18</v>
      </c>
      <c r="G51" s="921" t="str">
        <f ca="1">$X12</f>
        <v/>
      </c>
      <c r="H51" s="921"/>
      <c r="I51" s="922"/>
    </row>
    <row r="52" spans="5:9" ht="13.5" thickTop="1" x14ac:dyDescent="0.2"/>
    <row r="53" spans="5:9" ht="12.75" customHeight="1" x14ac:dyDescent="0.2"/>
    <row r="54" spans="5:9" ht="12.75" customHeight="1" x14ac:dyDescent="0.2"/>
  </sheetData>
  <sheetProtection sheet="1" selectLockedCells="1"/>
  <mergeCells count="41">
    <mergeCell ref="AE10:AF10"/>
    <mergeCell ref="AH10:AL10"/>
    <mergeCell ref="AK11:AL11"/>
    <mergeCell ref="AN11:AO11"/>
    <mergeCell ref="AB11:AC11"/>
    <mergeCell ref="Y10:AC10"/>
    <mergeCell ref="C20:F20"/>
    <mergeCell ref="C23:F23"/>
    <mergeCell ref="G41:I41"/>
    <mergeCell ref="E2:T2"/>
    <mergeCell ref="E3:T3"/>
    <mergeCell ref="E4:T4"/>
    <mergeCell ref="E5:T5"/>
    <mergeCell ref="T9:T11"/>
    <mergeCell ref="C10:F10"/>
    <mergeCell ref="G11:I11"/>
    <mergeCell ref="J11:L11"/>
    <mergeCell ref="C17:F17"/>
    <mergeCell ref="C26:F26"/>
    <mergeCell ref="G30:H30"/>
    <mergeCell ref="G7:Q8"/>
    <mergeCell ref="G39:I39"/>
    <mergeCell ref="G51:I51"/>
    <mergeCell ref="G46:I46"/>
    <mergeCell ref="G47:I47"/>
    <mergeCell ref="G42:I42"/>
    <mergeCell ref="G43:I43"/>
    <mergeCell ref="G44:I44"/>
    <mergeCell ref="G45:I45"/>
    <mergeCell ref="G48:I48"/>
    <mergeCell ref="G49:I49"/>
    <mergeCell ref="G50:I50"/>
    <mergeCell ref="G40:I40"/>
    <mergeCell ref="M11:O11"/>
    <mergeCell ref="P11:R11"/>
    <mergeCell ref="G33:I33"/>
    <mergeCell ref="G34:I34"/>
    <mergeCell ref="G35:I35"/>
    <mergeCell ref="G36:I36"/>
    <mergeCell ref="G37:I37"/>
    <mergeCell ref="G38:I38"/>
  </mergeCells>
  <conditionalFormatting sqref="C12:R16 C18:R19 J21:R22 J24:R25 J27:R28">
    <cfRule type="expression" dxfId="25" priority="4">
      <formula>OR($G12="",$I12="")</formula>
    </cfRule>
  </conditionalFormatting>
  <conditionalFormatting sqref="J12:O16 J18:O19 J21:O22 J24:O25 J27:O28">
    <cfRule type="expression" dxfId="24" priority="3">
      <formula>$AE12</formula>
    </cfRule>
  </conditionalFormatting>
  <conditionalFormatting sqref="P12:R16 P18:R19 P21:R22 P24:R25 P27:R28">
    <cfRule type="expression" dxfId="23" priority="1">
      <formula>NOT($Y12)</formula>
    </cfRule>
    <cfRule type="expression" dxfId="22" priority="2">
      <formula>$AF12</formula>
    </cfRule>
  </conditionalFormatting>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3" id="{76654C61-3772-4D62-BE5F-590C719BEF71}">
            <xm:f>$F51&gt;2*Calc1!$F$14-MOD((Calc1!$F$13+Calc2!$F$13),2)</xm:f>
            <x14:dxf>
              <numFmt numFmtId="165" formatCode=";;;"/>
            </x14:dxf>
          </x14:cfRule>
          <xm:sqref>F51</xm:sqref>
        </x14:conditionalFormatting>
        <x14:conditionalFormatting xmlns:xm="http://schemas.microsoft.com/office/excel/2006/main">
          <x14:cfRule type="expression" priority="15" id="{8968C416-A8CC-4723-976F-564F54475BBF}">
            <xm:f>$F37&gt;2*Calc1!$F$14-MOD((Calc1!$F$13+Calc2!$F$13),2)</xm:f>
            <x14:dxf>
              <numFmt numFmtId="165" formatCode=";;;"/>
            </x14:dxf>
          </x14:cfRule>
          <xm:sqref>F37 F39 F41 F43 F45 F47 F49</xm:sqref>
        </x14:conditionalFormatting>
        <x14:conditionalFormatting xmlns:xm="http://schemas.microsoft.com/office/excel/2006/main">
          <x14:cfRule type="expression" priority="14" id="{3C18689C-2D3E-42EE-89C0-5B56A340F2F9}">
            <xm:f>$F38&gt;2*Calc1!$F$14-MOD((Calc1!$F$13+Calc2!$F$13),2)</xm:f>
            <x14:dxf>
              <numFmt numFmtId="165" formatCode=";;;"/>
            </x14:dxf>
          </x14:cfRule>
          <xm:sqref>F38 F40 F42 F44 F46 F48 F50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45925-0C66-4B5F-A970-E7668C88C5E9}">
  <dimension ref="A1:AO29"/>
  <sheetViews>
    <sheetView showGridLines="0" showRowColHeaders="0" workbookViewId="0">
      <selection activeCell="J12" sqref="J12"/>
    </sheetView>
  </sheetViews>
  <sheetFormatPr baseColWidth="10" defaultColWidth="0" defaultRowHeight="12.75" customHeight="1" zeroHeight="1" x14ac:dyDescent="0.2"/>
  <cols>
    <col min="1" max="1" width="10.42578125" style="47" customWidth="1"/>
    <col min="2" max="2" width="5.28515625" style="47" customWidth="1"/>
    <col min="3" max="3" width="6.7109375" style="47" customWidth="1"/>
    <col min="4" max="6" width="11.42578125" style="47" customWidth="1"/>
    <col min="7" max="7" width="28.7109375" style="47" customWidth="1"/>
    <col min="8" max="8" width="2.85546875" style="47" customWidth="1"/>
    <col min="9" max="9" width="28.7109375" style="47" customWidth="1"/>
    <col min="10" max="10" width="4.7109375" style="47" customWidth="1"/>
    <col min="11" max="11" width="2.28515625" style="47" customWidth="1"/>
    <col min="12" max="13" width="4.7109375" style="47" customWidth="1"/>
    <col min="14" max="14" width="2" style="47" customWidth="1"/>
    <col min="15" max="16" width="4.7109375" style="47" customWidth="1"/>
    <col min="17" max="17" width="2.28515625" style="47" customWidth="1"/>
    <col min="18" max="18" width="4.7109375" style="47" customWidth="1"/>
    <col min="19" max="19" width="17.28515625" style="47" customWidth="1"/>
    <col min="20" max="21" width="8" style="47" customWidth="1"/>
    <col min="22" max="22" width="11.42578125" customWidth="1"/>
    <col min="23" max="24" width="14.7109375" hidden="1" customWidth="1"/>
    <col min="25" max="29" width="11.42578125" hidden="1" customWidth="1"/>
    <col min="30" max="30" width="2.42578125" hidden="1" customWidth="1"/>
    <col min="31" max="32" width="11.42578125" hidden="1" customWidth="1"/>
    <col min="33" max="33" width="2.28515625" hidden="1" customWidth="1"/>
    <col min="34" max="36" width="11.42578125" hidden="1" customWidth="1"/>
    <col min="37" max="37" width="5" hidden="1" customWidth="1"/>
    <col min="38" max="38" width="5.140625" hidden="1" customWidth="1"/>
    <col min="39" max="39" width="2.28515625" hidden="1" customWidth="1"/>
    <col min="40" max="40" width="5.140625" hidden="1" customWidth="1"/>
    <col min="41" max="41" width="5.42578125" hidden="1" customWidth="1"/>
    <col min="42" max="16384" width="11.42578125" hidden="1"/>
  </cols>
  <sheetData>
    <row r="1" spans="1:41" ht="13.5" thickBot="1" x14ac:dyDescent="0.25"/>
    <row r="2" spans="1:41" ht="36.75" thickTop="1" x14ac:dyDescent="0.2">
      <c r="E2" s="902" t="str">
        <f>Vorrunde!$H$2</f>
        <v>Internationales U10-Turnier am 27.01.2026</v>
      </c>
      <c r="F2" s="903"/>
      <c r="G2" s="903"/>
      <c r="H2" s="903"/>
      <c r="I2" s="903"/>
      <c r="J2" s="903"/>
      <c r="K2" s="903"/>
      <c r="L2" s="903"/>
      <c r="M2" s="903"/>
      <c r="N2" s="903"/>
      <c r="O2" s="903"/>
      <c r="P2" s="903"/>
      <c r="Q2" s="903"/>
      <c r="R2" s="903"/>
      <c r="S2" s="903"/>
      <c r="T2" s="904"/>
    </row>
    <row r="3" spans="1:41" ht="30" customHeight="1" x14ac:dyDescent="0.2">
      <c r="E3" s="905" t="str">
        <f>Vorrunde!$H$3</f>
        <v>Veranstalter:  1. FC Riedwald</v>
      </c>
      <c r="F3" s="906"/>
      <c r="G3" s="906"/>
      <c r="H3" s="906"/>
      <c r="I3" s="906"/>
      <c r="J3" s="906"/>
      <c r="K3" s="906"/>
      <c r="L3" s="906"/>
      <c r="M3" s="906"/>
      <c r="N3" s="906"/>
      <c r="O3" s="906"/>
      <c r="P3" s="906"/>
      <c r="Q3" s="906"/>
      <c r="R3" s="906"/>
      <c r="S3" s="906"/>
      <c r="T3" s="907"/>
    </row>
    <row r="4" spans="1:41" ht="30" customHeight="1" x14ac:dyDescent="0.2">
      <c r="E4" s="908" t="str">
        <f>Vorrunde!$H$4</f>
        <v>Sporthalle Wiesengrund, Wendiger Str. 51, 65432 Riedwald</v>
      </c>
      <c r="F4" s="909"/>
      <c r="G4" s="909"/>
      <c r="H4" s="909"/>
      <c r="I4" s="909"/>
      <c r="J4" s="909"/>
      <c r="K4" s="909"/>
      <c r="L4" s="909"/>
      <c r="M4" s="909"/>
      <c r="N4" s="909"/>
      <c r="O4" s="909"/>
      <c r="P4" s="909"/>
      <c r="Q4" s="909"/>
      <c r="R4" s="909"/>
      <c r="S4" s="909"/>
      <c r="T4" s="910"/>
    </row>
    <row r="5" spans="1:41" ht="30" customHeight="1" thickBot="1" x14ac:dyDescent="0.25">
      <c r="E5" s="911" t="str">
        <f>Vorrunde!$H$5</f>
        <v>Beginn:  9:00 Uhr</v>
      </c>
      <c r="F5" s="912"/>
      <c r="G5" s="912"/>
      <c r="H5" s="912"/>
      <c r="I5" s="912"/>
      <c r="J5" s="912"/>
      <c r="K5" s="912"/>
      <c r="L5" s="912"/>
      <c r="M5" s="912"/>
      <c r="N5" s="912"/>
      <c r="O5" s="912"/>
      <c r="P5" s="912"/>
      <c r="Q5" s="912"/>
      <c r="R5" s="912"/>
      <c r="S5" s="912"/>
      <c r="T5" s="913"/>
    </row>
    <row r="6" spans="1:41" ht="18" customHeight="1" thickTop="1" thickBot="1" x14ac:dyDescent="0.25"/>
    <row r="7" spans="1:41" ht="30" customHeight="1" thickTop="1" x14ac:dyDescent="0.2">
      <c r="G7" s="914" t="str">
        <f>Sprache!$E$19</f>
        <v>Endrunde</v>
      </c>
      <c r="H7" s="915"/>
      <c r="I7" s="915"/>
      <c r="J7" s="915"/>
      <c r="K7" s="915"/>
      <c r="L7" s="915"/>
      <c r="M7" s="915"/>
      <c r="N7" s="915"/>
      <c r="O7" s="915"/>
      <c r="P7" s="915"/>
      <c r="Q7" s="916"/>
    </row>
    <row r="8" spans="1:41" ht="30" customHeight="1" thickBot="1" x14ac:dyDescent="0.25">
      <c r="G8" s="917"/>
      <c r="H8" s="918"/>
      <c r="I8" s="918"/>
      <c r="J8" s="918"/>
      <c r="K8" s="918"/>
      <c r="L8" s="918"/>
      <c r="M8" s="918"/>
      <c r="N8" s="918"/>
      <c r="O8" s="918"/>
      <c r="P8" s="918"/>
      <c r="Q8" s="919"/>
    </row>
    <row r="9" spans="1:41" ht="12.6" customHeight="1" thickTop="1" x14ac:dyDescent="0.2">
      <c r="T9" s="809" t="str">
        <f>Sprache!$E$20</f>
        <v>Zusätzl. Pause (min)</v>
      </c>
      <c r="W9" s="779" t="s">
        <v>471</v>
      </c>
      <c r="X9" s="47"/>
      <c r="Y9" s="47"/>
      <c r="Z9" s="47"/>
      <c r="AA9" s="47"/>
      <c r="AB9" s="47"/>
      <c r="AC9" s="47"/>
      <c r="AD9" s="47"/>
      <c r="AE9" s="47"/>
      <c r="AF9" s="47"/>
      <c r="AG9" s="47"/>
      <c r="AH9" s="47"/>
      <c r="AI9" s="47"/>
      <c r="AJ9" s="47"/>
      <c r="AK9" s="47"/>
      <c r="AL9" s="47"/>
      <c r="AM9" s="47"/>
      <c r="AN9" s="47"/>
      <c r="AO9" s="47"/>
    </row>
    <row r="10" spans="1:41" ht="27.95" customHeight="1" thickBot="1" x14ac:dyDescent="0.35">
      <c r="C10" s="920" t="str">
        <f>Sprache!$E$60</f>
        <v>Halbfinale</v>
      </c>
      <c r="D10" s="920"/>
      <c r="E10" s="920"/>
      <c r="F10" s="920"/>
      <c r="T10" s="809"/>
      <c r="W10" s="777" t="b">
        <f>Einstellungen!$B$43=Sprache!$E$79</f>
        <v>1</v>
      </c>
      <c r="X10" s="47"/>
      <c r="Y10" s="930" t="s">
        <v>468</v>
      </c>
      <c r="Z10" s="930"/>
      <c r="AA10" s="930"/>
      <c r="AB10" s="930"/>
      <c r="AC10" s="930"/>
      <c r="AD10" s="47"/>
      <c r="AE10" s="931" t="s">
        <v>469</v>
      </c>
      <c r="AF10" s="931"/>
      <c r="AG10" s="47"/>
      <c r="AH10" s="930" t="s">
        <v>470</v>
      </c>
      <c r="AI10" s="930"/>
      <c r="AJ10" s="930"/>
      <c r="AK10" s="930"/>
      <c r="AL10" s="930"/>
      <c r="AM10" s="47"/>
      <c r="AN10" s="47"/>
      <c r="AO10" s="47"/>
    </row>
    <row r="11" spans="1:41" ht="24" customHeight="1" thickTop="1" thickBot="1" x14ac:dyDescent="0.25">
      <c r="B11" s="304"/>
      <c r="C11" s="339" t="str">
        <f>Sprache!$E$9</f>
        <v>Nr.</v>
      </c>
      <c r="D11" s="300" t="str">
        <f>Sprache!$E$39</f>
        <v>Beginn</v>
      </c>
      <c r="E11" s="294" t="str">
        <f>Sprache!$E$48</f>
        <v>Feld</v>
      </c>
      <c r="F11" s="294"/>
      <c r="G11" s="830" t="str">
        <f>Sprache!$E$14</f>
        <v>Spielpaarung</v>
      </c>
      <c r="H11" s="830"/>
      <c r="I11" s="830"/>
      <c r="J11" s="830" t="str">
        <f>Sprache!$E$91</f>
        <v>1. Satz</v>
      </c>
      <c r="K11" s="830"/>
      <c r="L11" s="830"/>
      <c r="M11" s="830" t="str">
        <f>Sprache!$E$92</f>
        <v>2. Satz</v>
      </c>
      <c r="N11" s="830"/>
      <c r="O11" s="830"/>
      <c r="P11" s="830" t="str">
        <f>Sprache!$E$93</f>
        <v>3. Satz</v>
      </c>
      <c r="Q11" s="830"/>
      <c r="R11" s="830"/>
      <c r="S11" s="574" t="str">
        <f>Sprache!$E$59</f>
        <v>Schiedsrichter</v>
      </c>
      <c r="T11" s="810"/>
      <c r="W11" s="778" t="s">
        <v>448</v>
      </c>
      <c r="X11" s="778" t="s">
        <v>449</v>
      </c>
      <c r="Y11" s="737" t="s">
        <v>450</v>
      </c>
      <c r="Z11" s="737" t="s">
        <v>451</v>
      </c>
      <c r="AA11" s="737" t="s">
        <v>452</v>
      </c>
      <c r="AB11" s="929" t="s">
        <v>453</v>
      </c>
      <c r="AC11" s="929"/>
      <c r="AD11" s="47"/>
      <c r="AE11" s="737" t="s">
        <v>463</v>
      </c>
      <c r="AF11" s="737" t="s">
        <v>464</v>
      </c>
      <c r="AG11" s="47"/>
      <c r="AH11" s="737" t="s">
        <v>465</v>
      </c>
      <c r="AI11" s="737" t="s">
        <v>466</v>
      </c>
      <c r="AJ11" s="737" t="s">
        <v>452</v>
      </c>
      <c r="AK11" s="929" t="s">
        <v>453</v>
      </c>
      <c r="AL11" s="929"/>
      <c r="AM11" s="47"/>
      <c r="AN11" s="929" t="s">
        <v>467</v>
      </c>
      <c r="AO11" s="929"/>
    </row>
    <row r="12" spans="1:41" ht="24" customHeight="1" x14ac:dyDescent="0.2">
      <c r="A12" s="283"/>
      <c r="B12" s="330"/>
      <c r="C12" s="398">
        <f t="array" aca="1" ref="C12" ca="1">73-SUM(((Planung!$L$6:$L$77="")+(Planung!$N$6:$N$77="")&gt;0)*1)</f>
        <v>21</v>
      </c>
      <c r="D12" s="399">
        <f ca="1">IF(Planung!$V$16,"",Planung!$S$13+(Planung!$S$9+Planung!$Q$77)/1440)</f>
        <v>0.49652777777777779</v>
      </c>
      <c r="E12" s="297">
        <f>IF(Planung!$V$16,"",1)</f>
        <v>1</v>
      </c>
      <c r="F12" s="290" t="s">
        <v>237</v>
      </c>
      <c r="G12" s="291" t="str">
        <f ca="1">Vorrunde!$X$12</f>
        <v>Eintracht Frankfurt</v>
      </c>
      <c r="H12" s="292" t="s">
        <v>5</v>
      </c>
      <c r="I12" s="293" t="str">
        <f ca="1">Vorrunde!$X$26</f>
        <v>Manchester City</v>
      </c>
      <c r="J12" s="697">
        <v>23</v>
      </c>
      <c r="K12" s="295" t="str">
        <f>Sprache!$E$108</f>
        <v xml:space="preserve"> : </v>
      </c>
      <c r="L12" s="733">
        <v>25</v>
      </c>
      <c r="M12" s="697">
        <v>27</v>
      </c>
      <c r="N12" s="723" t="str">
        <f>Sprache!$E$108</f>
        <v xml:space="preserve"> : </v>
      </c>
      <c r="O12" s="733">
        <v>25</v>
      </c>
      <c r="P12" s="701">
        <v>7</v>
      </c>
      <c r="Q12" s="295" t="str">
        <f>Sprache!$E$108</f>
        <v xml:space="preserve"> : </v>
      </c>
      <c r="R12" s="707">
        <v>15</v>
      </c>
      <c r="S12" s="713"/>
      <c r="T12" s="710"/>
      <c r="U12" s="283"/>
      <c r="W12" s="283" t="str">
        <f ca="1">IF(AN12&gt;AO12,$G12,IF(AN12&lt;AO12,$I12,""))</f>
        <v>Manchester City</v>
      </c>
      <c r="X12" s="283" t="str">
        <f ca="1">IF(AN12&lt;AO12,$G12,IF(AN12&gt;AO12,$I12,""))</f>
        <v>Eintracht Frankfurt</v>
      </c>
      <c r="Y12" s="283" t="b">
        <f>OR(NOT($W$10),AND($J12&lt;&gt;"",$L12&lt;&gt;"",$M12&lt;&gt;"",$O12&lt;&gt;"",$J12&lt;&gt;$L12,$M12&lt;&gt;$O12,($J12&gt;$L12)+($M12&gt;$O12)=1))</f>
        <v>1</v>
      </c>
      <c r="Z12" s="716" t="b">
        <f ca="1">AND($J12&lt;&gt;"",$L12&lt;&gt;"",$J12&lt;&gt;$L12,OR(AND($M12="",$O12=""),AND($M12&lt;&gt;"",$O12&lt;&gt;"",$M12&lt;&gt;$O12)),$G12&lt;&gt;"",$I12&lt;&gt;"",$G12&lt;&gt;$I12)</f>
        <v>1</v>
      </c>
      <c r="AA12" s="283" t="b">
        <f>AND(Y12,$P12&lt;&gt;"",$R12&lt;&gt;"",$P12&lt;&gt;$R12)</f>
        <v>1</v>
      </c>
      <c r="AB12" s="716">
        <f ca="1">(($J12&gt;$L12)+($M12&gt;$O12)+($P12&gt;$R12)*AA12)*Z12</f>
        <v>1</v>
      </c>
      <c r="AC12" s="716">
        <f ca="1">(($J12&lt;$L12)+($M12&lt;$O12)+($P12&lt;$R12)*AA12)*Z12</f>
        <v>2</v>
      </c>
      <c r="AD12" s="283"/>
      <c r="AE12" s="283" t="b">
        <f>AND($W$10,OR(AND($J12&lt;&gt;"",$J12=$L12),AND($M12&lt;&gt;"",$M12=$O12)))</f>
        <v>0</v>
      </c>
      <c r="AF12" s="283" t="b">
        <f>AND($W$10,$P12&lt;&gt;"",$R12&lt;&gt;"",$P12=$R12,$Y12)</f>
        <v>0</v>
      </c>
      <c r="AG12" s="283"/>
      <c r="AH12" s="283" t="b">
        <f ca="1">AND($J12&lt;&gt;"",$L12&lt;&gt;"",$G12&lt;&gt;"",$I12&lt;&gt;"",$G12&lt;&gt;$I12)</f>
        <v>1</v>
      </c>
      <c r="AI12" s="283" t="b">
        <f ca="1">AND($M12&lt;&gt;"",$O12&lt;&gt;"",$G12&lt;&gt;"",$I12&lt;&gt;"",$G12&lt;&gt;$I12)</f>
        <v>1</v>
      </c>
      <c r="AJ12" s="283" t="b">
        <f ca="1">AND($P12&lt;&gt;"",$R12&lt;&gt;"",$G12&lt;&gt;"",$I12&lt;&gt;"",$G12&lt;&gt;$I12)</f>
        <v>1</v>
      </c>
      <c r="AK12" s="716">
        <f ca="1">(($J12&gt;$L12)+($J12=$L12)*0.5)*$AH12+(($M12&gt;$O12)+($M12=$O12)*0.5)*$AI12+(($P12&gt;$R12)+($P12=$R12)*0.5)*$AJ12</f>
        <v>1</v>
      </c>
      <c r="AL12" s="716">
        <f ca="1">(($J12&lt;$L12)+($J12=$L12)*0.5)*$AH12+(($M12&lt;$O12)+($M12=$O12)*0.5)*$AI12+(($P12&lt;$R12)+($P12=$R12)*0.5)*$AJ12</f>
        <v>2</v>
      </c>
      <c r="AM12" s="283"/>
      <c r="AN12" s="716">
        <f ca="1">IF($W$10,$AB12,$AK12)</f>
        <v>1</v>
      </c>
      <c r="AO12" s="716">
        <f ca="1">IF($W$10,$AC12,$AL12)</f>
        <v>2</v>
      </c>
    </row>
    <row r="13" spans="1:41" ht="24" customHeight="1" thickBot="1" x14ac:dyDescent="0.25">
      <c r="A13" s="283"/>
      <c r="B13" s="330"/>
      <c r="C13" s="334">
        <f ca="1">$C$12+1</f>
        <v>22</v>
      </c>
      <c r="D13" s="335">
        <f ca="1">IF(Planung!$V$16,"",$D$12+QUOTIENT(1,Planung!$V$18)*(Planung!$S$7+Planung!$S$9)/1440+$T12/1440)</f>
        <v>0.49652777777777779</v>
      </c>
      <c r="E13" s="321">
        <f>IF(Planung!$V$16,"",MOD(1,Planung!$V$18)+1)</f>
        <v>2</v>
      </c>
      <c r="F13" s="289" t="s">
        <v>238</v>
      </c>
      <c r="G13" s="285" t="str">
        <f ca="1">Vorrunde!$X$25</f>
        <v>Mainz 05</v>
      </c>
      <c r="H13" s="141" t="s">
        <v>5</v>
      </c>
      <c r="I13" s="287" t="str">
        <f ca="1">Vorrunde!$X$13</f>
        <v>Maibach 1822 eV</v>
      </c>
      <c r="J13" s="699">
        <v>25</v>
      </c>
      <c r="K13" s="322" t="str">
        <f>Sprache!$E$108</f>
        <v xml:space="preserve"> : </v>
      </c>
      <c r="L13" s="706">
        <v>18</v>
      </c>
      <c r="M13" s="699">
        <v>25</v>
      </c>
      <c r="N13" s="725" t="str">
        <f>Sprache!$E$108</f>
        <v xml:space="preserve"> : </v>
      </c>
      <c r="O13" s="706">
        <v>16</v>
      </c>
      <c r="P13" s="703"/>
      <c r="Q13" s="322" t="str">
        <f>Sprache!$E$108</f>
        <v xml:space="preserve"> : </v>
      </c>
      <c r="R13" s="709"/>
      <c r="S13" s="715"/>
      <c r="T13" s="718"/>
      <c r="U13" s="283"/>
      <c r="W13" s="283" t="str">
        <f t="shared" ref="W13:W16" ca="1" si="0">IF(AN13&gt;AO13,$G13,IF(AN13&lt;AO13,$I13,""))</f>
        <v>Mainz 05</v>
      </c>
      <c r="X13" s="283" t="str">
        <f t="shared" ref="X13:X16" ca="1" si="1">IF(AN13&lt;AO13,$G13,IF(AN13&gt;AO13,$I13,""))</f>
        <v>Maibach 1822 eV</v>
      </c>
      <c r="Y13" s="283" t="b">
        <f t="shared" ref="Y13:Y16" si="2">OR(NOT($W$10),AND($J13&lt;&gt;"",$L13&lt;&gt;"",$M13&lt;&gt;"",$O13&lt;&gt;"",$J13&lt;&gt;$L13,$M13&lt;&gt;$O13,($J13&gt;$L13)+($M13&gt;$O13)=1))</f>
        <v>0</v>
      </c>
      <c r="Z13" s="716" t="b">
        <f t="shared" ref="Z13:Z16" ca="1" si="3">AND($J13&lt;&gt;"",$L13&lt;&gt;"",$J13&lt;&gt;$L13,OR(AND($M13="",$O13=""),AND($M13&lt;&gt;"",$O13&lt;&gt;"",$M13&lt;&gt;$O13)),$G13&lt;&gt;"",$I13&lt;&gt;"",$G13&lt;&gt;$I13)</f>
        <v>1</v>
      </c>
      <c r="AA13" s="283" t="b">
        <f t="shared" ref="AA13:AA16" si="4">AND(Y13,$P13&lt;&gt;"",$R13&lt;&gt;"",$P13&lt;&gt;$R13)</f>
        <v>0</v>
      </c>
      <c r="AB13" s="716">
        <f t="shared" ref="AB13:AB16" ca="1" si="5">(($J13&gt;$L13)+($M13&gt;$O13)+($P13&gt;$R13)*AA13)*Z13</f>
        <v>2</v>
      </c>
      <c r="AC13" s="716">
        <f t="shared" ref="AC13:AC16" ca="1" si="6">(($J13&lt;$L13)+($M13&lt;$O13)+($P13&lt;$R13)*AA13)*Z13</f>
        <v>0</v>
      </c>
      <c r="AD13" s="283"/>
      <c r="AE13" s="283" t="b">
        <f t="shared" ref="AE13:AE16" si="7">AND($W$10,OR(AND($J13&lt;&gt;"",$J13=$L13),AND($M13&lt;&gt;"",$M13=$O13)))</f>
        <v>0</v>
      </c>
      <c r="AF13" s="283" t="b">
        <f t="shared" ref="AF13:AF16" si="8">AND($W$10,$P13&lt;&gt;"",$R13&lt;&gt;"",$P13=$R13,$Y13)</f>
        <v>0</v>
      </c>
      <c r="AG13" s="283"/>
      <c r="AH13" s="283" t="b">
        <f t="shared" ref="AH13:AH16" ca="1" si="9">AND($J13&lt;&gt;"",$L13&lt;&gt;"",$G13&lt;&gt;"",$I13&lt;&gt;"",$G13&lt;&gt;$I13)</f>
        <v>1</v>
      </c>
      <c r="AI13" s="283" t="b">
        <f t="shared" ref="AI13:AI16" ca="1" si="10">AND($M13&lt;&gt;"",$O13&lt;&gt;"",$G13&lt;&gt;"",$I13&lt;&gt;"",$G13&lt;&gt;$I13)</f>
        <v>1</v>
      </c>
      <c r="AJ13" s="283" t="b">
        <f t="shared" ref="AJ13:AJ16" ca="1" si="11">AND($P13&lt;&gt;"",$R13&lt;&gt;"",$G13&lt;&gt;"",$I13&lt;&gt;"",$G13&lt;&gt;$I13)</f>
        <v>0</v>
      </c>
      <c r="AK13" s="716">
        <f t="shared" ref="AK13:AK16" ca="1" si="12">(($J13&gt;$L13)+($J13=$L13)*0.5)*$AH13+(($M13&gt;$O13)+($M13=$O13)*0.5)*$AI13+(($P13&gt;$R13)+($P13=$R13)*0.5)*$AJ13</f>
        <v>2</v>
      </c>
      <c r="AL13" s="716">
        <f t="shared" ref="AL13:AL16" ca="1" si="13">(($J13&lt;$L13)+($J13=$L13)*0.5)*$AH13+(($M13&lt;$O13)+($M13=$O13)*0.5)*$AI13+(($P13&lt;$R13)+($P13=$R13)*0.5)*$AJ13</f>
        <v>0</v>
      </c>
      <c r="AM13" s="283"/>
      <c r="AN13" s="716">
        <f t="shared" ref="AN13:AN16" ca="1" si="14">IF($W$10,$AB13,$AK13)</f>
        <v>2</v>
      </c>
      <c r="AO13" s="716">
        <f t="shared" ref="AO13:AO16" ca="1" si="15">IF($W$10,$AC13,$AL13)</f>
        <v>0</v>
      </c>
    </row>
    <row r="14" spans="1:41" ht="27.95" customHeight="1" thickTop="1" thickBot="1" x14ac:dyDescent="0.35">
      <c r="A14" s="283"/>
      <c r="B14" s="331"/>
      <c r="C14" s="935" t="str">
        <f>Sprache!$E$61</f>
        <v>Endspiele</v>
      </c>
      <c r="D14" s="935"/>
      <c r="E14" s="935"/>
      <c r="F14" s="935"/>
      <c r="G14" s="385"/>
      <c r="H14" s="119"/>
      <c r="I14" s="385"/>
      <c r="J14" s="730"/>
      <c r="K14" s="312"/>
      <c r="L14" s="734"/>
      <c r="M14" s="730"/>
      <c r="N14" s="312"/>
      <c r="O14" s="734"/>
      <c r="P14" s="730"/>
      <c r="Q14" s="312"/>
      <c r="R14" s="734"/>
      <c r="S14" s="312"/>
      <c r="T14" s="314"/>
      <c r="U14" s="283"/>
      <c r="W14" s="283"/>
      <c r="X14" s="283"/>
      <c r="Y14" s="283"/>
      <c r="Z14" s="716"/>
      <c r="AA14" s="283"/>
      <c r="AB14" s="716"/>
      <c r="AC14" s="716"/>
      <c r="AD14" s="283"/>
      <c r="AE14" s="283"/>
      <c r="AF14" s="283"/>
      <c r="AG14" s="283"/>
      <c r="AH14" s="283"/>
      <c r="AI14" s="283"/>
      <c r="AJ14" s="283"/>
      <c r="AK14" s="716"/>
      <c r="AL14" s="716"/>
      <c r="AM14" s="283"/>
      <c r="AN14" s="716"/>
      <c r="AO14" s="716"/>
    </row>
    <row r="15" spans="1:41" ht="24" customHeight="1" thickTop="1" x14ac:dyDescent="0.2">
      <c r="A15" s="283"/>
      <c r="B15" s="330"/>
      <c r="C15" s="336">
        <f ca="1">$C$12+2</f>
        <v>23</v>
      </c>
      <c r="D15" s="337">
        <f ca="1">IF(Planung!$V$16,"",$D$13+($T$13+Planung!$S$9+Planung!$S$7)/1440)</f>
        <v>0.52083333333333337</v>
      </c>
      <c r="E15" s="315">
        <f>IF(Planung!$V$16,"",1)</f>
        <v>1</v>
      </c>
      <c r="F15" s="316" t="str">
        <f>Sprache!$E$117</f>
        <v>3. Platz</v>
      </c>
      <c r="G15" s="317" t="str">
        <f ca="1">$X12</f>
        <v>Eintracht Frankfurt</v>
      </c>
      <c r="H15" s="318" t="s">
        <v>5</v>
      </c>
      <c r="I15" s="319" t="str">
        <f ca="1">$X13</f>
        <v>Maibach 1822 eV</v>
      </c>
      <c r="J15" s="731">
        <v>25</v>
      </c>
      <c r="K15" s="320" t="str">
        <f>Sprache!$E$108</f>
        <v xml:space="preserve"> : </v>
      </c>
      <c r="L15" s="735">
        <v>11</v>
      </c>
      <c r="M15" s="731">
        <v>25</v>
      </c>
      <c r="N15" s="726" t="str">
        <f>Sprache!$E$108</f>
        <v xml:space="preserve"> : </v>
      </c>
      <c r="O15" s="735">
        <v>16</v>
      </c>
      <c r="P15" s="732"/>
      <c r="Q15" s="320" t="str">
        <f>Sprache!$E$108</f>
        <v xml:space="preserve"> : </v>
      </c>
      <c r="R15" s="736"/>
      <c r="S15" s="722"/>
      <c r="T15" s="710"/>
      <c r="U15" s="283"/>
      <c r="W15" s="283" t="str">
        <f t="shared" ca="1" si="0"/>
        <v>Eintracht Frankfurt</v>
      </c>
      <c r="X15" s="283" t="str">
        <f t="shared" ca="1" si="1"/>
        <v>Maibach 1822 eV</v>
      </c>
      <c r="Y15" s="283" t="b">
        <f t="shared" si="2"/>
        <v>0</v>
      </c>
      <c r="Z15" s="716" t="b">
        <f t="shared" ca="1" si="3"/>
        <v>1</v>
      </c>
      <c r="AA15" s="283" t="b">
        <f t="shared" si="4"/>
        <v>0</v>
      </c>
      <c r="AB15" s="716">
        <f t="shared" ca="1" si="5"/>
        <v>2</v>
      </c>
      <c r="AC15" s="716">
        <f t="shared" ca="1" si="6"/>
        <v>0</v>
      </c>
      <c r="AD15" s="283"/>
      <c r="AE15" s="283" t="b">
        <f t="shared" si="7"/>
        <v>0</v>
      </c>
      <c r="AF15" s="283" t="b">
        <f t="shared" si="8"/>
        <v>0</v>
      </c>
      <c r="AG15" s="283"/>
      <c r="AH15" s="283" t="b">
        <f t="shared" ca="1" si="9"/>
        <v>1</v>
      </c>
      <c r="AI15" s="283" t="b">
        <f t="shared" ca="1" si="10"/>
        <v>1</v>
      </c>
      <c r="AJ15" s="283" t="b">
        <f t="shared" ca="1" si="11"/>
        <v>0</v>
      </c>
      <c r="AK15" s="716">
        <f t="shared" ca="1" si="12"/>
        <v>2</v>
      </c>
      <c r="AL15" s="716">
        <f t="shared" ca="1" si="13"/>
        <v>0</v>
      </c>
      <c r="AM15" s="283"/>
      <c r="AN15" s="716">
        <f t="shared" ca="1" si="14"/>
        <v>2</v>
      </c>
      <c r="AO15" s="716">
        <f t="shared" ca="1" si="15"/>
        <v>0</v>
      </c>
    </row>
    <row r="16" spans="1:41" ht="24" customHeight="1" thickBot="1" x14ac:dyDescent="0.25">
      <c r="A16" s="283"/>
      <c r="B16" s="330"/>
      <c r="C16" s="334">
        <f ca="1">$C$12+3</f>
        <v>24</v>
      </c>
      <c r="D16" s="335">
        <f ca="1">IF(Planung!$V$16,"",$D$15+($T$15+Planung!$S$9+Planung!$S$7)/1440)</f>
        <v>0.54513888888888895</v>
      </c>
      <c r="E16" s="321">
        <f>IF(Planung!$V$16,"",1)</f>
        <v>1</v>
      </c>
      <c r="F16" s="289" t="str">
        <f>Sprache!$E$118</f>
        <v>Finale</v>
      </c>
      <c r="G16" s="285" t="str">
        <f ca="1">$W12</f>
        <v>Manchester City</v>
      </c>
      <c r="H16" s="141" t="s">
        <v>5</v>
      </c>
      <c r="I16" s="287" t="str">
        <f ca="1">$W13</f>
        <v>Mainz 05</v>
      </c>
      <c r="J16" s="699">
        <v>25</v>
      </c>
      <c r="K16" s="322" t="str">
        <f>Sprache!$E$108</f>
        <v xml:space="preserve"> : </v>
      </c>
      <c r="L16" s="706">
        <v>14</v>
      </c>
      <c r="M16" s="699">
        <v>25</v>
      </c>
      <c r="N16" s="725" t="str">
        <f>Sprache!$E$108</f>
        <v xml:space="preserve"> : </v>
      </c>
      <c r="O16" s="706">
        <v>18</v>
      </c>
      <c r="P16" s="703"/>
      <c r="Q16" s="322" t="str">
        <f>Sprache!$E$108</f>
        <v xml:space="preserve"> : </v>
      </c>
      <c r="R16" s="709"/>
      <c r="S16" s="715"/>
      <c r="T16" s="712"/>
      <c r="U16" s="283"/>
      <c r="W16" s="283" t="str">
        <f t="shared" ca="1" si="0"/>
        <v>Manchester City</v>
      </c>
      <c r="X16" s="283" t="str">
        <f t="shared" ca="1" si="1"/>
        <v>Mainz 05</v>
      </c>
      <c r="Y16" s="283" t="b">
        <f t="shared" si="2"/>
        <v>0</v>
      </c>
      <c r="Z16" s="716" t="b">
        <f t="shared" ca="1" si="3"/>
        <v>1</v>
      </c>
      <c r="AA16" s="283" t="b">
        <f t="shared" si="4"/>
        <v>0</v>
      </c>
      <c r="AB16" s="716">
        <f t="shared" ca="1" si="5"/>
        <v>2</v>
      </c>
      <c r="AC16" s="716">
        <f t="shared" ca="1" si="6"/>
        <v>0</v>
      </c>
      <c r="AD16" s="283"/>
      <c r="AE16" s="283" t="b">
        <f t="shared" si="7"/>
        <v>0</v>
      </c>
      <c r="AF16" s="283" t="b">
        <f t="shared" si="8"/>
        <v>0</v>
      </c>
      <c r="AG16" s="283"/>
      <c r="AH16" s="283" t="b">
        <f t="shared" ca="1" si="9"/>
        <v>1</v>
      </c>
      <c r="AI16" s="283" t="b">
        <f t="shared" ca="1" si="10"/>
        <v>1</v>
      </c>
      <c r="AJ16" s="283" t="b">
        <f t="shared" ca="1" si="11"/>
        <v>0</v>
      </c>
      <c r="AK16" s="716">
        <f t="shared" ca="1" si="12"/>
        <v>2</v>
      </c>
      <c r="AL16" s="716">
        <f t="shared" ca="1" si="13"/>
        <v>0</v>
      </c>
      <c r="AM16" s="283"/>
      <c r="AN16" s="716">
        <f t="shared" ca="1" si="14"/>
        <v>2</v>
      </c>
      <c r="AO16" s="716">
        <f t="shared" ca="1" si="15"/>
        <v>0</v>
      </c>
    </row>
    <row r="17" spans="3:29" ht="12.75" customHeight="1" thickTop="1" x14ac:dyDescent="0.2"/>
    <row r="18" spans="3:29" ht="24" customHeight="1" x14ac:dyDescent="0.2">
      <c r="C18" s="307"/>
      <c r="D18" s="307"/>
      <c r="E18" s="307"/>
      <c r="F18" s="307"/>
      <c r="G18" s="901" t="str">
        <f>Sprache!$E$29</f>
        <v>Turnierende:</v>
      </c>
      <c r="H18" s="901"/>
      <c r="I18" s="308">
        <f ca="1">IF(Planung!$S$13="","",$D$16+Planung!$S$7/1440)</f>
        <v>0.56597222222222232</v>
      </c>
      <c r="J18" s="309"/>
      <c r="K18" s="309"/>
      <c r="L18" s="309"/>
      <c r="M18" s="309"/>
      <c r="N18" s="309"/>
      <c r="O18" s="309"/>
      <c r="P18" s="309"/>
      <c r="Q18" s="309"/>
      <c r="R18" s="309"/>
      <c r="S18" s="309"/>
      <c r="T18" s="309"/>
    </row>
    <row r="19" spans="3:29" ht="12.75" customHeight="1" x14ac:dyDescent="0.2">
      <c r="D19" s="305"/>
    </row>
    <row r="20" spans="3:29" ht="12.75" customHeight="1" x14ac:dyDescent="0.2">
      <c r="D20" s="305"/>
    </row>
    <row r="21" spans="3:29" ht="24" customHeight="1" thickBot="1" x14ac:dyDescent="0.25">
      <c r="F21" s="311" t="str">
        <f>Sprache!$E$116</f>
        <v>Rang</v>
      </c>
      <c r="G21" s="936" t="str">
        <f>"  "&amp;Sprache!$E$10</f>
        <v xml:space="preserve">  Teilnehmer bzw. Mannschaft</v>
      </c>
      <c r="H21" s="936"/>
      <c r="I21" s="937"/>
    </row>
    <row r="22" spans="3:29" ht="24" customHeight="1" thickTop="1" x14ac:dyDescent="0.2">
      <c r="E22" s="306">
        <v>1</v>
      </c>
      <c r="F22" s="340">
        <v>1</v>
      </c>
      <c r="G22" s="938" t="str">
        <f ca="1">$W16</f>
        <v>Manchester City</v>
      </c>
      <c r="H22" s="938"/>
      <c r="I22" s="939"/>
    </row>
    <row r="23" spans="3:29" ht="24" customHeight="1" x14ac:dyDescent="0.2">
      <c r="E23" s="306">
        <v>2</v>
      </c>
      <c r="F23" s="341">
        <v>2</v>
      </c>
      <c r="G23" s="940" t="str">
        <f ca="1">$X16</f>
        <v>Mainz 05</v>
      </c>
      <c r="H23" s="940"/>
      <c r="I23" s="941"/>
    </row>
    <row r="24" spans="3:29" ht="24" customHeight="1" x14ac:dyDescent="0.2">
      <c r="E24" s="306">
        <v>3</v>
      </c>
      <c r="F24" s="342">
        <v>3</v>
      </c>
      <c r="G24" s="942" t="str">
        <f ca="1">$W15</f>
        <v>Eintracht Frankfurt</v>
      </c>
      <c r="H24" s="942"/>
      <c r="I24" s="943"/>
    </row>
    <row r="25" spans="3:29" ht="24" customHeight="1" thickBot="1" x14ac:dyDescent="0.25">
      <c r="E25" s="306">
        <v>4</v>
      </c>
      <c r="F25" s="344">
        <v>4</v>
      </c>
      <c r="G25" s="933" t="str">
        <f ca="1">$X15</f>
        <v>Maibach 1822 eV</v>
      </c>
      <c r="H25" s="933"/>
      <c r="I25" s="934"/>
    </row>
    <row r="26" spans="3:29" s="47" customFormat="1" ht="13.5" thickTop="1" x14ac:dyDescent="0.2">
      <c r="V26"/>
      <c r="W26"/>
      <c r="X26"/>
      <c r="Y26"/>
      <c r="Z26"/>
      <c r="AA26"/>
      <c r="AB26"/>
      <c r="AC26"/>
    </row>
    <row r="27" spans="3:29" s="47" customFormat="1" x14ac:dyDescent="0.2">
      <c r="V27"/>
      <c r="W27"/>
      <c r="X27"/>
      <c r="Y27"/>
      <c r="Z27"/>
      <c r="AA27"/>
      <c r="AB27"/>
      <c r="AC27"/>
    </row>
    <row r="28" spans="3:29" s="47" customFormat="1" x14ac:dyDescent="0.2">
      <c r="V28"/>
      <c r="W28"/>
      <c r="X28"/>
      <c r="Y28"/>
      <c r="Z28"/>
      <c r="AA28"/>
      <c r="AB28"/>
      <c r="AC28"/>
    </row>
    <row r="29" spans="3:29" s="47" customFormat="1" hidden="1" x14ac:dyDescent="0.2">
      <c r="V29"/>
      <c r="W29"/>
      <c r="X29"/>
      <c r="Y29"/>
      <c r="Z29"/>
      <c r="AA29"/>
      <c r="AB29"/>
      <c r="AC29"/>
    </row>
  </sheetData>
  <sheetProtection sheet="1" selectLockedCells="1"/>
  <mergeCells count="24">
    <mergeCell ref="AE10:AF10"/>
    <mergeCell ref="AH10:AL10"/>
    <mergeCell ref="AK11:AL11"/>
    <mergeCell ref="AN11:AO11"/>
    <mergeCell ref="AB11:AC11"/>
    <mergeCell ref="Y10:AC10"/>
    <mergeCell ref="G25:I25"/>
    <mergeCell ref="C14:F14"/>
    <mergeCell ref="G21:I21"/>
    <mergeCell ref="G22:I22"/>
    <mergeCell ref="G23:I23"/>
    <mergeCell ref="G24:I24"/>
    <mergeCell ref="G18:H18"/>
    <mergeCell ref="T9:T11"/>
    <mergeCell ref="C10:F10"/>
    <mergeCell ref="G11:I11"/>
    <mergeCell ref="J11:L11"/>
    <mergeCell ref="M11:O11"/>
    <mergeCell ref="P11:R11"/>
    <mergeCell ref="E2:T2"/>
    <mergeCell ref="E3:T3"/>
    <mergeCell ref="E4:T4"/>
    <mergeCell ref="E5:T5"/>
    <mergeCell ref="G7:Q8"/>
  </mergeCells>
  <conditionalFormatting sqref="C12:R13 J15:R16">
    <cfRule type="expression" dxfId="18" priority="4">
      <formula>OR($G12="",$I12="")</formula>
    </cfRule>
  </conditionalFormatting>
  <conditionalFormatting sqref="J12:O13 J15:O16">
    <cfRule type="expression" dxfId="17" priority="3">
      <formula>$AE12</formula>
    </cfRule>
  </conditionalFormatting>
  <conditionalFormatting sqref="P12:R13 P15:R16">
    <cfRule type="expression" dxfId="16" priority="1">
      <formula>NOT($Y12)</formula>
    </cfRule>
    <cfRule type="expression" dxfId="15" priority="2">
      <formula>$AF12</formula>
    </cfRule>
  </conditionalFormatting>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6" id="{C98BB549-126A-4A9E-B6DC-B74627468A8F}">
            <xm:f>$F25&gt;2*Calc1!$F$14-MOD((Calc1!$F$13+Calc2!$F$13),2)</xm:f>
            <x14:dxf>
              <numFmt numFmtId="165" formatCode=";;;"/>
            </x14:dxf>
          </x14:cfRule>
          <xm:sqref>F25</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B9099-21AB-4C82-AFD2-D55F9FF470F8}">
  <dimension ref="A1:BC59"/>
  <sheetViews>
    <sheetView showGridLines="0" showRowColHeaders="0" zoomScaleNormal="100" workbookViewId="0">
      <selection activeCell="L12" sqref="L12"/>
    </sheetView>
  </sheetViews>
  <sheetFormatPr baseColWidth="10" defaultColWidth="0" defaultRowHeight="12.75" customHeight="1" zeroHeight="1" x14ac:dyDescent="0.2"/>
  <cols>
    <col min="1" max="1" width="1.5703125" style="47" customWidth="1"/>
    <col min="2" max="2" width="1.85546875" style="47" customWidth="1"/>
    <col min="3" max="3" width="5.5703125" style="47" customWidth="1"/>
    <col min="4" max="4" width="8.85546875" style="47" customWidth="1"/>
    <col min="5" max="5" width="6.28515625" style="47" customWidth="1"/>
    <col min="6" max="6" width="4.7109375" style="47" customWidth="1"/>
    <col min="7" max="7" width="2.42578125" style="47" customWidth="1"/>
    <col min="8" max="8" width="4.7109375" style="47" customWidth="1"/>
    <col min="9" max="9" width="26.7109375" style="47" customWidth="1"/>
    <col min="10" max="10" width="2.85546875" style="47" customWidth="1"/>
    <col min="11" max="11" width="26.7109375" style="47" customWidth="1"/>
    <col min="12" max="12" width="4.7109375" style="47" customWidth="1"/>
    <col min="13" max="13" width="2" style="47" customWidth="1"/>
    <col min="14" max="15" width="4.7109375" style="47" customWidth="1"/>
    <col min="16" max="16" width="2" style="47" customWidth="1"/>
    <col min="17" max="18" width="4.7109375" style="47" customWidth="1"/>
    <col min="19" max="19" width="2" style="47" customWidth="1"/>
    <col min="20" max="21" width="4.7109375" style="47" customWidth="1"/>
    <col min="22" max="22" width="2.28515625" style="47" customWidth="1"/>
    <col min="23" max="23" width="4.7109375" style="47" customWidth="1"/>
    <col min="24" max="24" width="16.7109375" style="47" customWidth="1"/>
    <col min="25" max="25" width="8" style="47" customWidth="1"/>
    <col min="26" max="26" width="3.5703125" style="47" customWidth="1"/>
    <col min="27" max="27" width="4.5703125" style="47" customWidth="1"/>
    <col min="28" max="28" width="28.7109375" style="47" customWidth="1"/>
    <col min="29" max="33" width="5.7109375" style="47" customWidth="1"/>
    <col min="34" max="34" width="2" style="47" customWidth="1"/>
    <col min="35" max="35" width="5.7109375" style="47" customWidth="1"/>
    <col min="36" max="37" width="6.7109375" style="47" customWidth="1"/>
    <col min="38" max="38" width="1.140625" style="47" customWidth="1"/>
    <col min="39" max="39" width="6.7109375" style="47" customWidth="1"/>
    <col min="40" max="41" width="5.7109375" style="47" customWidth="1"/>
    <col min="42" max="42" width="2" style="47" customWidth="1"/>
    <col min="43" max="43" width="1.42578125" style="47" customWidth="1"/>
    <col min="44" max="44" width="6.7109375" style="47" customWidth="1"/>
    <col min="45" max="45" width="28.7109375" style="47" customWidth="1"/>
    <col min="46" max="46" width="1.140625" style="47" customWidth="1"/>
    <col min="47" max="47" width="13.5703125" style="47" customWidth="1"/>
    <col min="48" max="48" width="11.42578125" style="47" customWidth="1"/>
    <col min="49" max="16384" width="11.42578125" style="47" hidden="1"/>
  </cols>
  <sheetData>
    <row r="1" spans="2:55" ht="13.5" thickBot="1" x14ac:dyDescent="0.25"/>
    <row r="2" spans="2:55" ht="36" customHeight="1" thickTop="1" x14ac:dyDescent="0.2">
      <c r="F2" s="447"/>
      <c r="G2" s="447"/>
      <c r="H2" s="447"/>
      <c r="I2" s="771"/>
      <c r="J2" s="902" t="str">
        <f>Vorrunde!$H$2</f>
        <v>Internationales U10-Turnier am 27.01.2026</v>
      </c>
      <c r="K2" s="903"/>
      <c r="L2" s="903"/>
      <c r="M2" s="903"/>
      <c r="N2" s="903"/>
      <c r="O2" s="903"/>
      <c r="P2" s="903"/>
      <c r="Q2" s="903"/>
      <c r="R2" s="903"/>
      <c r="S2" s="903"/>
      <c r="T2" s="903"/>
      <c r="U2" s="903"/>
      <c r="V2" s="903"/>
      <c r="W2" s="903"/>
      <c r="X2" s="903"/>
      <c r="Y2" s="903"/>
      <c r="Z2" s="903"/>
      <c r="AA2" s="903"/>
      <c r="AB2" s="903"/>
      <c r="AC2" s="904"/>
      <c r="AD2" s="768"/>
      <c r="AE2" s="447"/>
      <c r="AF2" s="447"/>
      <c r="AG2" s="447"/>
      <c r="AH2" s="447"/>
      <c r="AI2" s="447"/>
      <c r="AJ2" s="447"/>
      <c r="AK2" s="447"/>
      <c r="AL2" s="447"/>
      <c r="AM2" s="447"/>
    </row>
    <row r="3" spans="2:55" ht="30" customHeight="1" x14ac:dyDescent="0.2">
      <c r="F3" s="448"/>
      <c r="G3" s="448"/>
      <c r="H3" s="448"/>
      <c r="I3" s="771"/>
      <c r="J3" s="905" t="str">
        <f>Vorrunde!$H$3</f>
        <v>Veranstalter:  1. FC Riedwald</v>
      </c>
      <c r="K3" s="906"/>
      <c r="L3" s="906"/>
      <c r="M3" s="906"/>
      <c r="N3" s="906"/>
      <c r="O3" s="906"/>
      <c r="P3" s="906"/>
      <c r="Q3" s="906"/>
      <c r="R3" s="906"/>
      <c r="S3" s="906"/>
      <c r="T3" s="906"/>
      <c r="U3" s="906"/>
      <c r="V3" s="906"/>
      <c r="W3" s="906"/>
      <c r="X3" s="906"/>
      <c r="Y3" s="906"/>
      <c r="Z3" s="906"/>
      <c r="AA3" s="906"/>
      <c r="AB3" s="906"/>
      <c r="AC3" s="907"/>
      <c r="AD3" s="769"/>
      <c r="AE3" s="448"/>
      <c r="AF3" s="448"/>
      <c r="AG3" s="448"/>
      <c r="AH3" s="448"/>
      <c r="AI3" s="448"/>
      <c r="AJ3" s="448"/>
      <c r="AK3" s="448"/>
      <c r="AL3" s="448"/>
      <c r="AM3" s="448"/>
    </row>
    <row r="4" spans="2:55" ht="30" customHeight="1" x14ac:dyDescent="0.2">
      <c r="F4" s="449"/>
      <c r="G4" s="449"/>
      <c r="H4" s="449"/>
      <c r="I4" s="771"/>
      <c r="J4" s="908" t="str">
        <f>Vorrunde!$H$4</f>
        <v>Sporthalle Wiesengrund, Wendiger Str. 51, 65432 Riedwald</v>
      </c>
      <c r="K4" s="909"/>
      <c r="L4" s="909"/>
      <c r="M4" s="909"/>
      <c r="N4" s="909"/>
      <c r="O4" s="909"/>
      <c r="P4" s="909"/>
      <c r="Q4" s="909"/>
      <c r="R4" s="909"/>
      <c r="S4" s="909"/>
      <c r="T4" s="909"/>
      <c r="U4" s="909"/>
      <c r="V4" s="909"/>
      <c r="W4" s="909"/>
      <c r="X4" s="909"/>
      <c r="Y4" s="909"/>
      <c r="Z4" s="909"/>
      <c r="AA4" s="909"/>
      <c r="AB4" s="909"/>
      <c r="AC4" s="910"/>
      <c r="AD4" s="770"/>
      <c r="AE4" s="449"/>
      <c r="AF4" s="449"/>
      <c r="AG4" s="449"/>
      <c r="AH4" s="449"/>
      <c r="AI4" s="449"/>
      <c r="AJ4" s="449"/>
      <c r="AK4" s="449"/>
      <c r="AL4" s="449"/>
      <c r="AM4" s="449"/>
    </row>
    <row r="5" spans="2:55" ht="30" customHeight="1" thickBot="1" x14ac:dyDescent="0.25">
      <c r="F5" s="449"/>
      <c r="G5" s="449"/>
      <c r="H5" s="449"/>
      <c r="I5" s="771"/>
      <c r="J5" s="911" t="str">
        <f>Vorrunde!$H$5</f>
        <v>Beginn:  9:00 Uhr</v>
      </c>
      <c r="K5" s="912"/>
      <c r="L5" s="912"/>
      <c r="M5" s="912"/>
      <c r="N5" s="912"/>
      <c r="O5" s="912"/>
      <c r="P5" s="912"/>
      <c r="Q5" s="912"/>
      <c r="R5" s="912"/>
      <c r="S5" s="912"/>
      <c r="T5" s="912"/>
      <c r="U5" s="912"/>
      <c r="V5" s="912"/>
      <c r="W5" s="912"/>
      <c r="X5" s="912"/>
      <c r="Y5" s="912"/>
      <c r="Z5" s="912"/>
      <c r="AA5" s="912"/>
      <c r="AB5" s="912"/>
      <c r="AC5" s="913"/>
      <c r="AD5" s="770"/>
      <c r="AE5" s="449"/>
      <c r="AF5" s="449"/>
      <c r="AG5" s="449"/>
      <c r="AH5" s="449"/>
      <c r="AI5" s="449"/>
      <c r="AJ5" s="449"/>
      <c r="AK5" s="449"/>
      <c r="AL5" s="449"/>
      <c r="AM5" s="449"/>
    </row>
    <row r="6" spans="2:55" ht="18" customHeight="1" thickTop="1" thickBot="1" x14ac:dyDescent="0.25"/>
    <row r="7" spans="2:55" ht="30" customHeight="1" thickTop="1" x14ac:dyDescent="0.2">
      <c r="L7" s="914" t="str">
        <f>Sprache!$E$19</f>
        <v>Endrunde</v>
      </c>
      <c r="M7" s="915"/>
      <c r="N7" s="915"/>
      <c r="O7" s="915"/>
      <c r="P7" s="915"/>
      <c r="Q7" s="915"/>
      <c r="R7" s="915"/>
      <c r="S7" s="915"/>
      <c r="T7" s="915"/>
      <c r="U7" s="915"/>
      <c r="V7" s="915"/>
      <c r="W7" s="915"/>
      <c r="X7" s="915"/>
      <c r="Y7" s="915"/>
      <c r="Z7" s="915"/>
      <c r="AA7" s="915"/>
      <c r="AB7" s="772"/>
    </row>
    <row r="8" spans="2:55" ht="30" customHeight="1" thickBot="1" x14ac:dyDescent="0.25">
      <c r="L8" s="917"/>
      <c r="M8" s="918"/>
      <c r="N8" s="918"/>
      <c r="O8" s="918"/>
      <c r="P8" s="918"/>
      <c r="Q8" s="918"/>
      <c r="R8" s="918"/>
      <c r="S8" s="918"/>
      <c r="T8" s="918"/>
      <c r="U8" s="918"/>
      <c r="V8" s="918"/>
      <c r="W8" s="918"/>
      <c r="X8" s="918"/>
      <c r="Y8" s="918"/>
      <c r="Z8" s="918"/>
      <c r="AA8" s="918"/>
      <c r="AB8" s="772"/>
    </row>
    <row r="9" spans="2:55" ht="12.6" customHeight="1" thickTop="1" x14ac:dyDescent="0.2">
      <c r="AW9" s="773" t="s">
        <v>462</v>
      </c>
    </row>
    <row r="10" spans="2:55" ht="27.95" customHeight="1" thickBot="1" x14ac:dyDescent="0.45">
      <c r="C10" s="920" t="str">
        <f>Sprache!$E$62&amp;IF(MIN(Calc1!$F$13,Calc2!$F$13)*2&lt;2,""," 1 - "&amp;MIN(Calc1!$F$13,Calc2!$F$13)*2)</f>
        <v>Spiele um die Plätze  1 - 10</v>
      </c>
      <c r="D10" s="920"/>
      <c r="E10" s="920"/>
      <c r="F10" s="920"/>
      <c r="G10" s="412"/>
      <c r="H10" s="412"/>
      <c r="Y10" s="809" t="str">
        <f>Sprache!$E$20</f>
        <v>Zusätzl. Pause (min)</v>
      </c>
      <c r="AA10" s="945" t="str">
        <f>Sprache!$E$64</f>
        <v>Gruppenerste und -zweite</v>
      </c>
      <c r="AB10" s="945"/>
      <c r="AC10" s="945"/>
      <c r="AD10" s="945"/>
      <c r="AE10" s="945"/>
      <c r="AF10" s="945"/>
      <c r="AG10" s="175"/>
      <c r="AH10" s="175"/>
      <c r="AI10" s="175"/>
      <c r="AJ10" s="175"/>
      <c r="AK10" s="175"/>
      <c r="AL10" s="175"/>
      <c r="AM10" s="175"/>
      <c r="AN10" s="175"/>
      <c r="AO10" s="175"/>
      <c r="AR10" s="946" t="str">
        <f>$AA10</f>
        <v>Gruppenerste und -zweite</v>
      </c>
      <c r="AS10" s="946"/>
      <c r="AT10" s="947"/>
      <c r="AU10" s="767" t="str">
        <f>Sprache!$E$33</f>
        <v>Bonus</v>
      </c>
      <c r="AW10" s="780" t="b">
        <f>Einstellungen!$B$43=Sprache!$E$79</f>
        <v>1</v>
      </c>
    </row>
    <row r="11" spans="2:55" ht="24" customHeight="1" thickTop="1" thickBot="1" x14ac:dyDescent="0.25">
      <c r="B11" s="304"/>
      <c r="C11" s="339" t="str">
        <f>Sprache!$E$9</f>
        <v>Nr.</v>
      </c>
      <c r="D11" s="300" t="str">
        <f>Sprache!$E$39</f>
        <v>Beginn</v>
      </c>
      <c r="E11" s="294" t="str">
        <f>Sprache!$E$48</f>
        <v>Feld</v>
      </c>
      <c r="F11" s="416"/>
      <c r="G11" s="413"/>
      <c r="H11" s="300"/>
      <c r="I11" s="830" t="str">
        <f>Sprache!$E$14</f>
        <v>Spielpaarung</v>
      </c>
      <c r="J11" s="830"/>
      <c r="K11" s="830"/>
      <c r="L11" s="837" t="str">
        <f>Sprache!$E$91</f>
        <v>1. Satz</v>
      </c>
      <c r="M11" s="838"/>
      <c r="N11" s="839"/>
      <c r="O11" s="837" t="str">
        <f>Sprache!$E$92</f>
        <v>2. Satz</v>
      </c>
      <c r="P11" s="838"/>
      <c r="Q11" s="839"/>
      <c r="R11" s="837" t="str">
        <f>Sprache!$E$93</f>
        <v>3. Satz</v>
      </c>
      <c r="S11" s="838"/>
      <c r="T11" s="840"/>
      <c r="U11" s="841" t="str">
        <f>Sprache!$E$89</f>
        <v>Sätze</v>
      </c>
      <c r="V11" s="838"/>
      <c r="W11" s="842"/>
      <c r="X11" s="574" t="str">
        <f>Sprache!$E$59</f>
        <v>Schiedsrichter</v>
      </c>
      <c r="Y11" s="810"/>
      <c r="AA11" s="948"/>
      <c r="AB11" s="949"/>
      <c r="AC11" s="177" t="str">
        <f>Sprache!$E$21</f>
        <v>SP</v>
      </c>
      <c r="AD11" s="178" t="str">
        <f>Sprache!$E$22</f>
        <v>G</v>
      </c>
      <c r="AE11" s="178" t="str">
        <f>Sprache!$E$23</f>
        <v>U</v>
      </c>
      <c r="AF11" s="411" t="str">
        <f>Sprache!$E$24</f>
        <v>V</v>
      </c>
      <c r="AG11" s="944" t="str">
        <f>Sprache!$E$89</f>
        <v>Sätze</v>
      </c>
      <c r="AH11" s="944"/>
      <c r="AI11" s="944"/>
      <c r="AJ11" s="749" t="str">
        <f>Sprache!$E$26</f>
        <v>Diff.</v>
      </c>
      <c r="AK11" s="944" t="str">
        <f>Sprache!$E$90</f>
        <v>Bälle</v>
      </c>
      <c r="AL11" s="944"/>
      <c r="AM11" s="944"/>
      <c r="AN11" s="178" t="str">
        <f>IF(Einstellungen!$G$24,Sprache!$E$26,Sprache!$E$97)</f>
        <v>Diff.</v>
      </c>
      <c r="AO11" s="180" t="str">
        <f>IF(Einstellungen!$G$9,Sprache!$E$27,Sprache!$E$80)</f>
        <v>Pkt</v>
      </c>
      <c r="AR11" s="417"/>
      <c r="AS11" s="418" t="str">
        <f>Sprache!$E$10</f>
        <v>Teilnehmer bzw. Mannschaft</v>
      </c>
      <c r="AT11" s="762"/>
    </row>
    <row r="12" spans="2:55" s="283" customFormat="1" ht="24" customHeight="1" x14ac:dyDescent="0.2">
      <c r="B12" s="330"/>
      <c r="C12" s="338">
        <f t="array" aca="1" ref="C12" ca="1">73-SUM(((Planung!$L$6:$L$77="")+(Planung!$N$6:$N$77="")&gt;0)*1)</f>
        <v>21</v>
      </c>
      <c r="D12" s="301">
        <f ca="1">IF(Planung!$V$16,"",Planung!$S$13+(Planung!$S$9+Planung!$Q$77)/1440)</f>
        <v>0.49652777777777779</v>
      </c>
      <c r="E12" s="297">
        <f>IF(Planung!$V$16,"",1)</f>
        <v>1</v>
      </c>
      <c r="F12" s="434" t="s">
        <v>345</v>
      </c>
      <c r="G12" s="435" t="s">
        <v>5</v>
      </c>
      <c r="H12" s="436" t="s">
        <v>346</v>
      </c>
      <c r="I12" s="414" t="str">
        <f t="shared" ref="I12:I28" ca="1" si="0">IF($F12="","",IF(VLOOKUP($F12,$AR$12:$AS$41,2,0)="","",VLOOKUP($F12,$AR$12:$AS$41,2,0)))</f>
        <v/>
      </c>
      <c r="J12" s="292" t="s">
        <v>5</v>
      </c>
      <c r="K12" s="293" t="str">
        <f t="shared" ref="K12:K28" ca="1" si="1">IF($H12="","",IF(VLOOKUP($H12,$AR$12:$AS$41,2,0)="","",VLOOKUP($H12,$AR$12:$AS$41,2,0)))</f>
        <v/>
      </c>
      <c r="L12" s="700"/>
      <c r="M12" s="727" t="str">
        <f>Sprache!$E$108</f>
        <v xml:space="preserve"> : </v>
      </c>
      <c r="N12" s="704"/>
      <c r="O12" s="700"/>
      <c r="P12" s="727" t="str">
        <f>Sprache!$E$108</f>
        <v xml:space="preserve"> : </v>
      </c>
      <c r="Q12" s="704"/>
      <c r="R12" s="700"/>
      <c r="S12" s="727" t="str">
        <f>Sprache!$E$108</f>
        <v xml:space="preserve"> : </v>
      </c>
      <c r="T12" s="742"/>
      <c r="U12" s="781" t="str">
        <f ca="1">IF(AW12,"",(L12&lt;&gt;"")*(N12&lt;&gt;"")*NOT(AX12)*((L12&gt;N12)+(L12=N12)*0.5)+(O12&lt;&gt;"")*(Q12&lt;&gt;"")*NOT(AY12)*((O12&gt;Q12)+(O12=Q12)*0.5)+(R12&lt;&gt;"")*(T12&lt;&gt;"")*NOT(AZ12)*((R12&gt;T12)+(R12=T12)*0.5))</f>
        <v/>
      </c>
      <c r="V12" s="739" t="str">
        <f>Sprache!$E$108</f>
        <v xml:space="preserve"> : </v>
      </c>
      <c r="W12" s="784" t="str">
        <f ca="1">IF(AW12,"",(L12&lt;&gt;"")*(N12&lt;&gt;"")*NOT(AX12)*((L12&lt;N12)+(L12=N12)*0.5)+(O12&lt;&gt;"")*(Q12&lt;&gt;"")*NOT(AY12)*((O12&lt;Q12)+(O12=Q12)*0.5)+(R12&lt;&gt;"")*(T12&lt;&gt;"")*NOT(AZ12)*((R12&lt;T12)+(R12=T12)*0.5))</f>
        <v/>
      </c>
      <c r="X12" s="713"/>
      <c r="Y12" s="710"/>
      <c r="AA12" s="419">
        <f ca="1">IF(CalcE1!$K$13=0,"",1)</f>
        <v>1</v>
      </c>
      <c r="AB12" s="325" t="str">
        <f ca="1">IF(Calc1!$F$14&lt;3,"",IF(CalcE1!$K$13=0,CalcE1!$Q$64,VLOOKUP(CalcE1!$B$4,CalcE1!$C$4:$N$12,4,0)))</f>
        <v>Manchester City</v>
      </c>
      <c r="AC12" s="420">
        <f ca="1">IF(CalcE1!$K$13=0,"",VLOOKUP(CalcE1!$B$4,CalcE1!$C$4:$N$12,9,0))</f>
        <v>3</v>
      </c>
      <c r="AD12" s="184">
        <f ca="1">IF(CalcE1!$K$13=0,"",VLOOKUP(CalcE1!$B$4,CalcE1!$C$4:$N$12,10,0))</f>
        <v>1</v>
      </c>
      <c r="AE12" s="184">
        <f ca="1">IF(CalcE1!$K$13=0,"",VLOOKUP(CalcE1!$B$4,CalcE1!$C$4:$N$12,11,0))</f>
        <v>2</v>
      </c>
      <c r="AF12" s="184">
        <f ca="1">IF(CalcE1!$K$13=0,"",VLOOKUP(CalcE1!$B$4,CalcE1!$C$4:$N$12,12,0))</f>
        <v>0</v>
      </c>
      <c r="AG12" s="186">
        <f ca="1">IF(CalcE1!$K$13=0,"",VLOOKUP(CalcE1!B4,CalcE1!$C$4:$AT$12,44,0))</f>
        <v>4</v>
      </c>
      <c r="AH12" s="421" t="str">
        <f>Sprache!$E$108</f>
        <v xml:space="preserve"> : </v>
      </c>
      <c r="AI12" s="750">
        <f ca="1">IF(CalcE1!$K$13=0,"",VLOOKUP(CalcE1!B4,CalcE1!$C$4:$AS$12,43,0))</f>
        <v>2</v>
      </c>
      <c r="AJ12" s="187">
        <f ca="1">IF(CalcE1!$K$13=0,"",AG12-AI12)</f>
        <v>2</v>
      </c>
      <c r="AK12" s="746">
        <f ca="1">IF(CalcE1!$K$13=0,"",VLOOKUP(CalcE1!$B4,CalcE1!$C$4:$N$12,5,0))</f>
        <v>136</v>
      </c>
      <c r="AL12" s="421" t="str">
        <f>Sprache!$E$108</f>
        <v xml:space="preserve"> : </v>
      </c>
      <c r="AM12" s="188">
        <f ca="1">IF(CalcE1!$K$13=0,"",VLOOKUP(CalcE1!$B4,CalcE1!$C$4:$N$12,6,0))</f>
        <v>125</v>
      </c>
      <c r="AN12" s="184">
        <f ca="1">IF(CalcE1!$K$13=0,"",IF(VLOOKUP(CalcE1!B4,CalcE1!$C$4:$AV$12,46,0)=Einstellungen!$F$24,"max",VLOOKUP(CalcE1!B4,CalcE1!$C$4:$AV$12,46,0)))</f>
        <v>11</v>
      </c>
      <c r="AO12" s="189">
        <f ca="1">IF(CalcE1!$K$13=0,"",VLOOKUP(CalcE1!B4,CalcE1!$C$4:$AT$12,Einstellungen!$H$9,0))</f>
        <v>4</v>
      </c>
      <c r="AP12" s="47"/>
      <c r="AQ12" s="47"/>
      <c r="AR12" s="407" t="s">
        <v>306</v>
      </c>
      <c r="AS12" s="422" t="str">
        <f ca="1">IF(Vorrunde!$X$12="","",Vorrunde!$X$12)</f>
        <v>Eintracht Frankfurt</v>
      </c>
      <c r="AT12" s="763"/>
      <c r="AU12" s="764"/>
      <c r="AW12" s="42" t="b">
        <f ca="1">OR(I12="",K12="",AND(OR(L12="",N12="",AX12),OR(O12="",Q12="",AY12),OR(R12="",T12="",AZ12)))</f>
        <v>1</v>
      </c>
      <c r="AX12" s="42" t="b">
        <f>ABS(L12-N12)&lt;2*$AW$10</f>
        <v>1</v>
      </c>
      <c r="AY12" s="42" t="b">
        <f>ABS(O12-Q12)&lt;2*$AW$10</f>
        <v>1</v>
      </c>
      <c r="AZ12" s="42" t="b">
        <f>ABS(R12-T12)&lt;2*$AW$10</f>
        <v>1</v>
      </c>
      <c r="BA12" s="42" t="b">
        <f>AND(AX12,L12&lt;&gt;"",N12&lt;&gt;"")</f>
        <v>0</v>
      </c>
      <c r="BB12" s="42" t="b">
        <f>AND(AY12,O12&lt;&gt;"",Q12&lt;&gt;"")</f>
        <v>0</v>
      </c>
      <c r="BC12" s="42" t="b">
        <f>AND(AZ12,R12&lt;&gt;"",T12&lt;&gt;"")</f>
        <v>0</v>
      </c>
    </row>
    <row r="13" spans="2:55" s="283" customFormat="1" ht="24" customHeight="1" x14ac:dyDescent="0.2">
      <c r="B13" s="330"/>
      <c r="C13" s="332">
        <f t="array" aca="1" ref="C13" ca="1">$C$12+ROW(1:1)-SUM((($I$12:$I12="")+($K$12:$K12="")&gt;0)*1)</f>
        <v>21</v>
      </c>
      <c r="D13" s="302">
        <f t="array" aca="1" ref="D13" ca="1">IF(Planung!$V$16,"",$D$12+QUOTIENT(($C13-$C$12),Planung!$V$18)*(Planung!$S$7+Planung!$S$9)/1440+SUM($Y$12:$Y12)/1440)</f>
        <v>0.49652777777777779</v>
      </c>
      <c r="E13" s="297">
        <f ca="1">IF(Planung!$V$16,"",MOD($C13-$C$12,Planung!$V$18)+1)</f>
        <v>1</v>
      </c>
      <c r="F13" s="437" t="s">
        <v>341</v>
      </c>
      <c r="G13" s="438" t="s">
        <v>5</v>
      </c>
      <c r="H13" s="439" t="s">
        <v>344</v>
      </c>
      <c r="I13" s="414" t="str">
        <f t="shared" ca="1" si="0"/>
        <v/>
      </c>
      <c r="J13" s="292" t="s">
        <v>5</v>
      </c>
      <c r="K13" s="293" t="str">
        <f t="shared" ca="1" si="1"/>
        <v/>
      </c>
      <c r="L13" s="698"/>
      <c r="M13" s="723" t="str">
        <f>Sprache!$E$108</f>
        <v xml:space="preserve"> : </v>
      </c>
      <c r="N13" s="733"/>
      <c r="O13" s="697"/>
      <c r="P13" s="723" t="str">
        <f>Sprache!$E$108</f>
        <v xml:space="preserve"> : </v>
      </c>
      <c r="Q13" s="733"/>
      <c r="R13" s="697"/>
      <c r="S13" s="723" t="str">
        <f>Sprache!$E$108</f>
        <v xml:space="preserve"> : </v>
      </c>
      <c r="T13" s="743"/>
      <c r="U13" s="781" t="str">
        <f t="shared" ref="U13:U36" ca="1" si="2">IF(AW13,"",(L13&lt;&gt;"")*(N13&lt;&gt;"")*NOT(AX13)*((L13&gt;N13)+(L13=N13)*0.5)+(O13&lt;&gt;"")*(Q13&lt;&gt;"")*NOT(AY13)*((O13&gt;Q13)+(O13=Q13)*0.5)+(R13&lt;&gt;"")*(T13&lt;&gt;"")*NOT(AZ13)*((R13&gt;T13)+(R13=T13)*0.5))</f>
        <v/>
      </c>
      <c r="V13" s="739" t="str">
        <f>Sprache!$E$108</f>
        <v xml:space="preserve"> : </v>
      </c>
      <c r="W13" s="785" t="str">
        <f t="shared" ref="W13:W36" ca="1" si="3">IF(AW13,"",(L13&lt;&gt;"")*(N13&lt;&gt;"")*NOT(AX13)*((L13&lt;N13)+(L13=N13)*0.5)+(O13&lt;&gt;"")*(Q13&lt;&gt;"")*NOT(AY13)*((O13&lt;Q13)+(O13=Q13)*0.5)+(R13&lt;&gt;"")*(T13&lt;&gt;"")*NOT(AZ13)*((R13&lt;T13)+(R13=T13)*0.5))</f>
        <v/>
      </c>
      <c r="X13" s="714"/>
      <c r="Y13" s="711"/>
      <c r="AA13" s="423">
        <f ca="1">IF(CalcE1!$K$13=0,"",IF(VLOOKUP(CalcE1!$B$5,CalcE1!$C$4:$E$12,3,0)=MAX($AA12:$AA12),VLOOKUP(CalcE1!$B$5,CalcE1!$C$4:$E$12,3,0),CalcE1!$B$5))</f>
        <v>2</v>
      </c>
      <c r="AB13" s="327" t="str">
        <f ca="1">IF(Calc1!$F$14&lt;3,"",IF(CalcE1!$K$13=0,CalcE1!$Q$65,VLOOKUP(CalcE1!$B$5,CalcE1!$C$4:$N$12,4,0)))</f>
        <v>Maibach 1822 eV</v>
      </c>
      <c r="AC13" s="199">
        <f ca="1">IF(CalcE1!$K$13=0,"",VLOOKUP(CalcE1!$B$5,CalcE1!$C$4:$N$12,9,0))</f>
        <v>3</v>
      </c>
      <c r="AD13" s="174">
        <f ca="1">IF(CalcE1!$K$13=0,"",VLOOKUP(CalcE1!$B$5,CalcE1!$C$4:$N$12,10,0))</f>
        <v>1</v>
      </c>
      <c r="AE13" s="174">
        <f ca="1">IF(CalcE1!$K$13=0,"",VLOOKUP(CalcE1!$B$5,CalcE1!$C$4:$N$12,11,0))</f>
        <v>1</v>
      </c>
      <c r="AF13" s="174">
        <f ca="1">IF(CalcE1!$K$13=0,"",VLOOKUP(CalcE1!$B$5,CalcE1!$C$4:$N$12,12,0))</f>
        <v>1</v>
      </c>
      <c r="AG13" s="195">
        <f ca="1">IF(CalcE1!$K$13=0,"",VLOOKUP(CalcE1!B5,CalcE1!$C$4:$AT$12,44,0))</f>
        <v>3</v>
      </c>
      <c r="AH13" s="424" t="str">
        <f>Sprache!$E$108</f>
        <v xml:space="preserve"> : </v>
      </c>
      <c r="AI13" s="751">
        <f ca="1">IF(CalcE1!$K$13=0,"",VLOOKUP(CalcE1!B5,CalcE1!$C$4:$AS$12,43,0))</f>
        <v>3</v>
      </c>
      <c r="AJ13" s="196">
        <f ca="1">IF(CalcE1!$K$13=0,"",AG13-AI13)</f>
        <v>0</v>
      </c>
      <c r="AK13" s="747">
        <f ca="1">IF(CalcE1!$K$13=0,"",VLOOKUP(CalcE1!$B5,CalcE1!$C$4:$N$12,5,0))</f>
        <v>135</v>
      </c>
      <c r="AL13" s="424" t="str">
        <f>Sprache!$E$108</f>
        <v xml:space="preserve"> : </v>
      </c>
      <c r="AM13" s="197">
        <f ca="1">IF(CalcE1!$K$13=0,"",VLOOKUP(CalcE1!$B5,CalcE1!$C$4:$N$12,6,0))</f>
        <v>123</v>
      </c>
      <c r="AN13" s="174">
        <f ca="1">IF(CalcE1!$K$13=0,"",IF(VLOOKUP(CalcE1!B5,CalcE1!$C$4:$AV$12,46,0)=Einstellungen!$F$24,"max",VLOOKUP(CalcE1!B5,CalcE1!$C$4:$AV$12,46,0)))</f>
        <v>12</v>
      </c>
      <c r="AO13" s="198">
        <f ca="1">IF(CalcE1!$K$13=0,"",VLOOKUP(CalcE1!B5,CalcE1!$C$4:$AT$12,Einstellungen!$H$9,0))</f>
        <v>3</v>
      </c>
      <c r="AP13" s="47"/>
      <c r="AQ13" s="47"/>
      <c r="AR13" s="425" t="s">
        <v>302</v>
      </c>
      <c r="AS13" s="426" t="str">
        <f ca="1">IF(Vorrunde!$X$25="","",Vorrunde!$X$25)</f>
        <v>Mainz 05</v>
      </c>
      <c r="AT13" s="763"/>
      <c r="AU13" s="765"/>
      <c r="AW13" s="42" t="b">
        <f t="shared" ref="AW13:AW35" ca="1" si="4">OR(I13="",K13="",AND(OR(L13="",N13="",AX13),OR(O13="",Q13="",AY13),OR(R13="",T13="",AZ13)))</f>
        <v>1</v>
      </c>
      <c r="AX13" s="42" t="b">
        <f t="shared" ref="AX13:AX35" si="5">ABS(L13-N13)&lt;2*$AW$10</f>
        <v>1</v>
      </c>
      <c r="AY13" s="42" t="b">
        <f t="shared" ref="AY13:AY35" si="6">ABS(O13-Q13)&lt;2*$AW$10</f>
        <v>1</v>
      </c>
      <c r="AZ13" s="42" t="b">
        <f t="shared" ref="AZ13:AZ35" si="7">ABS(R13-T13)&lt;2*$AW$10</f>
        <v>1</v>
      </c>
      <c r="BA13" s="42" t="b">
        <f t="shared" ref="BA13:BA35" si="8">AND(AX13,L13&lt;&gt;"",N13&lt;&gt;"")</f>
        <v>0</v>
      </c>
      <c r="BB13" s="42" t="b">
        <f t="shared" ref="BB13:BB35" si="9">AND(AY13,O13&lt;&gt;"",Q13&lt;&gt;"")</f>
        <v>0</v>
      </c>
      <c r="BC13" s="42" t="b">
        <f t="shared" ref="BC13:BC35" si="10">AND(AZ13,R13&lt;&gt;"",T13&lt;&gt;"")</f>
        <v>0</v>
      </c>
    </row>
    <row r="14" spans="2:55" s="283" customFormat="1" ht="24" customHeight="1" x14ac:dyDescent="0.2">
      <c r="B14" s="330"/>
      <c r="C14" s="332">
        <f t="array" aca="1" ref="C14" ca="1">$C$12+ROW(2:2)-SUM((($I$12:$I13="")+($K$12:$K13="")&gt;0)*1)</f>
        <v>21</v>
      </c>
      <c r="D14" s="302">
        <f t="array" aca="1" ref="D14" ca="1">IF(Planung!$V$16,"",$D$12+QUOTIENT(($C14-$C$12),Planung!$V$18)*(Planung!$S$7+Planung!$S$9)/1440+SUM($Y$12:$Y13)/1440)</f>
        <v>0.49652777777777779</v>
      </c>
      <c r="E14" s="297">
        <f ca="1">IF(Planung!$V$16,"",MOD($C14-$C$12,Planung!$V$18)+1)</f>
        <v>1</v>
      </c>
      <c r="F14" s="434" t="s">
        <v>312</v>
      </c>
      <c r="G14" s="435" t="s">
        <v>5</v>
      </c>
      <c r="H14" s="436" t="s">
        <v>315</v>
      </c>
      <c r="I14" s="414" t="str">
        <f t="shared" ca="1" si="0"/>
        <v>FC Barcelona</v>
      </c>
      <c r="J14" s="292" t="s">
        <v>5</v>
      </c>
      <c r="K14" s="293" t="str">
        <f t="shared" ca="1" si="1"/>
        <v/>
      </c>
      <c r="L14" s="698"/>
      <c r="M14" s="723" t="str">
        <f>Sprache!$E$108</f>
        <v xml:space="preserve"> : </v>
      </c>
      <c r="N14" s="733"/>
      <c r="O14" s="697"/>
      <c r="P14" s="723" t="str">
        <f>Sprache!$E$108</f>
        <v xml:space="preserve"> : </v>
      </c>
      <c r="Q14" s="733"/>
      <c r="R14" s="697"/>
      <c r="S14" s="723" t="str">
        <f>Sprache!$E$108</f>
        <v xml:space="preserve"> : </v>
      </c>
      <c r="T14" s="743"/>
      <c r="U14" s="781" t="str">
        <f t="shared" ca="1" si="2"/>
        <v/>
      </c>
      <c r="V14" s="739" t="str">
        <f>Sprache!$E$108</f>
        <v xml:space="preserve"> : </v>
      </c>
      <c r="W14" s="785" t="str">
        <f t="shared" ca="1" si="3"/>
        <v/>
      </c>
      <c r="X14" s="714"/>
      <c r="Y14" s="711"/>
      <c r="AA14" s="423">
        <f ca="1">IF(CalcE1!$K$13=0,"",IF(VLOOKUP(CalcE1!$B$6,CalcE1!$C$4:$E$12,3,0)=MAX($AA12:$AA13),VLOOKUP(CalcE1!$B$6,CalcE1!$C$4:$E$12,3,0),CalcE1!$B$6))</f>
        <v>3</v>
      </c>
      <c r="AB14" s="327" t="str">
        <f ca="1">IF(Calc1!$F$14&lt;3,"",IF(CalcE1!$K$13=0,CalcE1!$Q$66,VLOOKUP(CalcE1!$B$6,CalcE1!$C$4:$N$12,4,0)))</f>
        <v>Mainz 05</v>
      </c>
      <c r="AC14" s="199">
        <f ca="1">IF(CalcE1!$K$13=0,"",VLOOKUP(CalcE1!$B$6,CalcE1!$C$4:$N$12,9,0))</f>
        <v>3</v>
      </c>
      <c r="AD14" s="174">
        <f ca="1">IF(CalcE1!$K$13=0,"",VLOOKUP(CalcE1!$B$6,CalcE1!$C$4:$N$12,10,0))</f>
        <v>1</v>
      </c>
      <c r="AE14" s="174">
        <f ca="1">IF(CalcE1!$K$13=0,"",VLOOKUP(CalcE1!$B$6,CalcE1!$C$4:$N$12,11,0))</f>
        <v>1</v>
      </c>
      <c r="AF14" s="174">
        <f ca="1">IF(CalcE1!$K$13=0,"",VLOOKUP(CalcE1!$B$6,CalcE1!$C$4:$N$12,12,0))</f>
        <v>1</v>
      </c>
      <c r="AG14" s="195">
        <f ca="1">IF(CalcE1!$K$13=0,"",VLOOKUP(CalcE1!B6,CalcE1!$C$4:$AT$12,44,0))</f>
        <v>3</v>
      </c>
      <c r="AH14" s="424" t="str">
        <f>Sprache!$E$108</f>
        <v xml:space="preserve"> : </v>
      </c>
      <c r="AI14" s="751">
        <f ca="1">IF(CalcE1!$K$13=0,"",VLOOKUP(CalcE1!B6,CalcE1!$C$4:$AS$12,43,0))</f>
        <v>3</v>
      </c>
      <c r="AJ14" s="196">
        <f ca="1">IF(CalcE1!$K$13=0,"",AG14-AI14)</f>
        <v>0</v>
      </c>
      <c r="AK14" s="747">
        <f ca="1">IF(CalcE1!$K$13=0,"",VLOOKUP(CalcE1!$B6,CalcE1!$C$4:$N$12,5,0))</f>
        <v>127</v>
      </c>
      <c r="AL14" s="424" t="str">
        <f>Sprache!$E$108</f>
        <v xml:space="preserve"> : </v>
      </c>
      <c r="AM14" s="197">
        <f ca="1">IF(CalcE1!$K$13=0,"",VLOOKUP(CalcE1!$B6,CalcE1!$C$4:$N$12,6,0))</f>
        <v>133</v>
      </c>
      <c r="AN14" s="174">
        <f ca="1">IF(CalcE1!$K$13=0,"",IF(VLOOKUP(CalcE1!B6,CalcE1!$C$4:$AV$12,46,0)=Einstellungen!$F$24,"max",VLOOKUP(CalcE1!B6,CalcE1!$C$4:$AV$12,46,0)))</f>
        <v>-6</v>
      </c>
      <c r="AO14" s="198">
        <f ca="1">IF(CalcE1!$K$13=0,"",VLOOKUP(CalcE1!B6,CalcE1!$C$4:$AT$12,Einstellungen!$H$9,0))</f>
        <v>3</v>
      </c>
      <c r="AP14" s="47"/>
      <c r="AQ14" s="47"/>
      <c r="AR14" s="408" t="s">
        <v>307</v>
      </c>
      <c r="AS14" s="426" t="str">
        <f ca="1">IF(Vorrunde!$X$13="","",Vorrunde!$X$13)</f>
        <v>Maibach 1822 eV</v>
      </c>
      <c r="AT14" s="763"/>
      <c r="AU14" s="765"/>
      <c r="AW14" s="42" t="b">
        <f t="shared" ca="1" si="4"/>
        <v>1</v>
      </c>
      <c r="AX14" s="42" t="b">
        <f t="shared" si="5"/>
        <v>1</v>
      </c>
      <c r="AY14" s="42" t="b">
        <f t="shared" si="6"/>
        <v>1</v>
      </c>
      <c r="AZ14" s="42" t="b">
        <f t="shared" si="7"/>
        <v>1</v>
      </c>
      <c r="BA14" s="42" t="b">
        <f t="shared" si="8"/>
        <v>0</v>
      </c>
      <c r="BB14" s="42" t="b">
        <f t="shared" si="9"/>
        <v>0</v>
      </c>
      <c r="BC14" s="42" t="b">
        <f t="shared" si="10"/>
        <v>0</v>
      </c>
    </row>
    <row r="15" spans="2:55" s="283" customFormat="1" ht="24" customHeight="1" thickBot="1" x14ac:dyDescent="0.25">
      <c r="B15" s="330"/>
      <c r="C15" s="332">
        <f t="array" aca="1" ref="C15" ca="1">$C$12+ROW(3:3)-SUM((($I$12:$I14="")+($K$12:$K14="")&gt;0)*1)</f>
        <v>21</v>
      </c>
      <c r="D15" s="302">
        <f t="array" aca="1" ref="D15" ca="1">IF(Planung!$V$16,"",$D$12+QUOTIENT(($C15-$C$12),Planung!$V$18)*(Planung!$S$7+Planung!$S$9)/1440+SUM($Y$12:$Y14)/1440)</f>
        <v>0.49652777777777779</v>
      </c>
      <c r="E15" s="297">
        <f ca="1">IF(Planung!$V$16,"",MOD($C15-$C$12,Planung!$V$18)+1)</f>
        <v>1</v>
      </c>
      <c r="F15" s="437" t="s">
        <v>301</v>
      </c>
      <c r="G15" s="438" t="s">
        <v>5</v>
      </c>
      <c r="H15" s="439" t="s">
        <v>311</v>
      </c>
      <c r="I15" s="414" t="str">
        <f t="shared" ca="1" si="0"/>
        <v>VFB Essenheim</v>
      </c>
      <c r="J15" s="292" t="s">
        <v>5</v>
      </c>
      <c r="K15" s="293" t="str">
        <f t="shared" ca="1" si="1"/>
        <v>SSV Wildbach</v>
      </c>
      <c r="L15" s="698">
        <v>25</v>
      </c>
      <c r="M15" s="724" t="str">
        <f>Sprache!$E$108</f>
        <v xml:space="preserve"> : </v>
      </c>
      <c r="N15" s="705">
        <v>20</v>
      </c>
      <c r="O15" s="698">
        <v>25</v>
      </c>
      <c r="P15" s="724" t="str">
        <f>Sprache!$E$108</f>
        <v xml:space="preserve"> : </v>
      </c>
      <c r="Q15" s="705">
        <v>17</v>
      </c>
      <c r="R15" s="698"/>
      <c r="S15" s="724" t="str">
        <f>Sprache!$E$108</f>
        <v xml:space="preserve"> : </v>
      </c>
      <c r="T15" s="744"/>
      <c r="U15" s="782">
        <f t="shared" ca="1" si="2"/>
        <v>2</v>
      </c>
      <c r="V15" s="740" t="str">
        <f>Sprache!$E$108</f>
        <v xml:space="preserve"> : </v>
      </c>
      <c r="W15" s="785">
        <f t="shared" ca="1" si="3"/>
        <v>0</v>
      </c>
      <c r="X15" s="714"/>
      <c r="Y15" s="711"/>
      <c r="AA15" s="427">
        <f ca="1">IF(CalcE1!$K$13=0,"",IF(VLOOKUP(CalcE1!$B$7,CalcE1!$C$4:$E$12,3,0)=MAX($AA12:$AA14),VLOOKUP(CalcE1!$B$7,CalcE1!$C$4:$E$12,3,0),CalcE1!$B$7))</f>
        <v>4</v>
      </c>
      <c r="AB15" s="329" t="str">
        <f ca="1">IF(Calc1!$F$14&lt;3,"",IF(CalcE1!$K$13=0,CalcE1!$Q$67,VLOOKUP(CalcE1!$B$7,CalcE1!$C$4:$N$12,4,0)))</f>
        <v>Eintracht Frankfurt</v>
      </c>
      <c r="AC15" s="210">
        <f ca="1">IF(CalcE1!$K$13=0,"",VLOOKUP(CalcE1!$B$7,CalcE1!$C$4:$N$12,9,0))</f>
        <v>3</v>
      </c>
      <c r="AD15" s="204">
        <f ca="1">IF(CalcE1!$K$13=0,"",VLOOKUP(CalcE1!$B$7,CalcE1!$C$4:$N$12,10,0))</f>
        <v>1</v>
      </c>
      <c r="AE15" s="204">
        <f ca="1">IF(CalcE1!$K$13=0,"",VLOOKUP(CalcE1!$B$7,CalcE1!$C$4:$N$12,11,0))</f>
        <v>0</v>
      </c>
      <c r="AF15" s="204">
        <f ca="1">IF(CalcE1!$K$13=0,"",VLOOKUP(CalcE1!$B$7,CalcE1!$C$4:$N$12,12,0))</f>
        <v>2</v>
      </c>
      <c r="AG15" s="206">
        <f ca="1">IF(CalcE1!$K$13=0,"",VLOOKUP(CalcE1!B7,CalcE1!$C$4:$AT$12,44,0))</f>
        <v>2</v>
      </c>
      <c r="AH15" s="428" t="str">
        <f>Sprache!$E$108</f>
        <v xml:space="preserve"> : </v>
      </c>
      <c r="AI15" s="752">
        <f ca="1">IF(CalcE1!$K$13=0,"",VLOOKUP(CalcE1!B7,CalcE1!$C$4:$AS$12,43,0))</f>
        <v>4</v>
      </c>
      <c r="AJ15" s="207">
        <f ca="1">IF(CalcE1!$K$13=0,"",AG15-AI15)</f>
        <v>-2</v>
      </c>
      <c r="AK15" s="748">
        <f ca="1">IF(CalcE1!$K$13=0,"",VLOOKUP(CalcE1!$B7,CalcE1!$C$4:$N$12,5,0))</f>
        <v>116</v>
      </c>
      <c r="AL15" s="428" t="str">
        <f>Sprache!$E$108</f>
        <v xml:space="preserve"> : </v>
      </c>
      <c r="AM15" s="208">
        <f ca="1">IF(CalcE1!$K$13=0,"",VLOOKUP(CalcE1!$B7,CalcE1!$C$4:$N$12,6,0))</f>
        <v>133</v>
      </c>
      <c r="AN15" s="204">
        <f ca="1">IF(CalcE1!$K$13=0,"",IF(VLOOKUP(CalcE1!B7,CalcE1!$C$4:$AV$12,46,0)=Einstellungen!$F$24,"max",VLOOKUP(CalcE1!B7,CalcE1!$C$4:$AV$12,46,0)))</f>
        <v>-17</v>
      </c>
      <c r="AO15" s="209">
        <f ca="1">IF(CalcE1!$K$13=0,"",VLOOKUP(CalcE1!B7,CalcE1!$C$4:$AT$12,Einstellungen!$H$9,0))</f>
        <v>2</v>
      </c>
      <c r="AP15" s="47"/>
      <c r="AQ15" s="47"/>
      <c r="AR15" s="429" t="s">
        <v>308</v>
      </c>
      <c r="AS15" s="430" t="str">
        <f ca="1">IF(Vorrunde!$X$26="","",Vorrunde!$X$26)</f>
        <v>Manchester City</v>
      </c>
      <c r="AT15" s="763"/>
      <c r="AU15" s="766"/>
      <c r="AW15" s="42" t="b">
        <f t="shared" ca="1" si="4"/>
        <v>0</v>
      </c>
      <c r="AX15" s="42" t="b">
        <f t="shared" si="5"/>
        <v>0</v>
      </c>
      <c r="AY15" s="42" t="b">
        <f t="shared" si="6"/>
        <v>0</v>
      </c>
      <c r="AZ15" s="42" t="b">
        <f t="shared" si="7"/>
        <v>1</v>
      </c>
      <c r="BA15" s="42" t="b">
        <f t="shared" si="8"/>
        <v>0</v>
      </c>
      <c r="BB15" s="42" t="b">
        <f t="shared" si="9"/>
        <v>0</v>
      </c>
      <c r="BC15" s="42" t="b">
        <f t="shared" si="10"/>
        <v>0</v>
      </c>
    </row>
    <row r="16" spans="2:55" s="283" customFormat="1" ht="24" customHeight="1" thickTop="1" x14ac:dyDescent="0.2">
      <c r="B16" s="330"/>
      <c r="C16" s="332">
        <f t="array" aca="1" ref="C16" ca="1">$C$12+ROW(4:4)-SUM((($I$12:$I15="")+($K$12:$K15="")&gt;0)*1)</f>
        <v>22</v>
      </c>
      <c r="D16" s="302">
        <f t="array" aca="1" ref="D16" ca="1">IF(Planung!$V$16,"",$D$12+QUOTIENT(($C16-$C$12),Planung!$V$18)*(Planung!$S$7+Planung!$S$9)/1440+SUM($Y$12:$Y15)/1440)</f>
        <v>0.49652777777777779</v>
      </c>
      <c r="E16" s="297">
        <f ca="1">IF(Planung!$V$16,"",MOD($C16-$C$12,Planung!$V$18)+1)</f>
        <v>2</v>
      </c>
      <c r="F16" s="437" t="s">
        <v>306</v>
      </c>
      <c r="G16" s="438" t="s">
        <v>5</v>
      </c>
      <c r="H16" s="439" t="s">
        <v>308</v>
      </c>
      <c r="I16" s="414" t="str">
        <f t="shared" ca="1" si="0"/>
        <v>Eintracht Frankfurt</v>
      </c>
      <c r="J16" s="292" t="s">
        <v>5</v>
      </c>
      <c r="K16" s="293" t="str">
        <f t="shared" ca="1" si="1"/>
        <v>Manchester City</v>
      </c>
      <c r="L16" s="698">
        <v>19</v>
      </c>
      <c r="M16" s="724" t="str">
        <f>Sprache!$E$108</f>
        <v xml:space="preserve"> : </v>
      </c>
      <c r="N16" s="705">
        <v>25</v>
      </c>
      <c r="O16" s="698">
        <v>16</v>
      </c>
      <c r="P16" s="724" t="str">
        <f>Sprache!$E$108</f>
        <v xml:space="preserve"> : </v>
      </c>
      <c r="Q16" s="705">
        <v>25</v>
      </c>
      <c r="R16" s="698"/>
      <c r="S16" s="724" t="str">
        <f>Sprache!$E$108</f>
        <v xml:space="preserve"> : </v>
      </c>
      <c r="T16" s="744"/>
      <c r="U16" s="782">
        <f t="shared" ca="1" si="2"/>
        <v>0</v>
      </c>
      <c r="V16" s="740" t="str">
        <f>Sprache!$E$108</f>
        <v xml:space="preserve"> : </v>
      </c>
      <c r="W16" s="785">
        <f t="shared" ca="1" si="3"/>
        <v>2</v>
      </c>
      <c r="X16" s="719"/>
      <c r="Y16" s="717"/>
      <c r="AJ16" s="716"/>
      <c r="AW16" s="42" t="b">
        <f t="shared" ca="1" si="4"/>
        <v>0</v>
      </c>
      <c r="AX16" s="42" t="b">
        <f t="shared" si="5"/>
        <v>0</v>
      </c>
      <c r="AY16" s="42" t="b">
        <f t="shared" si="6"/>
        <v>0</v>
      </c>
      <c r="AZ16" s="42" t="b">
        <f t="shared" si="7"/>
        <v>1</v>
      </c>
      <c r="BA16" s="42" t="b">
        <f t="shared" si="8"/>
        <v>0</v>
      </c>
      <c r="BB16" s="42" t="b">
        <f t="shared" si="9"/>
        <v>0</v>
      </c>
      <c r="BC16" s="42" t="b">
        <f t="shared" si="10"/>
        <v>0</v>
      </c>
    </row>
    <row r="17" spans="2:55" s="283" customFormat="1" ht="24" customHeight="1" thickBot="1" x14ac:dyDescent="0.45">
      <c r="B17" s="330"/>
      <c r="C17" s="332">
        <f t="array" aca="1" ref="C17" ca="1">$C$12+ROW(5:5)-SUM((($I$12:$I16="")+($K$12:$K16="")&gt;0)*1)</f>
        <v>23</v>
      </c>
      <c r="D17" s="302">
        <f t="array" aca="1" ref="D17" ca="1">IF(Planung!$V$16,"",$D$12+QUOTIENT(($C17-$C$12),Planung!$V$18)*(Planung!$S$7+Planung!$S$9)/1440+SUM($Y$12:$Y16)/1440)</f>
        <v>0.49652777777777779</v>
      </c>
      <c r="E17" s="297">
        <f ca="1">IF(Planung!$V$16,"",MOD($C17-$C$12,Planung!$V$18)+1)</f>
        <v>3</v>
      </c>
      <c r="F17" s="437" t="s">
        <v>342</v>
      </c>
      <c r="G17" s="438" t="s">
        <v>5</v>
      </c>
      <c r="H17" s="439" t="s">
        <v>343</v>
      </c>
      <c r="I17" s="414" t="str">
        <f t="shared" ca="1" si="0"/>
        <v/>
      </c>
      <c r="J17" s="292" t="s">
        <v>5</v>
      </c>
      <c r="K17" s="293" t="str">
        <f t="shared" ca="1" si="1"/>
        <v/>
      </c>
      <c r="L17" s="698">
        <v>2</v>
      </c>
      <c r="M17" s="724" t="str">
        <f>Sprache!$E$108</f>
        <v xml:space="preserve"> : </v>
      </c>
      <c r="N17" s="705"/>
      <c r="O17" s="698"/>
      <c r="P17" s="724" t="str">
        <f>Sprache!$E$108</f>
        <v xml:space="preserve"> : </v>
      </c>
      <c r="Q17" s="705"/>
      <c r="R17" s="698"/>
      <c r="S17" s="724" t="str">
        <f>Sprache!$E$108</f>
        <v xml:space="preserve"> : </v>
      </c>
      <c r="T17" s="744"/>
      <c r="U17" s="782" t="str">
        <f t="shared" ca="1" si="2"/>
        <v/>
      </c>
      <c r="V17" s="740" t="str">
        <f>Sprache!$E$108</f>
        <v xml:space="preserve"> : </v>
      </c>
      <c r="W17" s="785" t="str">
        <f t="shared" ca="1" si="3"/>
        <v/>
      </c>
      <c r="X17" s="719"/>
      <c r="Y17" s="717"/>
      <c r="AA17" s="945" t="str">
        <f>Sprache!$E$65</f>
        <v>Gruppendritte und -vierte</v>
      </c>
      <c r="AB17" s="945"/>
      <c r="AC17" s="945"/>
      <c r="AD17" s="945"/>
      <c r="AE17" s="945"/>
      <c r="AF17" s="945"/>
      <c r="AG17" s="175"/>
      <c r="AH17" s="175"/>
      <c r="AI17" s="175"/>
      <c r="AJ17" s="753"/>
      <c r="AK17" s="175"/>
      <c r="AL17" s="175"/>
      <c r="AM17" s="175"/>
      <c r="AN17" s="175"/>
      <c r="AO17" s="175"/>
      <c r="AP17" s="47"/>
      <c r="AQ17" s="47"/>
      <c r="AR17" s="946" t="str">
        <f>$AA17</f>
        <v>Gruppendritte und -vierte</v>
      </c>
      <c r="AS17" s="946"/>
      <c r="AT17" s="947"/>
      <c r="AW17" s="42" t="b">
        <f t="shared" ca="1" si="4"/>
        <v>1</v>
      </c>
      <c r="AX17" s="42" t="b">
        <f t="shared" si="5"/>
        <v>0</v>
      </c>
      <c r="AY17" s="42" t="b">
        <f t="shared" si="6"/>
        <v>1</v>
      </c>
      <c r="AZ17" s="42" t="b">
        <f t="shared" si="7"/>
        <v>1</v>
      </c>
      <c r="BA17" s="42" t="b">
        <f t="shared" si="8"/>
        <v>0</v>
      </c>
      <c r="BB17" s="42" t="b">
        <f t="shared" si="9"/>
        <v>0</v>
      </c>
      <c r="BC17" s="42" t="b">
        <f t="shared" si="10"/>
        <v>0</v>
      </c>
    </row>
    <row r="18" spans="2:55" ht="24" customHeight="1" thickTop="1" thickBot="1" x14ac:dyDescent="0.25">
      <c r="C18" s="332">
        <f t="array" aca="1" ref="C18" ca="1">$C$12+ROW(6:6)-SUM((($I$12:$I17="")+($K$12:$K17="")&gt;0)*1)</f>
        <v>23</v>
      </c>
      <c r="D18" s="302">
        <f t="array" aca="1" ref="D18" ca="1">IF(Planung!$V$16,"",$D$12+QUOTIENT(($C18-$C$12),Planung!$V$18)*(Planung!$S$7+Planung!$S$9)/1440+SUM($Y$12:$Y17)/1440)</f>
        <v>0.49652777777777779</v>
      </c>
      <c r="E18" s="297">
        <f ca="1">IF(Planung!$V$16,"",MOD($C18-$C$12,Planung!$V$18)+1)</f>
        <v>3</v>
      </c>
      <c r="F18" s="437" t="s">
        <v>313</v>
      </c>
      <c r="G18" s="438" t="s">
        <v>5</v>
      </c>
      <c r="H18" s="439" t="s">
        <v>314</v>
      </c>
      <c r="I18" s="414" t="str">
        <f t="shared" ca="1" si="0"/>
        <v>Inter Mailand</v>
      </c>
      <c r="J18" s="292" t="s">
        <v>5</v>
      </c>
      <c r="K18" s="293" t="str">
        <f t="shared" ca="1" si="1"/>
        <v/>
      </c>
      <c r="L18" s="698">
        <v>1</v>
      </c>
      <c r="M18" s="724" t="str">
        <f>Sprache!$E$108</f>
        <v xml:space="preserve"> : </v>
      </c>
      <c r="N18" s="705"/>
      <c r="O18" s="698"/>
      <c r="P18" s="724" t="str">
        <f>Sprache!$E$108</f>
        <v xml:space="preserve"> : </v>
      </c>
      <c r="Q18" s="705"/>
      <c r="R18" s="698"/>
      <c r="S18" s="724" t="str">
        <f>Sprache!$E$108</f>
        <v xml:space="preserve"> : </v>
      </c>
      <c r="T18" s="744"/>
      <c r="U18" s="782" t="str">
        <f t="shared" ca="1" si="2"/>
        <v/>
      </c>
      <c r="V18" s="740" t="str">
        <f>Sprache!$E$108</f>
        <v xml:space="preserve"> : </v>
      </c>
      <c r="W18" s="785" t="str">
        <f t="shared" ca="1" si="3"/>
        <v/>
      </c>
      <c r="X18" s="719"/>
      <c r="Y18" s="717"/>
      <c r="AA18" s="948"/>
      <c r="AB18" s="949"/>
      <c r="AC18" s="177" t="str">
        <f>Sprache!$E$21</f>
        <v>SP</v>
      </c>
      <c r="AD18" s="178" t="str">
        <f>Sprache!$E$22</f>
        <v>G</v>
      </c>
      <c r="AE18" s="178" t="str">
        <f>Sprache!$E$23</f>
        <v>U</v>
      </c>
      <c r="AF18" s="411" t="str">
        <f>Sprache!$E$24</f>
        <v>V</v>
      </c>
      <c r="AG18" s="944" t="str">
        <f>Sprache!$E$89</f>
        <v>Sätze</v>
      </c>
      <c r="AH18" s="944"/>
      <c r="AI18" s="944"/>
      <c r="AJ18" s="749" t="str">
        <f>Sprache!$E$26</f>
        <v>Diff.</v>
      </c>
      <c r="AK18" s="944" t="str">
        <f>Sprache!$E$90</f>
        <v>Bälle</v>
      </c>
      <c r="AL18" s="944"/>
      <c r="AM18" s="944"/>
      <c r="AN18" s="178" t="str">
        <f>IF(Einstellungen!$G$24,Sprache!$E$26,Sprache!$E$97)</f>
        <v>Diff.</v>
      </c>
      <c r="AO18" s="180" t="str">
        <f>IF(Einstellungen!$G$9,Sprache!$E$27,Sprache!$E$80)</f>
        <v>Pkt</v>
      </c>
      <c r="AR18" s="417"/>
      <c r="AS18" s="418" t="str">
        <f>Sprache!$E$10</f>
        <v>Teilnehmer bzw. Mannschaft</v>
      </c>
      <c r="AT18" s="762"/>
      <c r="AW18" s="42" t="b">
        <f t="shared" ca="1" si="4"/>
        <v>1</v>
      </c>
      <c r="AX18" s="42" t="b">
        <f t="shared" si="5"/>
        <v>1</v>
      </c>
      <c r="AY18" s="42" t="b">
        <f t="shared" si="6"/>
        <v>1</v>
      </c>
      <c r="AZ18" s="42" t="b">
        <f t="shared" si="7"/>
        <v>1</v>
      </c>
      <c r="BA18" s="42" t="b">
        <f t="shared" si="8"/>
        <v>0</v>
      </c>
      <c r="BB18" s="42" t="b">
        <f t="shared" si="9"/>
        <v>0</v>
      </c>
      <c r="BC18" s="42" t="b">
        <f t="shared" si="10"/>
        <v>0</v>
      </c>
    </row>
    <row r="19" spans="2:55" ht="24" customHeight="1" x14ac:dyDescent="0.2">
      <c r="C19" s="332">
        <f t="array" aca="1" ref="C19" ca="1">$C$12+ROW(7:7)-SUM((($I$12:$I18="")+($K$12:$K18="")&gt;0)*1)</f>
        <v>23</v>
      </c>
      <c r="D19" s="302">
        <f t="array" aca="1" ref="D19" ca="1">IF(Planung!$V$16,"",$D$12+QUOTIENT(($C19-$C$12),Planung!$V$18)*(Planung!$S$7+Planung!$S$9)/1440+SUM($Y$12:$Y18)/1440)</f>
        <v>0.49652777777777779</v>
      </c>
      <c r="E19" s="297">
        <f ca="1">IF(Planung!$V$16,"",MOD($C19-$C$12,Planung!$V$18)+1)</f>
        <v>3</v>
      </c>
      <c r="F19" s="437" t="s">
        <v>309</v>
      </c>
      <c r="G19" s="438" t="s">
        <v>5</v>
      </c>
      <c r="H19" s="439" t="s">
        <v>310</v>
      </c>
      <c r="I19" s="414" t="str">
        <f t="shared" ca="1" si="0"/>
        <v>FC Grönlingen</v>
      </c>
      <c r="J19" s="292" t="s">
        <v>5</v>
      </c>
      <c r="K19" s="293" t="str">
        <f t="shared" ca="1" si="1"/>
        <v>1. FC Riedwald</v>
      </c>
      <c r="L19" s="698">
        <v>25</v>
      </c>
      <c r="M19" s="724" t="str">
        <f>Sprache!$E$108</f>
        <v xml:space="preserve"> : </v>
      </c>
      <c r="N19" s="705">
        <v>23</v>
      </c>
      <c r="O19" s="698">
        <v>25</v>
      </c>
      <c r="P19" s="724" t="str">
        <f>Sprache!$E$108</f>
        <v xml:space="preserve"> : </v>
      </c>
      <c r="Q19" s="705">
        <v>21</v>
      </c>
      <c r="R19" s="698"/>
      <c r="S19" s="724" t="str">
        <f>Sprache!$E$108</f>
        <v xml:space="preserve"> : </v>
      </c>
      <c r="T19" s="744"/>
      <c r="U19" s="782">
        <f t="shared" ca="1" si="2"/>
        <v>2</v>
      </c>
      <c r="V19" s="740" t="str">
        <f>Sprache!$E$108</f>
        <v xml:space="preserve"> : </v>
      </c>
      <c r="W19" s="785">
        <f t="shared" ca="1" si="3"/>
        <v>0</v>
      </c>
      <c r="X19" s="719"/>
      <c r="Y19" s="717"/>
      <c r="AA19" s="419">
        <f ca="1">IF(CalcE2!$K$13=0,"",1)</f>
        <v>1</v>
      </c>
      <c r="AB19" s="325" t="str">
        <f ca="1">IF(Calc1!$F$14&lt;3,"",IF(AND(CalcE2!$K$13=0,AS23&lt;&gt;1),CalcE2!$Q$64,VLOOKUP(CalcE2!$B$4,CalcE2!$C$4:$N$12,4,0)))</f>
        <v>VFB Essenheim</v>
      </c>
      <c r="AC19" s="420">
        <f ca="1">IF(CalcE2!$K$13=0,"",VLOOKUP(CalcE2!$B$4,CalcE2!$C$4:$N$12,9,0))</f>
        <v>3</v>
      </c>
      <c r="AD19" s="184">
        <f ca="1">IF(CalcE2!$K$13=0,"",VLOOKUP(CalcE2!$B$4,CalcE2!$C$4:$N$12,10,0))</f>
        <v>2</v>
      </c>
      <c r="AE19" s="184">
        <f ca="1">IF(CalcE2!$K$13=0,"",VLOOKUP(CalcE2!$B$4,CalcE2!$C$4:$N$12,11,0))</f>
        <v>1</v>
      </c>
      <c r="AF19" s="184">
        <f ca="1">IF(CalcE2!$K$13=0,"",VLOOKUP(CalcE2!$B$4,CalcE2!$C$4:$N$12,12,0))</f>
        <v>0</v>
      </c>
      <c r="AG19" s="186">
        <f ca="1">IF(CalcE2!$K$13=0,"",VLOOKUP(CalcE2!B4,CalcE2!$C$4:$AT$12,44,0))</f>
        <v>5</v>
      </c>
      <c r="AH19" s="421" t="str">
        <f>Sprache!$E$108</f>
        <v xml:space="preserve"> : </v>
      </c>
      <c r="AI19" s="750">
        <f ca="1">IF(CalcE2!$K$13=0,"",VLOOKUP(CalcE2!B4,CalcE2!$C$4:$AS$12,43,0))</f>
        <v>1</v>
      </c>
      <c r="AJ19" s="187">
        <f ca="1">IF(CalcE2!$K$13=0,"",AG19-AI19)</f>
        <v>4</v>
      </c>
      <c r="AK19" s="746">
        <f ca="1">IF(CalcE2!$K$13=0,"",VLOOKUP(CalcE2!$B4,CalcE2!$C$4:$N$12,5,0))</f>
        <v>144</v>
      </c>
      <c r="AL19" s="421" t="str">
        <f>Sprache!$E$108</f>
        <v xml:space="preserve"> : </v>
      </c>
      <c r="AM19" s="188">
        <f ca="1">IF(CalcE2!$K$13=0,"",VLOOKUP(CalcE2!$B4,CalcE2!$C$4:$N$12,6,0))</f>
        <v>113</v>
      </c>
      <c r="AN19" s="184">
        <f ca="1">IF(CalcE2!$K$13=0,"",IF(VLOOKUP(CalcE2!B4,CalcE2!$C$4:$AV$12,46,0)=Einstellungen!$F$24,"max",VLOOKUP(CalcE2!B4,CalcE2!$C$4:$AV$12,46,0)))</f>
        <v>31</v>
      </c>
      <c r="AO19" s="189">
        <f ca="1">IF(CalcE2!$K$13=0,"",VLOOKUP(CalcE2!B4,CalcE2!$C$4:$AT$12,Einstellungen!$H$9,0))</f>
        <v>5</v>
      </c>
      <c r="AR19" s="409" t="s">
        <v>301</v>
      </c>
      <c r="AS19" s="422" t="str">
        <f ca="1">IF(Vorrunde!$X$14="","",Vorrunde!$X$14)</f>
        <v>VFB Essenheim</v>
      </c>
      <c r="AT19" s="763"/>
      <c r="AU19" s="764"/>
      <c r="AW19" s="42" t="b">
        <f t="shared" ca="1" si="4"/>
        <v>0</v>
      </c>
      <c r="AX19" s="42" t="b">
        <f t="shared" si="5"/>
        <v>0</v>
      </c>
      <c r="AY19" s="42" t="b">
        <f t="shared" si="6"/>
        <v>0</v>
      </c>
      <c r="AZ19" s="42" t="b">
        <f t="shared" si="7"/>
        <v>1</v>
      </c>
      <c r="BA19" s="42" t="b">
        <f t="shared" si="8"/>
        <v>0</v>
      </c>
      <c r="BB19" s="42" t="b">
        <f t="shared" si="9"/>
        <v>0</v>
      </c>
      <c r="BC19" s="42" t="b">
        <f t="shared" si="10"/>
        <v>0</v>
      </c>
    </row>
    <row r="20" spans="2:55" ht="24" customHeight="1" x14ac:dyDescent="0.2">
      <c r="C20" s="332">
        <f t="array" aca="1" ref="C20" ca="1">$C$12+ROW(8:8)-SUM((($I$12:$I19="")+($K$12:$K19="")&gt;0)*1)</f>
        <v>24</v>
      </c>
      <c r="D20" s="302">
        <f t="array" aca="1" ref="D20" ca="1">IF(Planung!$V$16,"",$D$12+QUOTIENT(($C20-$C$12),Planung!$V$18)*(Planung!$S$7+Planung!$S$9)/1440+SUM($Y$12:$Y19)/1440)</f>
        <v>0.49652777777777779</v>
      </c>
      <c r="E20" s="297">
        <f ca="1">IF(Planung!$V$16,"",MOD($C20-$C$12,Planung!$V$18)+1)</f>
        <v>4</v>
      </c>
      <c r="F20" s="437" t="s">
        <v>302</v>
      </c>
      <c r="G20" s="438" t="s">
        <v>5</v>
      </c>
      <c r="H20" s="439" t="s">
        <v>307</v>
      </c>
      <c r="I20" s="414" t="str">
        <f t="shared" ca="1" si="0"/>
        <v>Mainz 05</v>
      </c>
      <c r="J20" s="292" t="s">
        <v>5</v>
      </c>
      <c r="K20" s="293" t="str">
        <f t="shared" ca="1" si="1"/>
        <v>Maibach 1822 eV</v>
      </c>
      <c r="L20" s="698">
        <v>25</v>
      </c>
      <c r="M20" s="724" t="str">
        <f>Sprache!$E$108</f>
        <v xml:space="preserve"> : </v>
      </c>
      <c r="N20" s="705">
        <v>17</v>
      </c>
      <c r="O20" s="698">
        <v>25</v>
      </c>
      <c r="P20" s="724" t="str">
        <f>Sprache!$E$108</f>
        <v xml:space="preserve"> : </v>
      </c>
      <c r="Q20" s="705">
        <v>22</v>
      </c>
      <c r="R20" s="698"/>
      <c r="S20" s="724" t="str">
        <f>Sprache!$E$108</f>
        <v xml:space="preserve"> : </v>
      </c>
      <c r="T20" s="744"/>
      <c r="U20" s="782">
        <f t="shared" ca="1" si="2"/>
        <v>2</v>
      </c>
      <c r="V20" s="740" t="str">
        <f>Sprache!$E$108</f>
        <v xml:space="preserve"> : </v>
      </c>
      <c r="W20" s="785">
        <f t="shared" ca="1" si="3"/>
        <v>0</v>
      </c>
      <c r="X20" s="719"/>
      <c r="Y20" s="717"/>
      <c r="AA20" s="423">
        <f ca="1">IF(CalcE2!$K$13=0,"",IF(VLOOKUP(CalcE2!$B$5,CalcE2!$C$4:$E$12,3,0)=MAX($AA19:$AA19),VLOOKUP(CalcE2!$B$5,CalcE2!$C$4:$E$12,3,0),CalcE2!$B$5))</f>
        <v>2</v>
      </c>
      <c r="AB20" s="327" t="str">
        <f ca="1">IF(OR(Calc1!$F$14&lt;3,AS23=1),"",IF(CalcE2!$K$13=0,CalcE2!$Q$65,VLOOKUP(CalcE2!$B$5,CalcE2!$C$4:$N$12,4,0)))</f>
        <v>FC Grönlingen</v>
      </c>
      <c r="AC20" s="199">
        <f ca="1">IF(CalcE2!$K$13=0,"",VLOOKUP(CalcE2!$B$5,CalcE2!$C$4:$N$12,9,0))</f>
        <v>3</v>
      </c>
      <c r="AD20" s="174">
        <f ca="1">IF(CalcE2!$K$13=0,"",VLOOKUP(CalcE2!$B$5,CalcE2!$C$4:$N$12,10,0))</f>
        <v>1</v>
      </c>
      <c r="AE20" s="174">
        <f ca="1">IF(CalcE2!$K$13=0,"",VLOOKUP(CalcE2!$B$5,CalcE2!$C$4:$N$12,11,0))</f>
        <v>1</v>
      </c>
      <c r="AF20" s="174">
        <f ca="1">IF(CalcE2!$K$13=0,"",VLOOKUP(CalcE2!$B$5,CalcE2!$C$4:$N$12,12,0))</f>
        <v>1</v>
      </c>
      <c r="AG20" s="195">
        <f ca="1">IF(CalcE2!$K$13=0,"",VLOOKUP(CalcE2!B5,CalcE2!$C$4:$AT$12,44,0))</f>
        <v>3</v>
      </c>
      <c r="AH20" s="424" t="str">
        <f>Sprache!$E$108</f>
        <v xml:space="preserve"> : </v>
      </c>
      <c r="AI20" s="751">
        <f ca="1">IF(CalcE2!$K$13=0,"",VLOOKUP(CalcE2!B5,CalcE2!$C$4:$AS$12,43,0))</f>
        <v>3</v>
      </c>
      <c r="AJ20" s="196">
        <f ca="1">IF(CalcE2!$K$13=0,"",AG20-AI20)</f>
        <v>0</v>
      </c>
      <c r="AK20" s="747">
        <f ca="1">IF(CalcE2!$K$13=0,"",VLOOKUP(CalcE2!$B5,CalcE2!$C$4:$N$12,5,0))</f>
        <v>136</v>
      </c>
      <c r="AL20" s="424" t="str">
        <f>Sprache!$E$108</f>
        <v xml:space="preserve"> : </v>
      </c>
      <c r="AM20" s="197">
        <f ca="1">IF(CalcE2!$K$13=0,"",VLOOKUP(CalcE2!$B5,CalcE2!$C$4:$N$12,6,0))</f>
        <v>139</v>
      </c>
      <c r="AN20" s="174">
        <f ca="1">IF(CalcE2!$K$13=0,"",IF(VLOOKUP(CalcE2!B5,CalcE2!$C$4:$AV$12,46,0)=Einstellungen!$F$24,"max",VLOOKUP(CalcE2!B5,CalcE2!$C$4:$AV$12,46,0)))</f>
        <v>-3</v>
      </c>
      <c r="AO20" s="198">
        <f ca="1">IF(CalcE2!$K$13=0,"",VLOOKUP(CalcE2!B5,CalcE2!$C$4:$AT$12,Einstellungen!$H$9,0))</f>
        <v>3</v>
      </c>
      <c r="AR20" s="425" t="s">
        <v>309</v>
      </c>
      <c r="AS20" s="426" t="str">
        <f ca="1">IF(Vorrunde!$X$27="","",Vorrunde!$X$27)</f>
        <v>FC Grönlingen</v>
      </c>
      <c r="AT20" s="763"/>
      <c r="AU20" s="765"/>
      <c r="AW20" s="42" t="b">
        <f t="shared" ca="1" si="4"/>
        <v>0</v>
      </c>
      <c r="AX20" s="42" t="b">
        <f t="shared" si="5"/>
        <v>0</v>
      </c>
      <c r="AY20" s="42" t="b">
        <f t="shared" si="6"/>
        <v>0</v>
      </c>
      <c r="AZ20" s="42" t="b">
        <f t="shared" si="7"/>
        <v>1</v>
      </c>
      <c r="BA20" s="42" t="b">
        <f t="shared" si="8"/>
        <v>0</v>
      </c>
      <c r="BB20" s="42" t="b">
        <f t="shared" si="9"/>
        <v>0</v>
      </c>
      <c r="BC20" s="42" t="b">
        <f t="shared" si="10"/>
        <v>0</v>
      </c>
    </row>
    <row r="21" spans="2:55" ht="24" customHeight="1" x14ac:dyDescent="0.2">
      <c r="C21" s="332">
        <f t="array" aca="1" ref="C21" ca="1">$C$12+ROW(9:9)-SUM((($I$12:$I20="")+($K$12:$K20="")&gt;0)*1)</f>
        <v>25</v>
      </c>
      <c r="D21" s="302">
        <f t="array" aca="1" ref="D21" ca="1">IF(Planung!$V$16,"",$D$12+QUOTIENT(($C21-$C$12),Planung!$V$18)*(Planung!$S$7+Planung!$S$9)/1440+SUM($Y$12:$Y20)/1440)</f>
        <v>0.52083333333333337</v>
      </c>
      <c r="E21" s="297">
        <f ca="1">IF(Planung!$V$16,"",MOD($C21-$C$12,Planung!$V$18)+1)</f>
        <v>1</v>
      </c>
      <c r="F21" s="437" t="s">
        <v>341</v>
      </c>
      <c r="G21" s="438" t="s">
        <v>5</v>
      </c>
      <c r="H21" s="439" t="s">
        <v>343</v>
      </c>
      <c r="I21" s="414" t="str">
        <f t="shared" ca="1" si="0"/>
        <v/>
      </c>
      <c r="J21" s="292" t="s">
        <v>5</v>
      </c>
      <c r="K21" s="293" t="str">
        <f t="shared" ca="1" si="1"/>
        <v/>
      </c>
      <c r="L21" s="698">
        <v>2</v>
      </c>
      <c r="M21" s="724" t="str">
        <f>Sprache!$E$108</f>
        <v xml:space="preserve"> : </v>
      </c>
      <c r="N21" s="705"/>
      <c r="O21" s="698"/>
      <c r="P21" s="724" t="str">
        <f>Sprache!$E$108</f>
        <v xml:space="preserve"> : </v>
      </c>
      <c r="Q21" s="705"/>
      <c r="R21" s="698"/>
      <c r="S21" s="724" t="str">
        <f>Sprache!$E$108</f>
        <v xml:space="preserve"> : </v>
      </c>
      <c r="T21" s="744"/>
      <c r="U21" s="782" t="str">
        <f t="shared" ca="1" si="2"/>
        <v/>
      </c>
      <c r="V21" s="740" t="str">
        <f>Sprache!$E$108</f>
        <v xml:space="preserve"> : </v>
      </c>
      <c r="W21" s="785" t="str">
        <f t="shared" ca="1" si="3"/>
        <v/>
      </c>
      <c r="X21" s="719"/>
      <c r="Y21" s="717"/>
      <c r="AA21" s="423">
        <f ca="1">IF(CalcE2!$K$13=0,"",IF(VLOOKUP(CalcE2!$B$6,CalcE2!$C$4:$E$12,3,0)=MAX($AA19:$AA20),VLOOKUP(CalcE2!$B$6,CalcE2!$C$4:$E$12,3,0),CalcE2!$B$6))</f>
        <v>3</v>
      </c>
      <c r="AB21" s="327" t="str">
        <f ca="1">IF(OR(Calc1!$F$14&lt;3,AS23=1),"",IF(CalcE2!$K$13=0,CalcE2!$Q$66,VLOOKUP(CalcE2!$B$6,CalcE2!$C$4:$N$12,4,0)))</f>
        <v>SSV Wildbach</v>
      </c>
      <c r="AC21" s="199">
        <f ca="1">IF(CalcE2!$K$13=0,"",VLOOKUP(CalcE2!$B$6,CalcE2!$C$4:$N$12,9,0))</f>
        <v>3</v>
      </c>
      <c r="AD21" s="174">
        <f ca="1">IF(CalcE2!$K$13=0,"",VLOOKUP(CalcE2!$B$6,CalcE2!$C$4:$N$12,10,0))</f>
        <v>0</v>
      </c>
      <c r="AE21" s="174">
        <f ca="1">IF(CalcE2!$K$13=0,"",VLOOKUP(CalcE2!$B$6,CalcE2!$C$4:$N$12,11,0))</f>
        <v>2</v>
      </c>
      <c r="AF21" s="174">
        <f ca="1">IF(CalcE2!$K$13=0,"",VLOOKUP(CalcE2!$B$6,CalcE2!$C$4:$N$12,12,0))</f>
        <v>1</v>
      </c>
      <c r="AG21" s="195">
        <f ca="1">IF(CalcE2!$K$13=0,"",VLOOKUP(CalcE2!B6,CalcE2!$C$4:$AT$12,44,0))</f>
        <v>2</v>
      </c>
      <c r="AH21" s="424" t="str">
        <f>Sprache!$E$108</f>
        <v xml:space="preserve"> : </v>
      </c>
      <c r="AI21" s="751">
        <f ca="1">IF(CalcE2!$K$13=0,"",VLOOKUP(CalcE2!B6,CalcE2!$C$4:$AS$12,43,0))</f>
        <v>4</v>
      </c>
      <c r="AJ21" s="196">
        <f ca="1">IF(CalcE2!$K$13=0,"",AG21-AI21)</f>
        <v>-2</v>
      </c>
      <c r="AK21" s="747">
        <f ca="1">IF(CalcE2!$K$13=0,"",VLOOKUP(CalcE2!$B6,CalcE2!$C$4:$N$12,5,0))</f>
        <v>130</v>
      </c>
      <c r="AL21" s="424" t="str">
        <f>Sprache!$E$108</f>
        <v xml:space="preserve"> : </v>
      </c>
      <c r="AM21" s="197">
        <f ca="1">IF(CalcE2!$K$13=0,"",VLOOKUP(CalcE2!$B6,CalcE2!$C$4:$N$12,6,0))</f>
        <v>136</v>
      </c>
      <c r="AN21" s="174">
        <f ca="1">IF(CalcE2!$K$13=0,"",IF(VLOOKUP(CalcE2!B6,CalcE2!$C$4:$AV$12,46,0)=Einstellungen!$F$24,"max",VLOOKUP(CalcE2!B6,CalcE2!$C$4:$AV$12,46,0)))</f>
        <v>-6</v>
      </c>
      <c r="AO21" s="198">
        <f ca="1">IF(CalcE2!$K$13=0,"",VLOOKUP(CalcE2!B6,CalcE2!$C$4:$AT$12,Einstellungen!$H$9,0))</f>
        <v>2</v>
      </c>
      <c r="AR21" s="410" t="s">
        <v>310</v>
      </c>
      <c r="AS21" s="426" t="str">
        <f ca="1">IF(Vorrunde!$X$15="","",Vorrunde!$X$15)</f>
        <v>1. FC Riedwald</v>
      </c>
      <c r="AT21" s="763"/>
      <c r="AU21" s="765"/>
      <c r="AW21" s="42" t="b">
        <f t="shared" ca="1" si="4"/>
        <v>1</v>
      </c>
      <c r="AX21" s="42" t="b">
        <f t="shared" si="5"/>
        <v>0</v>
      </c>
      <c r="AY21" s="42" t="b">
        <f t="shared" si="6"/>
        <v>1</v>
      </c>
      <c r="AZ21" s="42" t="b">
        <f t="shared" si="7"/>
        <v>1</v>
      </c>
      <c r="BA21" s="42" t="b">
        <f t="shared" si="8"/>
        <v>0</v>
      </c>
      <c r="BB21" s="42" t="b">
        <f t="shared" si="9"/>
        <v>0</v>
      </c>
      <c r="BC21" s="42" t="b">
        <f t="shared" si="10"/>
        <v>0</v>
      </c>
    </row>
    <row r="22" spans="2:55" ht="24" customHeight="1" thickBot="1" x14ac:dyDescent="0.25">
      <c r="C22" s="332">
        <f t="array" aca="1" ref="C22" ca="1">$C$12+ROW(10:10)-SUM((($I$12:$I21="")+($K$12:$K21="")&gt;0)*1)</f>
        <v>25</v>
      </c>
      <c r="D22" s="302">
        <f t="array" aca="1" ref="D22" ca="1">IF(Planung!$V$16,"",$D$12+QUOTIENT(($C22-$C$12),Planung!$V$18)*(Planung!$S$7+Planung!$S$9)/1440+SUM($Y$12:$Y21)/1440)</f>
        <v>0.52083333333333337</v>
      </c>
      <c r="E22" s="297">
        <f ca="1">IF(Planung!$V$16,"",MOD($C22-$C$12,Planung!$V$18)+1)</f>
        <v>1</v>
      </c>
      <c r="F22" s="437" t="s">
        <v>312</v>
      </c>
      <c r="G22" s="438" t="s">
        <v>5</v>
      </c>
      <c r="H22" s="439" t="s">
        <v>314</v>
      </c>
      <c r="I22" s="414" t="str">
        <f t="shared" ca="1" si="0"/>
        <v>FC Barcelona</v>
      </c>
      <c r="J22" s="292" t="s">
        <v>5</v>
      </c>
      <c r="K22" s="293" t="str">
        <f t="shared" ca="1" si="1"/>
        <v/>
      </c>
      <c r="L22" s="698">
        <v>4</v>
      </c>
      <c r="M22" s="724" t="str">
        <f>Sprache!$E$108</f>
        <v xml:space="preserve"> : </v>
      </c>
      <c r="N22" s="705"/>
      <c r="O22" s="698"/>
      <c r="P22" s="724" t="str">
        <f>Sprache!$E$108</f>
        <v xml:space="preserve"> : </v>
      </c>
      <c r="Q22" s="705"/>
      <c r="R22" s="698"/>
      <c r="S22" s="724" t="str">
        <f>Sprache!$E$108</f>
        <v xml:space="preserve"> : </v>
      </c>
      <c r="T22" s="744"/>
      <c r="U22" s="782" t="str">
        <f t="shared" ca="1" si="2"/>
        <v/>
      </c>
      <c r="V22" s="740" t="str">
        <f>Sprache!$E$108</f>
        <v xml:space="preserve"> : </v>
      </c>
      <c r="W22" s="785" t="str">
        <f t="shared" ca="1" si="3"/>
        <v/>
      </c>
      <c r="X22" s="719"/>
      <c r="Y22" s="717"/>
      <c r="AA22" s="427">
        <f ca="1">IF(CalcE2!$K$13=0,"",IF(VLOOKUP(CalcE2!$B$7,CalcE2!$C$4:$E$12,3,0)=MAX($AA19:$AA21),VLOOKUP(CalcE2!$B$7,CalcE2!$C$4:$E$12,3,0),CalcE2!$B$7))</f>
        <v>4</v>
      </c>
      <c r="AB22" s="329" t="str">
        <f ca="1">IF(OR(Calc1!$F$14&lt;3,AS23=1),"",IF(CalcE2!$K$13=0,CalcE2!$Q$67,VLOOKUP(CalcE2!$B$7,CalcE2!$C$4:$N$12,4,0)))</f>
        <v>1. FC Riedwald</v>
      </c>
      <c r="AC22" s="210">
        <f ca="1">IF(CalcE2!$K$13=0,"",VLOOKUP(CalcE2!$B$7,CalcE2!$C$4:$N$12,9,0))</f>
        <v>3</v>
      </c>
      <c r="AD22" s="204">
        <f ca="1">IF(CalcE2!$K$13=0,"",VLOOKUP(CalcE2!$B$7,CalcE2!$C$4:$N$12,10,0))</f>
        <v>0</v>
      </c>
      <c r="AE22" s="204">
        <f ca="1">IF(CalcE2!$K$13=0,"",VLOOKUP(CalcE2!$B$7,CalcE2!$C$4:$N$12,11,0))</f>
        <v>2</v>
      </c>
      <c r="AF22" s="204">
        <f ca="1">IF(CalcE2!$K$13=0,"",VLOOKUP(CalcE2!$B$7,CalcE2!$C$4:$N$12,12,0))</f>
        <v>1</v>
      </c>
      <c r="AG22" s="206">
        <f ca="1">IF(CalcE2!$K$13=0,"",VLOOKUP(CalcE2!B7,CalcE2!$C$4:$AT$12,44,0))</f>
        <v>2</v>
      </c>
      <c r="AH22" s="428" t="str">
        <f>Sprache!$E$108</f>
        <v xml:space="preserve"> : </v>
      </c>
      <c r="AI22" s="752">
        <f ca="1">IF(CalcE2!$K$13=0,"",VLOOKUP(CalcE2!B7,CalcE2!$C$4:$AS$12,43,0))</f>
        <v>4</v>
      </c>
      <c r="AJ22" s="207">
        <f ca="1">IF(CalcE2!$K$13=0,"",AG22-AI22)</f>
        <v>-2</v>
      </c>
      <c r="AK22" s="748">
        <f ca="1">IF(CalcE2!$K$13=0,"",VLOOKUP(CalcE2!$B7,CalcE2!$C$4:$N$12,5,0))</f>
        <v>120</v>
      </c>
      <c r="AL22" s="428" t="str">
        <f>Sprache!$E$108</f>
        <v xml:space="preserve"> : </v>
      </c>
      <c r="AM22" s="208">
        <f ca="1">IF(CalcE2!$K$13=0,"",VLOOKUP(CalcE2!$B7,CalcE2!$C$4:$N$12,6,0))</f>
        <v>142</v>
      </c>
      <c r="AN22" s="204">
        <f ca="1">IF(CalcE2!$K$13=0,"",IF(VLOOKUP(CalcE2!B7,CalcE2!$C$4:$AV$12,46,0)=Einstellungen!$F$24,"max",VLOOKUP(CalcE2!B7,CalcE2!$C$4:$AV$12,46,0)))</f>
        <v>-22</v>
      </c>
      <c r="AO22" s="209">
        <f ca="1">IF(CalcE2!$K$13=0,"",VLOOKUP(CalcE2!B7,CalcE2!$C$4:$AT$12,Einstellungen!$H$9,0))</f>
        <v>2</v>
      </c>
      <c r="AR22" s="429" t="s">
        <v>311</v>
      </c>
      <c r="AS22" s="430" t="str">
        <f ca="1">IF(Vorrunde!$X$28="","",Vorrunde!$X$28)</f>
        <v>SSV Wildbach</v>
      </c>
      <c r="AT22" s="763"/>
      <c r="AU22" s="766"/>
      <c r="AW22" s="42" t="b">
        <f t="shared" ca="1" si="4"/>
        <v>1</v>
      </c>
      <c r="AX22" s="42" t="b">
        <f t="shared" si="5"/>
        <v>0</v>
      </c>
      <c r="AY22" s="42" t="b">
        <f t="shared" si="6"/>
        <v>1</v>
      </c>
      <c r="AZ22" s="42" t="b">
        <f t="shared" si="7"/>
        <v>1</v>
      </c>
      <c r="BA22" s="42" t="b">
        <f t="shared" si="8"/>
        <v>0</v>
      </c>
      <c r="BB22" s="42" t="b">
        <f t="shared" si="9"/>
        <v>0</v>
      </c>
      <c r="BC22" s="42" t="b">
        <f t="shared" si="10"/>
        <v>0</v>
      </c>
    </row>
    <row r="23" spans="2:55" ht="24" customHeight="1" thickTop="1" x14ac:dyDescent="0.2">
      <c r="C23" s="332">
        <f t="array" aca="1" ref="C23" ca="1">$C$12+ROW(11:11)-SUM((($I$12:$I22="")+($K$12:$K22="")&gt;0)*1)</f>
        <v>25</v>
      </c>
      <c r="D23" s="302">
        <f t="array" aca="1" ref="D23" ca="1">IF(Planung!$V$16,"",$D$12+QUOTIENT(($C23-$C$12),Planung!$V$18)*(Planung!$S$7+Planung!$S$9)/1440+SUM($Y$12:$Y22)/1440)</f>
        <v>0.52083333333333337</v>
      </c>
      <c r="E23" s="297">
        <f ca="1">IF(Planung!$V$16,"",MOD($C23-$C$12,Planung!$V$18)+1)</f>
        <v>1</v>
      </c>
      <c r="F23" s="437" t="s">
        <v>301</v>
      </c>
      <c r="G23" s="438" t="s">
        <v>5</v>
      </c>
      <c r="H23" s="439" t="s">
        <v>310</v>
      </c>
      <c r="I23" s="414" t="str">
        <f t="shared" ca="1" si="0"/>
        <v>VFB Essenheim</v>
      </c>
      <c r="J23" s="292" t="s">
        <v>5</v>
      </c>
      <c r="K23" s="293" t="str">
        <f t="shared" ca="1" si="1"/>
        <v>1. FC Riedwald</v>
      </c>
      <c r="L23" s="698">
        <v>19</v>
      </c>
      <c r="M23" s="724" t="str">
        <f>Sprache!$E$108</f>
        <v xml:space="preserve"> : </v>
      </c>
      <c r="N23" s="705">
        <v>25</v>
      </c>
      <c r="O23" s="698">
        <v>25</v>
      </c>
      <c r="P23" s="724" t="str">
        <f>Sprache!$E$108</f>
        <v xml:space="preserve"> : </v>
      </c>
      <c r="Q23" s="705">
        <v>12</v>
      </c>
      <c r="R23" s="698"/>
      <c r="S23" s="724" t="str">
        <f>Sprache!$E$108</f>
        <v xml:space="preserve"> : </v>
      </c>
      <c r="T23" s="744"/>
      <c r="U23" s="782">
        <f t="shared" ca="1" si="2"/>
        <v>1</v>
      </c>
      <c r="V23" s="740" t="str">
        <f>Sprache!$E$108</f>
        <v xml:space="preserve"> : </v>
      </c>
      <c r="W23" s="785">
        <f t="shared" ca="1" si="3"/>
        <v>1</v>
      </c>
      <c r="X23" s="719"/>
      <c r="Y23" s="717"/>
      <c r="AJ23" s="274"/>
      <c r="AS23" s="450">
        <f t="array" aca="1" ref="AS23" ca="1">SUM((AS19:AS22&lt;&gt;"")*1)</f>
        <v>4</v>
      </c>
      <c r="AW23" s="42" t="b">
        <f t="shared" ca="1" si="4"/>
        <v>0</v>
      </c>
      <c r="AX23" s="42" t="b">
        <f t="shared" si="5"/>
        <v>0</v>
      </c>
      <c r="AY23" s="42" t="b">
        <f t="shared" si="6"/>
        <v>0</v>
      </c>
      <c r="AZ23" s="42" t="b">
        <f t="shared" si="7"/>
        <v>1</v>
      </c>
      <c r="BA23" s="42" t="b">
        <f t="shared" si="8"/>
        <v>0</v>
      </c>
      <c r="BB23" s="42" t="b">
        <f t="shared" si="9"/>
        <v>0</v>
      </c>
      <c r="BC23" s="42" t="b">
        <f t="shared" si="10"/>
        <v>0</v>
      </c>
    </row>
    <row r="24" spans="2:55" ht="24" customHeight="1" thickBot="1" x14ac:dyDescent="0.45">
      <c r="C24" s="332">
        <f t="array" aca="1" ref="C24" ca="1">$C$12+ROW(12:12)-SUM((($I$12:$I23="")+($K$12:$K23="")&gt;0)*1)</f>
        <v>26</v>
      </c>
      <c r="D24" s="302">
        <f t="array" aca="1" ref="D24" ca="1">IF(Planung!$V$16,"",$D$12+QUOTIENT(($C24-$C$12),Planung!$V$18)*(Planung!$S$7+Planung!$S$9)/1440+SUM($Y$12:$Y23)/1440)</f>
        <v>0.52083333333333337</v>
      </c>
      <c r="E24" s="297">
        <f ca="1">IF(Planung!$V$16,"",MOD($C24-$C$12,Planung!$V$18)+1)</f>
        <v>2</v>
      </c>
      <c r="F24" s="437" t="s">
        <v>306</v>
      </c>
      <c r="G24" s="438" t="s">
        <v>5</v>
      </c>
      <c r="H24" s="439" t="s">
        <v>307</v>
      </c>
      <c r="I24" s="414" t="str">
        <f t="shared" ca="1" si="0"/>
        <v>Eintracht Frankfurt</v>
      </c>
      <c r="J24" s="292" t="s">
        <v>5</v>
      </c>
      <c r="K24" s="293" t="str">
        <f t="shared" ca="1" si="1"/>
        <v>Maibach 1822 eV</v>
      </c>
      <c r="L24" s="698">
        <v>13</v>
      </c>
      <c r="M24" s="724" t="str">
        <f>Sprache!$E$108</f>
        <v xml:space="preserve"> : </v>
      </c>
      <c r="N24" s="705">
        <v>25</v>
      </c>
      <c r="O24" s="698">
        <v>18</v>
      </c>
      <c r="P24" s="724" t="str">
        <f>Sprache!$E$108</f>
        <v xml:space="preserve"> : </v>
      </c>
      <c r="Q24" s="705">
        <v>25</v>
      </c>
      <c r="R24" s="698"/>
      <c r="S24" s="724" t="str">
        <f>Sprache!$E$108</f>
        <v xml:space="preserve"> : </v>
      </c>
      <c r="T24" s="744"/>
      <c r="U24" s="782">
        <f t="shared" ca="1" si="2"/>
        <v>0</v>
      </c>
      <c r="V24" s="740" t="str">
        <f>Sprache!$E$108</f>
        <v xml:space="preserve"> : </v>
      </c>
      <c r="W24" s="785">
        <f t="shared" ca="1" si="3"/>
        <v>2</v>
      </c>
      <c r="X24" s="719"/>
      <c r="Y24" s="717"/>
      <c r="AA24" s="945" t="str">
        <f>Sprache!$E$66</f>
        <v>Gruppenfünfte und -sechste</v>
      </c>
      <c r="AB24" s="945"/>
      <c r="AC24" s="945"/>
      <c r="AD24" s="945"/>
      <c r="AE24" s="945"/>
      <c r="AF24" s="945"/>
      <c r="AG24" s="175"/>
      <c r="AH24" s="175"/>
      <c r="AI24" s="175"/>
      <c r="AJ24" s="753"/>
      <c r="AK24" s="175"/>
      <c r="AL24" s="175"/>
      <c r="AM24" s="175"/>
      <c r="AN24" s="175"/>
      <c r="AO24" s="175"/>
      <c r="AR24" s="946" t="str">
        <f>$AA24</f>
        <v>Gruppenfünfte und -sechste</v>
      </c>
      <c r="AS24" s="946"/>
      <c r="AT24" s="947"/>
      <c r="AW24" s="42" t="b">
        <f t="shared" ca="1" si="4"/>
        <v>0</v>
      </c>
      <c r="AX24" s="42" t="b">
        <f t="shared" si="5"/>
        <v>0</v>
      </c>
      <c r="AY24" s="42" t="b">
        <f t="shared" si="6"/>
        <v>0</v>
      </c>
      <c r="AZ24" s="42" t="b">
        <f t="shared" si="7"/>
        <v>1</v>
      </c>
      <c r="BA24" s="42" t="b">
        <f t="shared" si="8"/>
        <v>0</v>
      </c>
      <c r="BB24" s="42" t="b">
        <f t="shared" si="9"/>
        <v>0</v>
      </c>
      <c r="BC24" s="42" t="b">
        <f t="shared" si="10"/>
        <v>0</v>
      </c>
    </row>
    <row r="25" spans="2:55" ht="24" customHeight="1" thickTop="1" thickBot="1" x14ac:dyDescent="0.25">
      <c r="C25" s="332">
        <f t="array" aca="1" ref="C25" ca="1">$C$12+ROW(13:13)-SUM((($I$12:$I24="")+($K$12:$K24="")&gt;0)*1)</f>
        <v>27</v>
      </c>
      <c r="D25" s="302">
        <f t="array" aca="1" ref="D25" ca="1">IF(Planung!$V$16,"",$D$12+QUOTIENT(($C25-$C$12),Planung!$V$18)*(Planung!$S$7+Planung!$S$9)/1440+SUM($Y$12:$Y24)/1440)</f>
        <v>0.52083333333333337</v>
      </c>
      <c r="E25" s="297">
        <f ca="1">IF(Planung!$V$16,"",MOD($C25-$C$12,Planung!$V$18)+1)</f>
        <v>3</v>
      </c>
      <c r="F25" s="437" t="s">
        <v>342</v>
      </c>
      <c r="G25" s="438" t="s">
        <v>5</v>
      </c>
      <c r="H25" s="439" t="s">
        <v>344</v>
      </c>
      <c r="I25" s="414" t="str">
        <f t="shared" ca="1" si="0"/>
        <v/>
      </c>
      <c r="J25" s="292" t="s">
        <v>5</v>
      </c>
      <c r="K25" s="293" t="str">
        <f t="shared" ca="1" si="1"/>
        <v/>
      </c>
      <c r="L25" s="698">
        <v>1</v>
      </c>
      <c r="M25" s="724" t="str">
        <f>Sprache!$E$108</f>
        <v xml:space="preserve"> : </v>
      </c>
      <c r="N25" s="705"/>
      <c r="O25" s="698"/>
      <c r="P25" s="724" t="str">
        <f>Sprache!$E$108</f>
        <v xml:space="preserve"> : </v>
      </c>
      <c r="Q25" s="705"/>
      <c r="R25" s="698"/>
      <c r="S25" s="724" t="str">
        <f>Sprache!$E$108</f>
        <v xml:space="preserve"> : </v>
      </c>
      <c r="T25" s="744"/>
      <c r="U25" s="782" t="str">
        <f t="shared" ca="1" si="2"/>
        <v/>
      </c>
      <c r="V25" s="740" t="str">
        <f>Sprache!$E$108</f>
        <v xml:space="preserve"> : </v>
      </c>
      <c r="W25" s="785" t="str">
        <f t="shared" ca="1" si="3"/>
        <v/>
      </c>
      <c r="X25" s="719"/>
      <c r="Y25" s="717"/>
      <c r="AA25" s="948"/>
      <c r="AB25" s="949"/>
      <c r="AC25" s="177" t="str">
        <f>Sprache!$E$21</f>
        <v>SP</v>
      </c>
      <c r="AD25" s="178" t="str">
        <f>Sprache!$E$22</f>
        <v>G</v>
      </c>
      <c r="AE25" s="178" t="str">
        <f>Sprache!$E$23</f>
        <v>U</v>
      </c>
      <c r="AF25" s="411" t="str">
        <f>Sprache!$E$24</f>
        <v>V</v>
      </c>
      <c r="AG25" s="944" t="str">
        <f>Sprache!$E$89</f>
        <v>Sätze</v>
      </c>
      <c r="AH25" s="944"/>
      <c r="AI25" s="944"/>
      <c r="AJ25" s="749" t="str">
        <f>Sprache!$E$26</f>
        <v>Diff.</v>
      </c>
      <c r="AK25" s="944" t="str">
        <f>Sprache!$E$90</f>
        <v>Bälle</v>
      </c>
      <c r="AL25" s="944"/>
      <c r="AM25" s="944"/>
      <c r="AN25" s="178" t="str">
        <f>IF(Einstellungen!$G$24,Sprache!$E$26,Sprache!$E$97)</f>
        <v>Diff.</v>
      </c>
      <c r="AO25" s="180" t="str">
        <f>IF(Einstellungen!$G$9,Sprache!$E$27,Sprache!$E$80)</f>
        <v>Pkt</v>
      </c>
      <c r="AR25" s="417"/>
      <c r="AS25" s="418" t="str">
        <f>Sprache!$E$10</f>
        <v>Teilnehmer bzw. Mannschaft</v>
      </c>
      <c r="AT25" s="762"/>
      <c r="AW25" s="42" t="b">
        <f t="shared" ca="1" si="4"/>
        <v>1</v>
      </c>
      <c r="AX25" s="42" t="b">
        <f t="shared" si="5"/>
        <v>1</v>
      </c>
      <c r="AY25" s="42" t="b">
        <f t="shared" si="6"/>
        <v>1</v>
      </c>
      <c r="AZ25" s="42" t="b">
        <f t="shared" si="7"/>
        <v>1</v>
      </c>
      <c r="BA25" s="42" t="b">
        <f t="shared" si="8"/>
        <v>0</v>
      </c>
      <c r="BB25" s="42" t="b">
        <f t="shared" si="9"/>
        <v>0</v>
      </c>
      <c r="BC25" s="42" t="b">
        <f t="shared" si="10"/>
        <v>0</v>
      </c>
    </row>
    <row r="26" spans="2:55" ht="24" customHeight="1" x14ac:dyDescent="0.2">
      <c r="C26" s="332">
        <f t="array" aca="1" ref="C26" ca="1">$C$12+ROW(14:14)-SUM((($I$12:$I25="")+($K$12:$K25="")&gt;0)*1)</f>
        <v>27</v>
      </c>
      <c r="D26" s="302">
        <f t="array" aca="1" ref="D26" ca="1">IF(Planung!$V$16,"",$D$12+QUOTIENT(($C26-$C$12),Planung!$V$18)*(Planung!$S$7+Planung!$S$9)/1440+SUM($Y$12:$Y25)/1440)</f>
        <v>0.52083333333333337</v>
      </c>
      <c r="E26" s="443">
        <f ca="1">IF(Planung!$V$16,"",MOD($C26-$C$12,Planung!$V$18)+1)</f>
        <v>3</v>
      </c>
      <c r="F26" s="437" t="s">
        <v>313</v>
      </c>
      <c r="G26" s="438" t="s">
        <v>5</v>
      </c>
      <c r="H26" s="439" t="s">
        <v>315</v>
      </c>
      <c r="I26" s="415" t="str">
        <f t="shared" ca="1" si="0"/>
        <v>Inter Mailand</v>
      </c>
      <c r="J26" s="140" t="s">
        <v>5</v>
      </c>
      <c r="K26" s="286" t="str">
        <f t="shared" ca="1" si="1"/>
        <v/>
      </c>
      <c r="L26" s="698">
        <v>4</v>
      </c>
      <c r="M26" s="724" t="str">
        <f>Sprache!$E$108</f>
        <v xml:space="preserve"> : </v>
      </c>
      <c r="N26" s="705"/>
      <c r="O26" s="698"/>
      <c r="P26" s="724" t="str">
        <f>Sprache!$E$108</f>
        <v xml:space="preserve"> : </v>
      </c>
      <c r="Q26" s="705"/>
      <c r="R26" s="698"/>
      <c r="S26" s="724" t="str">
        <f>Sprache!$E$108</f>
        <v xml:space="preserve"> : </v>
      </c>
      <c r="T26" s="744"/>
      <c r="U26" s="782" t="str">
        <f t="shared" ca="1" si="2"/>
        <v/>
      </c>
      <c r="V26" s="740" t="str">
        <f>Sprache!$E$108</f>
        <v xml:space="preserve"> : </v>
      </c>
      <c r="W26" s="785" t="str">
        <f t="shared" ca="1" si="3"/>
        <v/>
      </c>
      <c r="X26" s="719"/>
      <c r="Y26" s="717"/>
      <c r="AA26" s="419">
        <f ca="1">IF(CalcE3!$K$13=0,"",1)</f>
        <v>1</v>
      </c>
      <c r="AB26" s="325" t="str">
        <f ca="1">IF(Calc1!$F$14&lt;3,"",IF(AND(CalcE3!$K$13=0,AS30&lt;&gt;1),CalcE3!$Q$64,VLOOKUP(CalcE3!$B$4,CalcE3!$C$4:$N$12,4,0)))</f>
        <v>FC Barcelona</v>
      </c>
      <c r="AC26" s="420">
        <f ca="1">IF(CalcE3!$K$13=0,"",VLOOKUP(CalcE3!$B$4,CalcE3!$C$4:$N$12,9,0))</f>
        <v>1</v>
      </c>
      <c r="AD26" s="184">
        <f ca="1">IF(CalcE3!$K$13=0,"",VLOOKUP(CalcE3!$B$4,CalcE3!$C$4:$N$12,10,0))</f>
        <v>1</v>
      </c>
      <c r="AE26" s="184">
        <f ca="1">IF(CalcE3!$K$13=0,"",VLOOKUP(CalcE3!$B$4,CalcE3!$C$4:$N$12,11,0))</f>
        <v>0</v>
      </c>
      <c r="AF26" s="184">
        <f ca="1">IF(CalcE3!$K$13=0,"",VLOOKUP(CalcE3!$B$4,CalcE3!$C$4:$N$12,12,0))</f>
        <v>0</v>
      </c>
      <c r="AG26" s="186">
        <f ca="1">IF(CalcE3!$K$13=0,"",VLOOKUP(CalcE3!B4,CalcE3!$C$4:$AT$12,44,0))</f>
        <v>2</v>
      </c>
      <c r="AH26" s="421" t="str">
        <f>Sprache!$E$108</f>
        <v xml:space="preserve"> : </v>
      </c>
      <c r="AI26" s="750">
        <f ca="1">IF(CalcE3!$K$13=0,"",VLOOKUP(CalcE3!B4,CalcE3!$C$4:$AS$12,43,0))</f>
        <v>1</v>
      </c>
      <c r="AJ26" s="187">
        <f ca="1">IF(CalcE3!$K$13=0,"",AG26-AI26)</f>
        <v>1</v>
      </c>
      <c r="AK26" s="746">
        <f ca="1">IF(CalcE3!$K$13=0,"",VLOOKUP(CalcE3!$B4,CalcE3!$C$4:$N$12,5,0))</f>
        <v>70</v>
      </c>
      <c r="AL26" s="421" t="str">
        <f>Sprache!$E$108</f>
        <v xml:space="preserve"> : </v>
      </c>
      <c r="AM26" s="188">
        <f ca="1">IF(CalcE3!$K$13=0,"",VLOOKUP(CalcE3!$B4,CalcE3!$C$4:$N$12,6,0))</f>
        <v>65</v>
      </c>
      <c r="AN26" s="184">
        <f ca="1">IF(CalcE3!$K$13=0,"",IF(VLOOKUP(CalcE3!B4,CalcE3!$C$4:$AV$12,46,0)=Einstellungen!$F$24,"max",VLOOKUP(CalcE3!B4,CalcE3!$C$4:$AV$12,46,0)))</f>
        <v>5</v>
      </c>
      <c r="AO26" s="189">
        <f ca="1">IF(CalcE3!$K$13=0,"",VLOOKUP(CalcE3!B4,CalcE3!$C$4:$AT$12,Einstellungen!$H$9,0))</f>
        <v>2</v>
      </c>
      <c r="AR26" s="409" t="s">
        <v>312</v>
      </c>
      <c r="AS26" s="422" t="str">
        <f ca="1">IF(Vorrunde!$X$16="","",Vorrunde!$X$16)</f>
        <v>FC Barcelona</v>
      </c>
      <c r="AT26" s="763"/>
      <c r="AU26" s="764"/>
      <c r="AW26" s="42" t="b">
        <f t="shared" ca="1" si="4"/>
        <v>1</v>
      </c>
      <c r="AX26" s="42" t="b">
        <f t="shared" si="5"/>
        <v>0</v>
      </c>
      <c r="AY26" s="42" t="b">
        <f t="shared" si="6"/>
        <v>1</v>
      </c>
      <c r="AZ26" s="42" t="b">
        <f t="shared" si="7"/>
        <v>1</v>
      </c>
      <c r="BA26" s="42" t="b">
        <f t="shared" si="8"/>
        <v>0</v>
      </c>
      <c r="BB26" s="42" t="b">
        <f t="shared" si="9"/>
        <v>0</v>
      </c>
      <c r="BC26" s="42" t="b">
        <f t="shared" si="10"/>
        <v>0</v>
      </c>
    </row>
    <row r="27" spans="2:55" ht="24" customHeight="1" x14ac:dyDescent="0.2">
      <c r="C27" s="332">
        <f t="array" aca="1" ref="C27" ca="1">$C$12+ROW(15:15)-SUM((($I$12:$I26="")+($K$12:$K26="")&gt;0)*1)</f>
        <v>27</v>
      </c>
      <c r="D27" s="302">
        <f t="array" aca="1" ref="D27" ca="1">IF(Planung!$V$16,"",$D$12+QUOTIENT(($C27-$C$12),Planung!$V$18)*(Planung!$S$7+Planung!$S$9)/1440+SUM($Y$12:$Y26)/1440)</f>
        <v>0.52083333333333337</v>
      </c>
      <c r="E27" s="297">
        <f ca="1">IF(Planung!$V$16,"",MOD($C27-$C$12,Planung!$V$18)+1)</f>
        <v>3</v>
      </c>
      <c r="F27" s="437" t="s">
        <v>309</v>
      </c>
      <c r="G27" s="438" t="s">
        <v>5</v>
      </c>
      <c r="H27" s="439" t="s">
        <v>311</v>
      </c>
      <c r="I27" s="414" t="str">
        <f t="shared" ca="1" si="0"/>
        <v>FC Grönlingen</v>
      </c>
      <c r="J27" s="292" t="s">
        <v>5</v>
      </c>
      <c r="K27" s="293" t="str">
        <f t="shared" ca="1" si="1"/>
        <v>SSV Wildbach</v>
      </c>
      <c r="L27" s="698">
        <v>22</v>
      </c>
      <c r="M27" s="724" t="str">
        <f>Sprache!$E$108</f>
        <v xml:space="preserve"> : </v>
      </c>
      <c r="N27" s="705">
        <v>25</v>
      </c>
      <c r="O27" s="698">
        <v>25</v>
      </c>
      <c r="P27" s="724" t="str">
        <f>Sprache!$E$108</f>
        <v xml:space="preserve"> : </v>
      </c>
      <c r="Q27" s="705">
        <v>20</v>
      </c>
      <c r="R27" s="698"/>
      <c r="S27" s="724" t="str">
        <f>Sprache!$E$108</f>
        <v xml:space="preserve"> : </v>
      </c>
      <c r="T27" s="744"/>
      <c r="U27" s="782">
        <f t="shared" ca="1" si="2"/>
        <v>1</v>
      </c>
      <c r="V27" s="740" t="str">
        <f>Sprache!$E$108</f>
        <v xml:space="preserve"> : </v>
      </c>
      <c r="W27" s="785">
        <f t="shared" ca="1" si="3"/>
        <v>1</v>
      </c>
      <c r="X27" s="719"/>
      <c r="Y27" s="717"/>
      <c r="AA27" s="423">
        <f ca="1">IF(CalcE3!$K$13=0,"",IF(VLOOKUP(CalcE3!$B$5,CalcE3!$C$4:$E$12,3,0)=MAX($AA26:$AA26),VLOOKUP(CalcE3!$B$5,CalcE3!$C$4:$E$12,3,0),CalcE3!$B$5))</f>
        <v>2</v>
      </c>
      <c r="AB27" s="327" t="str">
        <f ca="1">IF(OR(Calc1!$F$14&lt;3,AS30=1),"",IF(CalcE3!$K$13=0,CalcE3!$Q$65,VLOOKUP(CalcE3!$B$5,CalcE3!$C$4:$N$12,4,0)))</f>
        <v>Inter Mailand</v>
      </c>
      <c r="AC27" s="199">
        <f ca="1">IF(CalcE3!$K$13=0,"",VLOOKUP(CalcE3!$B$5,CalcE3!$C$4:$N$12,9,0))</f>
        <v>1</v>
      </c>
      <c r="AD27" s="174">
        <f ca="1">IF(CalcE3!$K$13=0,"",VLOOKUP(CalcE3!$B$5,CalcE3!$C$4:$N$12,10,0))</f>
        <v>0</v>
      </c>
      <c r="AE27" s="174">
        <f ca="1">IF(CalcE3!$K$13=0,"",VLOOKUP(CalcE3!$B$5,CalcE3!$C$4:$N$12,11,0))</f>
        <v>0</v>
      </c>
      <c r="AF27" s="174">
        <f ca="1">IF(CalcE3!$K$13=0,"",VLOOKUP(CalcE3!$B$5,CalcE3!$C$4:$N$12,12,0))</f>
        <v>1</v>
      </c>
      <c r="AG27" s="195">
        <f ca="1">IF(CalcE3!$K$13=0,"",VLOOKUP(CalcE3!B5,CalcE3!$C$4:$AT$12,44,0))</f>
        <v>1</v>
      </c>
      <c r="AH27" s="424" t="str">
        <f>Sprache!$E$108</f>
        <v xml:space="preserve"> : </v>
      </c>
      <c r="AI27" s="751">
        <f ca="1">IF(CalcE3!$K$13=0,"",VLOOKUP(CalcE3!B5,CalcE3!$C$4:$AS$12,43,0))</f>
        <v>2</v>
      </c>
      <c r="AJ27" s="196">
        <f ca="1">IF(CalcE3!$K$13=0,"",AG27-AI27)</f>
        <v>-1</v>
      </c>
      <c r="AK27" s="747">
        <f ca="1">IF(CalcE3!$K$13=0,"",VLOOKUP(CalcE3!$B5,CalcE3!$C$4:$N$12,5,0))</f>
        <v>65</v>
      </c>
      <c r="AL27" s="424" t="str">
        <f>Sprache!$E$108</f>
        <v xml:space="preserve"> : </v>
      </c>
      <c r="AM27" s="197">
        <f ca="1">IF(CalcE3!$K$13=0,"",VLOOKUP(CalcE3!$B5,CalcE3!$C$4:$N$12,6,0))</f>
        <v>70</v>
      </c>
      <c r="AN27" s="174">
        <f ca="1">IF(CalcE3!$K$13=0,"",IF(VLOOKUP(CalcE3!B5,CalcE3!$C$4:$AV$12,46,0)=Einstellungen!$F$24,"max",VLOOKUP(CalcE3!B5,CalcE3!$C$4:$AV$12,46,0)))</f>
        <v>-5</v>
      </c>
      <c r="AO27" s="198">
        <f ca="1">IF(CalcE3!$K$13=0,"",VLOOKUP(CalcE3!B5,CalcE3!$C$4:$AT$12,Einstellungen!$H$9,0))</f>
        <v>0</v>
      </c>
      <c r="AR27" s="425" t="s">
        <v>313</v>
      </c>
      <c r="AS27" s="426" t="str">
        <f ca="1">IF(Vorrunde!$X$29="","",Vorrunde!$X$29)</f>
        <v>Inter Mailand</v>
      </c>
      <c r="AT27" s="763"/>
      <c r="AU27" s="765"/>
      <c r="AW27" s="42" t="b">
        <f t="shared" ca="1" si="4"/>
        <v>0</v>
      </c>
      <c r="AX27" s="42" t="b">
        <f t="shared" si="5"/>
        <v>0</v>
      </c>
      <c r="AY27" s="42" t="b">
        <f t="shared" si="6"/>
        <v>0</v>
      </c>
      <c r="AZ27" s="42" t="b">
        <f t="shared" si="7"/>
        <v>1</v>
      </c>
      <c r="BA27" s="42" t="b">
        <f t="shared" si="8"/>
        <v>0</v>
      </c>
      <c r="BB27" s="42" t="b">
        <f t="shared" si="9"/>
        <v>0</v>
      </c>
      <c r="BC27" s="42" t="b">
        <f t="shared" si="10"/>
        <v>0</v>
      </c>
    </row>
    <row r="28" spans="2:55" ht="24" customHeight="1" x14ac:dyDescent="0.2">
      <c r="C28" s="332">
        <f t="array" aca="1" ref="C28" ca="1">$C$12+ROW(16:16)-SUM((($I$12:$I27="")+($K$12:$K27="")&gt;0)*1)</f>
        <v>28</v>
      </c>
      <c r="D28" s="302">
        <f t="array" aca="1" ref="D28" ca="1">IF(Planung!$V$16,"",$D$12+QUOTIENT(($C28-$C$12),Planung!$V$18)*(Planung!$S$7+Planung!$S$9)/1440+SUM($Y$12:$Y27)/1440)</f>
        <v>0.52083333333333337</v>
      </c>
      <c r="E28" s="443">
        <f ca="1">IF(Planung!$V$16,"",MOD($C28-$C$12,Planung!$V$18)+1)</f>
        <v>4</v>
      </c>
      <c r="F28" s="437" t="s">
        <v>302</v>
      </c>
      <c r="G28" s="438" t="s">
        <v>5</v>
      </c>
      <c r="H28" s="439" t="s">
        <v>308</v>
      </c>
      <c r="I28" s="415" t="str">
        <f t="shared" ca="1" si="0"/>
        <v>Mainz 05</v>
      </c>
      <c r="J28" s="140" t="s">
        <v>5</v>
      </c>
      <c r="K28" s="286" t="str">
        <f t="shared" ca="1" si="1"/>
        <v>Manchester City</v>
      </c>
      <c r="L28" s="698">
        <v>19</v>
      </c>
      <c r="M28" s="724" t="str">
        <f>Sprache!$E$108</f>
        <v xml:space="preserve"> : </v>
      </c>
      <c r="N28" s="705">
        <v>25</v>
      </c>
      <c r="O28" s="698">
        <v>25</v>
      </c>
      <c r="P28" s="724" t="str">
        <f>Sprache!$E$108</f>
        <v xml:space="preserve"> : </v>
      </c>
      <c r="Q28" s="705">
        <v>19</v>
      </c>
      <c r="R28" s="698"/>
      <c r="S28" s="724" t="str">
        <f>Sprache!$E$108</f>
        <v xml:space="preserve"> : </v>
      </c>
      <c r="T28" s="744"/>
      <c r="U28" s="782">
        <f t="shared" ca="1" si="2"/>
        <v>1</v>
      </c>
      <c r="V28" s="740" t="str">
        <f>Sprache!$E$108</f>
        <v xml:space="preserve"> : </v>
      </c>
      <c r="W28" s="785">
        <f t="shared" ca="1" si="3"/>
        <v>1</v>
      </c>
      <c r="X28" s="719"/>
      <c r="Y28" s="717"/>
      <c r="AA28" s="423">
        <f ca="1">IF(CalcE3!$K$13=0,"",IF(VLOOKUP(CalcE3!$B$6,CalcE3!$C$4:$E$12,3,0)=MAX($AA26:$AA27),VLOOKUP(CalcE3!$B$6,CalcE3!$C$4:$E$12,3,0),CalcE3!$B$6))</f>
        <v>3</v>
      </c>
      <c r="AB28" s="327" t="str">
        <f ca="1">IF(OR(Calc1!$F$14&lt;3,AS30=1),"",IF(CalcE3!$K$13=0,CalcE3!$Q$66,VLOOKUP(CalcE3!$B$6,CalcE3!$C$4:$N$12,4,0)))</f>
        <v/>
      </c>
      <c r="AC28" s="199">
        <f ca="1">IF(CalcE3!$K$13=0,"",VLOOKUP(CalcE3!$B$6,CalcE3!$C$4:$N$12,9,0))</f>
        <v>0</v>
      </c>
      <c r="AD28" s="174">
        <f ca="1">IF(CalcE3!$K$13=0,"",VLOOKUP(CalcE3!$B$6,CalcE3!$C$4:$N$12,10,0))</f>
        <v>0</v>
      </c>
      <c r="AE28" s="174">
        <f ca="1">IF(CalcE3!$K$13=0,"",VLOOKUP(CalcE3!$B$6,CalcE3!$C$4:$N$12,11,0))</f>
        <v>0</v>
      </c>
      <c r="AF28" s="174">
        <f ca="1">IF(CalcE3!$K$13=0,"",VLOOKUP(CalcE3!$B$6,CalcE3!$C$4:$N$12,12,0))</f>
        <v>0</v>
      </c>
      <c r="AG28" s="195">
        <f ca="1">IF(CalcE3!$K$13=0,"",VLOOKUP(CalcE3!B6,CalcE3!$C$4:$AT$12,44,0))</f>
        <v>0</v>
      </c>
      <c r="AH28" s="424" t="str">
        <f>Sprache!$E$108</f>
        <v xml:space="preserve"> : </v>
      </c>
      <c r="AI28" s="751">
        <f ca="1">IF(CalcE3!$K$13=0,"",VLOOKUP(CalcE3!B6,CalcE3!$C$4:$AS$12,43,0))</f>
        <v>0</v>
      </c>
      <c r="AJ28" s="196">
        <f ca="1">IF(CalcE3!$K$13=0,"",AG28-AI28)</f>
        <v>0</v>
      </c>
      <c r="AK28" s="747">
        <f ca="1">IF(CalcE3!$K$13=0,"",VLOOKUP(CalcE3!$B6,CalcE3!$C$4:$N$12,5,0))</f>
        <v>0</v>
      </c>
      <c r="AL28" s="424" t="str">
        <f>Sprache!$E$108</f>
        <v xml:space="preserve"> : </v>
      </c>
      <c r="AM28" s="197">
        <f ca="1">IF(CalcE3!$K$13=0,"",VLOOKUP(CalcE3!$B6,CalcE3!$C$4:$N$12,6,0))</f>
        <v>0</v>
      </c>
      <c r="AN28" s="174">
        <f ca="1">IF(CalcE3!$K$13=0,"",IF(VLOOKUP(CalcE3!B6,CalcE3!$C$4:$AV$12,46,0)=Einstellungen!$F$24,"max",VLOOKUP(CalcE3!B6,CalcE3!$C$4:$AV$12,46,0)))</f>
        <v>0</v>
      </c>
      <c r="AO28" s="198">
        <f ca="1">IF(CalcE3!$K$13=0,"",VLOOKUP(CalcE3!B6,CalcE3!$C$4:$AT$12,Einstellungen!$H$9,0))</f>
        <v>0</v>
      </c>
      <c r="AR28" s="410" t="s">
        <v>314</v>
      </c>
      <c r="AS28" s="426" t="str">
        <f ca="1">IF(Vorrunde!$X$17="","",Vorrunde!$X$17)</f>
        <v/>
      </c>
      <c r="AT28" s="763"/>
      <c r="AU28" s="765"/>
      <c r="AW28" s="42" t="b">
        <f t="shared" ca="1" si="4"/>
        <v>0</v>
      </c>
      <c r="AX28" s="42" t="b">
        <f t="shared" si="5"/>
        <v>0</v>
      </c>
      <c r="AY28" s="42" t="b">
        <f t="shared" si="6"/>
        <v>0</v>
      </c>
      <c r="AZ28" s="42" t="b">
        <f t="shared" si="7"/>
        <v>1</v>
      </c>
      <c r="BA28" s="42" t="b">
        <f t="shared" si="8"/>
        <v>0</v>
      </c>
      <c r="BB28" s="42" t="b">
        <f t="shared" si="9"/>
        <v>0</v>
      </c>
      <c r="BC28" s="42" t="b">
        <f t="shared" si="10"/>
        <v>0</v>
      </c>
    </row>
    <row r="29" spans="2:55" ht="24" customHeight="1" thickBot="1" x14ac:dyDescent="0.25">
      <c r="C29" s="332">
        <f t="array" aca="1" ref="C29" ca="1">$C$12+ROW(17:17)-SUM((($I$12:$I28="")+($K$12:$K28="")&gt;0)*1)</f>
        <v>29</v>
      </c>
      <c r="D29" s="302">
        <f t="array" aca="1" ref="D29" ca="1">IF(Planung!$V$16,"",$D$12+QUOTIENT(($C29-$C$12),Planung!$V$18)*(Planung!$S$7+Planung!$S$9)/1440+SUM($Y$12:$Y28)/1440)</f>
        <v>0.54513888888888895</v>
      </c>
      <c r="E29" s="443">
        <f ca="1">IF(Planung!$V$16,"",MOD($C29-$C$12,Planung!$V$18)+1)</f>
        <v>1</v>
      </c>
      <c r="F29" s="437" t="s">
        <v>343</v>
      </c>
      <c r="G29" s="438" t="s">
        <v>5</v>
      </c>
      <c r="H29" s="439" t="s">
        <v>344</v>
      </c>
      <c r="I29" s="415" t="str">
        <f t="shared" ref="I29:I35" ca="1" si="11">IF($F29="","",IF(VLOOKUP($F29,$AR$12:$AS$41,2,0)="","",VLOOKUP($F29,$AR$12:$AS$41,2,0)))</f>
        <v/>
      </c>
      <c r="J29" s="140" t="s">
        <v>5</v>
      </c>
      <c r="K29" s="286" t="str">
        <f t="shared" ref="K29:K35" ca="1" si="12">IF($H29="","",IF(VLOOKUP($H29,$AR$12:$AS$41,2,0)="","",VLOOKUP($H29,$AR$12:$AS$41,2,0)))</f>
        <v/>
      </c>
      <c r="L29" s="698">
        <v>3</v>
      </c>
      <c r="M29" s="724" t="str">
        <f>Sprache!$E$108</f>
        <v xml:space="preserve"> : </v>
      </c>
      <c r="N29" s="705"/>
      <c r="O29" s="698"/>
      <c r="P29" s="724" t="str">
        <f>Sprache!$E$108</f>
        <v xml:space="preserve"> : </v>
      </c>
      <c r="Q29" s="705"/>
      <c r="R29" s="698"/>
      <c r="S29" s="724" t="str">
        <f>Sprache!$E$108</f>
        <v xml:space="preserve"> : </v>
      </c>
      <c r="T29" s="744"/>
      <c r="U29" s="782" t="str">
        <f t="shared" ca="1" si="2"/>
        <v/>
      </c>
      <c r="V29" s="740" t="str">
        <f>Sprache!$E$108</f>
        <v xml:space="preserve"> : </v>
      </c>
      <c r="W29" s="785" t="str">
        <f t="shared" ca="1" si="3"/>
        <v/>
      </c>
      <c r="X29" s="719"/>
      <c r="Y29" s="717"/>
      <c r="AA29" s="427">
        <f ca="1">IF(CalcE3!$K$13=0,"",IF(VLOOKUP(CalcE3!$B$7,CalcE3!$C$4:$E$12,3,0)=MAX($AA26:$AA28),VLOOKUP(CalcE3!$B$7,CalcE3!$C$4:$E$12,3,0),CalcE3!$B$7))</f>
        <v>3</v>
      </c>
      <c r="AB29" s="329" t="str">
        <f ca="1">IF(OR(Calc1!$F$14&lt;3,AS30=1),"",IF(CalcE3!$K$13=0,CalcE3!$Q$67,VLOOKUP(CalcE3!$B$7,CalcE3!$C$4:$N$12,4,0)))</f>
        <v/>
      </c>
      <c r="AC29" s="210">
        <f ca="1">IF(CalcE3!$K$13=0,"",VLOOKUP(CalcE3!$B$7,CalcE3!$C$4:$N$12,9,0))</f>
        <v>0</v>
      </c>
      <c r="AD29" s="204">
        <f ca="1">IF(CalcE3!$K$13=0,"",VLOOKUP(CalcE3!$B$7,CalcE3!$C$4:$N$12,10,0))</f>
        <v>0</v>
      </c>
      <c r="AE29" s="204">
        <f ca="1">IF(CalcE3!$K$13=0,"",VLOOKUP(CalcE3!$B$7,CalcE3!$C$4:$N$12,11,0))</f>
        <v>0</v>
      </c>
      <c r="AF29" s="204">
        <f ca="1">IF(CalcE3!$K$13=0,"",VLOOKUP(CalcE3!$B$7,CalcE3!$C$4:$N$12,12,0))</f>
        <v>0</v>
      </c>
      <c r="AG29" s="206">
        <f ca="1">IF(CalcE3!$K$13=0,"",VLOOKUP(CalcE3!B7,CalcE3!$C$4:$AT$12,44,0))</f>
        <v>0</v>
      </c>
      <c r="AH29" s="428" t="str">
        <f>Sprache!$E$108</f>
        <v xml:space="preserve"> : </v>
      </c>
      <c r="AI29" s="752">
        <f ca="1">IF(CalcE3!$K$13=0,"",VLOOKUP(CalcE3!B7,CalcE3!$C$4:$AS$12,43,0))</f>
        <v>0</v>
      </c>
      <c r="AJ29" s="207">
        <f ca="1">IF(CalcE3!$K$13=0,"",AG29-AI29)</f>
        <v>0</v>
      </c>
      <c r="AK29" s="748">
        <f ca="1">IF(CalcE3!$K$13=0,"",VLOOKUP(CalcE3!$B7,CalcE3!$C$4:$N$12,5,0))</f>
        <v>0</v>
      </c>
      <c r="AL29" s="428" t="str">
        <f>Sprache!$E$108</f>
        <v xml:space="preserve"> : </v>
      </c>
      <c r="AM29" s="208">
        <f ca="1">IF(CalcE3!$K$13=0,"",VLOOKUP(CalcE3!$B7,CalcE3!$C$4:$N$12,6,0))</f>
        <v>0</v>
      </c>
      <c r="AN29" s="204">
        <f ca="1">IF(CalcE3!$K$13=0,"",IF(VLOOKUP(CalcE3!B7,CalcE3!$C$4:$AV$12,46,0)=Einstellungen!$F$24,"max",VLOOKUP(CalcE3!B7,CalcE3!$C$4:$AV$12,46,0)))</f>
        <v>0</v>
      </c>
      <c r="AO29" s="209">
        <f ca="1">IF(CalcE3!$K$13=0,"",VLOOKUP(CalcE3!B7,CalcE3!$C$4:$AT$12,Einstellungen!$H$9,0))</f>
        <v>0</v>
      </c>
      <c r="AR29" s="429" t="s">
        <v>315</v>
      </c>
      <c r="AS29" s="430" t="str">
        <f ca="1">IF(Vorrunde!$X$30="","",Vorrunde!$X$30)</f>
        <v/>
      </c>
      <c r="AT29" s="763"/>
      <c r="AU29" s="766"/>
      <c r="AW29" s="42" t="b">
        <f t="shared" ca="1" si="4"/>
        <v>1</v>
      </c>
      <c r="AX29" s="42" t="b">
        <f t="shared" si="5"/>
        <v>0</v>
      </c>
      <c r="AY29" s="42" t="b">
        <f t="shared" si="6"/>
        <v>1</v>
      </c>
      <c r="AZ29" s="42" t="b">
        <f t="shared" si="7"/>
        <v>1</v>
      </c>
      <c r="BA29" s="42" t="b">
        <f t="shared" si="8"/>
        <v>0</v>
      </c>
      <c r="BB29" s="42" t="b">
        <f t="shared" si="9"/>
        <v>0</v>
      </c>
      <c r="BC29" s="42" t="b">
        <f t="shared" si="10"/>
        <v>0</v>
      </c>
    </row>
    <row r="30" spans="2:55" ht="24" customHeight="1" thickTop="1" x14ac:dyDescent="0.2">
      <c r="C30" s="332">
        <f t="array" aca="1" ref="C30" ca="1">$C$12+ROW(18:18)-SUM((($I$12:$I29="")+($K$12:$K29="")&gt;0)*1)</f>
        <v>29</v>
      </c>
      <c r="D30" s="302">
        <f t="array" aca="1" ref="D30" ca="1">IF(Planung!$V$16,"",$D$12+QUOTIENT(($C30-$C$12),Planung!$V$18)*(Planung!$S$7+Planung!$S$9)/1440+SUM($Y$12:$Y29)/1440)</f>
        <v>0.54513888888888895</v>
      </c>
      <c r="E30" s="443">
        <f ca="1">IF(Planung!$V$16,"",MOD($C30-$C$12,Planung!$V$18)+1)</f>
        <v>1</v>
      </c>
      <c r="F30" s="437" t="s">
        <v>314</v>
      </c>
      <c r="G30" s="438" t="s">
        <v>5</v>
      </c>
      <c r="H30" s="439" t="s">
        <v>315</v>
      </c>
      <c r="I30" s="415" t="str">
        <f t="shared" ca="1" si="11"/>
        <v/>
      </c>
      <c r="J30" s="140" t="s">
        <v>5</v>
      </c>
      <c r="K30" s="286" t="str">
        <f t="shared" ca="1" si="12"/>
        <v/>
      </c>
      <c r="L30" s="698">
        <v>4</v>
      </c>
      <c r="M30" s="724" t="str">
        <f>Sprache!$E$108</f>
        <v xml:space="preserve"> : </v>
      </c>
      <c r="N30" s="705"/>
      <c r="O30" s="698"/>
      <c r="P30" s="724" t="str">
        <f>Sprache!$E$108</f>
        <v xml:space="preserve"> : </v>
      </c>
      <c r="Q30" s="705"/>
      <c r="R30" s="698"/>
      <c r="S30" s="724" t="str">
        <f>Sprache!$E$108</f>
        <v xml:space="preserve"> : </v>
      </c>
      <c r="T30" s="744"/>
      <c r="U30" s="782" t="str">
        <f t="shared" ca="1" si="2"/>
        <v/>
      </c>
      <c r="V30" s="740" t="str">
        <f>Sprache!$E$108</f>
        <v xml:space="preserve"> : </v>
      </c>
      <c r="W30" s="785" t="str">
        <f t="shared" ca="1" si="3"/>
        <v/>
      </c>
      <c r="X30" s="719"/>
      <c r="Y30" s="717"/>
      <c r="AJ30" s="274"/>
      <c r="AS30" s="450">
        <f t="array" aca="1" ref="AS30" ca="1">SUM((AS26:AS29&lt;&gt;"")*1)</f>
        <v>2</v>
      </c>
      <c r="AW30" s="42" t="b">
        <f t="shared" ca="1" si="4"/>
        <v>1</v>
      </c>
      <c r="AX30" s="42" t="b">
        <f t="shared" si="5"/>
        <v>0</v>
      </c>
      <c r="AY30" s="42" t="b">
        <f t="shared" si="6"/>
        <v>1</v>
      </c>
      <c r="AZ30" s="42" t="b">
        <f t="shared" si="7"/>
        <v>1</v>
      </c>
      <c r="BA30" s="42" t="b">
        <f t="shared" si="8"/>
        <v>0</v>
      </c>
      <c r="BB30" s="42" t="b">
        <f t="shared" si="9"/>
        <v>0</v>
      </c>
      <c r="BC30" s="42" t="b">
        <f t="shared" si="10"/>
        <v>0</v>
      </c>
    </row>
    <row r="31" spans="2:55" ht="24" customHeight="1" thickBot="1" x14ac:dyDescent="0.45">
      <c r="C31" s="332">
        <f t="array" aca="1" ref="C31" ca="1">$C$12+ROW(19:19)-SUM((($I$12:$I30="")+($K$12:$K30="")&gt;0)*1)</f>
        <v>29</v>
      </c>
      <c r="D31" s="302">
        <f t="array" aca="1" ref="D31" ca="1">IF(Planung!$V$16,"",$D$12+QUOTIENT(($C31-$C$12),Planung!$V$18)*(Planung!$S$7+Planung!$S$9)/1440+SUM($Y$12:$Y30)/1440)</f>
        <v>0.54513888888888895</v>
      </c>
      <c r="E31" s="443">
        <f ca="1">IF(Planung!$V$16,"",MOD($C31-$C$12,Planung!$V$18)+1)</f>
        <v>1</v>
      </c>
      <c r="F31" s="437" t="s">
        <v>310</v>
      </c>
      <c r="G31" s="438" t="s">
        <v>5</v>
      </c>
      <c r="H31" s="439" t="s">
        <v>311</v>
      </c>
      <c r="I31" s="415" t="str">
        <f t="shared" ca="1" si="11"/>
        <v>1. FC Riedwald</v>
      </c>
      <c r="J31" s="140" t="s">
        <v>5</v>
      </c>
      <c r="K31" s="286" t="str">
        <f t="shared" ca="1" si="12"/>
        <v>SSV Wildbach</v>
      </c>
      <c r="L31" s="698">
        <v>14</v>
      </c>
      <c r="M31" s="724" t="str">
        <f>Sprache!$E$108</f>
        <v xml:space="preserve"> : </v>
      </c>
      <c r="N31" s="705">
        <v>25</v>
      </c>
      <c r="O31" s="698">
        <v>25</v>
      </c>
      <c r="P31" s="724" t="str">
        <f>Sprache!$E$108</f>
        <v xml:space="preserve"> : </v>
      </c>
      <c r="Q31" s="705">
        <v>23</v>
      </c>
      <c r="R31" s="698"/>
      <c r="S31" s="724" t="str">
        <f>Sprache!$E$108</f>
        <v xml:space="preserve"> : </v>
      </c>
      <c r="T31" s="744"/>
      <c r="U31" s="782">
        <f t="shared" ca="1" si="2"/>
        <v>1</v>
      </c>
      <c r="V31" s="740" t="str">
        <f>Sprache!$E$108</f>
        <v xml:space="preserve"> : </v>
      </c>
      <c r="W31" s="785">
        <f t="shared" ca="1" si="3"/>
        <v>1</v>
      </c>
      <c r="X31" s="719"/>
      <c r="Y31" s="717"/>
      <c r="AA31" s="945" t="str">
        <f>Sprache!$E$67</f>
        <v>Gruppensiebte und -achte</v>
      </c>
      <c r="AB31" s="945"/>
      <c r="AC31" s="945"/>
      <c r="AD31" s="945"/>
      <c r="AE31" s="945"/>
      <c r="AF31" s="945"/>
      <c r="AG31" s="175"/>
      <c r="AH31" s="175"/>
      <c r="AI31" s="175"/>
      <c r="AJ31" s="753"/>
      <c r="AK31" s="175"/>
      <c r="AL31" s="175"/>
      <c r="AM31" s="175"/>
      <c r="AN31" s="175"/>
      <c r="AO31" s="175"/>
      <c r="AR31" s="946" t="str">
        <f>$AA31</f>
        <v>Gruppensiebte und -achte</v>
      </c>
      <c r="AS31" s="946"/>
      <c r="AT31" s="947"/>
      <c r="AW31" s="42" t="b">
        <f t="shared" ca="1" si="4"/>
        <v>0</v>
      </c>
      <c r="AX31" s="42" t="b">
        <f t="shared" si="5"/>
        <v>0</v>
      </c>
      <c r="AY31" s="42" t="b">
        <f t="shared" si="6"/>
        <v>0</v>
      </c>
      <c r="AZ31" s="42" t="b">
        <f t="shared" si="7"/>
        <v>1</v>
      </c>
      <c r="BA31" s="42" t="b">
        <f t="shared" si="8"/>
        <v>0</v>
      </c>
      <c r="BB31" s="42" t="b">
        <f t="shared" si="9"/>
        <v>0</v>
      </c>
      <c r="BC31" s="42" t="b">
        <f t="shared" si="10"/>
        <v>0</v>
      </c>
    </row>
    <row r="32" spans="2:55" ht="24" customHeight="1" thickTop="1" thickBot="1" x14ac:dyDescent="0.25">
      <c r="C32" s="332">
        <f t="array" aca="1" ref="C32" ca="1">$C$12+ROW(20:20)-SUM((($I$12:$I31="")+($K$12:$K31="")&gt;0)*1)</f>
        <v>30</v>
      </c>
      <c r="D32" s="302">
        <f t="array" aca="1" ref="D32" ca="1">IF(Planung!$V$16,"",$D$12+QUOTIENT(($C32-$C$12),Planung!$V$18)*(Planung!$S$7+Planung!$S$9)/1440+SUM($Y$12:$Y31)/1440)</f>
        <v>0.54513888888888895</v>
      </c>
      <c r="E32" s="443">
        <f ca="1">IF(Planung!$V$16,"",MOD($C32-$C$12,Planung!$V$18)+1)</f>
        <v>2</v>
      </c>
      <c r="F32" s="437" t="s">
        <v>307</v>
      </c>
      <c r="G32" s="438" t="s">
        <v>5</v>
      </c>
      <c r="H32" s="439" t="s">
        <v>308</v>
      </c>
      <c r="I32" s="415" t="str">
        <f t="shared" ca="1" si="11"/>
        <v>Maibach 1822 eV</v>
      </c>
      <c r="J32" s="140" t="s">
        <v>5</v>
      </c>
      <c r="K32" s="286" t="str">
        <f t="shared" ca="1" si="12"/>
        <v>Manchester City</v>
      </c>
      <c r="L32" s="698">
        <v>21</v>
      </c>
      <c r="M32" s="724" t="str">
        <f>Sprache!$E$108</f>
        <v xml:space="preserve"> : </v>
      </c>
      <c r="N32" s="705">
        <v>25</v>
      </c>
      <c r="O32" s="698">
        <v>25</v>
      </c>
      <c r="P32" s="724" t="str">
        <f>Sprache!$E$108</f>
        <v xml:space="preserve"> : </v>
      </c>
      <c r="Q32" s="705">
        <v>17</v>
      </c>
      <c r="R32" s="698"/>
      <c r="S32" s="724" t="str">
        <f>Sprache!$E$108</f>
        <v xml:space="preserve"> : </v>
      </c>
      <c r="T32" s="744"/>
      <c r="U32" s="782">
        <f t="shared" ca="1" si="2"/>
        <v>1</v>
      </c>
      <c r="V32" s="740" t="str">
        <f>Sprache!$E$108</f>
        <v xml:space="preserve"> : </v>
      </c>
      <c r="W32" s="785">
        <f t="shared" ca="1" si="3"/>
        <v>1</v>
      </c>
      <c r="X32" s="719"/>
      <c r="Y32" s="717"/>
      <c r="AA32" s="502"/>
      <c r="AB32" s="503"/>
      <c r="AC32" s="177" t="str">
        <f>Sprache!$E$21</f>
        <v>SP</v>
      </c>
      <c r="AD32" s="178" t="str">
        <f>Sprache!$E$22</f>
        <v>G</v>
      </c>
      <c r="AE32" s="178" t="str">
        <f>Sprache!$E$23</f>
        <v>U</v>
      </c>
      <c r="AF32" s="501" t="str">
        <f>Sprache!$E$24</f>
        <v>V</v>
      </c>
      <c r="AG32" s="944" t="str">
        <f>Sprache!$E$89</f>
        <v>Sätze</v>
      </c>
      <c r="AH32" s="944"/>
      <c r="AI32" s="944"/>
      <c r="AJ32" s="749" t="str">
        <f>Sprache!$E$26</f>
        <v>Diff.</v>
      </c>
      <c r="AK32" s="944" t="str">
        <f>Sprache!$E$90</f>
        <v>Bälle</v>
      </c>
      <c r="AL32" s="944"/>
      <c r="AM32" s="944"/>
      <c r="AN32" s="178" t="str">
        <f>IF(Einstellungen!$G$24,Sprache!$E$26,Sprache!$E$97)</f>
        <v>Diff.</v>
      </c>
      <c r="AO32" s="180" t="str">
        <f>IF(Einstellungen!$G$9,Sprache!$E$27,Sprache!$E$80)</f>
        <v>Pkt</v>
      </c>
      <c r="AR32" s="417"/>
      <c r="AS32" s="418" t="str">
        <f>Sprache!$E$10</f>
        <v>Teilnehmer bzw. Mannschaft</v>
      </c>
      <c r="AT32" s="762"/>
      <c r="AW32" s="42" t="b">
        <f t="shared" ca="1" si="4"/>
        <v>0</v>
      </c>
      <c r="AX32" s="42" t="b">
        <f t="shared" si="5"/>
        <v>0</v>
      </c>
      <c r="AY32" s="42" t="b">
        <f t="shared" si="6"/>
        <v>0</v>
      </c>
      <c r="AZ32" s="42" t="b">
        <f t="shared" si="7"/>
        <v>1</v>
      </c>
      <c r="BA32" s="42" t="b">
        <f t="shared" si="8"/>
        <v>0</v>
      </c>
      <c r="BB32" s="42" t="b">
        <f t="shared" si="9"/>
        <v>0</v>
      </c>
      <c r="BC32" s="42" t="b">
        <f t="shared" si="10"/>
        <v>0</v>
      </c>
    </row>
    <row r="33" spans="3:55" ht="24" customHeight="1" x14ac:dyDescent="0.2">
      <c r="C33" s="332">
        <f t="array" aca="1" ref="C33" ca="1">$C$12+ROW(21:21)-SUM((($I$12:$I32="")+($K$12:$K32="")&gt;0)*1)</f>
        <v>31</v>
      </c>
      <c r="D33" s="302">
        <f t="array" aca="1" ref="D33" ca="1">IF(Planung!$V$16,"",$D$12+QUOTIENT(($C33-$C$12),Planung!$V$18)*(Planung!$S$7+Planung!$S$9)/1440+SUM($Y$12:$Y32)/1440)</f>
        <v>0.54513888888888895</v>
      </c>
      <c r="E33" s="443">
        <f ca="1">IF(Planung!$V$16,"",MOD($C33-$C$12,Planung!$V$18)+1)</f>
        <v>3</v>
      </c>
      <c r="F33" s="437" t="s">
        <v>341</v>
      </c>
      <c r="G33" s="438" t="s">
        <v>5</v>
      </c>
      <c r="H33" s="439" t="s">
        <v>342</v>
      </c>
      <c r="I33" s="415" t="str">
        <f t="shared" ca="1" si="11"/>
        <v/>
      </c>
      <c r="J33" s="140" t="s">
        <v>5</v>
      </c>
      <c r="K33" s="286" t="str">
        <f t="shared" ca="1" si="12"/>
        <v/>
      </c>
      <c r="L33" s="698">
        <v>7</v>
      </c>
      <c r="M33" s="724" t="str">
        <f>Sprache!$E$108</f>
        <v xml:space="preserve"> : </v>
      </c>
      <c r="N33" s="705"/>
      <c r="O33" s="698"/>
      <c r="P33" s="724" t="str">
        <f>Sprache!$E$108</f>
        <v xml:space="preserve"> : </v>
      </c>
      <c r="Q33" s="705"/>
      <c r="R33" s="698"/>
      <c r="S33" s="724" t="str">
        <f>Sprache!$E$108</f>
        <v xml:space="preserve"> : </v>
      </c>
      <c r="T33" s="744"/>
      <c r="U33" s="782" t="str">
        <f t="shared" ca="1" si="2"/>
        <v/>
      </c>
      <c r="V33" s="740" t="str">
        <f>Sprache!$E$108</f>
        <v xml:space="preserve"> : </v>
      </c>
      <c r="W33" s="785" t="str">
        <f t="shared" ca="1" si="3"/>
        <v/>
      </c>
      <c r="X33" s="719"/>
      <c r="Y33" s="717"/>
      <c r="AA33" s="419" t="str">
        <f ca="1">IF(CalcE4!$K$13=0,"",1)</f>
        <v/>
      </c>
      <c r="AB33" s="325" t="str">
        <f ca="1">IF(Calc1!$F$14&lt;3,"",IF(AND(CalcE4!$K$13=0,AS37&lt;&gt;1),CalcE4!$Q$64,VLOOKUP(CalcE4!$B$4,CalcE4!$C$4:$N$12,4,0)))</f>
        <v/>
      </c>
      <c r="AC33" s="420" t="str">
        <f ca="1">IF(CalcE4!$K$13=0,"",VLOOKUP(CalcE4!$B$4,CalcE4!$C$4:$N$12,9,0))</f>
        <v/>
      </c>
      <c r="AD33" s="184" t="str">
        <f ca="1">IF(CalcE4!$K$13=0,"",VLOOKUP(CalcE4!$B$4,CalcE4!$C$4:$N$12,10,0))</f>
        <v/>
      </c>
      <c r="AE33" s="184" t="str">
        <f ca="1">IF(CalcE4!$K$13=0,"",VLOOKUP(CalcE4!$B$4,CalcE4!$C$4:$N$12,11,0))</f>
        <v/>
      </c>
      <c r="AF33" s="184" t="str">
        <f ca="1">IF(CalcE4!$K$13=0,"",VLOOKUP(CalcE4!$B$4,CalcE4!$C$4:$N$12,12,0))</f>
        <v/>
      </c>
      <c r="AG33" s="186" t="str">
        <f ca="1">IF(CalcE4!$K$13=0,"",VLOOKUP(CalcE4!B4,CalcE4!$C$4:$AT$12,44,0))</f>
        <v/>
      </c>
      <c r="AH33" s="421" t="str">
        <f>Sprache!$E$108</f>
        <v xml:space="preserve"> : </v>
      </c>
      <c r="AI33" s="750" t="str">
        <f ca="1">IF(CalcE4!$K$13=0,"",VLOOKUP(CalcE4!B4,CalcE4!$C$4:$AS$12,43,0))</f>
        <v/>
      </c>
      <c r="AJ33" s="187" t="str">
        <f ca="1">IF(CalcE4!$K$13=0,"",AG33-AI33)</f>
        <v/>
      </c>
      <c r="AK33" s="746" t="str">
        <f ca="1">IF(CalcE4!$K$13=0,"",VLOOKUP(CalcE4!$B4,CalcE4!$C$4:$N$12,5,0))</f>
        <v/>
      </c>
      <c r="AL33" s="421" t="str">
        <f>Sprache!$E$108</f>
        <v xml:space="preserve"> : </v>
      </c>
      <c r="AM33" s="188" t="str">
        <f ca="1">IF(CalcE4!$K$13=0,"",VLOOKUP(CalcE4!$B4,CalcE4!$C$4:$N$12,6,0))</f>
        <v/>
      </c>
      <c r="AN33" s="184" t="str">
        <f ca="1">IF(CalcE4!$K$13=0,"",IF(VLOOKUP(CalcE4!B4,CalcE4!$C$4:$AV$12,46,0)=Einstellungen!$F$24,"max",VLOOKUP(CalcE4!B4,CalcE4!$C$4:$AV$12,46,0)))</f>
        <v/>
      </c>
      <c r="AO33" s="189" t="str">
        <f ca="1">IF(CalcE4!$K$13=0,"",VLOOKUP(CalcE4!B4,CalcE4!$C$4:$AT$12,Einstellungen!$H$9,0))</f>
        <v/>
      </c>
      <c r="AR33" s="500" t="s">
        <v>341</v>
      </c>
      <c r="AS33" s="422" t="str">
        <f ca="1">IF(Vorrunde!$X$18="","",Vorrunde!$X$18)</f>
        <v/>
      </c>
      <c r="AT33" s="763"/>
      <c r="AU33" s="764"/>
      <c r="AW33" s="42" t="b">
        <f t="shared" ca="1" si="4"/>
        <v>1</v>
      </c>
      <c r="AX33" s="42" t="b">
        <f t="shared" si="5"/>
        <v>0</v>
      </c>
      <c r="AY33" s="42" t="b">
        <f t="shared" si="6"/>
        <v>1</v>
      </c>
      <c r="AZ33" s="42" t="b">
        <f t="shared" si="7"/>
        <v>1</v>
      </c>
      <c r="BA33" s="42" t="b">
        <f t="shared" si="8"/>
        <v>0</v>
      </c>
      <c r="BB33" s="42" t="b">
        <f t="shared" si="9"/>
        <v>0</v>
      </c>
      <c r="BC33" s="42" t="b">
        <f t="shared" si="10"/>
        <v>0</v>
      </c>
    </row>
    <row r="34" spans="3:55" ht="24" customHeight="1" x14ac:dyDescent="0.2">
      <c r="C34" s="332">
        <f t="array" aca="1" ref="C34" ca="1">$C$12+ROW(22:22)-SUM((($I$12:$I33="")+($K$12:$K33="")&gt;0)*1)</f>
        <v>31</v>
      </c>
      <c r="D34" s="302">
        <f t="array" aca="1" ref="D34" ca="1">IF(Planung!$V$16,"",$D$12+QUOTIENT(($C34-$C$12),Planung!$V$18)*(Planung!$S$7+Planung!$S$9)/1440+SUM($Y$12:$Y33)/1440)</f>
        <v>0.54513888888888895</v>
      </c>
      <c r="E34" s="443">
        <f ca="1">IF(Planung!$V$16,"",MOD($C34-$C$12,Planung!$V$18)+1)</f>
        <v>3</v>
      </c>
      <c r="F34" s="437" t="s">
        <v>312</v>
      </c>
      <c r="G34" s="438" t="s">
        <v>5</v>
      </c>
      <c r="H34" s="439" t="s">
        <v>313</v>
      </c>
      <c r="I34" s="415" t="str">
        <f t="shared" ca="1" si="11"/>
        <v>FC Barcelona</v>
      </c>
      <c r="J34" s="140" t="s">
        <v>5</v>
      </c>
      <c r="K34" s="286" t="str">
        <f t="shared" ca="1" si="12"/>
        <v>Inter Mailand</v>
      </c>
      <c r="L34" s="698">
        <v>20</v>
      </c>
      <c r="M34" s="724" t="str">
        <f>Sprache!$E$108</f>
        <v xml:space="preserve"> : </v>
      </c>
      <c r="N34" s="705">
        <v>25</v>
      </c>
      <c r="O34" s="698">
        <v>25</v>
      </c>
      <c r="P34" s="724" t="str">
        <f>Sprache!$E$108</f>
        <v xml:space="preserve"> : </v>
      </c>
      <c r="Q34" s="705">
        <v>18</v>
      </c>
      <c r="R34" s="698">
        <v>25</v>
      </c>
      <c r="S34" s="724" t="str">
        <f>Sprache!$E$108</f>
        <v xml:space="preserve"> : </v>
      </c>
      <c r="T34" s="744">
        <v>22</v>
      </c>
      <c r="U34" s="782">
        <f t="shared" ca="1" si="2"/>
        <v>2</v>
      </c>
      <c r="V34" s="740" t="str">
        <f>Sprache!$E$108</f>
        <v xml:space="preserve"> : </v>
      </c>
      <c r="W34" s="785">
        <f t="shared" ca="1" si="3"/>
        <v>1</v>
      </c>
      <c r="X34" s="719"/>
      <c r="Y34" s="717"/>
      <c r="AA34" s="423" t="str">
        <f ca="1">IF(CalcE4!$K$13=0,"",IF(VLOOKUP(CalcE4!$B$5,CalcE4!$C$4:$E$12,3,0)=MAX($AA33:$AA33),VLOOKUP(CalcE4!$B$5,CalcE4!$C$4:$E$12,3,0),CalcE4!$B$5))</f>
        <v/>
      </c>
      <c r="AB34" s="327" t="str">
        <f ca="1">IF(OR(Calc1!$F$14&lt;3,AS37=1),"",IF(CalcE4!$K$13=0,CalcE4!$Q$65,VLOOKUP(CalcE4!$B$5,CalcE4!$C$4:$N$12,4,0)))</f>
        <v/>
      </c>
      <c r="AC34" s="199" t="str">
        <f ca="1">IF(CalcE4!$K$13=0,"",VLOOKUP(CalcE4!$B$5,CalcE4!$C$4:$N$12,9,0))</f>
        <v/>
      </c>
      <c r="AD34" s="174" t="str">
        <f ca="1">IF(CalcE4!$K$13=0,"",VLOOKUP(CalcE4!$B$5,CalcE4!$C$4:$N$12,10,0))</f>
        <v/>
      </c>
      <c r="AE34" s="174" t="str">
        <f ca="1">IF(CalcE4!$K$13=0,"",VLOOKUP(CalcE4!$B$5,CalcE4!$C$4:$N$12,11,0))</f>
        <v/>
      </c>
      <c r="AF34" s="174" t="str">
        <f ca="1">IF(CalcE4!$K$13=0,"",VLOOKUP(CalcE4!$B$5,CalcE4!$C$4:$N$12,12,0))</f>
        <v/>
      </c>
      <c r="AG34" s="195" t="str">
        <f ca="1">IF(CalcE4!$K$13=0,"",VLOOKUP(CalcE4!B5,CalcE4!$C$4:$AT$12,44,0))</f>
        <v/>
      </c>
      <c r="AH34" s="424" t="str">
        <f>Sprache!$E$108</f>
        <v xml:space="preserve"> : </v>
      </c>
      <c r="AI34" s="751" t="str">
        <f ca="1">IF(CalcE4!$K$13=0,"",VLOOKUP(CalcE4!B5,CalcE4!$C$4:$AS$12,43,0))</f>
        <v/>
      </c>
      <c r="AJ34" s="196" t="str">
        <f ca="1">IF(CalcE4!$K$13=0,"",AG34-AI34)</f>
        <v/>
      </c>
      <c r="AK34" s="747" t="str">
        <f ca="1">IF(CalcE4!$K$13=0,"",VLOOKUP(CalcE4!$B5,CalcE4!$C$4:$N$12,5,0))</f>
        <v/>
      </c>
      <c r="AL34" s="424" t="str">
        <f>Sprache!$E$108</f>
        <v xml:space="preserve"> : </v>
      </c>
      <c r="AM34" s="197" t="str">
        <f ca="1">IF(CalcE4!$K$13=0,"",VLOOKUP(CalcE4!$B5,CalcE4!$C$4:$N$12,6,0))</f>
        <v/>
      </c>
      <c r="AN34" s="174" t="str">
        <f ca="1">IF(CalcE4!$K$13=0,"",IF(VLOOKUP(CalcE4!B5,CalcE4!$C$4:$AV$12,46,0)=Einstellungen!$F$24,"max",VLOOKUP(CalcE4!B5,CalcE4!$C$4:$AV$12,46,0)))</f>
        <v/>
      </c>
      <c r="AO34" s="198" t="str">
        <f ca="1">IF(CalcE4!$K$13=0,"",VLOOKUP(CalcE4!B5,CalcE4!$C$4:$AT$12,Einstellungen!$H$9,0))</f>
        <v/>
      </c>
      <c r="AR34" s="425" t="s">
        <v>342</v>
      </c>
      <c r="AS34" s="426" t="str">
        <f ca="1">IF(Vorrunde!$X$31="","",Vorrunde!$X$31)</f>
        <v/>
      </c>
      <c r="AT34" s="763"/>
      <c r="AU34" s="765"/>
      <c r="AW34" s="42" t="b">
        <f t="shared" ca="1" si="4"/>
        <v>0</v>
      </c>
      <c r="AX34" s="42" t="b">
        <f t="shared" si="5"/>
        <v>0</v>
      </c>
      <c r="AY34" s="42" t="b">
        <f t="shared" si="6"/>
        <v>0</v>
      </c>
      <c r="AZ34" s="42" t="b">
        <f t="shared" si="7"/>
        <v>0</v>
      </c>
      <c r="BA34" s="42" t="b">
        <f t="shared" si="8"/>
        <v>0</v>
      </c>
      <c r="BB34" s="42" t="b">
        <f t="shared" si="9"/>
        <v>0</v>
      </c>
      <c r="BC34" s="42" t="b">
        <f t="shared" si="10"/>
        <v>0</v>
      </c>
    </row>
    <row r="35" spans="3:55" ht="24" customHeight="1" thickBot="1" x14ac:dyDescent="0.25">
      <c r="C35" s="332">
        <f t="array" aca="1" ref="C35" ca="1">$C$12+ROW(23:23)-SUM((($I$12:$I34="")+($K$12:$K34="")&gt;0)*1)</f>
        <v>32</v>
      </c>
      <c r="D35" s="302">
        <f t="array" aca="1" ref="D35" ca="1">IF(Planung!$V$16,"",$D$12+QUOTIENT(($C35-$C$12),Planung!$V$18)*(Planung!$S$7+Planung!$S$9)/1440+SUM($Y$12:$Y34)/1440)</f>
        <v>0.54513888888888895</v>
      </c>
      <c r="E35" s="443">
        <f ca="1">IF(Planung!$V$16,"",MOD($C35-$C$12,Planung!$V$18)+1)</f>
        <v>4</v>
      </c>
      <c r="F35" s="437" t="s">
        <v>301</v>
      </c>
      <c r="G35" s="438" t="s">
        <v>5</v>
      </c>
      <c r="H35" s="439" t="s">
        <v>309</v>
      </c>
      <c r="I35" s="415" t="str">
        <f t="shared" ca="1" si="11"/>
        <v>VFB Essenheim</v>
      </c>
      <c r="J35" s="140" t="s">
        <v>5</v>
      </c>
      <c r="K35" s="286" t="str">
        <f t="shared" ca="1" si="12"/>
        <v>FC Grönlingen</v>
      </c>
      <c r="L35" s="698">
        <v>25</v>
      </c>
      <c r="M35" s="724" t="str">
        <f>Sprache!$E$108</f>
        <v xml:space="preserve"> : </v>
      </c>
      <c r="N35" s="705">
        <v>20</v>
      </c>
      <c r="O35" s="698">
        <v>25</v>
      </c>
      <c r="P35" s="724" t="str">
        <f>Sprache!$E$108</f>
        <v xml:space="preserve"> : </v>
      </c>
      <c r="Q35" s="705">
        <v>19</v>
      </c>
      <c r="R35" s="698"/>
      <c r="S35" s="724" t="str">
        <f>Sprache!$E$108</f>
        <v xml:space="preserve"> : </v>
      </c>
      <c r="T35" s="744"/>
      <c r="U35" s="782">
        <f t="shared" ca="1" si="2"/>
        <v>2</v>
      </c>
      <c r="V35" s="740" t="str">
        <f>Sprache!$E$108</f>
        <v xml:space="preserve"> : </v>
      </c>
      <c r="W35" s="785">
        <f t="shared" ca="1" si="3"/>
        <v>0</v>
      </c>
      <c r="X35" s="714"/>
      <c r="Y35" s="717"/>
      <c r="AA35" s="423" t="str">
        <f ca="1">IF(CalcE4!$K$13=0,"",IF(VLOOKUP(CalcE4!$B$6,CalcE4!$C$4:$E$12,3,0)=MAX($AA33:$AA34),VLOOKUP(CalcE4!$B$6,CalcE4!$C$4:$E$12,3,0),CalcE4!$B$6))</f>
        <v/>
      </c>
      <c r="AB35" s="327" t="str">
        <f ca="1">IF(OR(Calc1!$F$14&lt;3,AS37=1),"",IF(CalcE4!$K$13=0,CalcE4!$Q$66,VLOOKUP(CalcE4!$B$6,CalcE4!$C$4:$N$12,4,0)))</f>
        <v/>
      </c>
      <c r="AC35" s="199" t="str">
        <f ca="1">IF(CalcE4!$K$13=0,"",VLOOKUP(CalcE4!$B$6,CalcE4!$C$4:$N$12,9,0))</f>
        <v/>
      </c>
      <c r="AD35" s="174" t="str">
        <f ca="1">IF(CalcE4!$K$13=0,"",VLOOKUP(CalcE4!$B$6,CalcE4!$C$4:$N$12,10,0))</f>
        <v/>
      </c>
      <c r="AE35" s="174" t="str">
        <f ca="1">IF(CalcE4!$K$13=0,"",VLOOKUP(CalcE4!$B$6,CalcE4!$C$4:$N$12,11,0))</f>
        <v/>
      </c>
      <c r="AF35" s="174" t="str">
        <f ca="1">IF(CalcE4!$K$13=0,"",VLOOKUP(CalcE4!$B$6,CalcE4!$C$4:$N$12,12,0))</f>
        <v/>
      </c>
      <c r="AG35" s="195" t="str">
        <f ca="1">IF(CalcE4!$K$13=0,"",VLOOKUP(CalcE4!B6,CalcE4!$C$4:$AT$12,44,0))</f>
        <v/>
      </c>
      <c r="AH35" s="424" t="str">
        <f>Sprache!$E$108</f>
        <v xml:space="preserve"> : </v>
      </c>
      <c r="AI35" s="751" t="str">
        <f ca="1">IF(CalcE4!$K$13=0,"",VLOOKUP(CalcE4!B6,CalcE4!$C$4:$AS$12,43,0))</f>
        <v/>
      </c>
      <c r="AJ35" s="196" t="str">
        <f ca="1">IF(CalcE4!$K$13=0,"",AG35-AI35)</f>
        <v/>
      </c>
      <c r="AK35" s="747" t="str">
        <f ca="1">IF(CalcE4!$K$13=0,"",VLOOKUP(CalcE4!$B6,CalcE4!$C$4:$N$12,5,0))</f>
        <v/>
      </c>
      <c r="AL35" s="424" t="str">
        <f>Sprache!$E$108</f>
        <v xml:space="preserve"> : </v>
      </c>
      <c r="AM35" s="197" t="str">
        <f ca="1">IF(CalcE4!$K$13=0,"",VLOOKUP(CalcE4!$B6,CalcE4!$C$4:$N$12,6,0))</f>
        <v/>
      </c>
      <c r="AN35" s="174" t="str">
        <f ca="1">IF(CalcE4!$K$13=0,"",IF(VLOOKUP(CalcE4!B6,CalcE4!$C$4:$AV$12,46,0)=Einstellungen!$F$24,"max",VLOOKUP(CalcE4!B6,CalcE4!$C$4:$AV$12,46,0)))</f>
        <v/>
      </c>
      <c r="AO35" s="198" t="str">
        <f ca="1">IF(CalcE4!$K$13=0,"",VLOOKUP(CalcE4!B6,CalcE4!$C$4:$AT$12,Einstellungen!$H$9,0))</f>
        <v/>
      </c>
      <c r="AR35" s="499" t="s">
        <v>343</v>
      </c>
      <c r="AS35" s="426" t="str">
        <f ca="1">IF(Vorrunde!$X$19="","",Vorrunde!$X$19)</f>
        <v/>
      </c>
      <c r="AT35" s="763"/>
      <c r="AU35" s="765"/>
      <c r="AW35" s="42" t="b">
        <f t="shared" ca="1" si="4"/>
        <v>0</v>
      </c>
      <c r="AX35" s="42" t="b">
        <f t="shared" si="5"/>
        <v>0</v>
      </c>
      <c r="AY35" s="42" t="b">
        <f t="shared" si="6"/>
        <v>0</v>
      </c>
      <c r="AZ35" s="42" t="b">
        <f t="shared" si="7"/>
        <v>1</v>
      </c>
      <c r="BA35" s="42" t="b">
        <f t="shared" si="8"/>
        <v>0</v>
      </c>
      <c r="BB35" s="42" t="b">
        <f t="shared" si="9"/>
        <v>0</v>
      </c>
      <c r="BC35" s="42" t="b">
        <f t="shared" si="10"/>
        <v>0</v>
      </c>
    </row>
    <row r="36" spans="3:55" ht="24" customHeight="1" thickBot="1" x14ac:dyDescent="0.25">
      <c r="C36" s="333">
        <f t="array" aca="1" ref="C36" ca="1">$C$12+ROW(24:24)-SUM((($I$12:$I35="")+($K$12:$K35="")&gt;0)*1)</f>
        <v>33</v>
      </c>
      <c r="D36" s="303">
        <f t="array" aca="1" ref="D36" ca="1">IF(Planung!$V$16,"",$D$12+QUOTIENT(($C36-$C$12),Planung!$V$18)*(Planung!$S$7+Planung!$S$9)/1440+SUM($Y$12:$Y35)/1440)</f>
        <v>0.56944444444444442</v>
      </c>
      <c r="E36" s="321">
        <f ca="1">IF(Planung!$V$16,"",MOD($C36-$C$12,Planung!$V$18)+1)</f>
        <v>1</v>
      </c>
      <c r="F36" s="440" t="s">
        <v>306</v>
      </c>
      <c r="G36" s="441" t="s">
        <v>5</v>
      </c>
      <c r="H36" s="442" t="s">
        <v>302</v>
      </c>
      <c r="I36" s="444" t="str">
        <f ca="1">IF($F36="","",IF(VLOOKUP($F36,$AR$12:$AS$41,2,0)="","",VLOOKUP($F36,$AR$12:$AS$41,2,0)))</f>
        <v>Eintracht Frankfurt</v>
      </c>
      <c r="J36" s="445" t="s">
        <v>5</v>
      </c>
      <c r="K36" s="446" t="str">
        <f ca="1">IF($H36="","",IF(VLOOKUP($H36,$AR$12:$AS$41,2,0)="","",VLOOKUP($H36,$AR$12:$AS$41,2,0)))</f>
        <v>Mainz 05</v>
      </c>
      <c r="L36" s="699">
        <v>25</v>
      </c>
      <c r="M36" s="725" t="str">
        <f>Sprache!$E$108</f>
        <v xml:space="preserve"> : </v>
      </c>
      <c r="N36" s="706">
        <v>13</v>
      </c>
      <c r="O36" s="699">
        <v>25</v>
      </c>
      <c r="P36" s="725" t="str">
        <f>Sprache!$E$108</f>
        <v xml:space="preserve"> : </v>
      </c>
      <c r="Q36" s="706">
        <v>20</v>
      </c>
      <c r="R36" s="699"/>
      <c r="S36" s="725" t="str">
        <f>Sprache!$E$108</f>
        <v xml:space="preserve"> : </v>
      </c>
      <c r="T36" s="745"/>
      <c r="U36" s="783">
        <f t="shared" ca="1" si="2"/>
        <v>2</v>
      </c>
      <c r="V36" s="741" t="str">
        <f>Sprache!$E$108</f>
        <v xml:space="preserve"> : </v>
      </c>
      <c r="W36" s="786">
        <f t="shared" ca="1" si="3"/>
        <v>0</v>
      </c>
      <c r="X36" s="715"/>
      <c r="Y36" s="738"/>
      <c r="AA36" s="427" t="str">
        <f ca="1">IF(CalcE4!$K$13=0,"",IF(VLOOKUP(CalcE4!$B$7,CalcE4!$C$4:$E$12,3,0)=MAX($AA33:$AA35),VLOOKUP(CalcE4!$B$7,CalcE4!$C$4:$E$12,3,0),CalcE4!$B$7))</f>
        <v/>
      </c>
      <c r="AB36" s="329" t="str">
        <f ca="1">IF(OR(Calc1!$F$14&lt;3,AS37=1),"",IF(CalcE4!$K$13=0,CalcE4!$Q$67,VLOOKUP(CalcE4!$B$7,CalcE4!$C$4:$N$12,4,0)))</f>
        <v/>
      </c>
      <c r="AC36" s="210" t="str">
        <f ca="1">IF(CalcE4!$K$13=0,"",VLOOKUP(CalcE4!$B$7,CalcE4!$C$4:$N$12,9,0))</f>
        <v/>
      </c>
      <c r="AD36" s="204" t="str">
        <f ca="1">IF(CalcE4!$K$13=0,"",VLOOKUP(CalcE4!$B$7,CalcE4!$C$4:$N$12,10,0))</f>
        <v/>
      </c>
      <c r="AE36" s="204" t="str">
        <f ca="1">IF(CalcE4!$K$13=0,"",VLOOKUP(CalcE4!$B$7,CalcE4!$C$4:$N$12,11,0))</f>
        <v/>
      </c>
      <c r="AF36" s="204" t="str">
        <f ca="1">IF(CalcE4!$K$13=0,"",VLOOKUP(CalcE4!$B$7,CalcE4!$C$4:$N$12,12,0))</f>
        <v/>
      </c>
      <c r="AG36" s="206" t="str">
        <f ca="1">IF(CalcE4!$K$13=0,"",VLOOKUP(CalcE4!B7,CalcE4!$C$4:$AT$12,44,0))</f>
        <v/>
      </c>
      <c r="AH36" s="428" t="str">
        <f>Sprache!$E$108</f>
        <v xml:space="preserve"> : </v>
      </c>
      <c r="AI36" s="752" t="str">
        <f ca="1">IF(CalcE4!$K$13=0,"",VLOOKUP(CalcE4!B7,CalcE4!$C$4:$AS$12,43,0))</f>
        <v/>
      </c>
      <c r="AJ36" s="207" t="str">
        <f ca="1">IF(CalcE4!$K$13=0,"",AG36-AI36)</f>
        <v/>
      </c>
      <c r="AK36" s="748" t="str">
        <f ca="1">IF(CalcE4!$K$13=0,"",VLOOKUP(CalcE4!$B7,CalcE4!$C$4:$N$12,5,0))</f>
        <v/>
      </c>
      <c r="AL36" s="428" t="str">
        <f>Sprache!$E$108</f>
        <v xml:space="preserve"> : </v>
      </c>
      <c r="AM36" s="208" t="str">
        <f ca="1">IF(CalcE4!$K$13=0,"",VLOOKUP(CalcE4!$B7,CalcE4!$C$4:$N$12,6,0))</f>
        <v/>
      </c>
      <c r="AN36" s="204" t="str">
        <f ca="1">IF(CalcE4!$K$13=0,"",IF(VLOOKUP(CalcE4!B7,CalcE4!$C$4:$AV$12,46,0)=Einstellungen!$F$24,"max",VLOOKUP(CalcE4!B7,CalcE4!$C$4:$AV$12,46,0)))</f>
        <v/>
      </c>
      <c r="AO36" s="209" t="str">
        <f ca="1">IF(CalcE4!$K$13=0,"",VLOOKUP(CalcE4!B7,CalcE4!$C$4:$AT$12,Einstellungen!$H$9,0))</f>
        <v/>
      </c>
      <c r="AR36" s="429" t="s">
        <v>344</v>
      </c>
      <c r="AS36" s="430" t="str">
        <f ca="1">IF(Vorrunde!$X$32="","",Vorrunde!$X$32)</f>
        <v/>
      </c>
      <c r="AT36" s="763"/>
      <c r="AU36" s="766"/>
      <c r="AW36" s="42" t="b">
        <f t="shared" ref="AW36" ca="1" si="13">OR(I36="",K36="",AND(OR(L36="",N36="",AX36),OR(O36="",Q36="",AY36),OR(R36="",T36="",AZ36)))</f>
        <v>0</v>
      </c>
      <c r="AX36" s="42" t="b">
        <f t="shared" ref="AX36" si="14">ABS(L36-N36)&lt;2*$AW$10</f>
        <v>0</v>
      </c>
      <c r="AY36" s="42" t="b">
        <f t="shared" ref="AY36" si="15">ABS(O36-Q36)&lt;2*$AW$10</f>
        <v>0</v>
      </c>
      <c r="AZ36" s="42" t="b">
        <f t="shared" ref="AZ36" si="16">ABS(R36-T36)&lt;2*$AW$10</f>
        <v>1</v>
      </c>
      <c r="BA36" s="42" t="b">
        <f t="shared" ref="BA36" si="17">AND(AX36,L36&lt;&gt;"",N36&lt;&gt;"")</f>
        <v>0</v>
      </c>
      <c r="BB36" s="42" t="b">
        <f t="shared" ref="BB36" si="18">AND(AY36,O36&lt;&gt;"",Q36&lt;&gt;"")</f>
        <v>0</v>
      </c>
      <c r="BC36" s="42" t="b">
        <f t="shared" ref="BC36" si="19">AND(AZ36,R36&lt;&gt;"",T36&lt;&gt;"")</f>
        <v>0</v>
      </c>
    </row>
    <row r="37" spans="3:55" ht="24" customHeight="1" thickTop="1" x14ac:dyDescent="0.2">
      <c r="AJ37" s="274"/>
    </row>
    <row r="38" spans="3:55" ht="24" customHeight="1" thickBot="1" x14ac:dyDescent="0.45">
      <c r="C38" s="307"/>
      <c r="D38" s="307"/>
      <c r="E38" s="307"/>
      <c r="F38" s="307"/>
      <c r="G38" s="307"/>
      <c r="H38" s="307"/>
      <c r="I38" s="901" t="str">
        <f>Sprache!$E$29</f>
        <v>Turnierende:</v>
      </c>
      <c r="J38" s="901"/>
      <c r="K38" s="308">
        <f ca="1">IF(Planung!$S$13="","",$D$36+Planung!$S$7/1440)</f>
        <v>0.59027777777777779</v>
      </c>
      <c r="L38" s="309"/>
      <c r="M38" s="309"/>
      <c r="N38" s="309"/>
      <c r="O38" s="309"/>
      <c r="P38" s="309"/>
      <c r="Q38" s="309"/>
      <c r="R38" s="309"/>
      <c r="S38" s="309"/>
      <c r="T38" s="309"/>
      <c r="U38" s="309"/>
      <c r="V38" s="309"/>
      <c r="W38" s="309"/>
      <c r="X38" s="309"/>
      <c r="Y38" s="309"/>
      <c r="AA38" s="945" t="str">
        <f>Sprache!$E$68</f>
        <v>Gruppenneunte</v>
      </c>
      <c r="AB38" s="945"/>
      <c r="AC38" s="945"/>
      <c r="AD38" s="945"/>
      <c r="AE38" s="945"/>
      <c r="AF38" s="945"/>
      <c r="AG38" s="175"/>
      <c r="AH38" s="175"/>
      <c r="AI38" s="175"/>
      <c r="AJ38" s="753"/>
      <c r="AK38" s="175"/>
      <c r="AL38" s="175"/>
      <c r="AM38" s="175"/>
      <c r="AN38" s="175"/>
      <c r="AO38" s="175"/>
      <c r="AR38" s="946" t="str">
        <f>$AA38</f>
        <v>Gruppenneunte</v>
      </c>
      <c r="AS38" s="946"/>
      <c r="AT38" s="947"/>
    </row>
    <row r="39" spans="3:55" ht="24" customHeight="1" thickTop="1" thickBot="1" x14ac:dyDescent="0.25">
      <c r="D39" s="305"/>
      <c r="AA39" s="948"/>
      <c r="AB39" s="949"/>
      <c r="AC39" s="177" t="str">
        <f>Sprache!$E$21</f>
        <v>SP</v>
      </c>
      <c r="AD39" s="178" t="str">
        <f>Sprache!$E$22</f>
        <v>G</v>
      </c>
      <c r="AE39" s="178" t="str">
        <f>Sprache!$E$23</f>
        <v>U</v>
      </c>
      <c r="AF39" s="501" t="str">
        <f>Sprache!$E$24</f>
        <v>V</v>
      </c>
      <c r="AG39" s="944" t="str">
        <f>Sprache!$E$89</f>
        <v>Sätze</v>
      </c>
      <c r="AH39" s="944"/>
      <c r="AI39" s="944"/>
      <c r="AJ39" s="749" t="str">
        <f>Sprache!$E$26</f>
        <v>Diff.</v>
      </c>
      <c r="AK39" s="944" t="str">
        <f>Sprache!$E$90</f>
        <v>Bälle</v>
      </c>
      <c r="AL39" s="944"/>
      <c r="AM39" s="944"/>
      <c r="AN39" s="178" t="str">
        <f>IF(Einstellungen!$G$24,Sprache!$E$26,Sprache!$E$97)</f>
        <v>Diff.</v>
      </c>
      <c r="AO39" s="180" t="str">
        <f>IF(Einstellungen!$G$9,Sprache!$E$27,Sprache!$E$80)</f>
        <v>Pkt</v>
      </c>
      <c r="AR39" s="417"/>
      <c r="AS39" s="418" t="str">
        <f>Sprache!$E$10</f>
        <v>Teilnehmer bzw. Mannschaft</v>
      </c>
      <c r="AT39" s="762"/>
    </row>
    <row r="40" spans="3:55" ht="24" customHeight="1" thickBot="1" x14ac:dyDescent="0.25">
      <c r="F40" s="431"/>
      <c r="G40" s="432"/>
      <c r="H40" s="386" t="str">
        <f>Sprache!$E$116</f>
        <v>Rang</v>
      </c>
      <c r="I40" s="950" t="str">
        <f>"  "&amp;Sprache!$E$10</f>
        <v xml:space="preserve">  Teilnehmer bzw. Mannschaft</v>
      </c>
      <c r="J40" s="951"/>
      <c r="K40" s="952"/>
      <c r="AA40" s="419" t="str">
        <f ca="1">IF(CalcE5!$K$13=0,"",1)</f>
        <v/>
      </c>
      <c r="AB40" s="325" t="str">
        <f ca="1">IF(Calc1!$F$14&lt;3,"",IF(AND(CalcE5!$K$13=0,AS51&lt;&gt;1),CalcE5!$Q$64,VLOOKUP(CalcE5!$B$4,CalcE5!$C$4:$N$12,4,0)))</f>
        <v/>
      </c>
      <c r="AC40" s="420" t="str">
        <f ca="1">IF(CalcE5!$K$13=0,"",VLOOKUP(CalcE5!$B$4,CalcE5!$C$4:$N$12,9,0))</f>
        <v/>
      </c>
      <c r="AD40" s="184" t="str">
        <f ca="1">IF(CalcE5!$K$13=0,"",VLOOKUP(CalcE5!$B$4,CalcE5!$C$4:$N$12,10,0))</f>
        <v/>
      </c>
      <c r="AE40" s="184" t="str">
        <f ca="1">IF(CalcE5!$K$13=0,"",VLOOKUP(CalcE5!$B$4,CalcE5!$C$4:$N$12,11,0))</f>
        <v/>
      </c>
      <c r="AF40" s="184" t="str">
        <f ca="1">IF(CalcE5!$K$13=0,"",VLOOKUP(CalcE5!$B$4,CalcE5!$C$4:$N$12,12,0))</f>
        <v/>
      </c>
      <c r="AG40" s="186" t="str">
        <f ca="1">IF(CalcE5!$K$13=0,"",VLOOKUP(CalcE5!B4,CalcE5!$C$4:$AT$12,44,0))</f>
        <v/>
      </c>
      <c r="AH40" s="421" t="str">
        <f>Sprache!$E$108</f>
        <v xml:space="preserve"> : </v>
      </c>
      <c r="AI40" s="750" t="str">
        <f ca="1">IF(CalcE5!$K$13=0,"",VLOOKUP(CalcE5!B4,CalcE5!$C$4:$AS$12,43,0))</f>
        <v/>
      </c>
      <c r="AJ40" s="187" t="str">
        <f ca="1">IF(CalcE5!$K$13=0,"",AG40-AI40)</f>
        <v/>
      </c>
      <c r="AK40" s="746" t="str">
        <f ca="1">IF(CalcE5!$K$13=0,"",VLOOKUP(CalcE5!$B4,CalcE5!$C$4:$N$12,5,0))</f>
        <v/>
      </c>
      <c r="AL40" s="421" t="str">
        <f>Sprache!$E$108</f>
        <v xml:space="preserve"> : </v>
      </c>
      <c r="AM40" s="188" t="str">
        <f ca="1">IF(CalcE5!$K$13=0,"",VLOOKUP(CalcE5!$B4,CalcE5!$C$4:$N$12,6,0))</f>
        <v/>
      </c>
      <c r="AN40" s="184" t="str">
        <f ca="1">IF(CalcE5!$K$13=0,"",IF(VLOOKUP(CalcE5!B4,CalcE5!$C$4:$AV$12,46,0)=Einstellungen!$F$24,"max",VLOOKUP(CalcE5!B4,CalcE5!$C$4:$AV$12,46,0)))</f>
        <v/>
      </c>
      <c r="AO40" s="189" t="str">
        <f ca="1">IF(CalcE5!$K$13=0,"",VLOOKUP(CalcE5!B4,CalcE5!$C$4:$AT$12,Einstellungen!$H$9,0))</f>
        <v/>
      </c>
      <c r="AR40" s="500" t="s">
        <v>345</v>
      </c>
      <c r="AS40" s="422" t="str">
        <f ca="1">IF(Vorrunde!$X$20="","",Vorrunde!$X$20)</f>
        <v/>
      </c>
      <c r="AT40" s="763"/>
      <c r="AU40" s="764"/>
    </row>
    <row r="41" spans="3:55" ht="24" customHeight="1" thickTop="1" thickBot="1" x14ac:dyDescent="0.25">
      <c r="E41" s="306">
        <v>1</v>
      </c>
      <c r="F41" s="433"/>
      <c r="G41" s="433"/>
      <c r="H41" s="340">
        <v>1</v>
      </c>
      <c r="I41" s="925" t="str">
        <f ca="1">IF(CalcE1!$K$13=0,"",$AB$12)</f>
        <v>Manchester City</v>
      </c>
      <c r="J41" s="925"/>
      <c r="K41" s="926"/>
      <c r="AA41" s="427" t="str">
        <f ca="1">IF(CalcE5!$K$13=0,"",IF(VLOOKUP(CalcE5!$B$5,CalcE5!$C$4:$E$12,3,0)=MAX($AA40:$AA40),VLOOKUP(CalcE5!$B$5,CalcE5!$C$4:$E$12,3,0),CalcE5!$B$5))</f>
        <v/>
      </c>
      <c r="AB41" s="329" t="str">
        <f ca="1">IF(OR(Calc1!$F$14&lt;3,AS51=1),"",IF(CalcE5!$K$13=0,CalcE5!$Q$65,VLOOKUP(CalcE5!$B$5,CalcE5!$C$4:$N$12,4,0)))</f>
        <v/>
      </c>
      <c r="AC41" s="210" t="str">
        <f ca="1">IF(CalcE5!$K$13=0,"",VLOOKUP(CalcE5!$B$5,CalcE5!$C$4:$N$12,9,0))</f>
        <v/>
      </c>
      <c r="AD41" s="204" t="str">
        <f ca="1">IF(CalcE5!$K$13=0,"",VLOOKUP(CalcE5!$B$5,CalcE5!$C$4:$N$12,10,0))</f>
        <v/>
      </c>
      <c r="AE41" s="204" t="str">
        <f ca="1">IF(CalcE5!$K$13=0,"",VLOOKUP(CalcE5!$B$5,CalcE5!$C$4:$N$12,11,0))</f>
        <v/>
      </c>
      <c r="AF41" s="204" t="str">
        <f ca="1">IF(CalcE5!$K$13=0,"",VLOOKUP(CalcE5!$B$5,CalcE5!$C$4:$N$12,12,0))</f>
        <v/>
      </c>
      <c r="AG41" s="206" t="str">
        <f ca="1">IF(CalcE5!$K$13=0,"",VLOOKUP(CalcE5!B5,CalcE5!$C$4:$AT$12,44,0))</f>
        <v/>
      </c>
      <c r="AH41" s="428" t="str">
        <f>Sprache!$E$108</f>
        <v xml:space="preserve"> : </v>
      </c>
      <c r="AI41" s="752" t="str">
        <f ca="1">IF(CalcE5!$K$13=0,"",VLOOKUP(CalcE5!B5,CalcE5!$C$4:$AS$12,43,0))</f>
        <v/>
      </c>
      <c r="AJ41" s="207" t="str">
        <f ca="1">IF(CalcE5!$K$13=0,"",AG41-AI41)</f>
        <v/>
      </c>
      <c r="AK41" s="748" t="str">
        <f ca="1">IF(CalcE5!$K$13=0,"",VLOOKUP(CalcE5!$B5,CalcE5!$C$4:$N$12,5,0))</f>
        <v/>
      </c>
      <c r="AL41" s="428" t="str">
        <f>Sprache!$E$108</f>
        <v xml:space="preserve"> : </v>
      </c>
      <c r="AM41" s="208" t="str">
        <f ca="1">IF(CalcE5!$K$13=0,"",VLOOKUP(CalcE5!$B5,CalcE5!$C$4:$N$12,6,0))</f>
        <v/>
      </c>
      <c r="AN41" s="204" t="str">
        <f ca="1">IF(CalcE5!$K$13=0,"",IF(VLOOKUP(CalcE5!B5,CalcE5!$C$4:$AV$12,46,0)=Einstellungen!$F$24,"max",VLOOKUP(CalcE5!B5,CalcE5!$C$4:$AV$12,46,0)))</f>
        <v/>
      </c>
      <c r="AO41" s="209" t="str">
        <f ca="1">IF(CalcE5!$K$13=0,"",VLOOKUP(CalcE5!B5,CalcE5!$C$4:$AT$12,Einstellungen!$H$9,0))</f>
        <v/>
      </c>
      <c r="AR41" s="429" t="s">
        <v>346</v>
      </c>
      <c r="AS41" s="430" t="str">
        <f ca="1">IF(Vorrunde!$X$33="","",Vorrunde!$X$33)</f>
        <v/>
      </c>
      <c r="AT41" s="763"/>
      <c r="AU41" s="766"/>
    </row>
    <row r="42" spans="3:55" ht="24" customHeight="1" thickTop="1" x14ac:dyDescent="0.2">
      <c r="E42" s="306">
        <v>2</v>
      </c>
      <c r="F42" s="433"/>
      <c r="G42" s="433"/>
      <c r="H42" s="341">
        <v>2</v>
      </c>
      <c r="I42" s="927" t="str">
        <f ca="1">IF(CalcE1!$K$13=0,"",$AB$13)</f>
        <v>Maibach 1822 eV</v>
      </c>
      <c r="J42" s="927"/>
      <c r="K42" s="928"/>
      <c r="AA42" s="505"/>
      <c r="AB42" s="247"/>
      <c r="AC42" s="248"/>
      <c r="AD42" s="248"/>
      <c r="AE42" s="248"/>
      <c r="AF42" s="248"/>
      <c r="AG42" s="249"/>
      <c r="AH42" s="249"/>
      <c r="AI42" s="249"/>
      <c r="AJ42" s="249"/>
      <c r="AK42" s="249"/>
      <c r="AL42" s="506"/>
      <c r="AM42" s="247"/>
      <c r="AN42" s="248"/>
      <c r="AO42" s="250"/>
      <c r="AP42" s="507"/>
      <c r="AQ42" s="507"/>
      <c r="AR42" s="508"/>
      <c r="AS42" s="509"/>
      <c r="AT42" s="510"/>
    </row>
    <row r="43" spans="3:55" ht="24" customHeight="1" x14ac:dyDescent="0.2">
      <c r="E43" s="306">
        <v>3</v>
      </c>
      <c r="F43" s="433"/>
      <c r="G43" s="433"/>
      <c r="H43" s="342">
        <v>3</v>
      </c>
      <c r="I43" s="897" t="str">
        <f ca="1">IF(CalcE1!$K$13=0,"",$AB$14)</f>
        <v>Mainz 05</v>
      </c>
      <c r="J43" s="897"/>
      <c r="K43" s="898"/>
      <c r="AA43" s="505"/>
      <c r="AB43" s="247"/>
      <c r="AC43" s="248"/>
      <c r="AD43" s="248"/>
      <c r="AE43" s="248"/>
      <c r="AF43" s="248"/>
      <c r="AG43" s="249"/>
      <c r="AH43" s="249"/>
      <c r="AI43" s="249"/>
      <c r="AJ43" s="249"/>
      <c r="AK43" s="249"/>
      <c r="AL43" s="506"/>
      <c r="AM43" s="247"/>
      <c r="AN43" s="248"/>
      <c r="AO43" s="250"/>
      <c r="AP43" s="507"/>
      <c r="AQ43" s="507"/>
      <c r="AR43" s="508"/>
      <c r="AS43" s="509"/>
      <c r="AT43" s="510"/>
    </row>
    <row r="44" spans="3:55" ht="24" customHeight="1" x14ac:dyDescent="0.2">
      <c r="E44" s="306">
        <v>4</v>
      </c>
      <c r="F44" s="433"/>
      <c r="G44" s="433"/>
      <c r="H44" s="343">
        <v>4</v>
      </c>
      <c r="I44" s="899" t="str">
        <f ca="1">IF(CalcE1!$K$13=0,"",$AB$15)</f>
        <v>Eintracht Frankfurt</v>
      </c>
      <c r="J44" s="899"/>
      <c r="K44" s="900"/>
    </row>
    <row r="45" spans="3:55" ht="24" customHeight="1" x14ac:dyDescent="0.2">
      <c r="E45" s="306">
        <v>5</v>
      </c>
      <c r="F45" s="433"/>
      <c r="G45" s="433"/>
      <c r="H45" s="343">
        <v>5</v>
      </c>
      <c r="I45" s="899" t="str">
        <f ca="1">IF(AND(CalcE2!$K$13=0,CalcE2!$F$13&lt;&gt;1),"",$AB$19)</f>
        <v>VFB Essenheim</v>
      </c>
      <c r="J45" s="899"/>
      <c r="K45" s="900"/>
    </row>
    <row r="46" spans="3:55" ht="24" customHeight="1" x14ac:dyDescent="0.2">
      <c r="E46" s="306">
        <v>6</v>
      </c>
      <c r="F46" s="433"/>
      <c r="G46" s="433"/>
      <c r="H46" s="343">
        <v>6</v>
      </c>
      <c r="I46" s="899" t="str">
        <f ca="1">IF(CalcE2!$K$13=0,"",$AB$20)</f>
        <v>FC Grönlingen</v>
      </c>
      <c r="J46" s="899"/>
      <c r="K46" s="900"/>
    </row>
    <row r="47" spans="3:55" ht="24" customHeight="1" x14ac:dyDescent="0.2">
      <c r="E47" s="306">
        <v>7</v>
      </c>
      <c r="F47" s="433"/>
      <c r="G47" s="433"/>
      <c r="H47" s="343">
        <v>7</v>
      </c>
      <c r="I47" s="899" t="str">
        <f ca="1">IF(CalcE2!$K$13=0,"",$AB$21)</f>
        <v>SSV Wildbach</v>
      </c>
      <c r="J47" s="899"/>
      <c r="K47" s="900"/>
    </row>
    <row r="48" spans="3:55" ht="24" customHeight="1" x14ac:dyDescent="0.2">
      <c r="E48" s="306">
        <v>8</v>
      </c>
      <c r="F48" s="433"/>
      <c r="G48" s="433"/>
      <c r="H48" s="343">
        <v>8</v>
      </c>
      <c r="I48" s="899" t="str">
        <f ca="1">IF(CalcE2!$K$13=0,"",$AB$22)</f>
        <v>1. FC Riedwald</v>
      </c>
      <c r="J48" s="899"/>
      <c r="K48" s="900"/>
    </row>
    <row r="49" spans="5:11" ht="24" customHeight="1" x14ac:dyDescent="0.2">
      <c r="E49" s="306">
        <v>9</v>
      </c>
      <c r="F49" s="433"/>
      <c r="G49" s="433"/>
      <c r="H49" s="343">
        <v>9</v>
      </c>
      <c r="I49" s="899" t="str">
        <f ca="1">IF(AND(CalcE3!$K$13=0,CalcE3!$F$13&lt;&gt;1),"",$AB$26)</f>
        <v>FC Barcelona</v>
      </c>
      <c r="J49" s="899"/>
      <c r="K49" s="900"/>
    </row>
    <row r="50" spans="5:11" ht="24" customHeight="1" x14ac:dyDescent="0.2">
      <c r="E50" s="306">
        <v>10</v>
      </c>
      <c r="F50" s="433"/>
      <c r="G50" s="433"/>
      <c r="H50" s="343">
        <v>10</v>
      </c>
      <c r="I50" s="899" t="str">
        <f ca="1">IF(CalcE3!$K$13=0,"",$AB$27)</f>
        <v>Inter Mailand</v>
      </c>
      <c r="J50" s="899"/>
      <c r="K50" s="900"/>
    </row>
    <row r="51" spans="5:11" ht="24" customHeight="1" x14ac:dyDescent="0.2">
      <c r="E51" s="306">
        <v>11</v>
      </c>
      <c r="F51" s="433"/>
      <c r="G51" s="433"/>
      <c r="H51" s="343">
        <v>11</v>
      </c>
      <c r="I51" s="899" t="str">
        <f ca="1">IF(CalcE3!$K$13=0,"",$AB$28)</f>
        <v/>
      </c>
      <c r="J51" s="899"/>
      <c r="K51" s="900"/>
    </row>
    <row r="52" spans="5:11" ht="24" customHeight="1" x14ac:dyDescent="0.2">
      <c r="E52" s="306">
        <v>12</v>
      </c>
      <c r="F52" s="433"/>
      <c r="G52" s="433"/>
      <c r="H52" s="343">
        <v>12</v>
      </c>
      <c r="I52" s="899" t="str">
        <f ca="1">IF(CalcE3!$K$13=0,"",$AB$29)</f>
        <v/>
      </c>
      <c r="J52" s="899"/>
      <c r="K52" s="900"/>
    </row>
    <row r="53" spans="5:11" ht="24" customHeight="1" x14ac:dyDescent="0.2">
      <c r="H53" s="343">
        <v>13</v>
      </c>
      <c r="I53" s="899" t="str">
        <f ca="1">IF(AND(CalcE4!$K$13=0,CalcE4!$F$13&lt;&gt;1),"",$AB$33)</f>
        <v/>
      </c>
      <c r="J53" s="899"/>
      <c r="K53" s="900"/>
    </row>
    <row r="54" spans="5:11" ht="24" customHeight="1" x14ac:dyDescent="0.2">
      <c r="H54" s="343">
        <v>14</v>
      </c>
      <c r="I54" s="899" t="str">
        <f ca="1">IF(CalcE4!$K$13=0,"",$AB$34)</f>
        <v/>
      </c>
      <c r="J54" s="899"/>
      <c r="K54" s="900"/>
    </row>
    <row r="55" spans="5:11" ht="24" customHeight="1" x14ac:dyDescent="0.2">
      <c r="H55" s="343">
        <v>15</v>
      </c>
      <c r="I55" s="899" t="str">
        <f ca="1">IF(CalcE4!$K$13=0,"",$AB$35)</f>
        <v/>
      </c>
      <c r="J55" s="899"/>
      <c r="K55" s="900"/>
    </row>
    <row r="56" spans="5:11" ht="24" customHeight="1" x14ac:dyDescent="0.2">
      <c r="H56" s="343">
        <v>16</v>
      </c>
      <c r="I56" s="899" t="str">
        <f ca="1">IF(CalcE4!$K$13=0,"",$AB$36)</f>
        <v/>
      </c>
      <c r="J56" s="899"/>
      <c r="K56" s="900"/>
    </row>
    <row r="57" spans="5:11" ht="24" customHeight="1" x14ac:dyDescent="0.2">
      <c r="H57" s="343">
        <v>17</v>
      </c>
      <c r="I57" s="899" t="str">
        <f ca="1">IF(AND(CalcE5!$K$13=0,CalcE5!$F$13&lt;&gt;1),"",$AB$40)</f>
        <v/>
      </c>
      <c r="J57" s="899"/>
      <c r="K57" s="900"/>
    </row>
    <row r="58" spans="5:11" ht="24" customHeight="1" thickBot="1" x14ac:dyDescent="0.25">
      <c r="H58" s="344">
        <v>18</v>
      </c>
      <c r="I58" s="921" t="str">
        <f ca="1">IF(CalcE5!$K$13=0,"",$AB$41)</f>
        <v/>
      </c>
      <c r="J58" s="921"/>
      <c r="K58" s="922"/>
    </row>
    <row r="59" spans="5:11" ht="24" customHeight="1" thickTop="1" x14ac:dyDescent="0.2"/>
  </sheetData>
  <sheetProtection sheet="1" selectLockedCells="1"/>
  <mergeCells count="56">
    <mergeCell ref="I58:K58"/>
    <mergeCell ref="I53:K53"/>
    <mergeCell ref="I54:K54"/>
    <mergeCell ref="I55:K55"/>
    <mergeCell ref="I56:K56"/>
    <mergeCell ref="I57:K57"/>
    <mergeCell ref="AR38:AT38"/>
    <mergeCell ref="AA39:AB39"/>
    <mergeCell ref="I44:K44"/>
    <mergeCell ref="I43:K43"/>
    <mergeCell ref="I42:K42"/>
    <mergeCell ref="I41:K41"/>
    <mergeCell ref="I40:K40"/>
    <mergeCell ref="I38:J38"/>
    <mergeCell ref="I49:K49"/>
    <mergeCell ref="I50:K50"/>
    <mergeCell ref="I51:K51"/>
    <mergeCell ref="I52:K52"/>
    <mergeCell ref="I45:K45"/>
    <mergeCell ref="I48:K48"/>
    <mergeCell ref="I47:K47"/>
    <mergeCell ref="I46:K46"/>
    <mergeCell ref="C10:F10"/>
    <mergeCell ref="I11:K11"/>
    <mergeCell ref="AA17:AF17"/>
    <mergeCell ref="AR17:AT17"/>
    <mergeCell ref="Y10:Y11"/>
    <mergeCell ref="AA10:AF10"/>
    <mergeCell ref="AR10:AT10"/>
    <mergeCell ref="AA11:AB11"/>
    <mergeCell ref="L11:N11"/>
    <mergeCell ref="O11:Q11"/>
    <mergeCell ref="R11:T11"/>
    <mergeCell ref="U11:W11"/>
    <mergeCell ref="AG11:AI11"/>
    <mergeCell ref="AK11:AM11"/>
    <mergeCell ref="AR31:AT31"/>
    <mergeCell ref="AA18:AB18"/>
    <mergeCell ref="AA24:AF24"/>
    <mergeCell ref="AR24:AT24"/>
    <mergeCell ref="AA25:AB25"/>
    <mergeCell ref="AG18:AI18"/>
    <mergeCell ref="AK18:AM18"/>
    <mergeCell ref="AG25:AI25"/>
    <mergeCell ref="AK25:AM25"/>
    <mergeCell ref="AG32:AI32"/>
    <mergeCell ref="AK32:AM32"/>
    <mergeCell ref="AG39:AI39"/>
    <mergeCell ref="AK39:AM39"/>
    <mergeCell ref="J2:AC2"/>
    <mergeCell ref="J3:AC3"/>
    <mergeCell ref="J4:AC4"/>
    <mergeCell ref="J5:AC5"/>
    <mergeCell ref="L7:AA8"/>
    <mergeCell ref="AA31:AF31"/>
    <mergeCell ref="AA38:AF38"/>
  </mergeCells>
  <conditionalFormatting sqref="AA12:AO15 AA19:AO22 AA26:AO29 AA33:AO36 AA40:AO42">
    <cfRule type="expression" dxfId="13" priority="15">
      <formula>$AB12=""</formula>
    </cfRule>
    <cfRule type="expression" dxfId="12" priority="16">
      <formula>OR(AND($AA12=$AA11,$AB11&lt;&gt;""),AND($AA12=$AA13,$AB13&lt;&gt;""))</formula>
    </cfRule>
  </conditionalFormatting>
  <conditionalFormatting sqref="AA43:AO43">
    <cfRule type="expression" dxfId="11" priority="342">
      <formula>$AB43=""</formula>
    </cfRule>
    <cfRule type="expression" dxfId="10" priority="343">
      <formula>OR(AND($AA43=$AA42,$AB42&lt;&gt;""),AND($AA43=$AA51,$AB51&lt;&gt;""))</formula>
    </cfRule>
  </conditionalFormatting>
  <conditionalFormatting sqref="C12:W36">
    <cfRule type="expression" dxfId="9" priority="4">
      <formula>OR($I12="",$K12="")</formula>
    </cfRule>
  </conditionalFormatting>
  <conditionalFormatting sqref="L12:N36">
    <cfRule type="expression" dxfId="8" priority="3">
      <formula>$BA12</formula>
    </cfRule>
  </conditionalFormatting>
  <conditionalFormatting sqref="O12:Q36">
    <cfRule type="expression" dxfId="7" priority="2">
      <formula>$BB12</formula>
    </cfRule>
  </conditionalFormatting>
  <conditionalFormatting sqref="R12:T36">
    <cfRule type="expression" dxfId="6" priority="1">
      <formula>$BC12</formula>
    </cfRule>
  </conditionalFormatting>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7" id="{648D8133-7717-4F1D-AB74-A1A63E64B3CD}">
            <xm:f>$H41&gt;2*Calc1!$F$14-MOD((Calc1!$F$13+Calc2!$F$13),2)</xm:f>
            <x14:dxf>
              <numFmt numFmtId="165" formatCode=";;;"/>
            </x14:dxf>
          </x14:cfRule>
          <xm:sqref>H41:H58</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D7E38-528C-4430-B099-94993CD9CC08}">
  <dimension ref="A1:CX95"/>
  <sheetViews>
    <sheetView showGridLines="0" showRowColHeaders="0" zoomScaleNormal="100" zoomScaleSheetLayoutView="115" workbookViewId="0">
      <selection activeCell="J1" sqref="J1:XFD1048576"/>
    </sheetView>
  </sheetViews>
  <sheetFormatPr baseColWidth="10" defaultColWidth="0" defaultRowHeight="12.75" zeroHeight="1" x14ac:dyDescent="0.2"/>
  <cols>
    <col min="1" max="1" width="6.140625" customWidth="1"/>
    <col min="2" max="2" width="5" style="525" customWidth="1"/>
    <col min="3" max="3" width="18.140625" style="526" customWidth="1"/>
    <col min="4" max="4" width="8.28515625" style="236" customWidth="1"/>
    <col min="5" max="5" width="8.85546875" customWidth="1"/>
    <col min="6" max="6" width="8.42578125" customWidth="1"/>
    <col min="7" max="7" width="7.7109375" customWidth="1"/>
    <col min="8" max="8" width="18.42578125" customWidth="1"/>
    <col min="9" max="9" width="6.28515625" customWidth="1"/>
    <col min="10" max="10" width="5.7109375" style="523" hidden="1" customWidth="1"/>
    <col min="11" max="11" width="15.7109375" style="523" hidden="1" customWidth="1"/>
    <col min="12" max="13" width="7.85546875" hidden="1" customWidth="1"/>
    <col min="14" max="14" width="10.7109375" hidden="1" customWidth="1"/>
    <col min="15" max="15" width="5.42578125" hidden="1" customWidth="1"/>
    <col min="16" max="16" width="12.7109375" hidden="1" customWidth="1"/>
    <col min="17" max="18" width="9.5703125" hidden="1" customWidth="1"/>
    <col min="19" max="19" width="10.7109375" hidden="1" customWidth="1"/>
    <col min="20" max="20" width="5.42578125" hidden="1" customWidth="1"/>
    <col min="21" max="21" width="12.7109375" hidden="1" customWidth="1"/>
    <col min="22" max="23" width="9.5703125" hidden="1" customWidth="1"/>
    <col min="24" max="24" width="10.7109375" hidden="1" customWidth="1"/>
    <col min="25" max="25" width="5.42578125" hidden="1" customWidth="1"/>
    <col min="26" max="26" width="12.7109375" hidden="1" customWidth="1"/>
    <col min="27" max="28" width="9.5703125" hidden="1" customWidth="1"/>
    <col min="29" max="29" width="10.7109375" hidden="1" customWidth="1"/>
    <col min="30" max="30" width="5.42578125" hidden="1" customWidth="1"/>
    <col min="31" max="31" width="12.7109375" hidden="1" customWidth="1"/>
    <col min="32" max="33" width="9.5703125" hidden="1" customWidth="1"/>
    <col min="34" max="34" width="10.7109375" hidden="1" customWidth="1"/>
    <col min="35" max="35" width="5.42578125" hidden="1" customWidth="1"/>
    <col min="36" max="36" width="12.7109375" hidden="1" customWidth="1"/>
    <col min="37" max="38" width="9.5703125" hidden="1" customWidth="1"/>
    <col min="39" max="39" width="10.7109375" hidden="1" customWidth="1"/>
    <col min="40" max="40" width="5.42578125" hidden="1" customWidth="1"/>
    <col min="41" max="41" width="12.7109375" hidden="1" customWidth="1"/>
    <col min="42" max="43" width="9.5703125" hidden="1" customWidth="1"/>
    <col min="44" max="44" width="10.7109375" hidden="1" customWidth="1"/>
    <col min="45" max="45" width="5.42578125" hidden="1" customWidth="1"/>
    <col min="46" max="46" width="12.7109375" hidden="1" customWidth="1"/>
    <col min="47" max="48" width="9.5703125" hidden="1" customWidth="1"/>
    <col min="49" max="49" width="10.7109375" hidden="1" customWidth="1"/>
    <col min="50" max="50" width="5.42578125" hidden="1" customWidth="1"/>
    <col min="51" max="51" width="12.7109375" hidden="1" customWidth="1"/>
    <col min="52" max="53" width="9.5703125" hidden="1" customWidth="1"/>
    <col min="54" max="54" width="10.7109375" hidden="1" customWidth="1"/>
    <col min="55" max="55" width="5.42578125" hidden="1" customWidth="1"/>
    <col min="56" max="56" width="12.7109375" hidden="1" customWidth="1"/>
    <col min="57" max="58" width="9.5703125" hidden="1" customWidth="1"/>
    <col min="59" max="59" width="10.7109375" hidden="1" customWidth="1"/>
    <col min="60" max="60" width="5.42578125" hidden="1" customWidth="1"/>
    <col min="61" max="61" width="12.7109375" hidden="1" customWidth="1"/>
    <col min="62" max="63" width="9.5703125" hidden="1" customWidth="1"/>
    <col min="64" max="64" width="10.7109375" hidden="1" customWidth="1"/>
    <col min="65" max="65" width="5.42578125" hidden="1" customWidth="1"/>
    <col min="66" max="66" width="12.7109375" hidden="1" customWidth="1"/>
    <col min="67" max="68" width="9.5703125" hidden="1" customWidth="1"/>
    <col min="69" max="69" width="10.7109375" hidden="1" customWidth="1"/>
    <col min="70" max="70" width="5.42578125" hidden="1" customWidth="1"/>
    <col min="71" max="71" width="12.7109375" hidden="1" customWidth="1"/>
    <col min="72" max="72" width="9.5703125" hidden="1" customWidth="1"/>
    <col min="73" max="16384" width="11.42578125" hidden="1"/>
  </cols>
  <sheetData>
    <row r="1" spans="2:102" ht="33" customHeight="1" x14ac:dyDescent="0.2">
      <c r="B1" s="953" t="str">
        <f>Sprache!$E$130</f>
        <v>Anstoßzeiten Endrunde 4</v>
      </c>
      <c r="C1" s="953"/>
      <c r="D1" s="953"/>
      <c r="E1" s="953"/>
      <c r="F1" s="953"/>
      <c r="G1" s="953"/>
      <c r="H1" s="953"/>
    </row>
    <row r="2" spans="2:102" ht="15.95" customHeight="1" x14ac:dyDescent="0.2"/>
    <row r="3" spans="2:102" ht="15.95" customHeight="1" thickBot="1" x14ac:dyDescent="0.25"/>
    <row r="4" spans="2:102" ht="15.95" customHeight="1" x14ac:dyDescent="0.2">
      <c r="B4" s="525" t="s">
        <v>195</v>
      </c>
      <c r="C4" s="526" t="str">
        <f>IF(Planung!$C$7="","",Planung!$C$7)</f>
        <v>1. FC Riedwald</v>
      </c>
      <c r="E4" s="527" t="str">
        <f>Sprache!$E$69</f>
        <v>Spiel Nr.</v>
      </c>
      <c r="F4" s="528" t="str">
        <f>Sprache!$E$39</f>
        <v>Beginn</v>
      </c>
      <c r="G4" s="529" t="str">
        <f>Sprache!$E$48</f>
        <v>Feld</v>
      </c>
      <c r="H4" s="530" t="str">
        <f>Sprache!$E$46</f>
        <v>Spiel gegen</v>
      </c>
    </row>
    <row r="5" spans="2:102" ht="15.95" customHeight="1" x14ac:dyDescent="0.2">
      <c r="E5" s="531">
        <f ca="1">IF($Q$12&lt;99999,INDEX($L$12:$L$36,MATCH($Q$12,$M$12:$M$36,0)),"")</f>
        <v>23</v>
      </c>
      <c r="F5" s="532">
        <f ca="1">IF($Q$12&lt;99999,VLOOKUP($Q$12,$M$12:$P$36,2,0),"")</f>
        <v>0.49652777777777779</v>
      </c>
      <c r="G5" s="533">
        <f ca="1">IF($Q$12&lt;99999,VLOOKUP($Q$12,$M$12:$P$36,3,0),"")</f>
        <v>3</v>
      </c>
      <c r="H5" s="534" t="str">
        <f ca="1">IF($Q$12&lt;99999,VLOOKUP($Q$12,$M$12:$P$36,4,0),"")</f>
        <v>FC Grönlingen</v>
      </c>
      <c r="J5" s="523">
        <f t="shared" ref="J5:J14" ca="1" si="0">IF(AND(F5&lt;&gt;"",OR(F5=F4,F5=F6)),E5,0)</f>
        <v>0</v>
      </c>
      <c r="K5" s="523" t="str">
        <f ca="1">IF(J5=0,"",$C$4)</f>
        <v/>
      </c>
    </row>
    <row r="6" spans="2:102" ht="15.95" customHeight="1" x14ac:dyDescent="0.2">
      <c r="E6" s="531">
        <f ca="1">IF($Q$13&lt;99999,INDEX($L$12:$L$36,MATCH($Q$13,$M$12:$M$36,0)),"")</f>
        <v>25</v>
      </c>
      <c r="F6" s="535">
        <f ca="1">IF($Q$13&lt;99999,VLOOKUP($Q$13,$M$12:$P$36,2,0),"")</f>
        <v>0.52083333333333337</v>
      </c>
      <c r="G6" s="536">
        <f ca="1">IF($Q$13&lt;99999,VLOOKUP($Q$13,$M$12:$P$36,3,0),"")</f>
        <v>1</v>
      </c>
      <c r="H6" s="537" t="str">
        <f ca="1">IF($Q$13&lt;99999,VLOOKUP($Q$13,$M$12:$P$36,4,0),"")</f>
        <v>VFB Essenheim</v>
      </c>
      <c r="J6" s="523">
        <f t="shared" ca="1" si="0"/>
        <v>0</v>
      </c>
      <c r="K6" s="523" t="str">
        <f t="shared" ref="K6:K7" ca="1" si="1">IF(J6=0,"",$C$4)</f>
        <v/>
      </c>
    </row>
    <row r="7" spans="2:102" ht="15.95" customHeight="1" thickBot="1" x14ac:dyDescent="0.25">
      <c r="E7" s="538">
        <f ca="1">IF($Q$14&lt;99999,INDEX($L$12:$L$36,MATCH($Q$14,$M$12:$M$36,0)),"")</f>
        <v>29</v>
      </c>
      <c r="F7" s="539">
        <f ca="1">IF($Q$14&lt;99999,VLOOKUP($Q$14,$M$12:$P$36,2,0),"")</f>
        <v>0.54513888888888895</v>
      </c>
      <c r="G7" s="540">
        <f ca="1">IF($Q$14&lt;99999,VLOOKUP($Q$14,$M$12:$P$36,3,0),"")</f>
        <v>1</v>
      </c>
      <c r="H7" s="541" t="str">
        <f ca="1">IF($Q$14&lt;99999,VLOOKUP($Q$14,$M$12:$P$36,4,0),"")</f>
        <v>SSV Wildbach</v>
      </c>
      <c r="J7" s="523">
        <f t="shared" ca="1" si="0"/>
        <v>0</v>
      </c>
      <c r="K7" s="523" t="str">
        <f t="shared" ca="1" si="1"/>
        <v/>
      </c>
    </row>
    <row r="8" spans="2:102" ht="30" customHeight="1" thickBot="1" x14ac:dyDescent="0.25">
      <c r="J8" s="523">
        <f t="shared" ca="1" si="0"/>
        <v>0</v>
      </c>
    </row>
    <row r="9" spans="2:102" ht="15.95" customHeight="1" x14ac:dyDescent="0.2">
      <c r="B9" s="525" t="s">
        <v>197</v>
      </c>
      <c r="C9" s="526" t="str">
        <f>IF(Planung!$C$9="","",Planung!$C$9)</f>
        <v>FC Barcelona</v>
      </c>
      <c r="E9" s="527" t="str">
        <f>Sprache!$E$69</f>
        <v>Spiel Nr.</v>
      </c>
      <c r="F9" s="528" t="str">
        <f>Sprache!$E$39</f>
        <v>Beginn</v>
      </c>
      <c r="G9" s="529" t="str">
        <f>Sprache!$E$48</f>
        <v>Feld</v>
      </c>
      <c r="H9" s="530" t="str">
        <f>Sprache!$E$46</f>
        <v>Spiel gegen</v>
      </c>
      <c r="J9" s="523">
        <f t="shared" ca="1" si="0"/>
        <v>0</v>
      </c>
    </row>
    <row r="10" spans="2:102" ht="15.95" customHeight="1" x14ac:dyDescent="0.2">
      <c r="E10" s="531">
        <f ca="1">IF($V$12&lt;99999,INDEX($L$12:$L$36,MATCH($V$12,$R$12:$R$36,0)),"")</f>
        <v>31</v>
      </c>
      <c r="F10" s="532">
        <f ca="1">IF($V$12&lt;99999,VLOOKUP($V$12,$R$12:$U$36,2,0),"")</f>
        <v>0.54513888888888895</v>
      </c>
      <c r="G10" s="533">
        <f ca="1">IF($V$12&lt;99999,VLOOKUP($V$12,$R$12:$U$36,3,0),"")</f>
        <v>3</v>
      </c>
      <c r="H10" s="534" t="str">
        <f ca="1">IF($V$12&lt;99999,VLOOKUP($V$12,$R$12:$U$36,4,0),"")</f>
        <v>Inter Mailand</v>
      </c>
      <c r="J10" s="523">
        <f t="shared" ca="1" si="0"/>
        <v>0</v>
      </c>
      <c r="K10" s="523" t="str">
        <f ca="1">IF(J10=0,"",$C$9)</f>
        <v/>
      </c>
    </row>
    <row r="11" spans="2:102" ht="15.95" customHeight="1" x14ac:dyDescent="0.2">
      <c r="E11" s="531" t="str">
        <f ca="1">IF($V$13&lt;99999,INDEX($L$12:$L$36,MATCH($V$13,$R$12:$R$36,0)),"")</f>
        <v/>
      </c>
      <c r="F11" s="535" t="str">
        <f ca="1">IF($V$13&lt;99999,VLOOKUP($V$13,$R$12:$U$36,2,0),"")</f>
        <v/>
      </c>
      <c r="G11" s="536" t="str">
        <f ca="1">IF($V$13&lt;99999,VLOOKUP($V$13,$R$12:$U$36,3,0),"")</f>
        <v/>
      </c>
      <c r="H11" s="537" t="str">
        <f ca="1">IF($V$13&lt;99999,VLOOKUP($V$13,$R$12:$U$36,4,0),"")</f>
        <v/>
      </c>
      <c r="J11" s="523">
        <f t="shared" ca="1" si="0"/>
        <v>0</v>
      </c>
      <c r="K11" s="523" t="str">
        <f t="shared" ref="K11:K12" ca="1" si="2">IF(J11=0,"",$C$9)</f>
        <v/>
      </c>
      <c r="L11" s="542" t="str">
        <f>Sprache!$E$9</f>
        <v>Nr.</v>
      </c>
      <c r="M11" s="542"/>
      <c r="N11" s="236"/>
      <c r="O11" s="236"/>
      <c r="P11" s="236" t="str">
        <f>$C$4</f>
        <v>1. FC Riedwald</v>
      </c>
      <c r="Q11" s="236"/>
      <c r="R11" s="236"/>
      <c r="S11" s="236"/>
      <c r="T11" s="236"/>
      <c r="U11" s="236" t="str">
        <f>$C$9</f>
        <v>FC Barcelona</v>
      </c>
      <c r="V11" s="236"/>
      <c r="W11" s="236"/>
      <c r="X11" s="236"/>
      <c r="Y11" s="236"/>
      <c r="Z11" s="236" t="str">
        <f>$C$14</f>
        <v>Eintracht Frankfurt</v>
      </c>
      <c r="AA11" s="236"/>
      <c r="AB11" s="236"/>
      <c r="AC11" s="236"/>
      <c r="AD11" s="236"/>
      <c r="AE11" s="236" t="str">
        <f>$C$19</f>
        <v>Maibach 1822 eV</v>
      </c>
      <c r="AF11" s="236"/>
      <c r="AG11" s="236"/>
      <c r="AH11" s="236"/>
      <c r="AI11" s="236"/>
      <c r="AJ11" s="236" t="str">
        <f>$C$24</f>
        <v>VFB Essenheim</v>
      </c>
      <c r="AK11" s="236"/>
      <c r="AL11" s="236"/>
      <c r="AM11" s="236"/>
      <c r="AN11" s="236"/>
      <c r="AO11" s="236" t="str">
        <f>$C$29</f>
        <v/>
      </c>
      <c r="AP11" s="236"/>
      <c r="AQ11" s="236"/>
      <c r="AR11" s="236"/>
      <c r="AS11" s="236"/>
      <c r="AT11" s="236" t="str">
        <f>$C$34</f>
        <v/>
      </c>
      <c r="AU11" s="236"/>
      <c r="AV11" s="236"/>
      <c r="AW11" s="236"/>
      <c r="AX11" s="236"/>
      <c r="AY11" s="236" t="str">
        <f>$C$39</f>
        <v/>
      </c>
      <c r="AZ11" s="236"/>
      <c r="BA11" s="236"/>
      <c r="BB11" s="236"/>
      <c r="BC11" s="236"/>
      <c r="BD11" s="236" t="str">
        <f>$C$44</f>
        <v/>
      </c>
      <c r="BE11" s="236"/>
      <c r="BF11" s="236"/>
      <c r="BG11" s="236"/>
      <c r="BH11" s="236"/>
      <c r="BI11" s="236" t="str">
        <f>$C$49</f>
        <v>Mainz 05</v>
      </c>
      <c r="BJ11" s="236"/>
      <c r="BK11" s="236"/>
      <c r="BL11" s="236"/>
      <c r="BM11" s="236"/>
      <c r="BN11" s="236" t="str">
        <f>$C$54</f>
        <v>Inter Mailand</v>
      </c>
      <c r="BO11" s="236"/>
      <c r="BP11" s="236"/>
      <c r="BQ11" s="236"/>
      <c r="BR11" s="236"/>
      <c r="BS11" s="236" t="str">
        <f>$C$59</f>
        <v>SSV Wildbach</v>
      </c>
      <c r="BT11" s="236"/>
      <c r="BU11" s="542"/>
      <c r="BV11" s="236"/>
      <c r="BW11" s="236"/>
      <c r="BX11" s="236" t="str">
        <f>$C$64</f>
        <v>Manchester City</v>
      </c>
      <c r="BY11" s="236"/>
      <c r="BZ11" s="542"/>
      <c r="CA11" s="236"/>
      <c r="CB11" s="236"/>
      <c r="CC11" s="236" t="str">
        <f>$C$69</f>
        <v>FC Grönlingen</v>
      </c>
      <c r="CD11" s="236"/>
      <c r="CE11" s="542"/>
      <c r="CF11" s="236"/>
      <c r="CG11" s="236"/>
      <c r="CH11" s="236" t="str">
        <f>$C$74</f>
        <v/>
      </c>
      <c r="CI11" s="236"/>
      <c r="CJ11" s="542"/>
      <c r="CK11" s="236"/>
      <c r="CL11" s="236"/>
      <c r="CM11" s="236" t="str">
        <f>$C$79</f>
        <v/>
      </c>
      <c r="CN11" s="236"/>
      <c r="CO11" s="542"/>
      <c r="CP11" s="236"/>
      <c r="CQ11" s="236"/>
      <c r="CR11" s="236" t="str">
        <f>$C$84</f>
        <v/>
      </c>
      <c r="CS11" s="236"/>
      <c r="CT11" s="542"/>
      <c r="CU11" s="236"/>
      <c r="CV11" s="236"/>
      <c r="CW11" s="236" t="str">
        <f>$C$89</f>
        <v/>
      </c>
      <c r="CX11" s="236"/>
    </row>
    <row r="12" spans="2:102" ht="15.95" customHeight="1" thickBot="1" x14ac:dyDescent="0.25">
      <c r="E12" s="538" t="str">
        <f ca="1">IF($V$14&lt;99999,INDEX($L$12:$L$36,MATCH($V$14,$R$12:$R$36,0)),"")</f>
        <v/>
      </c>
      <c r="F12" s="539" t="str">
        <f ca="1">IF($V$14&lt;99999,VLOOKUP($V$14,$R$12:$U$36,2,0),"")</f>
        <v/>
      </c>
      <c r="G12" s="540" t="str">
        <f ca="1">IF($V$14&lt;99999,VLOOKUP($V$14,$R$12:$U$36,3,0),"")</f>
        <v/>
      </c>
      <c r="H12" s="541" t="str">
        <f ca="1">IF($V$14&lt;99999,VLOOKUP($V$14,$R$12:$U$36,4,0),"")</f>
        <v/>
      </c>
      <c r="J12" s="523">
        <f t="shared" ca="1" si="0"/>
        <v>0</v>
      </c>
      <c r="K12" s="523" t="str">
        <f t="shared" ca="1" si="2"/>
        <v/>
      </c>
      <c r="L12" s="150">
        <f ca="1">'Endrunde 4'!$C12</f>
        <v>21</v>
      </c>
      <c r="M12" s="543">
        <f ca="1">N12+ROW(N12)</f>
        <v>100011</v>
      </c>
      <c r="N12" s="544">
        <f ca="1">IF(P12="",99999,'Endrunde 4'!$D12)</f>
        <v>99999</v>
      </c>
      <c r="O12" s="545" t="str">
        <f ca="1">IF(P12="","",'Endrunde 4'!$E12)</f>
        <v/>
      </c>
      <c r="P12" s="546" t="str">
        <f ca="1">IF($C$4="","",IF('Endrunde 4'!$I12=$C$4,'Endrunde 4'!$K12,IF('Endrunde 4'!$K12=$C$4,'Endrunde 4'!$I12,"")))</f>
        <v/>
      </c>
      <c r="Q12" s="547">
        <f ca="1">SMALL(M$12:M$36,ROW(M12)-11)</f>
        <v>19.496527777777779</v>
      </c>
      <c r="R12" s="543">
        <f ca="1">S12+ROW(S12)</f>
        <v>100011</v>
      </c>
      <c r="S12" s="544">
        <f ca="1">IF(U12="",99999,'Endrunde 4'!$D12)</f>
        <v>99999</v>
      </c>
      <c r="T12" s="545" t="str">
        <f ca="1">IF(U12="","",'Endrunde 4'!$E12)</f>
        <v/>
      </c>
      <c r="U12" s="546" t="str">
        <f ca="1">IF($C$9="","",IF('Endrunde 4'!$I12=$C$9,'Endrunde 4'!$K12,IF('Endrunde 4'!$K12=$C$9,'Endrunde 4'!$I12,"")))</f>
        <v/>
      </c>
      <c r="V12" s="547">
        <f ca="1">SMALL(R$12:R$36,ROW(R12)-11)</f>
        <v>34.545138888888886</v>
      </c>
      <c r="W12" s="543">
        <f ca="1">X12+ROW(X12)</f>
        <v>100011</v>
      </c>
      <c r="X12" s="544">
        <f ca="1">IF(Z12="",99999,'Endrunde 4'!$D12)</f>
        <v>99999</v>
      </c>
      <c r="Y12" s="545" t="str">
        <f ca="1">IF(Z12="","",'Endrunde 4'!$E12)</f>
        <v/>
      </c>
      <c r="Z12" s="546" t="str">
        <f ca="1">IF($C$14="","",IF('Endrunde 4'!$I12=$C$14,'Endrunde 4'!$K12,IF('Endrunde 4'!$K12=$C$14,'Endrunde 4'!$I12,"")))</f>
        <v/>
      </c>
      <c r="AA12" s="547">
        <f ca="1">SMALL(W$12:W$36,ROW(W12)-11)</f>
        <v>16.496527777777779</v>
      </c>
      <c r="AB12" s="543">
        <f ca="1">AC12+ROW(AC12)</f>
        <v>100011</v>
      </c>
      <c r="AC12" s="544">
        <f ca="1">IF(AE12="",99999,'Endrunde 4'!$D12)</f>
        <v>99999</v>
      </c>
      <c r="AD12" s="545" t="str">
        <f ca="1">IF(AE12="","",'Endrunde 4'!$E12)</f>
        <v/>
      </c>
      <c r="AE12" s="546" t="str">
        <f ca="1">IF($C$19="","",IF('Endrunde 4'!$I12=$C$19,'Endrunde 4'!$K12,IF('Endrunde 4'!$K12=$C$19,'Endrunde 4'!$I12,"")))</f>
        <v/>
      </c>
      <c r="AF12" s="547">
        <f ca="1">SMALL(AB$12:AB$36,ROW(AB12)-11)</f>
        <v>20.496527777777779</v>
      </c>
      <c r="AG12" s="543">
        <f ca="1">AH12+ROW(AH12)</f>
        <v>100011</v>
      </c>
      <c r="AH12" s="544">
        <f ca="1">IF(AJ12="",99999,'Endrunde 4'!$D12)</f>
        <v>99999</v>
      </c>
      <c r="AI12" s="545" t="str">
        <f ca="1">IF(AJ12="","",'Endrunde 4'!$E12)</f>
        <v/>
      </c>
      <c r="AJ12" s="546" t="str">
        <f ca="1">IF($C$24="","",IF('Endrunde 4'!$I12=$C$24,'Endrunde 4'!$K12,IF('Endrunde 4'!$K12=$C$24,'Endrunde 4'!$I12,"")))</f>
        <v/>
      </c>
      <c r="AK12" s="547">
        <f ca="1">SMALL(AG$12:AG$36,ROW(AG12)-11)</f>
        <v>15.496527777777779</v>
      </c>
      <c r="AL12" s="543">
        <f>AM12+ROW(AM12)</f>
        <v>100011</v>
      </c>
      <c r="AM12" s="544">
        <f>IF(AO12="",99999,'Endrunde 4'!$D12)</f>
        <v>99999</v>
      </c>
      <c r="AN12" s="545" t="str">
        <f>IF(AO12="","",'Endrunde 4'!$E12)</f>
        <v/>
      </c>
      <c r="AO12" s="546" t="str">
        <f>IF($C$29="","",IF('Endrunde 4'!$I12=$C$29,'Endrunde 4'!$K12,IF('Endrunde 4'!$K12=$C$29,'Endrunde 4'!$I12,"")))</f>
        <v/>
      </c>
      <c r="AP12" s="547">
        <f>SMALL(AL$12:AL$36,ROW(AL12)-11)</f>
        <v>100011</v>
      </c>
      <c r="AQ12" s="543">
        <f>AR12+ROW(AR12)</f>
        <v>100011</v>
      </c>
      <c r="AR12" s="544">
        <f>IF(AT12="",99999,'Endrunde 4'!$D12)</f>
        <v>99999</v>
      </c>
      <c r="AS12" s="545" t="str">
        <f>IF(AT12="","",'Endrunde 4'!$E12)</f>
        <v/>
      </c>
      <c r="AT12" s="546" t="str">
        <f>IF($C$34="","",IF('Endrunde 4'!$I12=$C$34,'Endrunde 4'!$K12,IF('Endrunde 4'!$K12=$C$34,'Endrunde 4'!$I12,"")))</f>
        <v/>
      </c>
      <c r="AU12" s="547">
        <f>SMALL(AQ$12:AQ$36,ROW(AQ12)-11)</f>
        <v>100011</v>
      </c>
      <c r="AV12" s="543">
        <f>AW12+ROW(AW12)</f>
        <v>100011</v>
      </c>
      <c r="AW12" s="544">
        <f>IF(AY12="",99999,'Endrunde 4'!$D12)</f>
        <v>99999</v>
      </c>
      <c r="AX12" s="545" t="str">
        <f>IF(AY12="","",'Endrunde 4'!$E12)</f>
        <v/>
      </c>
      <c r="AY12" s="546" t="str">
        <f>IF($C$39="","",IF('Endrunde 4'!$I12=$C$39,'Endrunde 4'!$K12,IF('Endrunde 4'!$K12=$C$39,'Endrunde 4'!$I12,"")))</f>
        <v/>
      </c>
      <c r="AZ12" s="547">
        <f>SMALL(AV$12:AV$36,ROW(AV12)-11)</f>
        <v>100011</v>
      </c>
      <c r="BA12" s="543">
        <f>BB12+ROW(BB12)</f>
        <v>100011</v>
      </c>
      <c r="BB12" s="544">
        <f>IF(BD12="",99999,'Endrunde 4'!$D12)</f>
        <v>99999</v>
      </c>
      <c r="BC12" s="545" t="str">
        <f>IF(BD12="","",'Endrunde 4'!$E12)</f>
        <v/>
      </c>
      <c r="BD12" s="546" t="str">
        <f>IF($C$44="","",IF('Endrunde 4'!$I12=$C$44,'Endrunde 4'!$K12,IF('Endrunde 4'!$K12=$C$44,'Endrunde 4'!$I12,"")))</f>
        <v/>
      </c>
      <c r="BE12" s="547">
        <f>SMALL(BA$12:BA$36,ROW(BA12)-11)</f>
        <v>100011</v>
      </c>
      <c r="BF12" s="543">
        <f ca="1">BG12+ROW(BG12)</f>
        <v>100011</v>
      </c>
      <c r="BG12" s="544">
        <f ca="1">IF(BI12="",99999,'Endrunde 4'!$D12)</f>
        <v>99999</v>
      </c>
      <c r="BH12" s="545" t="str">
        <f ca="1">IF(BI12="","",'Endrunde 4'!$E12)</f>
        <v/>
      </c>
      <c r="BI12" s="546" t="str">
        <f ca="1">IF($C$49="","",IF('Endrunde 4'!$I12=$C$49,'Endrunde 4'!$K12,IF('Endrunde 4'!$K12=$C$49,'Endrunde 4'!$I12,"")))</f>
        <v/>
      </c>
      <c r="BJ12" s="547">
        <f ca="1">SMALL(BF$12:BF$36,ROW(BF12)-11)</f>
        <v>20.496527777777779</v>
      </c>
      <c r="BK12" s="543">
        <f ca="1">BL12+ROW(BL12)</f>
        <v>100011</v>
      </c>
      <c r="BL12" s="544">
        <f ca="1">IF(BN12="",99999,'Endrunde 4'!$D12)</f>
        <v>99999</v>
      </c>
      <c r="BM12" s="545" t="str">
        <f ca="1">IF(BN12="","",'Endrunde 4'!$E12)</f>
        <v/>
      </c>
      <c r="BN12" s="546" t="str">
        <f ca="1">IF($C$54="","",IF('Endrunde 4'!$I12=$C$54,'Endrunde 4'!$K12,IF('Endrunde 4'!$K12=$C$54,'Endrunde 4'!$I12,"")))</f>
        <v/>
      </c>
      <c r="BO12" s="547">
        <f ca="1">SMALL(BK$12:BK$36,ROW(BK12)-11)</f>
        <v>34.545138888888886</v>
      </c>
      <c r="BP12" s="543">
        <f ca="1">BQ12+ROW(BQ12)</f>
        <v>100011</v>
      </c>
      <c r="BQ12" s="544">
        <f ca="1">IF(BS12="",99999,'Endrunde 4'!$D12)</f>
        <v>99999</v>
      </c>
      <c r="BR12" s="545" t="str">
        <f ca="1">IF(BS12="","",'Endrunde 4'!$E12)</f>
        <v/>
      </c>
      <c r="BS12" s="546" t="str">
        <f ca="1">IF($C$59="","",IF('Endrunde 4'!$I12=$C$59,'Endrunde 4'!$K12,IF('Endrunde 4'!$K12=$C$59,'Endrunde 4'!$I12,"")))</f>
        <v/>
      </c>
      <c r="BT12" s="547">
        <f ca="1">SMALL(BP$12:BP$36,ROW(BP12)-11)</f>
        <v>15.496527777777779</v>
      </c>
      <c r="BU12" s="543">
        <f ca="1">BV12+ROW(BV12)</f>
        <v>100011</v>
      </c>
      <c r="BV12" s="544">
        <f ca="1">IF(BX12="",99999,'Endrunde 4'!$D12)</f>
        <v>99999</v>
      </c>
      <c r="BW12" s="545" t="str">
        <f ca="1">IF(BX12="","",'Endrunde 4'!$E12)</f>
        <v/>
      </c>
      <c r="BX12" s="546" t="str">
        <f ca="1">IF($C$64="","",IF('Endrunde 4'!$I12=$C$64,'Endrunde 4'!$K12,IF('Endrunde 4'!$K12=$C$64,'Endrunde 4'!$I12,"")))</f>
        <v/>
      </c>
      <c r="BY12" s="547">
        <f ca="1">SMALL(BU$12:BU$36,ROW(BU12)-11)</f>
        <v>16.496527777777779</v>
      </c>
      <c r="BZ12" s="543">
        <f ca="1">CA12+ROW(CA12)</f>
        <v>100011</v>
      </c>
      <c r="CA12" s="544">
        <f ca="1">IF(CC12="",99999,'Endrunde 4'!$D12)</f>
        <v>99999</v>
      </c>
      <c r="CB12" s="545" t="str">
        <f ca="1">IF(CC12="","",'Endrunde 4'!$E12)</f>
        <v/>
      </c>
      <c r="CC12" s="546" t="str">
        <f ca="1">IF($C$69="","",IF('Endrunde 4'!$I12=$C$69,'Endrunde 4'!$K12,IF('Endrunde 4'!$K12=$C$69,'Endrunde 4'!$I12,"")))</f>
        <v/>
      </c>
      <c r="CD12" s="547">
        <f ca="1">SMALL(BZ$12:BZ$36,ROW(BZ12)-11)</f>
        <v>19.496527777777779</v>
      </c>
      <c r="CE12" s="543">
        <f>CF12+ROW(CF12)</f>
        <v>100011</v>
      </c>
      <c r="CF12" s="544">
        <f>IF(CH12="",99999,'Endrunde 4'!$D12)</f>
        <v>99999</v>
      </c>
      <c r="CG12" s="545" t="str">
        <f>IF(CH12="","",'Endrunde 4'!$E12)</f>
        <v/>
      </c>
      <c r="CH12" s="546" t="str">
        <f>IF($C$74="","",IF('Endrunde 4'!$I12=$C$74,'Endrunde 4'!$K12,IF('Endrunde 4'!$K12=$C$74,'Endrunde 4'!$I12,"")))</f>
        <v/>
      </c>
      <c r="CI12" s="547">
        <f>SMALL(CE$12:CE$36,ROW(CE12)-11)</f>
        <v>100011</v>
      </c>
      <c r="CJ12" s="543">
        <f>CK12+ROW(CK12)</f>
        <v>100011</v>
      </c>
      <c r="CK12" s="544">
        <f>IF(CM12="",99999,'Endrunde 4'!$D12)</f>
        <v>99999</v>
      </c>
      <c r="CL12" s="545" t="str">
        <f>IF(CM12="","",'Endrunde 4'!$E12)</f>
        <v/>
      </c>
      <c r="CM12" s="546" t="str">
        <f>IF($C$79="","",IF('Endrunde 4'!$I12=$C$79,'Endrunde 4'!$K12,IF('Endrunde 4'!$K12=$C$79,'Endrunde 4'!$I12,"")))</f>
        <v/>
      </c>
      <c r="CN12" s="547">
        <f>SMALL(CJ$12:CJ$36,ROW(CJ12)-11)</f>
        <v>100011</v>
      </c>
      <c r="CO12" s="543">
        <f>CP12+ROW(CP12)</f>
        <v>100011</v>
      </c>
      <c r="CP12" s="544">
        <f>IF(CR12="",99999,'Endrunde 4'!$D12)</f>
        <v>99999</v>
      </c>
      <c r="CQ12" s="545" t="str">
        <f>IF(CR12="","",'Endrunde 4'!$E12)</f>
        <v/>
      </c>
      <c r="CR12" s="546" t="str">
        <f>IF($C$84="","",IF('Endrunde 4'!$I12=$C$84,'Endrunde 4'!$K12,IF('Endrunde 4'!$K12=$C$84,'Endrunde 4'!$I12,"")))</f>
        <v/>
      </c>
      <c r="CS12" s="547">
        <f>SMALL(CO$12:CO$36,ROW(CO12)-11)</f>
        <v>100011</v>
      </c>
      <c r="CT12" s="543">
        <f>CU12+ROW(CU12)</f>
        <v>100011</v>
      </c>
      <c r="CU12" s="544">
        <f>IF(CW12="",99999,'Endrunde 4'!$D12)</f>
        <v>99999</v>
      </c>
      <c r="CV12" s="545" t="str">
        <f>IF(CW12="","",'Endrunde 4'!$E12)</f>
        <v/>
      </c>
      <c r="CW12" s="546" t="str">
        <f>IF($C$89="","",IF('Endrunde 4'!$I12=$C$89,'Endrunde 4'!$K12,IF('Endrunde 4'!$K12=$C$89,'Endrunde 4'!$I12,"")))</f>
        <v/>
      </c>
      <c r="CX12" s="547">
        <f>SMALL(CT$12:CT$36,ROW(CT12)-11)</f>
        <v>100011</v>
      </c>
    </row>
    <row r="13" spans="2:102" ht="30" customHeight="1" thickBot="1" x14ac:dyDescent="0.25">
      <c r="J13" s="523">
        <f t="shared" ca="1" si="0"/>
        <v>0</v>
      </c>
      <c r="L13" s="150">
        <f ca="1">'Endrunde 4'!$C13</f>
        <v>21</v>
      </c>
      <c r="M13" s="548">
        <f t="shared" ref="M13:M29" ca="1" si="3">N13+ROW(N13)</f>
        <v>100012</v>
      </c>
      <c r="N13" s="549">
        <f ca="1">IF(P13="",99999,'Endrunde 4'!$D13)</f>
        <v>99999</v>
      </c>
      <c r="O13" s="259" t="str">
        <f ca="1">IF(P13="","",'Endrunde 4'!$E13)</f>
        <v/>
      </c>
      <c r="P13" s="260" t="str">
        <f ca="1">IF($C$4="","",IF('Endrunde 4'!$I13=$C$4,'Endrunde 4'!$K13,IF('Endrunde 4'!$K13=$C$4,'Endrunde 4'!$I13,"")))</f>
        <v/>
      </c>
      <c r="Q13" s="550">
        <f t="shared" ref="Q13:Q29" ca="1" si="4">SMALL(M$12:M$36,ROW(M13)-11)</f>
        <v>23.520833333333332</v>
      </c>
      <c r="R13" s="548">
        <f t="shared" ref="R13:R29" ca="1" si="5">S13+ROW(S13)</f>
        <v>100012</v>
      </c>
      <c r="S13" s="549">
        <f ca="1">IF(U13="",99999,'Endrunde 4'!$D13)</f>
        <v>99999</v>
      </c>
      <c r="T13" s="259" t="str">
        <f ca="1">IF(U13="","",'Endrunde 4'!$E13)</f>
        <v/>
      </c>
      <c r="U13" s="260" t="str">
        <f ca="1">IF($C$9="","",IF('Endrunde 4'!$I13=$C$9,'Endrunde 4'!$K13,IF('Endrunde 4'!$K13=$C$9,'Endrunde 4'!$I13,"")))</f>
        <v/>
      </c>
      <c r="V13" s="550">
        <f t="shared" ref="V13:V29" ca="1" si="6">SMALL(R$12:R$36,ROW(R13)-11)</f>
        <v>100011</v>
      </c>
      <c r="W13" s="548">
        <f t="shared" ref="W13:W29" ca="1" si="7">X13+ROW(X13)</f>
        <v>100012</v>
      </c>
      <c r="X13" s="549">
        <f ca="1">IF(Z13="",99999,'Endrunde 4'!$D13)</f>
        <v>99999</v>
      </c>
      <c r="Y13" s="259" t="str">
        <f ca="1">IF(Z13="","",'Endrunde 4'!$E13)</f>
        <v/>
      </c>
      <c r="Z13" s="260" t="str">
        <f ca="1">IF($C$14="","",IF('Endrunde 4'!$I13=$C$14,'Endrunde 4'!$K13,IF('Endrunde 4'!$K13=$C$14,'Endrunde 4'!$I13,"")))</f>
        <v/>
      </c>
      <c r="AA13" s="550">
        <f t="shared" ref="AA13:AA29" ca="1" si="8">SMALL(W$12:W$36,ROW(W13)-11)</f>
        <v>24.520833333333332</v>
      </c>
      <c r="AB13" s="548">
        <f t="shared" ref="AB13:AB29" ca="1" si="9">AC13+ROW(AC13)</f>
        <v>100012</v>
      </c>
      <c r="AC13" s="549">
        <f ca="1">IF(AE13="",99999,'Endrunde 4'!$D13)</f>
        <v>99999</v>
      </c>
      <c r="AD13" s="259" t="str">
        <f ca="1">IF(AE13="","",'Endrunde 4'!$E13)</f>
        <v/>
      </c>
      <c r="AE13" s="260" t="str">
        <f ca="1">IF($C$19="","",IF('Endrunde 4'!$I13=$C$19,'Endrunde 4'!$K13,IF('Endrunde 4'!$K13=$C$19,'Endrunde 4'!$I13,"")))</f>
        <v/>
      </c>
      <c r="AF13" s="550">
        <f t="shared" ref="AF13:AF29" ca="1" si="10">SMALL(AB$12:AB$36,ROW(AB13)-11)</f>
        <v>24.520833333333332</v>
      </c>
      <c r="AG13" s="548">
        <f t="shared" ref="AG13:AG29" ca="1" si="11">AH13+ROW(AH13)</f>
        <v>100012</v>
      </c>
      <c r="AH13" s="549">
        <f ca="1">IF(AJ13="",99999,'Endrunde 4'!$D13)</f>
        <v>99999</v>
      </c>
      <c r="AI13" s="259" t="str">
        <f ca="1">IF(AJ13="","",'Endrunde 4'!$E13)</f>
        <v/>
      </c>
      <c r="AJ13" s="260" t="str">
        <f ca="1">IF($C$24="","",IF('Endrunde 4'!$I13=$C$24,'Endrunde 4'!$K13,IF('Endrunde 4'!$K13=$C$24,'Endrunde 4'!$I13,"")))</f>
        <v/>
      </c>
      <c r="AK13" s="550">
        <f t="shared" ref="AK13:AK29" ca="1" si="12">SMALL(AG$12:AG$36,ROW(AG13)-11)</f>
        <v>23.520833333333332</v>
      </c>
      <c r="AL13" s="548">
        <f t="shared" ref="AL13:AL29" si="13">AM13+ROW(AM13)</f>
        <v>100012</v>
      </c>
      <c r="AM13" s="549">
        <f>IF(AO13="",99999,'Endrunde 4'!$D13)</f>
        <v>99999</v>
      </c>
      <c r="AN13" s="259" t="str">
        <f>IF(AO13="","",'Endrunde 4'!$E13)</f>
        <v/>
      </c>
      <c r="AO13" s="260" t="str">
        <f>IF($C$29="","",IF('Endrunde 4'!$I13=$C$29,'Endrunde 4'!$K13,IF('Endrunde 4'!$K13=$C$29,'Endrunde 4'!$I13,"")))</f>
        <v/>
      </c>
      <c r="AP13" s="550">
        <f t="shared" ref="AP13:AP29" si="14">SMALL(AL$12:AL$36,ROW(AL13)-11)</f>
        <v>100012</v>
      </c>
      <c r="AQ13" s="548">
        <f t="shared" ref="AQ13:AQ29" si="15">AR13+ROW(AR13)</f>
        <v>100012</v>
      </c>
      <c r="AR13" s="549">
        <f>IF(AT13="",99999,'Endrunde 4'!$D13)</f>
        <v>99999</v>
      </c>
      <c r="AS13" s="259" t="str">
        <f>IF(AT13="","",'Endrunde 4'!$E13)</f>
        <v/>
      </c>
      <c r="AT13" s="260" t="str">
        <f>IF($C$34="","",IF('Endrunde 4'!$I13=$C$34,'Endrunde 4'!$K13,IF('Endrunde 4'!$K13=$C$34,'Endrunde 4'!$I13,"")))</f>
        <v/>
      </c>
      <c r="AU13" s="550">
        <f t="shared" ref="AU13:AU29" si="16">SMALL(AQ$12:AQ$36,ROW(AQ13)-11)</f>
        <v>100012</v>
      </c>
      <c r="AV13" s="548">
        <f t="shared" ref="AV13:AV29" si="17">AW13+ROW(AW13)</f>
        <v>100012</v>
      </c>
      <c r="AW13" s="549">
        <f>IF(AY13="",99999,'Endrunde 4'!$D13)</f>
        <v>99999</v>
      </c>
      <c r="AX13" s="259" t="str">
        <f>IF(AY13="","",'Endrunde 4'!$E13)</f>
        <v/>
      </c>
      <c r="AY13" s="260" t="str">
        <f>IF($C$39="","",IF('Endrunde 4'!$I13=$C$39,'Endrunde 4'!$K13,IF('Endrunde 4'!$K13=$C$39,'Endrunde 4'!$I13,"")))</f>
        <v/>
      </c>
      <c r="AZ13" s="550">
        <f t="shared" ref="AZ13:AZ29" si="18">SMALL(AV$12:AV$36,ROW(AV13)-11)</f>
        <v>100012</v>
      </c>
      <c r="BA13" s="548">
        <f t="shared" ref="BA13:BA29" si="19">BB13+ROW(BB13)</f>
        <v>100012</v>
      </c>
      <c r="BB13" s="549">
        <f>IF(BD13="",99999,'Endrunde 4'!$D13)</f>
        <v>99999</v>
      </c>
      <c r="BC13" s="259" t="str">
        <f>IF(BD13="","",'Endrunde 4'!$E13)</f>
        <v/>
      </c>
      <c r="BD13" s="260" t="str">
        <f>IF($C$44="","",IF('Endrunde 4'!$I13=$C$44,'Endrunde 4'!$K13,IF('Endrunde 4'!$K13=$C$44,'Endrunde 4'!$I13,"")))</f>
        <v/>
      </c>
      <c r="BE13" s="550">
        <f t="shared" ref="BE13:BE29" si="20">SMALL(BA$12:BA$36,ROW(BA13)-11)</f>
        <v>100012</v>
      </c>
      <c r="BF13" s="548">
        <f t="shared" ref="BF13:BF29" ca="1" si="21">BG13+ROW(BG13)</f>
        <v>100012</v>
      </c>
      <c r="BG13" s="549">
        <f ca="1">IF(BI13="",99999,'Endrunde 4'!$D13)</f>
        <v>99999</v>
      </c>
      <c r="BH13" s="259" t="str">
        <f ca="1">IF(BI13="","",'Endrunde 4'!$E13)</f>
        <v/>
      </c>
      <c r="BI13" s="260" t="str">
        <f ca="1">IF($C$49="","",IF('Endrunde 4'!$I13=$C$49,'Endrunde 4'!$K13,IF('Endrunde 4'!$K13=$C$49,'Endrunde 4'!$I13,"")))</f>
        <v/>
      </c>
      <c r="BJ13" s="550">
        <f t="shared" ref="BJ13:BJ29" ca="1" si="22">SMALL(BF$12:BF$36,ROW(BF13)-11)</f>
        <v>28.520833333333332</v>
      </c>
      <c r="BK13" s="548">
        <f t="shared" ref="BK13:BK29" ca="1" si="23">BL13+ROW(BL13)</f>
        <v>100012</v>
      </c>
      <c r="BL13" s="549">
        <f ca="1">IF(BN13="",99999,'Endrunde 4'!$D13)</f>
        <v>99999</v>
      </c>
      <c r="BM13" s="259" t="str">
        <f ca="1">IF(BN13="","",'Endrunde 4'!$E13)</f>
        <v/>
      </c>
      <c r="BN13" s="260" t="str">
        <f ca="1">IF($C$54="","",IF('Endrunde 4'!$I13=$C$54,'Endrunde 4'!$K13,IF('Endrunde 4'!$K13=$C$54,'Endrunde 4'!$I13,"")))</f>
        <v/>
      </c>
      <c r="BO13" s="550">
        <f t="shared" ref="BO13:BO29" ca="1" si="24">SMALL(BK$12:BK$36,ROW(BK13)-11)</f>
        <v>100011</v>
      </c>
      <c r="BP13" s="548">
        <f t="shared" ref="BP13:BP29" ca="1" si="25">BQ13+ROW(BQ13)</f>
        <v>100012</v>
      </c>
      <c r="BQ13" s="549">
        <f ca="1">IF(BS13="",99999,'Endrunde 4'!$D13)</f>
        <v>99999</v>
      </c>
      <c r="BR13" s="259" t="str">
        <f ca="1">IF(BS13="","",'Endrunde 4'!$E13)</f>
        <v/>
      </c>
      <c r="BS13" s="260" t="str">
        <f ca="1">IF($C$59="","",IF('Endrunde 4'!$I13=$C$59,'Endrunde 4'!$K13,IF('Endrunde 4'!$K13=$C$59,'Endrunde 4'!$I13,"")))</f>
        <v/>
      </c>
      <c r="BT13" s="550">
        <f t="shared" ref="BT13:BT29" ca="1" si="26">SMALL(BP$12:BP$36,ROW(BP13)-11)</f>
        <v>27.520833333333332</v>
      </c>
      <c r="BU13" s="548">
        <f t="shared" ref="BU13:BU36" ca="1" si="27">BV13+ROW(BV13)</f>
        <v>100012</v>
      </c>
      <c r="BV13" s="549">
        <f ca="1">IF(BX13="",99999,'Endrunde 4'!$D13)</f>
        <v>99999</v>
      </c>
      <c r="BW13" s="259" t="str">
        <f ca="1">IF(BX13="","",'Endrunde 4'!$E13)</f>
        <v/>
      </c>
      <c r="BX13" s="260" t="str">
        <f ca="1">IF($C$64="","",IF('Endrunde 4'!$I13=$C$64,'Endrunde 4'!$K13,IF('Endrunde 4'!$K13=$C$64,'Endrunde 4'!$I13,"")))</f>
        <v/>
      </c>
      <c r="BY13" s="550">
        <f t="shared" ref="BY13:BY36" ca="1" si="28">SMALL(BU$12:BU$36,ROW(BU13)-11)</f>
        <v>28.520833333333332</v>
      </c>
      <c r="BZ13" s="548">
        <f t="shared" ref="BZ13:BZ36" ca="1" si="29">CA13+ROW(CA13)</f>
        <v>100012</v>
      </c>
      <c r="CA13" s="549">
        <f ca="1">IF(CC13="",99999,'Endrunde 4'!$D13)</f>
        <v>99999</v>
      </c>
      <c r="CB13" s="259" t="str">
        <f ca="1">IF(CC13="","",'Endrunde 4'!$E13)</f>
        <v/>
      </c>
      <c r="CC13" s="260" t="str">
        <f ca="1">IF($C$69="","",IF('Endrunde 4'!$I13=$C$69,'Endrunde 4'!$K13,IF('Endrunde 4'!$K13=$C$69,'Endrunde 4'!$I13,"")))</f>
        <v/>
      </c>
      <c r="CD13" s="550">
        <f t="shared" ref="CD13:CD36" ca="1" si="30">SMALL(BZ$12:BZ$36,ROW(BZ13)-11)</f>
        <v>27.520833333333332</v>
      </c>
      <c r="CE13" s="548">
        <f t="shared" ref="CE13:CE36" si="31">CF13+ROW(CF13)</f>
        <v>100012</v>
      </c>
      <c r="CF13" s="549">
        <f>IF(CH13="",99999,'Endrunde 4'!$D13)</f>
        <v>99999</v>
      </c>
      <c r="CG13" s="259" t="str">
        <f>IF(CH13="","",'Endrunde 4'!$E13)</f>
        <v/>
      </c>
      <c r="CH13" s="260" t="str">
        <f>IF($C$74="","",IF('Endrunde 4'!$I13=$C$74,'Endrunde 4'!$K13,IF('Endrunde 4'!$K13=$C$74,'Endrunde 4'!$I13,"")))</f>
        <v/>
      </c>
      <c r="CI13" s="550">
        <f t="shared" ref="CI13:CI36" si="32">SMALL(CE$12:CE$36,ROW(CE13)-11)</f>
        <v>100012</v>
      </c>
      <c r="CJ13" s="548">
        <f t="shared" ref="CJ13:CJ36" si="33">CK13+ROW(CK13)</f>
        <v>100012</v>
      </c>
      <c r="CK13" s="549">
        <f>IF(CM13="",99999,'Endrunde 4'!$D13)</f>
        <v>99999</v>
      </c>
      <c r="CL13" s="259" t="str">
        <f>IF(CM13="","",'Endrunde 4'!$E13)</f>
        <v/>
      </c>
      <c r="CM13" s="260" t="str">
        <f>IF($C$79="","",IF('Endrunde 4'!$I13=$C$79,'Endrunde 4'!$K13,IF('Endrunde 4'!$K13=$C$79,'Endrunde 4'!$I13,"")))</f>
        <v/>
      </c>
      <c r="CN13" s="550">
        <f t="shared" ref="CN13:CN36" si="34">SMALL(CJ$12:CJ$36,ROW(CJ13)-11)</f>
        <v>100012</v>
      </c>
      <c r="CO13" s="548">
        <f t="shared" ref="CO13:CO36" si="35">CP13+ROW(CP13)</f>
        <v>100012</v>
      </c>
      <c r="CP13" s="549">
        <f>IF(CR13="",99999,'Endrunde 4'!$D13)</f>
        <v>99999</v>
      </c>
      <c r="CQ13" s="259" t="str">
        <f>IF(CR13="","",'Endrunde 4'!$E13)</f>
        <v/>
      </c>
      <c r="CR13" s="260" t="str">
        <f>IF($C$84="","",IF('Endrunde 4'!$I13=$C$84,'Endrunde 4'!$K13,IF('Endrunde 4'!$K13=$C$84,'Endrunde 4'!$I13,"")))</f>
        <v/>
      </c>
      <c r="CS13" s="550">
        <f t="shared" ref="CS13:CS36" si="36">SMALL(CO$12:CO$36,ROW(CO13)-11)</f>
        <v>100012</v>
      </c>
      <c r="CT13" s="548">
        <f t="shared" ref="CT13:CT36" si="37">CU13+ROW(CU13)</f>
        <v>100012</v>
      </c>
      <c r="CU13" s="549">
        <f>IF(CW13="",99999,'Endrunde 4'!$D13)</f>
        <v>99999</v>
      </c>
      <c r="CV13" s="259" t="str">
        <f>IF(CW13="","",'Endrunde 4'!$E13)</f>
        <v/>
      </c>
      <c r="CW13" s="260" t="str">
        <f>IF($C$89="","",IF('Endrunde 4'!$I13=$C$89,'Endrunde 4'!$K13,IF('Endrunde 4'!$K13=$C$89,'Endrunde 4'!$I13,"")))</f>
        <v/>
      </c>
      <c r="CX13" s="550">
        <f t="shared" ref="CX13:CX36" si="38">SMALL(CT$12:CT$36,ROW(CT13)-11)</f>
        <v>100012</v>
      </c>
    </row>
    <row r="14" spans="2:102" ht="15.95" customHeight="1" x14ac:dyDescent="0.2">
      <c r="B14" s="525" t="s">
        <v>193</v>
      </c>
      <c r="C14" s="526" t="str">
        <f>IF(Planung!$C$11="","",Planung!$C$11)</f>
        <v>Eintracht Frankfurt</v>
      </c>
      <c r="E14" s="527" t="str">
        <f>Sprache!$E$69</f>
        <v>Spiel Nr.</v>
      </c>
      <c r="F14" s="528" t="str">
        <f>Sprache!$E$39</f>
        <v>Beginn</v>
      </c>
      <c r="G14" s="529" t="str">
        <f>Sprache!$E$48</f>
        <v>Feld</v>
      </c>
      <c r="H14" s="530" t="str">
        <f>Sprache!$E$46</f>
        <v>Spiel gegen</v>
      </c>
      <c r="J14" s="523">
        <f t="shared" ca="1" si="0"/>
        <v>0</v>
      </c>
      <c r="L14" s="150">
        <f ca="1">'Endrunde 4'!$C14</f>
        <v>21</v>
      </c>
      <c r="M14" s="548">
        <f t="shared" ca="1" si="3"/>
        <v>100013</v>
      </c>
      <c r="N14" s="549">
        <f ca="1">IF(P14="",99999,'Endrunde 4'!$D14)</f>
        <v>99999</v>
      </c>
      <c r="O14" s="259" t="str">
        <f ca="1">IF(P14="","",'Endrunde 4'!$E14)</f>
        <v/>
      </c>
      <c r="P14" s="260" t="str">
        <f ca="1">IF($C$4="","",IF('Endrunde 4'!$I14=$C$4,'Endrunde 4'!$K14,IF('Endrunde 4'!$K14=$C$4,'Endrunde 4'!$I14,"")))</f>
        <v/>
      </c>
      <c r="Q14" s="550">
        <f t="shared" ca="1" si="4"/>
        <v>31.545138888888889</v>
      </c>
      <c r="R14" s="548">
        <f t="shared" ca="1" si="5"/>
        <v>100013</v>
      </c>
      <c r="S14" s="549">
        <f ca="1">IF(U14="",99999,'Endrunde 4'!$D14)</f>
        <v>99999</v>
      </c>
      <c r="T14" s="259" t="str">
        <f ca="1">IF(U14="","",'Endrunde 4'!$E14)</f>
        <v/>
      </c>
      <c r="U14" s="260" t="str">
        <f ca="1">IF($C$9="","",IF('Endrunde 4'!$I14=$C$9,'Endrunde 4'!$K14,IF('Endrunde 4'!$K14=$C$9,'Endrunde 4'!$I14,"")))</f>
        <v/>
      </c>
      <c r="V14" s="550">
        <f t="shared" ca="1" si="6"/>
        <v>100012</v>
      </c>
      <c r="W14" s="548">
        <f t="shared" ca="1" si="7"/>
        <v>100013</v>
      </c>
      <c r="X14" s="549">
        <f ca="1">IF(Z14="",99999,'Endrunde 4'!$D14)</f>
        <v>99999</v>
      </c>
      <c r="Y14" s="259" t="str">
        <f ca="1">IF(Z14="","",'Endrunde 4'!$E14)</f>
        <v/>
      </c>
      <c r="Z14" s="260" t="str">
        <f ca="1">IF($C$14="","",IF('Endrunde 4'!$I14=$C$14,'Endrunde 4'!$K14,IF('Endrunde 4'!$K14=$C$14,'Endrunde 4'!$I14,"")))</f>
        <v/>
      </c>
      <c r="AA14" s="550">
        <f t="shared" ca="1" si="8"/>
        <v>36.569444444444443</v>
      </c>
      <c r="AB14" s="548">
        <f t="shared" ca="1" si="9"/>
        <v>100013</v>
      </c>
      <c r="AC14" s="549">
        <f ca="1">IF(AE14="",99999,'Endrunde 4'!$D14)</f>
        <v>99999</v>
      </c>
      <c r="AD14" s="259" t="str">
        <f ca="1">IF(AE14="","",'Endrunde 4'!$E14)</f>
        <v/>
      </c>
      <c r="AE14" s="260" t="str">
        <f ca="1">IF($C$19="","",IF('Endrunde 4'!$I14=$C$19,'Endrunde 4'!$K14,IF('Endrunde 4'!$K14=$C$19,'Endrunde 4'!$I14,"")))</f>
        <v/>
      </c>
      <c r="AF14" s="550">
        <f t="shared" ca="1" si="10"/>
        <v>32.545138888888886</v>
      </c>
      <c r="AG14" s="548">
        <f t="shared" ca="1" si="11"/>
        <v>100013</v>
      </c>
      <c r="AH14" s="549">
        <f ca="1">IF(AJ14="",99999,'Endrunde 4'!$D14)</f>
        <v>99999</v>
      </c>
      <c r="AI14" s="259" t="str">
        <f ca="1">IF(AJ14="","",'Endrunde 4'!$E14)</f>
        <v/>
      </c>
      <c r="AJ14" s="260" t="str">
        <f ca="1">IF($C$24="","",IF('Endrunde 4'!$I14=$C$24,'Endrunde 4'!$K14,IF('Endrunde 4'!$K14=$C$24,'Endrunde 4'!$I14,"")))</f>
        <v/>
      </c>
      <c r="AK14" s="550">
        <f t="shared" ca="1" si="12"/>
        <v>35.545138888888886</v>
      </c>
      <c r="AL14" s="548">
        <f t="shared" si="13"/>
        <v>100013</v>
      </c>
      <c r="AM14" s="549">
        <f>IF(AO14="",99999,'Endrunde 4'!$D14)</f>
        <v>99999</v>
      </c>
      <c r="AN14" s="259" t="str">
        <f>IF(AO14="","",'Endrunde 4'!$E14)</f>
        <v/>
      </c>
      <c r="AO14" s="260" t="str">
        <f>IF($C$29="","",IF('Endrunde 4'!$I14=$C$29,'Endrunde 4'!$K14,IF('Endrunde 4'!$K14=$C$29,'Endrunde 4'!$I14,"")))</f>
        <v/>
      </c>
      <c r="AP14" s="550">
        <f t="shared" si="14"/>
        <v>100013</v>
      </c>
      <c r="AQ14" s="548">
        <f t="shared" si="15"/>
        <v>100013</v>
      </c>
      <c r="AR14" s="549">
        <f>IF(AT14="",99999,'Endrunde 4'!$D14)</f>
        <v>99999</v>
      </c>
      <c r="AS14" s="259" t="str">
        <f>IF(AT14="","",'Endrunde 4'!$E14)</f>
        <v/>
      </c>
      <c r="AT14" s="260" t="str">
        <f>IF($C$34="","",IF('Endrunde 4'!$I14=$C$34,'Endrunde 4'!$K14,IF('Endrunde 4'!$K14=$C$34,'Endrunde 4'!$I14,"")))</f>
        <v/>
      </c>
      <c r="AU14" s="550">
        <f t="shared" si="16"/>
        <v>100013</v>
      </c>
      <c r="AV14" s="548">
        <f t="shared" si="17"/>
        <v>100013</v>
      </c>
      <c r="AW14" s="549">
        <f>IF(AY14="",99999,'Endrunde 4'!$D14)</f>
        <v>99999</v>
      </c>
      <c r="AX14" s="259" t="str">
        <f>IF(AY14="","",'Endrunde 4'!$E14)</f>
        <v/>
      </c>
      <c r="AY14" s="260" t="str">
        <f>IF($C$39="","",IF('Endrunde 4'!$I14=$C$39,'Endrunde 4'!$K14,IF('Endrunde 4'!$K14=$C$39,'Endrunde 4'!$I14,"")))</f>
        <v/>
      </c>
      <c r="AZ14" s="550">
        <f t="shared" si="18"/>
        <v>100013</v>
      </c>
      <c r="BA14" s="548">
        <f t="shared" si="19"/>
        <v>100013</v>
      </c>
      <c r="BB14" s="549">
        <f>IF(BD14="",99999,'Endrunde 4'!$D14)</f>
        <v>99999</v>
      </c>
      <c r="BC14" s="259" t="str">
        <f>IF(BD14="","",'Endrunde 4'!$E14)</f>
        <v/>
      </c>
      <c r="BD14" s="260" t="str">
        <f>IF($C$44="","",IF('Endrunde 4'!$I14=$C$44,'Endrunde 4'!$K14,IF('Endrunde 4'!$K14=$C$44,'Endrunde 4'!$I14,"")))</f>
        <v/>
      </c>
      <c r="BE14" s="550">
        <f t="shared" si="20"/>
        <v>100013</v>
      </c>
      <c r="BF14" s="548">
        <f t="shared" ca="1" si="21"/>
        <v>100013</v>
      </c>
      <c r="BG14" s="549">
        <f ca="1">IF(BI14="",99999,'Endrunde 4'!$D14)</f>
        <v>99999</v>
      </c>
      <c r="BH14" s="259" t="str">
        <f ca="1">IF(BI14="","",'Endrunde 4'!$E14)</f>
        <v/>
      </c>
      <c r="BI14" s="260" t="str">
        <f ca="1">IF($C$49="","",IF('Endrunde 4'!$I14=$C$49,'Endrunde 4'!$K14,IF('Endrunde 4'!$K14=$C$49,'Endrunde 4'!$I14,"")))</f>
        <v/>
      </c>
      <c r="BJ14" s="550">
        <f t="shared" ca="1" si="22"/>
        <v>36.569444444444443</v>
      </c>
      <c r="BK14" s="548">
        <f t="shared" ca="1" si="23"/>
        <v>100013</v>
      </c>
      <c r="BL14" s="549">
        <f ca="1">IF(BN14="",99999,'Endrunde 4'!$D14)</f>
        <v>99999</v>
      </c>
      <c r="BM14" s="259" t="str">
        <f ca="1">IF(BN14="","",'Endrunde 4'!$E14)</f>
        <v/>
      </c>
      <c r="BN14" s="260" t="str">
        <f ca="1">IF($C$54="","",IF('Endrunde 4'!$I14=$C$54,'Endrunde 4'!$K14,IF('Endrunde 4'!$K14=$C$54,'Endrunde 4'!$I14,"")))</f>
        <v/>
      </c>
      <c r="BO14" s="550">
        <f t="shared" ca="1" si="24"/>
        <v>100012</v>
      </c>
      <c r="BP14" s="548">
        <f t="shared" ca="1" si="25"/>
        <v>100013</v>
      </c>
      <c r="BQ14" s="549">
        <f ca="1">IF(BS14="",99999,'Endrunde 4'!$D14)</f>
        <v>99999</v>
      </c>
      <c r="BR14" s="259" t="str">
        <f ca="1">IF(BS14="","",'Endrunde 4'!$E14)</f>
        <v/>
      </c>
      <c r="BS14" s="260" t="str">
        <f ca="1">IF($C$59="","",IF('Endrunde 4'!$I14=$C$59,'Endrunde 4'!$K14,IF('Endrunde 4'!$K14=$C$59,'Endrunde 4'!$I14,"")))</f>
        <v/>
      </c>
      <c r="BT14" s="550">
        <f t="shared" ca="1" si="26"/>
        <v>31.545138888888889</v>
      </c>
      <c r="BU14" s="548">
        <f t="shared" ca="1" si="27"/>
        <v>100013</v>
      </c>
      <c r="BV14" s="549">
        <f ca="1">IF(BX14="",99999,'Endrunde 4'!$D14)</f>
        <v>99999</v>
      </c>
      <c r="BW14" s="259" t="str">
        <f ca="1">IF(BX14="","",'Endrunde 4'!$E14)</f>
        <v/>
      </c>
      <c r="BX14" s="260" t="str">
        <f ca="1">IF($C$64="","",IF('Endrunde 4'!$I14=$C$64,'Endrunde 4'!$K14,IF('Endrunde 4'!$K14=$C$64,'Endrunde 4'!$I14,"")))</f>
        <v/>
      </c>
      <c r="BY14" s="550">
        <f t="shared" ca="1" si="28"/>
        <v>32.545138888888886</v>
      </c>
      <c r="BZ14" s="548">
        <f t="shared" ca="1" si="29"/>
        <v>100013</v>
      </c>
      <c r="CA14" s="549">
        <f ca="1">IF(CC14="",99999,'Endrunde 4'!$D14)</f>
        <v>99999</v>
      </c>
      <c r="CB14" s="259" t="str">
        <f ca="1">IF(CC14="","",'Endrunde 4'!$E14)</f>
        <v/>
      </c>
      <c r="CC14" s="260" t="str">
        <f ca="1">IF($C$69="","",IF('Endrunde 4'!$I14=$C$69,'Endrunde 4'!$K14,IF('Endrunde 4'!$K14=$C$69,'Endrunde 4'!$I14,"")))</f>
        <v/>
      </c>
      <c r="CD14" s="550">
        <f t="shared" ca="1" si="30"/>
        <v>35.545138888888886</v>
      </c>
      <c r="CE14" s="548">
        <f t="shared" si="31"/>
        <v>100013</v>
      </c>
      <c r="CF14" s="549">
        <f>IF(CH14="",99999,'Endrunde 4'!$D14)</f>
        <v>99999</v>
      </c>
      <c r="CG14" s="259" t="str">
        <f>IF(CH14="","",'Endrunde 4'!$E14)</f>
        <v/>
      </c>
      <c r="CH14" s="260" t="str">
        <f>IF($C$74="","",IF('Endrunde 4'!$I14=$C$74,'Endrunde 4'!$K14,IF('Endrunde 4'!$K14=$C$74,'Endrunde 4'!$I14,"")))</f>
        <v/>
      </c>
      <c r="CI14" s="550">
        <f t="shared" si="32"/>
        <v>100013</v>
      </c>
      <c r="CJ14" s="548">
        <f t="shared" si="33"/>
        <v>100013</v>
      </c>
      <c r="CK14" s="549">
        <f>IF(CM14="",99999,'Endrunde 4'!$D14)</f>
        <v>99999</v>
      </c>
      <c r="CL14" s="259" t="str">
        <f>IF(CM14="","",'Endrunde 4'!$E14)</f>
        <v/>
      </c>
      <c r="CM14" s="260" t="str">
        <f>IF($C$79="","",IF('Endrunde 4'!$I14=$C$79,'Endrunde 4'!$K14,IF('Endrunde 4'!$K14=$C$79,'Endrunde 4'!$I14,"")))</f>
        <v/>
      </c>
      <c r="CN14" s="550">
        <f t="shared" si="34"/>
        <v>100013</v>
      </c>
      <c r="CO14" s="548">
        <f t="shared" si="35"/>
        <v>100013</v>
      </c>
      <c r="CP14" s="549">
        <f>IF(CR14="",99999,'Endrunde 4'!$D14)</f>
        <v>99999</v>
      </c>
      <c r="CQ14" s="259" t="str">
        <f>IF(CR14="","",'Endrunde 4'!$E14)</f>
        <v/>
      </c>
      <c r="CR14" s="260" t="str">
        <f>IF($C$84="","",IF('Endrunde 4'!$I14=$C$84,'Endrunde 4'!$K14,IF('Endrunde 4'!$K14=$C$84,'Endrunde 4'!$I14,"")))</f>
        <v/>
      </c>
      <c r="CS14" s="550">
        <f t="shared" si="36"/>
        <v>100013</v>
      </c>
      <c r="CT14" s="548">
        <f t="shared" si="37"/>
        <v>100013</v>
      </c>
      <c r="CU14" s="549">
        <f>IF(CW14="",99999,'Endrunde 4'!$D14)</f>
        <v>99999</v>
      </c>
      <c r="CV14" s="259" t="str">
        <f>IF(CW14="","",'Endrunde 4'!$E14)</f>
        <v/>
      </c>
      <c r="CW14" s="260" t="str">
        <f>IF($C$89="","",IF('Endrunde 4'!$I14=$C$89,'Endrunde 4'!$K14,IF('Endrunde 4'!$K14=$C$89,'Endrunde 4'!$I14,"")))</f>
        <v/>
      </c>
      <c r="CX14" s="550">
        <f t="shared" si="38"/>
        <v>100013</v>
      </c>
    </row>
    <row r="15" spans="2:102" ht="15.95" customHeight="1" x14ac:dyDescent="0.2">
      <c r="E15" s="531">
        <f ca="1">IF($AA$12&lt;99999,INDEX($L$12:$L$36,MATCH($AA$12,$W$12:$W$36,0)),"")</f>
        <v>22</v>
      </c>
      <c r="F15" s="532">
        <f ca="1">IF($AA$12&lt;99999,VLOOKUP($AA$12,$W$12:$Z$36,2,0),"")</f>
        <v>0.49652777777777779</v>
      </c>
      <c r="G15" s="533">
        <f ca="1">IF($AA$12&lt;99999,VLOOKUP($AA$12,$W$12:$Z$36,3,0),"")</f>
        <v>2</v>
      </c>
      <c r="H15" s="534" t="str">
        <f ca="1">IF($AA$12&lt;99999,VLOOKUP($AA$12,$W$12:$Z$36,4,0),"")</f>
        <v>Manchester City</v>
      </c>
      <c r="J15" s="523">
        <f ca="1">IF(AND(F15&lt;&gt;"",OR(F15=F14,F15=F16)),E15,0)</f>
        <v>0</v>
      </c>
      <c r="K15" s="523" t="str">
        <f ca="1">IF(J15=0,"",$C$14)</f>
        <v/>
      </c>
      <c r="L15" s="150">
        <f ca="1">'Endrunde 4'!$C15</f>
        <v>21</v>
      </c>
      <c r="M15" s="548">
        <f t="shared" ca="1" si="3"/>
        <v>100014</v>
      </c>
      <c r="N15" s="549">
        <f ca="1">IF(P15="",99999,'Endrunde 4'!$D15)</f>
        <v>99999</v>
      </c>
      <c r="O15" s="259" t="str">
        <f ca="1">IF(P15="","",'Endrunde 4'!$E15)</f>
        <v/>
      </c>
      <c r="P15" s="260" t="str">
        <f ca="1">IF($C$4="","",IF('Endrunde 4'!$I15=$C$4,'Endrunde 4'!$K15,IF('Endrunde 4'!$K15=$C$4,'Endrunde 4'!$I15,"")))</f>
        <v/>
      </c>
      <c r="Q15" s="550">
        <f t="shared" ca="1" si="4"/>
        <v>100011</v>
      </c>
      <c r="R15" s="548">
        <f t="shared" ca="1" si="5"/>
        <v>100014</v>
      </c>
      <c r="S15" s="549">
        <f ca="1">IF(U15="",99999,'Endrunde 4'!$D15)</f>
        <v>99999</v>
      </c>
      <c r="T15" s="259" t="str">
        <f ca="1">IF(U15="","",'Endrunde 4'!$E15)</f>
        <v/>
      </c>
      <c r="U15" s="260" t="str">
        <f ca="1">IF($C$9="","",IF('Endrunde 4'!$I15=$C$9,'Endrunde 4'!$K15,IF('Endrunde 4'!$K15=$C$9,'Endrunde 4'!$I15,"")))</f>
        <v/>
      </c>
      <c r="V15" s="550">
        <f t="shared" ca="1" si="6"/>
        <v>100013</v>
      </c>
      <c r="W15" s="548">
        <f t="shared" ca="1" si="7"/>
        <v>100014</v>
      </c>
      <c r="X15" s="549">
        <f ca="1">IF(Z15="",99999,'Endrunde 4'!$D15)</f>
        <v>99999</v>
      </c>
      <c r="Y15" s="259" t="str">
        <f ca="1">IF(Z15="","",'Endrunde 4'!$E15)</f>
        <v/>
      </c>
      <c r="Z15" s="260" t="str">
        <f ca="1">IF($C$14="","",IF('Endrunde 4'!$I15=$C$14,'Endrunde 4'!$K15,IF('Endrunde 4'!$K15=$C$14,'Endrunde 4'!$I15,"")))</f>
        <v/>
      </c>
      <c r="AA15" s="550">
        <f t="shared" ca="1" si="8"/>
        <v>100011</v>
      </c>
      <c r="AB15" s="548">
        <f t="shared" ca="1" si="9"/>
        <v>100014</v>
      </c>
      <c r="AC15" s="549">
        <f ca="1">IF(AE15="",99999,'Endrunde 4'!$D15)</f>
        <v>99999</v>
      </c>
      <c r="AD15" s="259" t="str">
        <f ca="1">IF(AE15="","",'Endrunde 4'!$E15)</f>
        <v/>
      </c>
      <c r="AE15" s="260" t="str">
        <f ca="1">IF($C$19="","",IF('Endrunde 4'!$I15=$C$19,'Endrunde 4'!$K15,IF('Endrunde 4'!$K15=$C$19,'Endrunde 4'!$I15,"")))</f>
        <v/>
      </c>
      <c r="AF15" s="550">
        <f t="shared" ca="1" si="10"/>
        <v>100011</v>
      </c>
      <c r="AG15" s="548">
        <f t="shared" ca="1" si="11"/>
        <v>15.496527777777779</v>
      </c>
      <c r="AH15" s="549">
        <f ca="1">IF(AJ15="",99999,'Endrunde 4'!$D15)</f>
        <v>0.49652777777777779</v>
      </c>
      <c r="AI15" s="259">
        <f ca="1">IF(AJ15="","",'Endrunde 4'!$E15)</f>
        <v>1</v>
      </c>
      <c r="AJ15" s="260" t="str">
        <f ca="1">IF($C$24="","",IF('Endrunde 4'!$I15=$C$24,'Endrunde 4'!$K15,IF('Endrunde 4'!$K15=$C$24,'Endrunde 4'!$I15,"")))</f>
        <v>SSV Wildbach</v>
      </c>
      <c r="AK15" s="550">
        <f t="shared" ca="1" si="12"/>
        <v>100011</v>
      </c>
      <c r="AL15" s="548">
        <f t="shared" si="13"/>
        <v>100014</v>
      </c>
      <c r="AM15" s="549">
        <f>IF(AO15="",99999,'Endrunde 4'!$D15)</f>
        <v>99999</v>
      </c>
      <c r="AN15" s="259" t="str">
        <f>IF(AO15="","",'Endrunde 4'!$E15)</f>
        <v/>
      </c>
      <c r="AO15" s="260" t="str">
        <f>IF($C$29="","",IF('Endrunde 4'!$I15=$C$29,'Endrunde 4'!$K15,IF('Endrunde 4'!$K15=$C$29,'Endrunde 4'!$I15,"")))</f>
        <v/>
      </c>
      <c r="AP15" s="550">
        <f t="shared" si="14"/>
        <v>100014</v>
      </c>
      <c r="AQ15" s="548">
        <f t="shared" si="15"/>
        <v>100014</v>
      </c>
      <c r="AR15" s="549">
        <f>IF(AT15="",99999,'Endrunde 4'!$D15)</f>
        <v>99999</v>
      </c>
      <c r="AS15" s="259" t="str">
        <f>IF(AT15="","",'Endrunde 4'!$E15)</f>
        <v/>
      </c>
      <c r="AT15" s="260" t="str">
        <f>IF($C$34="","",IF('Endrunde 4'!$I15=$C$34,'Endrunde 4'!$K15,IF('Endrunde 4'!$K15=$C$34,'Endrunde 4'!$I15,"")))</f>
        <v/>
      </c>
      <c r="AU15" s="550">
        <f t="shared" si="16"/>
        <v>100014</v>
      </c>
      <c r="AV15" s="548">
        <f t="shared" si="17"/>
        <v>100014</v>
      </c>
      <c r="AW15" s="549">
        <f>IF(AY15="",99999,'Endrunde 4'!$D15)</f>
        <v>99999</v>
      </c>
      <c r="AX15" s="259" t="str">
        <f>IF(AY15="","",'Endrunde 4'!$E15)</f>
        <v/>
      </c>
      <c r="AY15" s="260" t="str">
        <f>IF($C$39="","",IF('Endrunde 4'!$I15=$C$39,'Endrunde 4'!$K15,IF('Endrunde 4'!$K15=$C$39,'Endrunde 4'!$I15,"")))</f>
        <v/>
      </c>
      <c r="AZ15" s="550">
        <f t="shared" si="18"/>
        <v>100014</v>
      </c>
      <c r="BA15" s="548">
        <f t="shared" si="19"/>
        <v>100014</v>
      </c>
      <c r="BB15" s="549">
        <f>IF(BD15="",99999,'Endrunde 4'!$D15)</f>
        <v>99999</v>
      </c>
      <c r="BC15" s="259" t="str">
        <f>IF(BD15="","",'Endrunde 4'!$E15)</f>
        <v/>
      </c>
      <c r="BD15" s="260" t="str">
        <f>IF($C$44="","",IF('Endrunde 4'!$I15=$C$44,'Endrunde 4'!$K15,IF('Endrunde 4'!$K15=$C$44,'Endrunde 4'!$I15,"")))</f>
        <v/>
      </c>
      <c r="BE15" s="550">
        <f t="shared" si="20"/>
        <v>100014</v>
      </c>
      <c r="BF15" s="548">
        <f t="shared" ca="1" si="21"/>
        <v>100014</v>
      </c>
      <c r="BG15" s="549">
        <f ca="1">IF(BI15="",99999,'Endrunde 4'!$D15)</f>
        <v>99999</v>
      </c>
      <c r="BH15" s="259" t="str">
        <f ca="1">IF(BI15="","",'Endrunde 4'!$E15)</f>
        <v/>
      </c>
      <c r="BI15" s="260" t="str">
        <f ca="1">IF($C$49="","",IF('Endrunde 4'!$I15=$C$49,'Endrunde 4'!$K15,IF('Endrunde 4'!$K15=$C$49,'Endrunde 4'!$I15,"")))</f>
        <v/>
      </c>
      <c r="BJ15" s="550">
        <f t="shared" ca="1" si="22"/>
        <v>100011</v>
      </c>
      <c r="BK15" s="548">
        <f t="shared" ca="1" si="23"/>
        <v>100014</v>
      </c>
      <c r="BL15" s="549">
        <f ca="1">IF(BN15="",99999,'Endrunde 4'!$D15)</f>
        <v>99999</v>
      </c>
      <c r="BM15" s="259" t="str">
        <f ca="1">IF(BN15="","",'Endrunde 4'!$E15)</f>
        <v/>
      </c>
      <c r="BN15" s="260" t="str">
        <f ca="1">IF($C$54="","",IF('Endrunde 4'!$I15=$C$54,'Endrunde 4'!$K15,IF('Endrunde 4'!$K15=$C$54,'Endrunde 4'!$I15,"")))</f>
        <v/>
      </c>
      <c r="BO15" s="550">
        <f t="shared" ca="1" si="24"/>
        <v>100013</v>
      </c>
      <c r="BP15" s="548">
        <f t="shared" ca="1" si="25"/>
        <v>15.496527777777779</v>
      </c>
      <c r="BQ15" s="549">
        <f ca="1">IF(BS15="",99999,'Endrunde 4'!$D15)</f>
        <v>0.49652777777777779</v>
      </c>
      <c r="BR15" s="259">
        <f ca="1">IF(BS15="","",'Endrunde 4'!$E15)</f>
        <v>1</v>
      </c>
      <c r="BS15" s="260" t="str">
        <f ca="1">IF($C$59="","",IF('Endrunde 4'!$I15=$C$59,'Endrunde 4'!$K15,IF('Endrunde 4'!$K15=$C$59,'Endrunde 4'!$I15,"")))</f>
        <v>VFB Essenheim</v>
      </c>
      <c r="BT15" s="550">
        <f t="shared" ca="1" si="26"/>
        <v>100011</v>
      </c>
      <c r="BU15" s="548">
        <f t="shared" ca="1" si="27"/>
        <v>100014</v>
      </c>
      <c r="BV15" s="549">
        <f ca="1">IF(BX15="",99999,'Endrunde 4'!$D15)</f>
        <v>99999</v>
      </c>
      <c r="BW15" s="259" t="str">
        <f ca="1">IF(BX15="","",'Endrunde 4'!$E15)</f>
        <v/>
      </c>
      <c r="BX15" s="260" t="str">
        <f ca="1">IF($C$64="","",IF('Endrunde 4'!$I15=$C$64,'Endrunde 4'!$K15,IF('Endrunde 4'!$K15=$C$64,'Endrunde 4'!$I15,"")))</f>
        <v/>
      </c>
      <c r="BY15" s="550">
        <f t="shared" ca="1" si="28"/>
        <v>100011</v>
      </c>
      <c r="BZ15" s="548">
        <f t="shared" ca="1" si="29"/>
        <v>100014</v>
      </c>
      <c r="CA15" s="549">
        <f ca="1">IF(CC15="",99999,'Endrunde 4'!$D15)</f>
        <v>99999</v>
      </c>
      <c r="CB15" s="259" t="str">
        <f ca="1">IF(CC15="","",'Endrunde 4'!$E15)</f>
        <v/>
      </c>
      <c r="CC15" s="260" t="str">
        <f ca="1">IF($C$69="","",IF('Endrunde 4'!$I15=$C$69,'Endrunde 4'!$K15,IF('Endrunde 4'!$K15=$C$69,'Endrunde 4'!$I15,"")))</f>
        <v/>
      </c>
      <c r="CD15" s="550">
        <f t="shared" ca="1" si="30"/>
        <v>100011</v>
      </c>
      <c r="CE15" s="548">
        <f t="shared" si="31"/>
        <v>100014</v>
      </c>
      <c r="CF15" s="549">
        <f>IF(CH15="",99999,'Endrunde 4'!$D15)</f>
        <v>99999</v>
      </c>
      <c r="CG15" s="259" t="str">
        <f>IF(CH15="","",'Endrunde 4'!$E15)</f>
        <v/>
      </c>
      <c r="CH15" s="260" t="str">
        <f>IF($C$74="","",IF('Endrunde 4'!$I15=$C$74,'Endrunde 4'!$K15,IF('Endrunde 4'!$K15=$C$74,'Endrunde 4'!$I15,"")))</f>
        <v/>
      </c>
      <c r="CI15" s="550">
        <f t="shared" si="32"/>
        <v>100014</v>
      </c>
      <c r="CJ15" s="548">
        <f t="shared" si="33"/>
        <v>100014</v>
      </c>
      <c r="CK15" s="549">
        <f>IF(CM15="",99999,'Endrunde 4'!$D15)</f>
        <v>99999</v>
      </c>
      <c r="CL15" s="259" t="str">
        <f>IF(CM15="","",'Endrunde 4'!$E15)</f>
        <v/>
      </c>
      <c r="CM15" s="260" t="str">
        <f>IF($C$79="","",IF('Endrunde 4'!$I15=$C$79,'Endrunde 4'!$K15,IF('Endrunde 4'!$K15=$C$79,'Endrunde 4'!$I15,"")))</f>
        <v/>
      </c>
      <c r="CN15" s="550">
        <f t="shared" si="34"/>
        <v>100014</v>
      </c>
      <c r="CO15" s="548">
        <f t="shared" si="35"/>
        <v>100014</v>
      </c>
      <c r="CP15" s="549">
        <f>IF(CR15="",99999,'Endrunde 4'!$D15)</f>
        <v>99999</v>
      </c>
      <c r="CQ15" s="259" t="str">
        <f>IF(CR15="","",'Endrunde 4'!$E15)</f>
        <v/>
      </c>
      <c r="CR15" s="260" t="str">
        <f>IF($C$84="","",IF('Endrunde 4'!$I15=$C$84,'Endrunde 4'!$K15,IF('Endrunde 4'!$K15=$C$84,'Endrunde 4'!$I15,"")))</f>
        <v/>
      </c>
      <c r="CS15" s="550">
        <f t="shared" si="36"/>
        <v>100014</v>
      </c>
      <c r="CT15" s="548">
        <f t="shared" si="37"/>
        <v>100014</v>
      </c>
      <c r="CU15" s="549">
        <f>IF(CW15="",99999,'Endrunde 4'!$D15)</f>
        <v>99999</v>
      </c>
      <c r="CV15" s="259" t="str">
        <f>IF(CW15="","",'Endrunde 4'!$E15)</f>
        <v/>
      </c>
      <c r="CW15" s="260" t="str">
        <f>IF($C$89="","",IF('Endrunde 4'!$I15=$C$89,'Endrunde 4'!$K15,IF('Endrunde 4'!$K15=$C$89,'Endrunde 4'!$I15,"")))</f>
        <v/>
      </c>
      <c r="CX15" s="550">
        <f t="shared" si="38"/>
        <v>100014</v>
      </c>
    </row>
    <row r="16" spans="2:102" ht="15.95" customHeight="1" x14ac:dyDescent="0.2">
      <c r="E16" s="531">
        <f ca="1">IF($AA$13&lt;99999,INDEX($L$12:$L$36,MATCH($AA$13,$W$12:$W$36,0)),"")</f>
        <v>26</v>
      </c>
      <c r="F16" s="535">
        <f ca="1">IF($AA$13&lt;99999,VLOOKUP($AA$13,$W$12:$Z$36,2,0),"")</f>
        <v>0.52083333333333337</v>
      </c>
      <c r="G16" s="536">
        <f ca="1">IF($AA$13&lt;99999,VLOOKUP($AA$13,$W$12:$Z$36,3,0),"")</f>
        <v>2</v>
      </c>
      <c r="H16" s="537" t="str">
        <f ca="1">IF($AA$13&lt;99999,VLOOKUP($AA$13,$W$12:$Z$36,4,0),"")</f>
        <v>Maibach 1822 eV</v>
      </c>
      <c r="J16" s="523">
        <f t="shared" ref="J16:J79" ca="1" si="39">IF(AND(F16&lt;&gt;"",OR(F16=F15,F16=F17)),E16,0)</f>
        <v>0</v>
      </c>
      <c r="K16" s="523" t="str">
        <f t="shared" ref="K16:K17" ca="1" si="40">IF(J16=0,"",$C$14)</f>
        <v/>
      </c>
      <c r="L16" s="150">
        <f ca="1">'Endrunde 4'!$C16</f>
        <v>22</v>
      </c>
      <c r="M16" s="548">
        <f t="shared" ca="1" si="3"/>
        <v>100015</v>
      </c>
      <c r="N16" s="549">
        <f ca="1">IF(P16="",99999,'Endrunde 4'!$D16)</f>
        <v>99999</v>
      </c>
      <c r="O16" s="259" t="str">
        <f ca="1">IF(P16="","",'Endrunde 4'!$E16)</f>
        <v/>
      </c>
      <c r="P16" s="260" t="str">
        <f ca="1">IF($C$4="","",IF('Endrunde 4'!$I16=$C$4,'Endrunde 4'!$K16,IF('Endrunde 4'!$K16=$C$4,'Endrunde 4'!$I16,"")))</f>
        <v/>
      </c>
      <c r="Q16" s="550">
        <f t="shared" ca="1" si="4"/>
        <v>100012</v>
      </c>
      <c r="R16" s="548">
        <f t="shared" ca="1" si="5"/>
        <v>100015</v>
      </c>
      <c r="S16" s="549">
        <f ca="1">IF(U16="",99999,'Endrunde 4'!$D16)</f>
        <v>99999</v>
      </c>
      <c r="T16" s="259" t="str">
        <f ca="1">IF(U16="","",'Endrunde 4'!$E16)</f>
        <v/>
      </c>
      <c r="U16" s="260" t="str">
        <f ca="1">IF($C$9="","",IF('Endrunde 4'!$I16=$C$9,'Endrunde 4'!$K16,IF('Endrunde 4'!$K16=$C$9,'Endrunde 4'!$I16,"")))</f>
        <v/>
      </c>
      <c r="V16" s="550">
        <f t="shared" ca="1" si="6"/>
        <v>100014</v>
      </c>
      <c r="W16" s="548">
        <f t="shared" ca="1" si="7"/>
        <v>16.496527777777779</v>
      </c>
      <c r="X16" s="549">
        <f ca="1">IF(Z16="",99999,'Endrunde 4'!$D16)</f>
        <v>0.49652777777777779</v>
      </c>
      <c r="Y16" s="259">
        <f ca="1">IF(Z16="","",'Endrunde 4'!$E16)</f>
        <v>2</v>
      </c>
      <c r="Z16" s="260" t="str">
        <f ca="1">IF($C$14="","",IF('Endrunde 4'!$I16=$C$14,'Endrunde 4'!$K16,IF('Endrunde 4'!$K16=$C$14,'Endrunde 4'!$I16,"")))</f>
        <v>Manchester City</v>
      </c>
      <c r="AA16" s="550">
        <f t="shared" ca="1" si="8"/>
        <v>100012</v>
      </c>
      <c r="AB16" s="548">
        <f t="shared" ca="1" si="9"/>
        <v>100015</v>
      </c>
      <c r="AC16" s="549">
        <f ca="1">IF(AE16="",99999,'Endrunde 4'!$D16)</f>
        <v>99999</v>
      </c>
      <c r="AD16" s="259" t="str">
        <f ca="1">IF(AE16="","",'Endrunde 4'!$E16)</f>
        <v/>
      </c>
      <c r="AE16" s="260" t="str">
        <f ca="1">IF($C$19="","",IF('Endrunde 4'!$I16=$C$19,'Endrunde 4'!$K16,IF('Endrunde 4'!$K16=$C$19,'Endrunde 4'!$I16,"")))</f>
        <v/>
      </c>
      <c r="AF16" s="550">
        <f t="shared" ca="1" si="10"/>
        <v>100012</v>
      </c>
      <c r="AG16" s="548">
        <f t="shared" ca="1" si="11"/>
        <v>100015</v>
      </c>
      <c r="AH16" s="549">
        <f ca="1">IF(AJ16="",99999,'Endrunde 4'!$D16)</f>
        <v>99999</v>
      </c>
      <c r="AI16" s="259" t="str">
        <f ca="1">IF(AJ16="","",'Endrunde 4'!$E16)</f>
        <v/>
      </c>
      <c r="AJ16" s="260" t="str">
        <f ca="1">IF($C$24="","",IF('Endrunde 4'!$I16=$C$24,'Endrunde 4'!$K16,IF('Endrunde 4'!$K16=$C$24,'Endrunde 4'!$I16,"")))</f>
        <v/>
      </c>
      <c r="AK16" s="550">
        <f t="shared" ca="1" si="12"/>
        <v>100012</v>
      </c>
      <c r="AL16" s="548">
        <f t="shared" si="13"/>
        <v>100015</v>
      </c>
      <c r="AM16" s="549">
        <f>IF(AO16="",99999,'Endrunde 4'!$D16)</f>
        <v>99999</v>
      </c>
      <c r="AN16" s="259" t="str">
        <f>IF(AO16="","",'Endrunde 4'!$E16)</f>
        <v/>
      </c>
      <c r="AO16" s="260" t="str">
        <f>IF($C$29="","",IF('Endrunde 4'!$I16=$C$29,'Endrunde 4'!$K16,IF('Endrunde 4'!$K16=$C$29,'Endrunde 4'!$I16,"")))</f>
        <v/>
      </c>
      <c r="AP16" s="550">
        <f t="shared" si="14"/>
        <v>100015</v>
      </c>
      <c r="AQ16" s="548">
        <f t="shared" si="15"/>
        <v>100015</v>
      </c>
      <c r="AR16" s="549">
        <f>IF(AT16="",99999,'Endrunde 4'!$D16)</f>
        <v>99999</v>
      </c>
      <c r="AS16" s="259" t="str">
        <f>IF(AT16="","",'Endrunde 4'!$E16)</f>
        <v/>
      </c>
      <c r="AT16" s="260" t="str">
        <f>IF($C$34="","",IF('Endrunde 4'!$I16=$C$34,'Endrunde 4'!$K16,IF('Endrunde 4'!$K16=$C$34,'Endrunde 4'!$I16,"")))</f>
        <v/>
      </c>
      <c r="AU16" s="550">
        <f t="shared" si="16"/>
        <v>100015</v>
      </c>
      <c r="AV16" s="548">
        <f t="shared" si="17"/>
        <v>100015</v>
      </c>
      <c r="AW16" s="549">
        <f>IF(AY16="",99999,'Endrunde 4'!$D16)</f>
        <v>99999</v>
      </c>
      <c r="AX16" s="259" t="str">
        <f>IF(AY16="","",'Endrunde 4'!$E16)</f>
        <v/>
      </c>
      <c r="AY16" s="260" t="str">
        <f>IF($C$39="","",IF('Endrunde 4'!$I16=$C$39,'Endrunde 4'!$K16,IF('Endrunde 4'!$K16=$C$39,'Endrunde 4'!$I16,"")))</f>
        <v/>
      </c>
      <c r="AZ16" s="550">
        <f t="shared" si="18"/>
        <v>100015</v>
      </c>
      <c r="BA16" s="548">
        <f t="shared" si="19"/>
        <v>100015</v>
      </c>
      <c r="BB16" s="549">
        <f>IF(BD16="",99999,'Endrunde 4'!$D16)</f>
        <v>99999</v>
      </c>
      <c r="BC16" s="259" t="str">
        <f>IF(BD16="","",'Endrunde 4'!$E16)</f>
        <v/>
      </c>
      <c r="BD16" s="260" t="str">
        <f>IF($C$44="","",IF('Endrunde 4'!$I16=$C$44,'Endrunde 4'!$K16,IF('Endrunde 4'!$K16=$C$44,'Endrunde 4'!$I16,"")))</f>
        <v/>
      </c>
      <c r="BE16" s="550">
        <f t="shared" si="20"/>
        <v>100015</v>
      </c>
      <c r="BF16" s="548">
        <f t="shared" ca="1" si="21"/>
        <v>100015</v>
      </c>
      <c r="BG16" s="549">
        <f ca="1">IF(BI16="",99999,'Endrunde 4'!$D16)</f>
        <v>99999</v>
      </c>
      <c r="BH16" s="259" t="str">
        <f ca="1">IF(BI16="","",'Endrunde 4'!$E16)</f>
        <v/>
      </c>
      <c r="BI16" s="260" t="str">
        <f ca="1">IF($C$49="","",IF('Endrunde 4'!$I16=$C$49,'Endrunde 4'!$K16,IF('Endrunde 4'!$K16=$C$49,'Endrunde 4'!$I16,"")))</f>
        <v/>
      </c>
      <c r="BJ16" s="550">
        <f t="shared" ca="1" si="22"/>
        <v>100012</v>
      </c>
      <c r="BK16" s="548">
        <f t="shared" ca="1" si="23"/>
        <v>100015</v>
      </c>
      <c r="BL16" s="549">
        <f ca="1">IF(BN16="",99999,'Endrunde 4'!$D16)</f>
        <v>99999</v>
      </c>
      <c r="BM16" s="259" t="str">
        <f ca="1">IF(BN16="","",'Endrunde 4'!$E16)</f>
        <v/>
      </c>
      <c r="BN16" s="260" t="str">
        <f ca="1">IF($C$54="","",IF('Endrunde 4'!$I16=$C$54,'Endrunde 4'!$K16,IF('Endrunde 4'!$K16=$C$54,'Endrunde 4'!$I16,"")))</f>
        <v/>
      </c>
      <c r="BO16" s="550">
        <f t="shared" ca="1" si="24"/>
        <v>100014</v>
      </c>
      <c r="BP16" s="548">
        <f t="shared" ca="1" si="25"/>
        <v>100015</v>
      </c>
      <c r="BQ16" s="549">
        <f ca="1">IF(BS16="",99999,'Endrunde 4'!$D16)</f>
        <v>99999</v>
      </c>
      <c r="BR16" s="259" t="str">
        <f ca="1">IF(BS16="","",'Endrunde 4'!$E16)</f>
        <v/>
      </c>
      <c r="BS16" s="260" t="str">
        <f ca="1">IF($C$59="","",IF('Endrunde 4'!$I16=$C$59,'Endrunde 4'!$K16,IF('Endrunde 4'!$K16=$C$59,'Endrunde 4'!$I16,"")))</f>
        <v/>
      </c>
      <c r="BT16" s="550">
        <f t="shared" ca="1" si="26"/>
        <v>100012</v>
      </c>
      <c r="BU16" s="548">
        <f t="shared" ca="1" si="27"/>
        <v>16.496527777777779</v>
      </c>
      <c r="BV16" s="549">
        <f ca="1">IF(BX16="",99999,'Endrunde 4'!$D16)</f>
        <v>0.49652777777777779</v>
      </c>
      <c r="BW16" s="259">
        <f ca="1">IF(BX16="","",'Endrunde 4'!$E16)</f>
        <v>2</v>
      </c>
      <c r="BX16" s="260" t="str">
        <f ca="1">IF($C$64="","",IF('Endrunde 4'!$I16=$C$64,'Endrunde 4'!$K16,IF('Endrunde 4'!$K16=$C$64,'Endrunde 4'!$I16,"")))</f>
        <v>Eintracht Frankfurt</v>
      </c>
      <c r="BY16" s="550">
        <f t="shared" ca="1" si="28"/>
        <v>100012</v>
      </c>
      <c r="BZ16" s="548">
        <f t="shared" ca="1" si="29"/>
        <v>100015</v>
      </c>
      <c r="CA16" s="549">
        <f ca="1">IF(CC16="",99999,'Endrunde 4'!$D16)</f>
        <v>99999</v>
      </c>
      <c r="CB16" s="259" t="str">
        <f ca="1">IF(CC16="","",'Endrunde 4'!$E16)</f>
        <v/>
      </c>
      <c r="CC16" s="260" t="str">
        <f ca="1">IF($C$69="","",IF('Endrunde 4'!$I16=$C$69,'Endrunde 4'!$K16,IF('Endrunde 4'!$K16=$C$69,'Endrunde 4'!$I16,"")))</f>
        <v/>
      </c>
      <c r="CD16" s="550">
        <f t="shared" ca="1" si="30"/>
        <v>100012</v>
      </c>
      <c r="CE16" s="548">
        <f t="shared" si="31"/>
        <v>100015</v>
      </c>
      <c r="CF16" s="549">
        <f>IF(CH16="",99999,'Endrunde 4'!$D16)</f>
        <v>99999</v>
      </c>
      <c r="CG16" s="259" t="str">
        <f>IF(CH16="","",'Endrunde 4'!$E16)</f>
        <v/>
      </c>
      <c r="CH16" s="260" t="str">
        <f>IF($C$74="","",IF('Endrunde 4'!$I16=$C$74,'Endrunde 4'!$K16,IF('Endrunde 4'!$K16=$C$74,'Endrunde 4'!$I16,"")))</f>
        <v/>
      </c>
      <c r="CI16" s="550">
        <f t="shared" si="32"/>
        <v>100015</v>
      </c>
      <c r="CJ16" s="548">
        <f t="shared" si="33"/>
        <v>100015</v>
      </c>
      <c r="CK16" s="549">
        <f>IF(CM16="",99999,'Endrunde 4'!$D16)</f>
        <v>99999</v>
      </c>
      <c r="CL16" s="259" t="str">
        <f>IF(CM16="","",'Endrunde 4'!$E16)</f>
        <v/>
      </c>
      <c r="CM16" s="260" t="str">
        <f>IF($C$79="","",IF('Endrunde 4'!$I16=$C$79,'Endrunde 4'!$K16,IF('Endrunde 4'!$K16=$C$79,'Endrunde 4'!$I16,"")))</f>
        <v/>
      </c>
      <c r="CN16" s="550">
        <f t="shared" si="34"/>
        <v>100015</v>
      </c>
      <c r="CO16" s="548">
        <f t="shared" si="35"/>
        <v>100015</v>
      </c>
      <c r="CP16" s="549">
        <f>IF(CR16="",99999,'Endrunde 4'!$D16)</f>
        <v>99999</v>
      </c>
      <c r="CQ16" s="259" t="str">
        <f>IF(CR16="","",'Endrunde 4'!$E16)</f>
        <v/>
      </c>
      <c r="CR16" s="260" t="str">
        <f>IF($C$84="","",IF('Endrunde 4'!$I16=$C$84,'Endrunde 4'!$K16,IF('Endrunde 4'!$K16=$C$84,'Endrunde 4'!$I16,"")))</f>
        <v/>
      </c>
      <c r="CS16" s="550">
        <f t="shared" si="36"/>
        <v>100015</v>
      </c>
      <c r="CT16" s="548">
        <f t="shared" si="37"/>
        <v>100015</v>
      </c>
      <c r="CU16" s="549">
        <f>IF(CW16="",99999,'Endrunde 4'!$D16)</f>
        <v>99999</v>
      </c>
      <c r="CV16" s="259" t="str">
        <f>IF(CW16="","",'Endrunde 4'!$E16)</f>
        <v/>
      </c>
      <c r="CW16" s="260" t="str">
        <f>IF($C$89="","",IF('Endrunde 4'!$I16=$C$89,'Endrunde 4'!$K16,IF('Endrunde 4'!$K16=$C$89,'Endrunde 4'!$I16,"")))</f>
        <v/>
      </c>
      <c r="CX16" s="550">
        <f t="shared" si="38"/>
        <v>100015</v>
      </c>
    </row>
    <row r="17" spans="2:102" ht="15.95" customHeight="1" thickBot="1" x14ac:dyDescent="0.25">
      <c r="E17" s="538">
        <f ca="1">IF($AA$14&lt;99999,INDEX($L$12:$L$36,MATCH($AA$14,$W$12:$W$36,0)),"")</f>
        <v>33</v>
      </c>
      <c r="F17" s="539">
        <f ca="1">IF($AA$14&lt;99999,VLOOKUP($AA$14,$W$12:$Z$36,2,0),"")</f>
        <v>0.56944444444444442</v>
      </c>
      <c r="G17" s="540">
        <f ca="1">IF($AA$14&lt;99999,VLOOKUP($AA$14,$W$12:$Z$36,3,0),"")</f>
        <v>1</v>
      </c>
      <c r="H17" s="541" t="str">
        <f ca="1">IF($AA$14&lt;99999,VLOOKUP($AA$14,$W$12:$Z$36,4,0),"")</f>
        <v>Mainz 05</v>
      </c>
      <c r="J17" s="523">
        <f t="shared" ca="1" si="39"/>
        <v>0</v>
      </c>
      <c r="K17" s="523" t="str">
        <f t="shared" ca="1" si="40"/>
        <v/>
      </c>
      <c r="L17" s="150">
        <f ca="1">'Endrunde 4'!$C17</f>
        <v>23</v>
      </c>
      <c r="M17" s="548">
        <f t="shared" ca="1" si="3"/>
        <v>100016</v>
      </c>
      <c r="N17" s="549">
        <f ca="1">IF(P17="",99999,'Endrunde 4'!$D17)</f>
        <v>99999</v>
      </c>
      <c r="O17" s="259" t="str">
        <f ca="1">IF(P17="","",'Endrunde 4'!$E17)</f>
        <v/>
      </c>
      <c r="P17" s="260" t="str">
        <f ca="1">IF($C$4="","",IF('Endrunde 4'!$I17=$C$4,'Endrunde 4'!$K17,IF('Endrunde 4'!$K17=$C$4,'Endrunde 4'!$I17,"")))</f>
        <v/>
      </c>
      <c r="Q17" s="550">
        <f t="shared" ca="1" si="4"/>
        <v>100013</v>
      </c>
      <c r="R17" s="548">
        <f t="shared" ca="1" si="5"/>
        <v>100016</v>
      </c>
      <c r="S17" s="549">
        <f ca="1">IF(U17="",99999,'Endrunde 4'!$D17)</f>
        <v>99999</v>
      </c>
      <c r="T17" s="259" t="str">
        <f ca="1">IF(U17="","",'Endrunde 4'!$E17)</f>
        <v/>
      </c>
      <c r="U17" s="260" t="str">
        <f ca="1">IF($C$9="","",IF('Endrunde 4'!$I17=$C$9,'Endrunde 4'!$K17,IF('Endrunde 4'!$K17=$C$9,'Endrunde 4'!$I17,"")))</f>
        <v/>
      </c>
      <c r="V17" s="550">
        <f t="shared" ca="1" si="6"/>
        <v>100015</v>
      </c>
      <c r="W17" s="548">
        <f t="shared" ca="1" si="7"/>
        <v>100016</v>
      </c>
      <c r="X17" s="549">
        <f ca="1">IF(Z17="",99999,'Endrunde 4'!$D17)</f>
        <v>99999</v>
      </c>
      <c r="Y17" s="259" t="str">
        <f ca="1">IF(Z17="","",'Endrunde 4'!$E17)</f>
        <v/>
      </c>
      <c r="Z17" s="260" t="str">
        <f ca="1">IF($C$14="","",IF('Endrunde 4'!$I17=$C$14,'Endrunde 4'!$K17,IF('Endrunde 4'!$K17=$C$14,'Endrunde 4'!$I17,"")))</f>
        <v/>
      </c>
      <c r="AA17" s="550">
        <f t="shared" ca="1" si="8"/>
        <v>100013</v>
      </c>
      <c r="AB17" s="548">
        <f t="shared" ca="1" si="9"/>
        <v>100016</v>
      </c>
      <c r="AC17" s="549">
        <f ca="1">IF(AE17="",99999,'Endrunde 4'!$D17)</f>
        <v>99999</v>
      </c>
      <c r="AD17" s="259" t="str">
        <f ca="1">IF(AE17="","",'Endrunde 4'!$E17)</f>
        <v/>
      </c>
      <c r="AE17" s="260" t="str">
        <f ca="1">IF($C$19="","",IF('Endrunde 4'!$I17=$C$19,'Endrunde 4'!$K17,IF('Endrunde 4'!$K17=$C$19,'Endrunde 4'!$I17,"")))</f>
        <v/>
      </c>
      <c r="AF17" s="550">
        <f t="shared" ca="1" si="10"/>
        <v>100013</v>
      </c>
      <c r="AG17" s="548">
        <f t="shared" ca="1" si="11"/>
        <v>100016</v>
      </c>
      <c r="AH17" s="549">
        <f ca="1">IF(AJ17="",99999,'Endrunde 4'!$D17)</f>
        <v>99999</v>
      </c>
      <c r="AI17" s="259" t="str">
        <f ca="1">IF(AJ17="","",'Endrunde 4'!$E17)</f>
        <v/>
      </c>
      <c r="AJ17" s="260" t="str">
        <f ca="1">IF($C$24="","",IF('Endrunde 4'!$I17=$C$24,'Endrunde 4'!$K17,IF('Endrunde 4'!$K17=$C$24,'Endrunde 4'!$I17,"")))</f>
        <v/>
      </c>
      <c r="AK17" s="550">
        <f t="shared" ca="1" si="12"/>
        <v>100013</v>
      </c>
      <c r="AL17" s="548">
        <f t="shared" si="13"/>
        <v>100016</v>
      </c>
      <c r="AM17" s="549">
        <f>IF(AO17="",99999,'Endrunde 4'!$D17)</f>
        <v>99999</v>
      </c>
      <c r="AN17" s="259" t="str">
        <f>IF(AO17="","",'Endrunde 4'!$E17)</f>
        <v/>
      </c>
      <c r="AO17" s="260" t="str">
        <f>IF($C$29="","",IF('Endrunde 4'!$I17=$C$29,'Endrunde 4'!$K17,IF('Endrunde 4'!$K17=$C$29,'Endrunde 4'!$I17,"")))</f>
        <v/>
      </c>
      <c r="AP17" s="550">
        <f t="shared" si="14"/>
        <v>100016</v>
      </c>
      <c r="AQ17" s="548">
        <f t="shared" si="15"/>
        <v>100016</v>
      </c>
      <c r="AR17" s="549">
        <f>IF(AT17="",99999,'Endrunde 4'!$D17)</f>
        <v>99999</v>
      </c>
      <c r="AS17" s="259" t="str">
        <f>IF(AT17="","",'Endrunde 4'!$E17)</f>
        <v/>
      </c>
      <c r="AT17" s="260" t="str">
        <f>IF($C$34="","",IF('Endrunde 4'!$I17=$C$34,'Endrunde 4'!$K17,IF('Endrunde 4'!$K17=$C$34,'Endrunde 4'!$I17,"")))</f>
        <v/>
      </c>
      <c r="AU17" s="550">
        <f t="shared" si="16"/>
        <v>100016</v>
      </c>
      <c r="AV17" s="548">
        <f t="shared" si="17"/>
        <v>100016</v>
      </c>
      <c r="AW17" s="549">
        <f>IF(AY17="",99999,'Endrunde 4'!$D17)</f>
        <v>99999</v>
      </c>
      <c r="AX17" s="259" t="str">
        <f>IF(AY17="","",'Endrunde 4'!$E17)</f>
        <v/>
      </c>
      <c r="AY17" s="260" t="str">
        <f>IF($C$39="","",IF('Endrunde 4'!$I17=$C$39,'Endrunde 4'!$K17,IF('Endrunde 4'!$K17=$C$39,'Endrunde 4'!$I17,"")))</f>
        <v/>
      </c>
      <c r="AZ17" s="550">
        <f t="shared" si="18"/>
        <v>100016</v>
      </c>
      <c r="BA17" s="548">
        <f t="shared" si="19"/>
        <v>100016</v>
      </c>
      <c r="BB17" s="549">
        <f>IF(BD17="",99999,'Endrunde 4'!$D17)</f>
        <v>99999</v>
      </c>
      <c r="BC17" s="259" t="str">
        <f>IF(BD17="","",'Endrunde 4'!$E17)</f>
        <v/>
      </c>
      <c r="BD17" s="260" t="str">
        <f>IF($C$44="","",IF('Endrunde 4'!$I17=$C$44,'Endrunde 4'!$K17,IF('Endrunde 4'!$K17=$C$44,'Endrunde 4'!$I17,"")))</f>
        <v/>
      </c>
      <c r="BE17" s="550">
        <f t="shared" si="20"/>
        <v>100016</v>
      </c>
      <c r="BF17" s="548">
        <f t="shared" ca="1" si="21"/>
        <v>100016</v>
      </c>
      <c r="BG17" s="549">
        <f ca="1">IF(BI17="",99999,'Endrunde 4'!$D17)</f>
        <v>99999</v>
      </c>
      <c r="BH17" s="259" t="str">
        <f ca="1">IF(BI17="","",'Endrunde 4'!$E17)</f>
        <v/>
      </c>
      <c r="BI17" s="260" t="str">
        <f ca="1">IF($C$49="","",IF('Endrunde 4'!$I17=$C$49,'Endrunde 4'!$K17,IF('Endrunde 4'!$K17=$C$49,'Endrunde 4'!$I17,"")))</f>
        <v/>
      </c>
      <c r="BJ17" s="550">
        <f t="shared" ca="1" si="22"/>
        <v>100013</v>
      </c>
      <c r="BK17" s="548">
        <f t="shared" ca="1" si="23"/>
        <v>100016</v>
      </c>
      <c r="BL17" s="549">
        <f ca="1">IF(BN17="",99999,'Endrunde 4'!$D17)</f>
        <v>99999</v>
      </c>
      <c r="BM17" s="259" t="str">
        <f ca="1">IF(BN17="","",'Endrunde 4'!$E17)</f>
        <v/>
      </c>
      <c r="BN17" s="260" t="str">
        <f ca="1">IF($C$54="","",IF('Endrunde 4'!$I17=$C$54,'Endrunde 4'!$K17,IF('Endrunde 4'!$K17=$C$54,'Endrunde 4'!$I17,"")))</f>
        <v/>
      </c>
      <c r="BO17" s="550">
        <f t="shared" ca="1" si="24"/>
        <v>100015</v>
      </c>
      <c r="BP17" s="548">
        <f t="shared" ca="1" si="25"/>
        <v>100016</v>
      </c>
      <c r="BQ17" s="549">
        <f ca="1">IF(BS17="",99999,'Endrunde 4'!$D17)</f>
        <v>99999</v>
      </c>
      <c r="BR17" s="259" t="str">
        <f ca="1">IF(BS17="","",'Endrunde 4'!$E17)</f>
        <v/>
      </c>
      <c r="BS17" s="260" t="str">
        <f ca="1">IF($C$59="","",IF('Endrunde 4'!$I17=$C$59,'Endrunde 4'!$K17,IF('Endrunde 4'!$K17=$C$59,'Endrunde 4'!$I17,"")))</f>
        <v/>
      </c>
      <c r="BT17" s="550">
        <f t="shared" ca="1" si="26"/>
        <v>100013</v>
      </c>
      <c r="BU17" s="548">
        <f t="shared" ca="1" si="27"/>
        <v>100016</v>
      </c>
      <c r="BV17" s="549">
        <f ca="1">IF(BX17="",99999,'Endrunde 4'!$D17)</f>
        <v>99999</v>
      </c>
      <c r="BW17" s="259" t="str">
        <f ca="1">IF(BX17="","",'Endrunde 4'!$E17)</f>
        <v/>
      </c>
      <c r="BX17" s="260" t="str">
        <f ca="1">IF($C$64="","",IF('Endrunde 4'!$I17=$C$64,'Endrunde 4'!$K17,IF('Endrunde 4'!$K17=$C$64,'Endrunde 4'!$I17,"")))</f>
        <v/>
      </c>
      <c r="BY17" s="550">
        <f t="shared" ca="1" si="28"/>
        <v>100013</v>
      </c>
      <c r="BZ17" s="548">
        <f t="shared" ca="1" si="29"/>
        <v>100016</v>
      </c>
      <c r="CA17" s="549">
        <f ca="1">IF(CC17="",99999,'Endrunde 4'!$D17)</f>
        <v>99999</v>
      </c>
      <c r="CB17" s="259" t="str">
        <f ca="1">IF(CC17="","",'Endrunde 4'!$E17)</f>
        <v/>
      </c>
      <c r="CC17" s="260" t="str">
        <f ca="1">IF($C$69="","",IF('Endrunde 4'!$I17=$C$69,'Endrunde 4'!$K17,IF('Endrunde 4'!$K17=$C$69,'Endrunde 4'!$I17,"")))</f>
        <v/>
      </c>
      <c r="CD17" s="550">
        <f t="shared" ca="1" si="30"/>
        <v>100013</v>
      </c>
      <c r="CE17" s="548">
        <f t="shared" si="31"/>
        <v>100016</v>
      </c>
      <c r="CF17" s="549">
        <f>IF(CH17="",99999,'Endrunde 4'!$D17)</f>
        <v>99999</v>
      </c>
      <c r="CG17" s="259" t="str">
        <f>IF(CH17="","",'Endrunde 4'!$E17)</f>
        <v/>
      </c>
      <c r="CH17" s="260" t="str">
        <f>IF($C$74="","",IF('Endrunde 4'!$I17=$C$74,'Endrunde 4'!$K17,IF('Endrunde 4'!$K17=$C$74,'Endrunde 4'!$I17,"")))</f>
        <v/>
      </c>
      <c r="CI17" s="550">
        <f t="shared" si="32"/>
        <v>100016</v>
      </c>
      <c r="CJ17" s="548">
        <f t="shared" si="33"/>
        <v>100016</v>
      </c>
      <c r="CK17" s="549">
        <f>IF(CM17="",99999,'Endrunde 4'!$D17)</f>
        <v>99999</v>
      </c>
      <c r="CL17" s="259" t="str">
        <f>IF(CM17="","",'Endrunde 4'!$E17)</f>
        <v/>
      </c>
      <c r="CM17" s="260" t="str">
        <f>IF($C$79="","",IF('Endrunde 4'!$I17=$C$79,'Endrunde 4'!$K17,IF('Endrunde 4'!$K17=$C$79,'Endrunde 4'!$I17,"")))</f>
        <v/>
      </c>
      <c r="CN17" s="550">
        <f t="shared" si="34"/>
        <v>100016</v>
      </c>
      <c r="CO17" s="548">
        <f t="shared" si="35"/>
        <v>100016</v>
      </c>
      <c r="CP17" s="549">
        <f>IF(CR17="",99999,'Endrunde 4'!$D17)</f>
        <v>99999</v>
      </c>
      <c r="CQ17" s="259" t="str">
        <f>IF(CR17="","",'Endrunde 4'!$E17)</f>
        <v/>
      </c>
      <c r="CR17" s="260" t="str">
        <f>IF($C$84="","",IF('Endrunde 4'!$I17=$C$84,'Endrunde 4'!$K17,IF('Endrunde 4'!$K17=$C$84,'Endrunde 4'!$I17,"")))</f>
        <v/>
      </c>
      <c r="CS17" s="550">
        <f t="shared" si="36"/>
        <v>100016</v>
      </c>
      <c r="CT17" s="548">
        <f t="shared" si="37"/>
        <v>100016</v>
      </c>
      <c r="CU17" s="549">
        <f>IF(CW17="",99999,'Endrunde 4'!$D17)</f>
        <v>99999</v>
      </c>
      <c r="CV17" s="259" t="str">
        <f>IF(CW17="","",'Endrunde 4'!$E17)</f>
        <v/>
      </c>
      <c r="CW17" s="260" t="str">
        <f>IF($C$89="","",IF('Endrunde 4'!$I17=$C$89,'Endrunde 4'!$K17,IF('Endrunde 4'!$K17=$C$89,'Endrunde 4'!$I17,"")))</f>
        <v/>
      </c>
      <c r="CX17" s="550">
        <f t="shared" si="38"/>
        <v>100016</v>
      </c>
    </row>
    <row r="18" spans="2:102" ht="30" customHeight="1" thickBot="1" x14ac:dyDescent="0.25">
      <c r="J18" s="523">
        <f t="shared" ca="1" si="39"/>
        <v>0</v>
      </c>
      <c r="L18" s="150">
        <f ca="1">'Endrunde 4'!$C18</f>
        <v>23</v>
      </c>
      <c r="M18" s="548">
        <f t="shared" ca="1" si="3"/>
        <v>100017</v>
      </c>
      <c r="N18" s="549">
        <f ca="1">IF(P18="",99999,'Endrunde 4'!$D18)</f>
        <v>99999</v>
      </c>
      <c r="O18" s="259" t="str">
        <f ca="1">IF(P18="","",'Endrunde 4'!$E18)</f>
        <v/>
      </c>
      <c r="P18" s="260" t="str">
        <f ca="1">IF($C$4="","",IF('Endrunde 4'!$I18=$C$4,'Endrunde 4'!$K18,IF('Endrunde 4'!$K18=$C$4,'Endrunde 4'!$I18,"")))</f>
        <v/>
      </c>
      <c r="Q18" s="550">
        <f t="shared" ca="1" si="4"/>
        <v>100014</v>
      </c>
      <c r="R18" s="548">
        <f t="shared" ca="1" si="5"/>
        <v>100017</v>
      </c>
      <c r="S18" s="549">
        <f ca="1">IF(U18="",99999,'Endrunde 4'!$D18)</f>
        <v>99999</v>
      </c>
      <c r="T18" s="259" t="str">
        <f ca="1">IF(U18="","",'Endrunde 4'!$E18)</f>
        <v/>
      </c>
      <c r="U18" s="260" t="str">
        <f ca="1">IF($C$9="","",IF('Endrunde 4'!$I18=$C$9,'Endrunde 4'!$K18,IF('Endrunde 4'!$K18=$C$9,'Endrunde 4'!$I18,"")))</f>
        <v/>
      </c>
      <c r="V18" s="550">
        <f t="shared" ca="1" si="6"/>
        <v>100016</v>
      </c>
      <c r="W18" s="548">
        <f t="shared" ca="1" si="7"/>
        <v>100017</v>
      </c>
      <c r="X18" s="549">
        <f ca="1">IF(Z18="",99999,'Endrunde 4'!$D18)</f>
        <v>99999</v>
      </c>
      <c r="Y18" s="259" t="str">
        <f ca="1">IF(Z18="","",'Endrunde 4'!$E18)</f>
        <v/>
      </c>
      <c r="Z18" s="260" t="str">
        <f ca="1">IF($C$14="","",IF('Endrunde 4'!$I18=$C$14,'Endrunde 4'!$K18,IF('Endrunde 4'!$K18=$C$14,'Endrunde 4'!$I18,"")))</f>
        <v/>
      </c>
      <c r="AA18" s="550">
        <f t="shared" ca="1" si="8"/>
        <v>100014</v>
      </c>
      <c r="AB18" s="548">
        <f t="shared" ca="1" si="9"/>
        <v>100017</v>
      </c>
      <c r="AC18" s="549">
        <f ca="1">IF(AE18="",99999,'Endrunde 4'!$D18)</f>
        <v>99999</v>
      </c>
      <c r="AD18" s="259" t="str">
        <f ca="1">IF(AE18="","",'Endrunde 4'!$E18)</f>
        <v/>
      </c>
      <c r="AE18" s="260" t="str">
        <f ca="1">IF($C$19="","",IF('Endrunde 4'!$I18=$C$19,'Endrunde 4'!$K18,IF('Endrunde 4'!$K18=$C$19,'Endrunde 4'!$I18,"")))</f>
        <v/>
      </c>
      <c r="AF18" s="550">
        <f t="shared" ca="1" si="10"/>
        <v>100014</v>
      </c>
      <c r="AG18" s="548">
        <f t="shared" ca="1" si="11"/>
        <v>100017</v>
      </c>
      <c r="AH18" s="549">
        <f ca="1">IF(AJ18="",99999,'Endrunde 4'!$D18)</f>
        <v>99999</v>
      </c>
      <c r="AI18" s="259" t="str">
        <f ca="1">IF(AJ18="","",'Endrunde 4'!$E18)</f>
        <v/>
      </c>
      <c r="AJ18" s="260" t="str">
        <f ca="1">IF($C$24="","",IF('Endrunde 4'!$I18=$C$24,'Endrunde 4'!$K18,IF('Endrunde 4'!$K18=$C$24,'Endrunde 4'!$I18,"")))</f>
        <v/>
      </c>
      <c r="AK18" s="550">
        <f t="shared" ca="1" si="12"/>
        <v>100015</v>
      </c>
      <c r="AL18" s="548">
        <f t="shared" si="13"/>
        <v>100017</v>
      </c>
      <c r="AM18" s="549">
        <f>IF(AO18="",99999,'Endrunde 4'!$D18)</f>
        <v>99999</v>
      </c>
      <c r="AN18" s="259" t="str">
        <f>IF(AO18="","",'Endrunde 4'!$E18)</f>
        <v/>
      </c>
      <c r="AO18" s="260" t="str">
        <f>IF($C$29="","",IF('Endrunde 4'!$I18=$C$29,'Endrunde 4'!$K18,IF('Endrunde 4'!$K18=$C$29,'Endrunde 4'!$I18,"")))</f>
        <v/>
      </c>
      <c r="AP18" s="550">
        <f t="shared" si="14"/>
        <v>100017</v>
      </c>
      <c r="AQ18" s="548">
        <f t="shared" si="15"/>
        <v>100017</v>
      </c>
      <c r="AR18" s="549">
        <f>IF(AT18="",99999,'Endrunde 4'!$D18)</f>
        <v>99999</v>
      </c>
      <c r="AS18" s="259" t="str">
        <f>IF(AT18="","",'Endrunde 4'!$E18)</f>
        <v/>
      </c>
      <c r="AT18" s="260" t="str">
        <f>IF($C$34="","",IF('Endrunde 4'!$I18=$C$34,'Endrunde 4'!$K18,IF('Endrunde 4'!$K18=$C$34,'Endrunde 4'!$I18,"")))</f>
        <v/>
      </c>
      <c r="AU18" s="550">
        <f t="shared" si="16"/>
        <v>100017</v>
      </c>
      <c r="AV18" s="548">
        <f t="shared" si="17"/>
        <v>100017</v>
      </c>
      <c r="AW18" s="549">
        <f>IF(AY18="",99999,'Endrunde 4'!$D18)</f>
        <v>99999</v>
      </c>
      <c r="AX18" s="259" t="str">
        <f>IF(AY18="","",'Endrunde 4'!$E18)</f>
        <v/>
      </c>
      <c r="AY18" s="260" t="str">
        <f>IF($C$39="","",IF('Endrunde 4'!$I18=$C$39,'Endrunde 4'!$K18,IF('Endrunde 4'!$K18=$C$39,'Endrunde 4'!$I18,"")))</f>
        <v/>
      </c>
      <c r="AZ18" s="550">
        <f t="shared" si="18"/>
        <v>100017</v>
      </c>
      <c r="BA18" s="548">
        <f t="shared" si="19"/>
        <v>100017</v>
      </c>
      <c r="BB18" s="549">
        <f>IF(BD18="",99999,'Endrunde 4'!$D18)</f>
        <v>99999</v>
      </c>
      <c r="BC18" s="259" t="str">
        <f>IF(BD18="","",'Endrunde 4'!$E18)</f>
        <v/>
      </c>
      <c r="BD18" s="260" t="str">
        <f>IF($C$44="","",IF('Endrunde 4'!$I18=$C$44,'Endrunde 4'!$K18,IF('Endrunde 4'!$K18=$C$44,'Endrunde 4'!$I18,"")))</f>
        <v/>
      </c>
      <c r="BE18" s="550">
        <f t="shared" si="20"/>
        <v>100017</v>
      </c>
      <c r="BF18" s="548">
        <f t="shared" ca="1" si="21"/>
        <v>100017</v>
      </c>
      <c r="BG18" s="549">
        <f ca="1">IF(BI18="",99999,'Endrunde 4'!$D18)</f>
        <v>99999</v>
      </c>
      <c r="BH18" s="259" t="str">
        <f ca="1">IF(BI18="","",'Endrunde 4'!$E18)</f>
        <v/>
      </c>
      <c r="BI18" s="260" t="str">
        <f ca="1">IF($C$49="","",IF('Endrunde 4'!$I18=$C$49,'Endrunde 4'!$K18,IF('Endrunde 4'!$K18=$C$49,'Endrunde 4'!$I18,"")))</f>
        <v/>
      </c>
      <c r="BJ18" s="550">
        <f t="shared" ca="1" si="22"/>
        <v>100014</v>
      </c>
      <c r="BK18" s="548">
        <f t="shared" ca="1" si="23"/>
        <v>100017</v>
      </c>
      <c r="BL18" s="549">
        <f ca="1">IF(BN18="",99999,'Endrunde 4'!$D18)</f>
        <v>99999</v>
      </c>
      <c r="BM18" s="259" t="str">
        <f ca="1">IF(BN18="","",'Endrunde 4'!$E18)</f>
        <v/>
      </c>
      <c r="BN18" s="260" t="str">
        <f ca="1">IF($C$54="","",IF('Endrunde 4'!$I18=$C$54,'Endrunde 4'!$K18,IF('Endrunde 4'!$K18=$C$54,'Endrunde 4'!$I18,"")))</f>
        <v/>
      </c>
      <c r="BO18" s="550">
        <f t="shared" ca="1" si="24"/>
        <v>100016</v>
      </c>
      <c r="BP18" s="548">
        <f t="shared" ca="1" si="25"/>
        <v>100017</v>
      </c>
      <c r="BQ18" s="549">
        <f ca="1">IF(BS18="",99999,'Endrunde 4'!$D18)</f>
        <v>99999</v>
      </c>
      <c r="BR18" s="259" t="str">
        <f ca="1">IF(BS18="","",'Endrunde 4'!$E18)</f>
        <v/>
      </c>
      <c r="BS18" s="260" t="str">
        <f ca="1">IF($C$59="","",IF('Endrunde 4'!$I18=$C$59,'Endrunde 4'!$K18,IF('Endrunde 4'!$K18=$C$59,'Endrunde 4'!$I18,"")))</f>
        <v/>
      </c>
      <c r="BT18" s="550">
        <f t="shared" ca="1" si="26"/>
        <v>100015</v>
      </c>
      <c r="BU18" s="548">
        <f t="shared" ca="1" si="27"/>
        <v>100017</v>
      </c>
      <c r="BV18" s="549">
        <f ca="1">IF(BX18="",99999,'Endrunde 4'!$D18)</f>
        <v>99999</v>
      </c>
      <c r="BW18" s="259" t="str">
        <f ca="1">IF(BX18="","",'Endrunde 4'!$E18)</f>
        <v/>
      </c>
      <c r="BX18" s="260" t="str">
        <f ca="1">IF($C$64="","",IF('Endrunde 4'!$I18=$C$64,'Endrunde 4'!$K18,IF('Endrunde 4'!$K18=$C$64,'Endrunde 4'!$I18,"")))</f>
        <v/>
      </c>
      <c r="BY18" s="550">
        <f t="shared" ca="1" si="28"/>
        <v>100014</v>
      </c>
      <c r="BZ18" s="548">
        <f t="shared" ca="1" si="29"/>
        <v>100017</v>
      </c>
      <c r="CA18" s="549">
        <f ca="1">IF(CC18="",99999,'Endrunde 4'!$D18)</f>
        <v>99999</v>
      </c>
      <c r="CB18" s="259" t="str">
        <f ca="1">IF(CC18="","",'Endrunde 4'!$E18)</f>
        <v/>
      </c>
      <c r="CC18" s="260" t="str">
        <f ca="1">IF($C$69="","",IF('Endrunde 4'!$I18=$C$69,'Endrunde 4'!$K18,IF('Endrunde 4'!$K18=$C$69,'Endrunde 4'!$I18,"")))</f>
        <v/>
      </c>
      <c r="CD18" s="550">
        <f t="shared" ca="1" si="30"/>
        <v>100014</v>
      </c>
      <c r="CE18" s="548">
        <f t="shared" si="31"/>
        <v>100017</v>
      </c>
      <c r="CF18" s="549">
        <f>IF(CH18="",99999,'Endrunde 4'!$D18)</f>
        <v>99999</v>
      </c>
      <c r="CG18" s="259" t="str">
        <f>IF(CH18="","",'Endrunde 4'!$E18)</f>
        <v/>
      </c>
      <c r="CH18" s="260" t="str">
        <f>IF($C$74="","",IF('Endrunde 4'!$I18=$C$74,'Endrunde 4'!$K18,IF('Endrunde 4'!$K18=$C$74,'Endrunde 4'!$I18,"")))</f>
        <v/>
      </c>
      <c r="CI18" s="550">
        <f t="shared" si="32"/>
        <v>100017</v>
      </c>
      <c r="CJ18" s="548">
        <f t="shared" si="33"/>
        <v>100017</v>
      </c>
      <c r="CK18" s="549">
        <f>IF(CM18="",99999,'Endrunde 4'!$D18)</f>
        <v>99999</v>
      </c>
      <c r="CL18" s="259" t="str">
        <f>IF(CM18="","",'Endrunde 4'!$E18)</f>
        <v/>
      </c>
      <c r="CM18" s="260" t="str">
        <f>IF($C$79="","",IF('Endrunde 4'!$I18=$C$79,'Endrunde 4'!$K18,IF('Endrunde 4'!$K18=$C$79,'Endrunde 4'!$I18,"")))</f>
        <v/>
      </c>
      <c r="CN18" s="550">
        <f t="shared" si="34"/>
        <v>100017</v>
      </c>
      <c r="CO18" s="548">
        <f t="shared" si="35"/>
        <v>100017</v>
      </c>
      <c r="CP18" s="549">
        <f>IF(CR18="",99999,'Endrunde 4'!$D18)</f>
        <v>99999</v>
      </c>
      <c r="CQ18" s="259" t="str">
        <f>IF(CR18="","",'Endrunde 4'!$E18)</f>
        <v/>
      </c>
      <c r="CR18" s="260" t="str">
        <f>IF($C$84="","",IF('Endrunde 4'!$I18=$C$84,'Endrunde 4'!$K18,IF('Endrunde 4'!$K18=$C$84,'Endrunde 4'!$I18,"")))</f>
        <v/>
      </c>
      <c r="CS18" s="550">
        <f t="shared" si="36"/>
        <v>100017</v>
      </c>
      <c r="CT18" s="548">
        <f t="shared" si="37"/>
        <v>100017</v>
      </c>
      <c r="CU18" s="549">
        <f>IF(CW18="",99999,'Endrunde 4'!$D18)</f>
        <v>99999</v>
      </c>
      <c r="CV18" s="259" t="str">
        <f>IF(CW18="","",'Endrunde 4'!$E18)</f>
        <v/>
      </c>
      <c r="CW18" s="260" t="str">
        <f>IF($C$89="","",IF('Endrunde 4'!$I18=$C$89,'Endrunde 4'!$K18,IF('Endrunde 4'!$K18=$C$89,'Endrunde 4'!$I18,"")))</f>
        <v/>
      </c>
      <c r="CX18" s="550">
        <f t="shared" si="38"/>
        <v>100017</v>
      </c>
    </row>
    <row r="19" spans="2:102" ht="15.95" customHeight="1" x14ac:dyDescent="0.2">
      <c r="B19" s="525" t="s">
        <v>199</v>
      </c>
      <c r="C19" s="526" t="str">
        <f>IF(Planung!$C$13="","",Planung!$C$13)</f>
        <v>Maibach 1822 eV</v>
      </c>
      <c r="E19" s="527" t="str">
        <f>Sprache!$E$69</f>
        <v>Spiel Nr.</v>
      </c>
      <c r="F19" s="528" t="str">
        <f>Sprache!$E$39</f>
        <v>Beginn</v>
      </c>
      <c r="G19" s="529" t="str">
        <f>Sprache!$E$48</f>
        <v>Feld</v>
      </c>
      <c r="H19" s="530" t="str">
        <f>Sprache!$E$46</f>
        <v>Spiel gegen</v>
      </c>
      <c r="J19" s="523">
        <f t="shared" ca="1" si="39"/>
        <v>0</v>
      </c>
      <c r="L19" s="150">
        <f ca="1">'Endrunde 4'!$C19</f>
        <v>23</v>
      </c>
      <c r="M19" s="548">
        <f t="shared" ca="1" si="3"/>
        <v>19.496527777777779</v>
      </c>
      <c r="N19" s="549">
        <f ca="1">IF(P19="",99999,'Endrunde 4'!$D19)</f>
        <v>0.49652777777777779</v>
      </c>
      <c r="O19" s="259">
        <f ca="1">IF(P19="","",'Endrunde 4'!$E19)</f>
        <v>3</v>
      </c>
      <c r="P19" s="260" t="str">
        <f ca="1">IF($C$4="","",IF('Endrunde 4'!$I19=$C$4,'Endrunde 4'!$K19,IF('Endrunde 4'!$K19=$C$4,'Endrunde 4'!$I19,"")))</f>
        <v>FC Grönlingen</v>
      </c>
      <c r="Q19" s="550">
        <f t="shared" ca="1" si="4"/>
        <v>100015</v>
      </c>
      <c r="R19" s="548">
        <f t="shared" ca="1" si="5"/>
        <v>100018</v>
      </c>
      <c r="S19" s="549">
        <f ca="1">IF(U19="",99999,'Endrunde 4'!$D19)</f>
        <v>99999</v>
      </c>
      <c r="T19" s="259" t="str">
        <f ca="1">IF(U19="","",'Endrunde 4'!$E19)</f>
        <v/>
      </c>
      <c r="U19" s="260" t="str">
        <f ca="1">IF($C$9="","",IF('Endrunde 4'!$I19=$C$9,'Endrunde 4'!$K19,IF('Endrunde 4'!$K19=$C$9,'Endrunde 4'!$I19,"")))</f>
        <v/>
      </c>
      <c r="V19" s="550">
        <f t="shared" ca="1" si="6"/>
        <v>100017</v>
      </c>
      <c r="W19" s="548">
        <f t="shared" ca="1" si="7"/>
        <v>100018</v>
      </c>
      <c r="X19" s="549">
        <f ca="1">IF(Z19="",99999,'Endrunde 4'!$D19)</f>
        <v>99999</v>
      </c>
      <c r="Y19" s="259" t="str">
        <f ca="1">IF(Z19="","",'Endrunde 4'!$E19)</f>
        <v/>
      </c>
      <c r="Z19" s="260" t="str">
        <f ca="1">IF($C$14="","",IF('Endrunde 4'!$I19=$C$14,'Endrunde 4'!$K19,IF('Endrunde 4'!$K19=$C$14,'Endrunde 4'!$I19,"")))</f>
        <v/>
      </c>
      <c r="AA19" s="550">
        <f t="shared" ca="1" si="8"/>
        <v>100016</v>
      </c>
      <c r="AB19" s="548">
        <f t="shared" ca="1" si="9"/>
        <v>100018</v>
      </c>
      <c r="AC19" s="549">
        <f ca="1">IF(AE19="",99999,'Endrunde 4'!$D19)</f>
        <v>99999</v>
      </c>
      <c r="AD19" s="259" t="str">
        <f ca="1">IF(AE19="","",'Endrunde 4'!$E19)</f>
        <v/>
      </c>
      <c r="AE19" s="260" t="str">
        <f ca="1">IF($C$19="","",IF('Endrunde 4'!$I19=$C$19,'Endrunde 4'!$K19,IF('Endrunde 4'!$K19=$C$19,'Endrunde 4'!$I19,"")))</f>
        <v/>
      </c>
      <c r="AF19" s="550">
        <f t="shared" ca="1" si="10"/>
        <v>100015</v>
      </c>
      <c r="AG19" s="548">
        <f t="shared" ca="1" si="11"/>
        <v>100018</v>
      </c>
      <c r="AH19" s="549">
        <f ca="1">IF(AJ19="",99999,'Endrunde 4'!$D19)</f>
        <v>99999</v>
      </c>
      <c r="AI19" s="259" t="str">
        <f ca="1">IF(AJ19="","",'Endrunde 4'!$E19)</f>
        <v/>
      </c>
      <c r="AJ19" s="260" t="str">
        <f ca="1">IF($C$24="","",IF('Endrunde 4'!$I19=$C$24,'Endrunde 4'!$K19,IF('Endrunde 4'!$K19=$C$24,'Endrunde 4'!$I19,"")))</f>
        <v/>
      </c>
      <c r="AK19" s="550">
        <f t="shared" ca="1" si="12"/>
        <v>100016</v>
      </c>
      <c r="AL19" s="548">
        <f t="shared" si="13"/>
        <v>100018</v>
      </c>
      <c r="AM19" s="549">
        <f>IF(AO19="",99999,'Endrunde 4'!$D19)</f>
        <v>99999</v>
      </c>
      <c r="AN19" s="259" t="str">
        <f>IF(AO19="","",'Endrunde 4'!$E19)</f>
        <v/>
      </c>
      <c r="AO19" s="260" t="str">
        <f>IF($C$29="","",IF('Endrunde 4'!$I19=$C$29,'Endrunde 4'!$K19,IF('Endrunde 4'!$K19=$C$29,'Endrunde 4'!$I19,"")))</f>
        <v/>
      </c>
      <c r="AP19" s="550">
        <f t="shared" si="14"/>
        <v>100018</v>
      </c>
      <c r="AQ19" s="548">
        <f t="shared" si="15"/>
        <v>100018</v>
      </c>
      <c r="AR19" s="549">
        <f>IF(AT19="",99999,'Endrunde 4'!$D19)</f>
        <v>99999</v>
      </c>
      <c r="AS19" s="259" t="str">
        <f>IF(AT19="","",'Endrunde 4'!$E19)</f>
        <v/>
      </c>
      <c r="AT19" s="260" t="str">
        <f>IF($C$34="","",IF('Endrunde 4'!$I19=$C$34,'Endrunde 4'!$K19,IF('Endrunde 4'!$K19=$C$34,'Endrunde 4'!$I19,"")))</f>
        <v/>
      </c>
      <c r="AU19" s="550">
        <f t="shared" si="16"/>
        <v>100018</v>
      </c>
      <c r="AV19" s="548">
        <f t="shared" si="17"/>
        <v>100018</v>
      </c>
      <c r="AW19" s="549">
        <f>IF(AY19="",99999,'Endrunde 4'!$D19)</f>
        <v>99999</v>
      </c>
      <c r="AX19" s="259" t="str">
        <f>IF(AY19="","",'Endrunde 4'!$E19)</f>
        <v/>
      </c>
      <c r="AY19" s="260" t="str">
        <f>IF($C$39="","",IF('Endrunde 4'!$I19=$C$39,'Endrunde 4'!$K19,IF('Endrunde 4'!$K19=$C$39,'Endrunde 4'!$I19,"")))</f>
        <v/>
      </c>
      <c r="AZ19" s="550">
        <f t="shared" si="18"/>
        <v>100018</v>
      </c>
      <c r="BA19" s="548">
        <f t="shared" si="19"/>
        <v>100018</v>
      </c>
      <c r="BB19" s="549">
        <f>IF(BD19="",99999,'Endrunde 4'!$D19)</f>
        <v>99999</v>
      </c>
      <c r="BC19" s="259" t="str">
        <f>IF(BD19="","",'Endrunde 4'!$E19)</f>
        <v/>
      </c>
      <c r="BD19" s="260" t="str">
        <f>IF($C$44="","",IF('Endrunde 4'!$I19=$C$44,'Endrunde 4'!$K19,IF('Endrunde 4'!$K19=$C$44,'Endrunde 4'!$I19,"")))</f>
        <v/>
      </c>
      <c r="BE19" s="550">
        <f t="shared" si="20"/>
        <v>100018</v>
      </c>
      <c r="BF19" s="548">
        <f t="shared" ca="1" si="21"/>
        <v>100018</v>
      </c>
      <c r="BG19" s="549">
        <f ca="1">IF(BI19="",99999,'Endrunde 4'!$D19)</f>
        <v>99999</v>
      </c>
      <c r="BH19" s="259" t="str">
        <f ca="1">IF(BI19="","",'Endrunde 4'!$E19)</f>
        <v/>
      </c>
      <c r="BI19" s="260" t="str">
        <f ca="1">IF($C$49="","",IF('Endrunde 4'!$I19=$C$49,'Endrunde 4'!$K19,IF('Endrunde 4'!$K19=$C$49,'Endrunde 4'!$I19,"")))</f>
        <v/>
      </c>
      <c r="BJ19" s="550">
        <f t="shared" ca="1" si="22"/>
        <v>100015</v>
      </c>
      <c r="BK19" s="548">
        <f t="shared" ca="1" si="23"/>
        <v>100018</v>
      </c>
      <c r="BL19" s="549">
        <f ca="1">IF(BN19="",99999,'Endrunde 4'!$D19)</f>
        <v>99999</v>
      </c>
      <c r="BM19" s="259" t="str">
        <f ca="1">IF(BN19="","",'Endrunde 4'!$E19)</f>
        <v/>
      </c>
      <c r="BN19" s="260" t="str">
        <f ca="1">IF($C$54="","",IF('Endrunde 4'!$I19=$C$54,'Endrunde 4'!$K19,IF('Endrunde 4'!$K19=$C$54,'Endrunde 4'!$I19,"")))</f>
        <v/>
      </c>
      <c r="BO19" s="550">
        <f t="shared" ca="1" si="24"/>
        <v>100017</v>
      </c>
      <c r="BP19" s="548">
        <f t="shared" ca="1" si="25"/>
        <v>100018</v>
      </c>
      <c r="BQ19" s="549">
        <f ca="1">IF(BS19="",99999,'Endrunde 4'!$D19)</f>
        <v>99999</v>
      </c>
      <c r="BR19" s="259" t="str">
        <f ca="1">IF(BS19="","",'Endrunde 4'!$E19)</f>
        <v/>
      </c>
      <c r="BS19" s="260" t="str">
        <f ca="1">IF($C$59="","",IF('Endrunde 4'!$I19=$C$59,'Endrunde 4'!$K19,IF('Endrunde 4'!$K19=$C$59,'Endrunde 4'!$I19,"")))</f>
        <v/>
      </c>
      <c r="BT19" s="550">
        <f t="shared" ca="1" si="26"/>
        <v>100016</v>
      </c>
      <c r="BU19" s="548">
        <f t="shared" ca="1" si="27"/>
        <v>100018</v>
      </c>
      <c r="BV19" s="549">
        <f ca="1">IF(BX19="",99999,'Endrunde 4'!$D19)</f>
        <v>99999</v>
      </c>
      <c r="BW19" s="259" t="str">
        <f ca="1">IF(BX19="","",'Endrunde 4'!$E19)</f>
        <v/>
      </c>
      <c r="BX19" s="260" t="str">
        <f ca="1">IF($C$64="","",IF('Endrunde 4'!$I19=$C$64,'Endrunde 4'!$K19,IF('Endrunde 4'!$K19=$C$64,'Endrunde 4'!$I19,"")))</f>
        <v/>
      </c>
      <c r="BY19" s="550">
        <f t="shared" ca="1" si="28"/>
        <v>100016</v>
      </c>
      <c r="BZ19" s="548">
        <f t="shared" ca="1" si="29"/>
        <v>19.496527777777779</v>
      </c>
      <c r="CA19" s="549">
        <f ca="1">IF(CC19="",99999,'Endrunde 4'!$D19)</f>
        <v>0.49652777777777779</v>
      </c>
      <c r="CB19" s="259">
        <f ca="1">IF(CC19="","",'Endrunde 4'!$E19)</f>
        <v>3</v>
      </c>
      <c r="CC19" s="260" t="str">
        <f ca="1">IF($C$69="","",IF('Endrunde 4'!$I19=$C$69,'Endrunde 4'!$K19,IF('Endrunde 4'!$K19=$C$69,'Endrunde 4'!$I19,"")))</f>
        <v>1. FC Riedwald</v>
      </c>
      <c r="CD19" s="550">
        <f t="shared" ca="1" si="30"/>
        <v>100015</v>
      </c>
      <c r="CE19" s="548">
        <f t="shared" si="31"/>
        <v>100018</v>
      </c>
      <c r="CF19" s="549">
        <f>IF(CH19="",99999,'Endrunde 4'!$D19)</f>
        <v>99999</v>
      </c>
      <c r="CG19" s="259" t="str">
        <f>IF(CH19="","",'Endrunde 4'!$E19)</f>
        <v/>
      </c>
      <c r="CH19" s="260" t="str">
        <f>IF($C$74="","",IF('Endrunde 4'!$I19=$C$74,'Endrunde 4'!$K19,IF('Endrunde 4'!$K19=$C$74,'Endrunde 4'!$I19,"")))</f>
        <v/>
      </c>
      <c r="CI19" s="550">
        <f t="shared" si="32"/>
        <v>100018</v>
      </c>
      <c r="CJ19" s="548">
        <f t="shared" si="33"/>
        <v>100018</v>
      </c>
      <c r="CK19" s="549">
        <f>IF(CM19="",99999,'Endrunde 4'!$D19)</f>
        <v>99999</v>
      </c>
      <c r="CL19" s="259" t="str">
        <f>IF(CM19="","",'Endrunde 4'!$E19)</f>
        <v/>
      </c>
      <c r="CM19" s="260" t="str">
        <f>IF($C$79="","",IF('Endrunde 4'!$I19=$C$79,'Endrunde 4'!$K19,IF('Endrunde 4'!$K19=$C$79,'Endrunde 4'!$I19,"")))</f>
        <v/>
      </c>
      <c r="CN19" s="550">
        <f t="shared" si="34"/>
        <v>100018</v>
      </c>
      <c r="CO19" s="548">
        <f t="shared" si="35"/>
        <v>100018</v>
      </c>
      <c r="CP19" s="549">
        <f>IF(CR19="",99999,'Endrunde 4'!$D19)</f>
        <v>99999</v>
      </c>
      <c r="CQ19" s="259" t="str">
        <f>IF(CR19="","",'Endrunde 4'!$E19)</f>
        <v/>
      </c>
      <c r="CR19" s="260" t="str">
        <f>IF($C$84="","",IF('Endrunde 4'!$I19=$C$84,'Endrunde 4'!$K19,IF('Endrunde 4'!$K19=$C$84,'Endrunde 4'!$I19,"")))</f>
        <v/>
      </c>
      <c r="CS19" s="550">
        <f t="shared" si="36"/>
        <v>100018</v>
      </c>
      <c r="CT19" s="548">
        <f t="shared" si="37"/>
        <v>100018</v>
      </c>
      <c r="CU19" s="549">
        <f>IF(CW19="",99999,'Endrunde 4'!$D19)</f>
        <v>99999</v>
      </c>
      <c r="CV19" s="259" t="str">
        <f>IF(CW19="","",'Endrunde 4'!$E19)</f>
        <v/>
      </c>
      <c r="CW19" s="260" t="str">
        <f>IF($C$89="","",IF('Endrunde 4'!$I19=$C$89,'Endrunde 4'!$K19,IF('Endrunde 4'!$K19=$C$89,'Endrunde 4'!$I19,"")))</f>
        <v/>
      </c>
      <c r="CX19" s="550">
        <f t="shared" si="38"/>
        <v>100018</v>
      </c>
    </row>
    <row r="20" spans="2:102" ht="15.95" customHeight="1" x14ac:dyDescent="0.2">
      <c r="E20" s="531">
        <f ca="1">IF($AF$12&lt;99999,INDEX($L$12:$L$36,MATCH($AF$12,$AB$12:$AB$36,0)),"")</f>
        <v>24</v>
      </c>
      <c r="F20" s="532">
        <f ca="1">IF($AF$12&lt;99999,VLOOKUP($AF$12,$AB$12:$AE$36,2,0),"")</f>
        <v>0.49652777777777779</v>
      </c>
      <c r="G20" s="533">
        <f ca="1">IF($AF$12&lt;99999,VLOOKUP($AF$12,$AB$12:$AE$36,3,0),"")</f>
        <v>4</v>
      </c>
      <c r="H20" s="534" t="str">
        <f ca="1">IF($AF$12&lt;99999,VLOOKUP($AF$12,$AB$12:$AE$36,4,0),"")</f>
        <v>Mainz 05</v>
      </c>
      <c r="J20" s="523">
        <f t="shared" ca="1" si="39"/>
        <v>0</v>
      </c>
      <c r="K20" s="523" t="str">
        <f ca="1">IF(J20=0,"",$C$19)</f>
        <v/>
      </c>
      <c r="L20" s="150">
        <f ca="1">'Endrunde 4'!$C20</f>
        <v>24</v>
      </c>
      <c r="M20" s="548">
        <f t="shared" ca="1" si="3"/>
        <v>100019</v>
      </c>
      <c r="N20" s="549">
        <f ca="1">IF(P20="",99999,'Endrunde 4'!$D20)</f>
        <v>99999</v>
      </c>
      <c r="O20" s="259" t="str">
        <f ca="1">IF(P20="","",'Endrunde 4'!$E20)</f>
        <v/>
      </c>
      <c r="P20" s="260" t="str">
        <f ca="1">IF($C$4="","",IF('Endrunde 4'!$I20=$C$4,'Endrunde 4'!$K20,IF('Endrunde 4'!$K20=$C$4,'Endrunde 4'!$I20,"")))</f>
        <v/>
      </c>
      <c r="Q20" s="550">
        <f t="shared" ca="1" si="4"/>
        <v>100016</v>
      </c>
      <c r="R20" s="548">
        <f t="shared" ca="1" si="5"/>
        <v>100019</v>
      </c>
      <c r="S20" s="549">
        <f ca="1">IF(U20="",99999,'Endrunde 4'!$D20)</f>
        <v>99999</v>
      </c>
      <c r="T20" s="259" t="str">
        <f ca="1">IF(U20="","",'Endrunde 4'!$E20)</f>
        <v/>
      </c>
      <c r="U20" s="260" t="str">
        <f ca="1">IF($C$9="","",IF('Endrunde 4'!$I20=$C$9,'Endrunde 4'!$K20,IF('Endrunde 4'!$K20=$C$9,'Endrunde 4'!$I20,"")))</f>
        <v/>
      </c>
      <c r="V20" s="550">
        <f t="shared" ca="1" si="6"/>
        <v>100018</v>
      </c>
      <c r="W20" s="548">
        <f t="shared" ca="1" si="7"/>
        <v>100019</v>
      </c>
      <c r="X20" s="549">
        <f ca="1">IF(Z20="",99999,'Endrunde 4'!$D20)</f>
        <v>99999</v>
      </c>
      <c r="Y20" s="259" t="str">
        <f ca="1">IF(Z20="","",'Endrunde 4'!$E20)</f>
        <v/>
      </c>
      <c r="Z20" s="260" t="str">
        <f ca="1">IF($C$14="","",IF('Endrunde 4'!$I20=$C$14,'Endrunde 4'!$K20,IF('Endrunde 4'!$K20=$C$14,'Endrunde 4'!$I20,"")))</f>
        <v/>
      </c>
      <c r="AA20" s="550">
        <f t="shared" ca="1" si="8"/>
        <v>100017</v>
      </c>
      <c r="AB20" s="548">
        <f t="shared" ca="1" si="9"/>
        <v>20.496527777777779</v>
      </c>
      <c r="AC20" s="549">
        <f ca="1">IF(AE20="",99999,'Endrunde 4'!$D20)</f>
        <v>0.49652777777777779</v>
      </c>
      <c r="AD20" s="259">
        <f ca="1">IF(AE20="","",'Endrunde 4'!$E20)</f>
        <v>4</v>
      </c>
      <c r="AE20" s="260" t="str">
        <f ca="1">IF($C$19="","",IF('Endrunde 4'!$I20=$C$19,'Endrunde 4'!$K20,IF('Endrunde 4'!$K20=$C$19,'Endrunde 4'!$I20,"")))</f>
        <v>Mainz 05</v>
      </c>
      <c r="AF20" s="550">
        <f t="shared" ca="1" si="10"/>
        <v>100016</v>
      </c>
      <c r="AG20" s="548">
        <f t="shared" ca="1" si="11"/>
        <v>100019</v>
      </c>
      <c r="AH20" s="549">
        <f ca="1">IF(AJ20="",99999,'Endrunde 4'!$D20)</f>
        <v>99999</v>
      </c>
      <c r="AI20" s="259" t="str">
        <f ca="1">IF(AJ20="","",'Endrunde 4'!$E20)</f>
        <v/>
      </c>
      <c r="AJ20" s="260" t="str">
        <f ca="1">IF($C$24="","",IF('Endrunde 4'!$I20=$C$24,'Endrunde 4'!$K20,IF('Endrunde 4'!$K20=$C$24,'Endrunde 4'!$I20,"")))</f>
        <v/>
      </c>
      <c r="AK20" s="550">
        <f t="shared" ca="1" si="12"/>
        <v>100017</v>
      </c>
      <c r="AL20" s="548">
        <f t="shared" si="13"/>
        <v>100019</v>
      </c>
      <c r="AM20" s="549">
        <f>IF(AO20="",99999,'Endrunde 4'!$D20)</f>
        <v>99999</v>
      </c>
      <c r="AN20" s="259" t="str">
        <f>IF(AO20="","",'Endrunde 4'!$E20)</f>
        <v/>
      </c>
      <c r="AO20" s="260" t="str">
        <f>IF($C$29="","",IF('Endrunde 4'!$I20=$C$29,'Endrunde 4'!$K20,IF('Endrunde 4'!$K20=$C$29,'Endrunde 4'!$I20,"")))</f>
        <v/>
      </c>
      <c r="AP20" s="550">
        <f t="shared" si="14"/>
        <v>100019</v>
      </c>
      <c r="AQ20" s="548">
        <f t="shared" si="15"/>
        <v>100019</v>
      </c>
      <c r="AR20" s="549">
        <f>IF(AT20="",99999,'Endrunde 4'!$D20)</f>
        <v>99999</v>
      </c>
      <c r="AS20" s="259" t="str">
        <f>IF(AT20="","",'Endrunde 4'!$E20)</f>
        <v/>
      </c>
      <c r="AT20" s="260" t="str">
        <f>IF($C$34="","",IF('Endrunde 4'!$I20=$C$34,'Endrunde 4'!$K20,IF('Endrunde 4'!$K20=$C$34,'Endrunde 4'!$I20,"")))</f>
        <v/>
      </c>
      <c r="AU20" s="550">
        <f t="shared" si="16"/>
        <v>100019</v>
      </c>
      <c r="AV20" s="548">
        <f t="shared" si="17"/>
        <v>100019</v>
      </c>
      <c r="AW20" s="549">
        <f>IF(AY20="",99999,'Endrunde 4'!$D20)</f>
        <v>99999</v>
      </c>
      <c r="AX20" s="259" t="str">
        <f>IF(AY20="","",'Endrunde 4'!$E20)</f>
        <v/>
      </c>
      <c r="AY20" s="260" t="str">
        <f>IF($C$39="","",IF('Endrunde 4'!$I20=$C$39,'Endrunde 4'!$K20,IF('Endrunde 4'!$K20=$C$39,'Endrunde 4'!$I20,"")))</f>
        <v/>
      </c>
      <c r="AZ20" s="550">
        <f t="shared" si="18"/>
        <v>100019</v>
      </c>
      <c r="BA20" s="548">
        <f t="shared" si="19"/>
        <v>100019</v>
      </c>
      <c r="BB20" s="549">
        <f>IF(BD20="",99999,'Endrunde 4'!$D20)</f>
        <v>99999</v>
      </c>
      <c r="BC20" s="259" t="str">
        <f>IF(BD20="","",'Endrunde 4'!$E20)</f>
        <v/>
      </c>
      <c r="BD20" s="260" t="str">
        <f>IF($C$44="","",IF('Endrunde 4'!$I20=$C$44,'Endrunde 4'!$K20,IF('Endrunde 4'!$K20=$C$44,'Endrunde 4'!$I20,"")))</f>
        <v/>
      </c>
      <c r="BE20" s="550">
        <f t="shared" si="20"/>
        <v>100019</v>
      </c>
      <c r="BF20" s="548">
        <f t="shared" ca="1" si="21"/>
        <v>20.496527777777779</v>
      </c>
      <c r="BG20" s="549">
        <f ca="1">IF(BI20="",99999,'Endrunde 4'!$D20)</f>
        <v>0.49652777777777779</v>
      </c>
      <c r="BH20" s="259">
        <f ca="1">IF(BI20="","",'Endrunde 4'!$E20)</f>
        <v>4</v>
      </c>
      <c r="BI20" s="260" t="str">
        <f ca="1">IF($C$49="","",IF('Endrunde 4'!$I20=$C$49,'Endrunde 4'!$K20,IF('Endrunde 4'!$K20=$C$49,'Endrunde 4'!$I20,"")))</f>
        <v>Maibach 1822 eV</v>
      </c>
      <c r="BJ20" s="550">
        <f t="shared" ca="1" si="22"/>
        <v>100016</v>
      </c>
      <c r="BK20" s="548">
        <f t="shared" ca="1" si="23"/>
        <v>100019</v>
      </c>
      <c r="BL20" s="549">
        <f ca="1">IF(BN20="",99999,'Endrunde 4'!$D20)</f>
        <v>99999</v>
      </c>
      <c r="BM20" s="259" t="str">
        <f ca="1">IF(BN20="","",'Endrunde 4'!$E20)</f>
        <v/>
      </c>
      <c r="BN20" s="260" t="str">
        <f ca="1">IF($C$54="","",IF('Endrunde 4'!$I20=$C$54,'Endrunde 4'!$K20,IF('Endrunde 4'!$K20=$C$54,'Endrunde 4'!$I20,"")))</f>
        <v/>
      </c>
      <c r="BO20" s="550">
        <f t="shared" ca="1" si="24"/>
        <v>100018</v>
      </c>
      <c r="BP20" s="548">
        <f t="shared" ca="1" si="25"/>
        <v>100019</v>
      </c>
      <c r="BQ20" s="549">
        <f ca="1">IF(BS20="",99999,'Endrunde 4'!$D20)</f>
        <v>99999</v>
      </c>
      <c r="BR20" s="259" t="str">
        <f ca="1">IF(BS20="","",'Endrunde 4'!$E20)</f>
        <v/>
      </c>
      <c r="BS20" s="260" t="str">
        <f ca="1">IF($C$59="","",IF('Endrunde 4'!$I20=$C$59,'Endrunde 4'!$K20,IF('Endrunde 4'!$K20=$C$59,'Endrunde 4'!$I20,"")))</f>
        <v/>
      </c>
      <c r="BT20" s="550">
        <f t="shared" ca="1" si="26"/>
        <v>100017</v>
      </c>
      <c r="BU20" s="548">
        <f t="shared" ca="1" si="27"/>
        <v>100019</v>
      </c>
      <c r="BV20" s="549">
        <f ca="1">IF(BX20="",99999,'Endrunde 4'!$D20)</f>
        <v>99999</v>
      </c>
      <c r="BW20" s="259" t="str">
        <f ca="1">IF(BX20="","",'Endrunde 4'!$E20)</f>
        <v/>
      </c>
      <c r="BX20" s="260" t="str">
        <f ca="1">IF($C$64="","",IF('Endrunde 4'!$I20=$C$64,'Endrunde 4'!$K20,IF('Endrunde 4'!$K20=$C$64,'Endrunde 4'!$I20,"")))</f>
        <v/>
      </c>
      <c r="BY20" s="550">
        <f t="shared" ca="1" si="28"/>
        <v>100017</v>
      </c>
      <c r="BZ20" s="548">
        <f t="shared" ca="1" si="29"/>
        <v>100019</v>
      </c>
      <c r="CA20" s="549">
        <f ca="1">IF(CC20="",99999,'Endrunde 4'!$D20)</f>
        <v>99999</v>
      </c>
      <c r="CB20" s="259" t="str">
        <f ca="1">IF(CC20="","",'Endrunde 4'!$E20)</f>
        <v/>
      </c>
      <c r="CC20" s="260" t="str">
        <f ca="1">IF($C$69="","",IF('Endrunde 4'!$I20=$C$69,'Endrunde 4'!$K20,IF('Endrunde 4'!$K20=$C$69,'Endrunde 4'!$I20,"")))</f>
        <v/>
      </c>
      <c r="CD20" s="550">
        <f t="shared" ca="1" si="30"/>
        <v>100016</v>
      </c>
      <c r="CE20" s="548">
        <f t="shared" si="31"/>
        <v>100019</v>
      </c>
      <c r="CF20" s="549">
        <f>IF(CH20="",99999,'Endrunde 4'!$D20)</f>
        <v>99999</v>
      </c>
      <c r="CG20" s="259" t="str">
        <f>IF(CH20="","",'Endrunde 4'!$E20)</f>
        <v/>
      </c>
      <c r="CH20" s="260" t="str">
        <f>IF($C$74="","",IF('Endrunde 4'!$I20=$C$74,'Endrunde 4'!$K20,IF('Endrunde 4'!$K20=$C$74,'Endrunde 4'!$I20,"")))</f>
        <v/>
      </c>
      <c r="CI20" s="550">
        <f t="shared" si="32"/>
        <v>100019</v>
      </c>
      <c r="CJ20" s="548">
        <f t="shared" si="33"/>
        <v>100019</v>
      </c>
      <c r="CK20" s="549">
        <f>IF(CM20="",99999,'Endrunde 4'!$D20)</f>
        <v>99999</v>
      </c>
      <c r="CL20" s="259" t="str">
        <f>IF(CM20="","",'Endrunde 4'!$E20)</f>
        <v/>
      </c>
      <c r="CM20" s="260" t="str">
        <f>IF($C$79="","",IF('Endrunde 4'!$I20=$C$79,'Endrunde 4'!$K20,IF('Endrunde 4'!$K20=$C$79,'Endrunde 4'!$I20,"")))</f>
        <v/>
      </c>
      <c r="CN20" s="550">
        <f t="shared" si="34"/>
        <v>100019</v>
      </c>
      <c r="CO20" s="548">
        <f t="shared" si="35"/>
        <v>100019</v>
      </c>
      <c r="CP20" s="549">
        <f>IF(CR20="",99999,'Endrunde 4'!$D20)</f>
        <v>99999</v>
      </c>
      <c r="CQ20" s="259" t="str">
        <f>IF(CR20="","",'Endrunde 4'!$E20)</f>
        <v/>
      </c>
      <c r="CR20" s="260" t="str">
        <f>IF($C$84="","",IF('Endrunde 4'!$I20=$C$84,'Endrunde 4'!$K20,IF('Endrunde 4'!$K20=$C$84,'Endrunde 4'!$I20,"")))</f>
        <v/>
      </c>
      <c r="CS20" s="550">
        <f t="shared" si="36"/>
        <v>100019</v>
      </c>
      <c r="CT20" s="548">
        <f t="shared" si="37"/>
        <v>100019</v>
      </c>
      <c r="CU20" s="549">
        <f>IF(CW20="",99999,'Endrunde 4'!$D20)</f>
        <v>99999</v>
      </c>
      <c r="CV20" s="259" t="str">
        <f>IF(CW20="","",'Endrunde 4'!$E20)</f>
        <v/>
      </c>
      <c r="CW20" s="260" t="str">
        <f>IF($C$89="","",IF('Endrunde 4'!$I20=$C$89,'Endrunde 4'!$K20,IF('Endrunde 4'!$K20=$C$89,'Endrunde 4'!$I20,"")))</f>
        <v/>
      </c>
      <c r="CX20" s="550">
        <f t="shared" si="38"/>
        <v>100019</v>
      </c>
    </row>
    <row r="21" spans="2:102" ht="15.95" customHeight="1" x14ac:dyDescent="0.2">
      <c r="E21" s="531">
        <f ca="1">IF($AF$13&lt;99999,INDEX($L$12:$L$36,MATCH($AF$13,$AB$12:$AB$36,0)),"")</f>
        <v>26</v>
      </c>
      <c r="F21" s="535">
        <f ca="1">IF($AF$13&lt;99999,VLOOKUP($AF$13,$AB$12:$AE$36,2,0),"")</f>
        <v>0.52083333333333337</v>
      </c>
      <c r="G21" s="536">
        <f ca="1">IF($AF$13&lt;99999,VLOOKUP($AF$13,$AB$12:$AE$36,3,0),"")</f>
        <v>2</v>
      </c>
      <c r="H21" s="537" t="str">
        <f ca="1">IF($AF$13&lt;99999,VLOOKUP($AF$13,$AB$12:$AE$36,4,0),"")</f>
        <v>Eintracht Frankfurt</v>
      </c>
      <c r="J21" s="523">
        <f t="shared" ca="1" si="39"/>
        <v>0</v>
      </c>
      <c r="K21" s="523" t="str">
        <f t="shared" ref="K21:K22" ca="1" si="41">IF(J21=0,"",$C$19)</f>
        <v/>
      </c>
      <c r="L21" s="150">
        <f ca="1">'Endrunde 4'!$C21</f>
        <v>25</v>
      </c>
      <c r="M21" s="548">
        <f t="shared" ca="1" si="3"/>
        <v>100020</v>
      </c>
      <c r="N21" s="549">
        <f ca="1">IF(P21="",99999,'Endrunde 4'!$D21)</f>
        <v>99999</v>
      </c>
      <c r="O21" s="259" t="str">
        <f ca="1">IF(P21="","",'Endrunde 4'!$E21)</f>
        <v/>
      </c>
      <c r="P21" s="260" t="str">
        <f ca="1">IF($C$4="","",IF('Endrunde 4'!$I21=$C$4,'Endrunde 4'!$K21,IF('Endrunde 4'!$K21=$C$4,'Endrunde 4'!$I21,"")))</f>
        <v/>
      </c>
      <c r="Q21" s="550">
        <f t="shared" ca="1" si="4"/>
        <v>100017</v>
      </c>
      <c r="R21" s="548">
        <f t="shared" ca="1" si="5"/>
        <v>100020</v>
      </c>
      <c r="S21" s="549">
        <f ca="1">IF(U21="",99999,'Endrunde 4'!$D21)</f>
        <v>99999</v>
      </c>
      <c r="T21" s="259" t="str">
        <f ca="1">IF(U21="","",'Endrunde 4'!$E21)</f>
        <v/>
      </c>
      <c r="U21" s="260" t="str">
        <f ca="1">IF($C$9="","",IF('Endrunde 4'!$I21=$C$9,'Endrunde 4'!$K21,IF('Endrunde 4'!$K21=$C$9,'Endrunde 4'!$I21,"")))</f>
        <v/>
      </c>
      <c r="V21" s="550">
        <f t="shared" ca="1" si="6"/>
        <v>100019</v>
      </c>
      <c r="W21" s="548">
        <f t="shared" ca="1" si="7"/>
        <v>100020</v>
      </c>
      <c r="X21" s="549">
        <f ca="1">IF(Z21="",99999,'Endrunde 4'!$D21)</f>
        <v>99999</v>
      </c>
      <c r="Y21" s="259" t="str">
        <f ca="1">IF(Z21="","",'Endrunde 4'!$E21)</f>
        <v/>
      </c>
      <c r="Z21" s="260" t="str">
        <f ca="1">IF($C$14="","",IF('Endrunde 4'!$I21=$C$14,'Endrunde 4'!$K21,IF('Endrunde 4'!$K21=$C$14,'Endrunde 4'!$I21,"")))</f>
        <v/>
      </c>
      <c r="AA21" s="550">
        <f t="shared" ca="1" si="8"/>
        <v>100018</v>
      </c>
      <c r="AB21" s="548">
        <f t="shared" ca="1" si="9"/>
        <v>100020</v>
      </c>
      <c r="AC21" s="549">
        <f ca="1">IF(AE21="",99999,'Endrunde 4'!$D21)</f>
        <v>99999</v>
      </c>
      <c r="AD21" s="259" t="str">
        <f ca="1">IF(AE21="","",'Endrunde 4'!$E21)</f>
        <v/>
      </c>
      <c r="AE21" s="260" t="str">
        <f ca="1">IF($C$19="","",IF('Endrunde 4'!$I21=$C$19,'Endrunde 4'!$K21,IF('Endrunde 4'!$K21=$C$19,'Endrunde 4'!$I21,"")))</f>
        <v/>
      </c>
      <c r="AF21" s="550">
        <f t="shared" ca="1" si="10"/>
        <v>100017</v>
      </c>
      <c r="AG21" s="548">
        <f t="shared" ca="1" si="11"/>
        <v>100020</v>
      </c>
      <c r="AH21" s="549">
        <f ca="1">IF(AJ21="",99999,'Endrunde 4'!$D21)</f>
        <v>99999</v>
      </c>
      <c r="AI21" s="259" t="str">
        <f ca="1">IF(AJ21="","",'Endrunde 4'!$E21)</f>
        <v/>
      </c>
      <c r="AJ21" s="260" t="str">
        <f ca="1">IF($C$24="","",IF('Endrunde 4'!$I21=$C$24,'Endrunde 4'!$K21,IF('Endrunde 4'!$K21=$C$24,'Endrunde 4'!$I21,"")))</f>
        <v/>
      </c>
      <c r="AK21" s="550">
        <f t="shared" ca="1" si="12"/>
        <v>100018</v>
      </c>
      <c r="AL21" s="548">
        <f t="shared" si="13"/>
        <v>100020</v>
      </c>
      <c r="AM21" s="549">
        <f>IF(AO21="",99999,'Endrunde 4'!$D21)</f>
        <v>99999</v>
      </c>
      <c r="AN21" s="259" t="str">
        <f>IF(AO21="","",'Endrunde 4'!$E21)</f>
        <v/>
      </c>
      <c r="AO21" s="260" t="str">
        <f>IF($C$29="","",IF('Endrunde 4'!$I21=$C$29,'Endrunde 4'!$K21,IF('Endrunde 4'!$K21=$C$29,'Endrunde 4'!$I21,"")))</f>
        <v/>
      </c>
      <c r="AP21" s="550">
        <f t="shared" si="14"/>
        <v>100020</v>
      </c>
      <c r="AQ21" s="548">
        <f t="shared" si="15"/>
        <v>100020</v>
      </c>
      <c r="AR21" s="549">
        <f>IF(AT21="",99999,'Endrunde 4'!$D21)</f>
        <v>99999</v>
      </c>
      <c r="AS21" s="259" t="str">
        <f>IF(AT21="","",'Endrunde 4'!$E21)</f>
        <v/>
      </c>
      <c r="AT21" s="260" t="str">
        <f>IF($C$34="","",IF('Endrunde 4'!$I21=$C$34,'Endrunde 4'!$K21,IF('Endrunde 4'!$K21=$C$34,'Endrunde 4'!$I21,"")))</f>
        <v/>
      </c>
      <c r="AU21" s="550">
        <f t="shared" si="16"/>
        <v>100020</v>
      </c>
      <c r="AV21" s="548">
        <f t="shared" si="17"/>
        <v>100020</v>
      </c>
      <c r="AW21" s="549">
        <f>IF(AY21="",99999,'Endrunde 4'!$D21)</f>
        <v>99999</v>
      </c>
      <c r="AX21" s="259" t="str">
        <f>IF(AY21="","",'Endrunde 4'!$E21)</f>
        <v/>
      </c>
      <c r="AY21" s="260" t="str">
        <f>IF($C$39="","",IF('Endrunde 4'!$I21=$C$39,'Endrunde 4'!$K21,IF('Endrunde 4'!$K21=$C$39,'Endrunde 4'!$I21,"")))</f>
        <v/>
      </c>
      <c r="AZ21" s="550">
        <f t="shared" si="18"/>
        <v>100020</v>
      </c>
      <c r="BA21" s="548">
        <f t="shared" si="19"/>
        <v>100020</v>
      </c>
      <c r="BB21" s="549">
        <f>IF(BD21="",99999,'Endrunde 4'!$D21)</f>
        <v>99999</v>
      </c>
      <c r="BC21" s="259" t="str">
        <f>IF(BD21="","",'Endrunde 4'!$E21)</f>
        <v/>
      </c>
      <c r="BD21" s="260" t="str">
        <f>IF($C$44="","",IF('Endrunde 4'!$I21=$C$44,'Endrunde 4'!$K21,IF('Endrunde 4'!$K21=$C$44,'Endrunde 4'!$I21,"")))</f>
        <v/>
      </c>
      <c r="BE21" s="550">
        <f t="shared" si="20"/>
        <v>100020</v>
      </c>
      <c r="BF21" s="548">
        <f t="shared" ca="1" si="21"/>
        <v>100020</v>
      </c>
      <c r="BG21" s="549">
        <f ca="1">IF(BI21="",99999,'Endrunde 4'!$D21)</f>
        <v>99999</v>
      </c>
      <c r="BH21" s="259" t="str">
        <f ca="1">IF(BI21="","",'Endrunde 4'!$E21)</f>
        <v/>
      </c>
      <c r="BI21" s="260" t="str">
        <f ca="1">IF($C$49="","",IF('Endrunde 4'!$I21=$C$49,'Endrunde 4'!$K21,IF('Endrunde 4'!$K21=$C$49,'Endrunde 4'!$I21,"")))</f>
        <v/>
      </c>
      <c r="BJ21" s="550">
        <f t="shared" ca="1" si="22"/>
        <v>100017</v>
      </c>
      <c r="BK21" s="548">
        <f t="shared" ca="1" si="23"/>
        <v>100020</v>
      </c>
      <c r="BL21" s="549">
        <f ca="1">IF(BN21="",99999,'Endrunde 4'!$D21)</f>
        <v>99999</v>
      </c>
      <c r="BM21" s="259" t="str">
        <f ca="1">IF(BN21="","",'Endrunde 4'!$E21)</f>
        <v/>
      </c>
      <c r="BN21" s="260" t="str">
        <f ca="1">IF($C$54="","",IF('Endrunde 4'!$I21=$C$54,'Endrunde 4'!$K21,IF('Endrunde 4'!$K21=$C$54,'Endrunde 4'!$I21,"")))</f>
        <v/>
      </c>
      <c r="BO21" s="550">
        <f t="shared" ca="1" si="24"/>
        <v>100019</v>
      </c>
      <c r="BP21" s="548">
        <f t="shared" ca="1" si="25"/>
        <v>100020</v>
      </c>
      <c r="BQ21" s="549">
        <f ca="1">IF(BS21="",99999,'Endrunde 4'!$D21)</f>
        <v>99999</v>
      </c>
      <c r="BR21" s="259" t="str">
        <f ca="1">IF(BS21="","",'Endrunde 4'!$E21)</f>
        <v/>
      </c>
      <c r="BS21" s="260" t="str">
        <f ca="1">IF($C$59="","",IF('Endrunde 4'!$I21=$C$59,'Endrunde 4'!$K21,IF('Endrunde 4'!$K21=$C$59,'Endrunde 4'!$I21,"")))</f>
        <v/>
      </c>
      <c r="BT21" s="550">
        <f t="shared" ca="1" si="26"/>
        <v>100018</v>
      </c>
      <c r="BU21" s="548">
        <f t="shared" ca="1" si="27"/>
        <v>100020</v>
      </c>
      <c r="BV21" s="549">
        <f ca="1">IF(BX21="",99999,'Endrunde 4'!$D21)</f>
        <v>99999</v>
      </c>
      <c r="BW21" s="259" t="str">
        <f ca="1">IF(BX21="","",'Endrunde 4'!$E21)</f>
        <v/>
      </c>
      <c r="BX21" s="260" t="str">
        <f ca="1">IF($C$64="","",IF('Endrunde 4'!$I21=$C$64,'Endrunde 4'!$K21,IF('Endrunde 4'!$K21=$C$64,'Endrunde 4'!$I21,"")))</f>
        <v/>
      </c>
      <c r="BY21" s="550">
        <f t="shared" ca="1" si="28"/>
        <v>100018</v>
      </c>
      <c r="BZ21" s="548">
        <f t="shared" ca="1" si="29"/>
        <v>100020</v>
      </c>
      <c r="CA21" s="549">
        <f ca="1">IF(CC21="",99999,'Endrunde 4'!$D21)</f>
        <v>99999</v>
      </c>
      <c r="CB21" s="259" t="str">
        <f ca="1">IF(CC21="","",'Endrunde 4'!$E21)</f>
        <v/>
      </c>
      <c r="CC21" s="260" t="str">
        <f ca="1">IF($C$69="","",IF('Endrunde 4'!$I21=$C$69,'Endrunde 4'!$K21,IF('Endrunde 4'!$K21=$C$69,'Endrunde 4'!$I21,"")))</f>
        <v/>
      </c>
      <c r="CD21" s="550">
        <f t="shared" ca="1" si="30"/>
        <v>100017</v>
      </c>
      <c r="CE21" s="548">
        <f t="shared" si="31"/>
        <v>100020</v>
      </c>
      <c r="CF21" s="549">
        <f>IF(CH21="",99999,'Endrunde 4'!$D21)</f>
        <v>99999</v>
      </c>
      <c r="CG21" s="259" t="str">
        <f>IF(CH21="","",'Endrunde 4'!$E21)</f>
        <v/>
      </c>
      <c r="CH21" s="260" t="str">
        <f>IF($C$74="","",IF('Endrunde 4'!$I21=$C$74,'Endrunde 4'!$K21,IF('Endrunde 4'!$K21=$C$74,'Endrunde 4'!$I21,"")))</f>
        <v/>
      </c>
      <c r="CI21" s="550">
        <f t="shared" si="32"/>
        <v>100020</v>
      </c>
      <c r="CJ21" s="548">
        <f t="shared" si="33"/>
        <v>100020</v>
      </c>
      <c r="CK21" s="549">
        <f>IF(CM21="",99999,'Endrunde 4'!$D21)</f>
        <v>99999</v>
      </c>
      <c r="CL21" s="259" t="str">
        <f>IF(CM21="","",'Endrunde 4'!$E21)</f>
        <v/>
      </c>
      <c r="CM21" s="260" t="str">
        <f>IF($C$79="","",IF('Endrunde 4'!$I21=$C$79,'Endrunde 4'!$K21,IF('Endrunde 4'!$K21=$C$79,'Endrunde 4'!$I21,"")))</f>
        <v/>
      </c>
      <c r="CN21" s="550">
        <f t="shared" si="34"/>
        <v>100020</v>
      </c>
      <c r="CO21" s="548">
        <f t="shared" si="35"/>
        <v>100020</v>
      </c>
      <c r="CP21" s="549">
        <f>IF(CR21="",99999,'Endrunde 4'!$D21)</f>
        <v>99999</v>
      </c>
      <c r="CQ21" s="259" t="str">
        <f>IF(CR21="","",'Endrunde 4'!$E21)</f>
        <v/>
      </c>
      <c r="CR21" s="260" t="str">
        <f>IF($C$84="","",IF('Endrunde 4'!$I21=$C$84,'Endrunde 4'!$K21,IF('Endrunde 4'!$K21=$C$84,'Endrunde 4'!$I21,"")))</f>
        <v/>
      </c>
      <c r="CS21" s="550">
        <f t="shared" si="36"/>
        <v>100020</v>
      </c>
      <c r="CT21" s="548">
        <f t="shared" si="37"/>
        <v>100020</v>
      </c>
      <c r="CU21" s="549">
        <f>IF(CW21="",99999,'Endrunde 4'!$D21)</f>
        <v>99999</v>
      </c>
      <c r="CV21" s="259" t="str">
        <f>IF(CW21="","",'Endrunde 4'!$E21)</f>
        <v/>
      </c>
      <c r="CW21" s="260" t="str">
        <f>IF($C$89="","",IF('Endrunde 4'!$I21=$C$89,'Endrunde 4'!$K21,IF('Endrunde 4'!$K21=$C$89,'Endrunde 4'!$I21,"")))</f>
        <v/>
      </c>
      <c r="CX21" s="550">
        <f t="shared" si="38"/>
        <v>100020</v>
      </c>
    </row>
    <row r="22" spans="2:102" ht="15.95" customHeight="1" thickBot="1" x14ac:dyDescent="0.25">
      <c r="E22" s="538">
        <f ca="1">IF($AF$14&lt;99999,INDEX($L$12:$L$36,MATCH($AF$14,$AB$12:$AB$36,0)),"")</f>
        <v>30</v>
      </c>
      <c r="F22" s="539">
        <f ca="1">IF($AF$14&lt;99999,VLOOKUP($AF$14,$AB$12:$AE$36,2,0),"")</f>
        <v>0.54513888888888895</v>
      </c>
      <c r="G22" s="540">
        <f ca="1">IF($AF$14&lt;99999,VLOOKUP($AF$14,$AB$12:$AE$36,3,0),"")</f>
        <v>2</v>
      </c>
      <c r="H22" s="541" t="str">
        <f ca="1">IF($AF$14&lt;99999,VLOOKUP($AF$14,$AB$12:$AE$36,4,0),"")</f>
        <v>Manchester City</v>
      </c>
      <c r="J22" s="523">
        <f t="shared" ca="1" si="39"/>
        <v>0</v>
      </c>
      <c r="K22" s="523" t="str">
        <f t="shared" ca="1" si="41"/>
        <v/>
      </c>
      <c r="L22" s="150">
        <f ca="1">'Endrunde 4'!$C22</f>
        <v>25</v>
      </c>
      <c r="M22" s="548">
        <f t="shared" ca="1" si="3"/>
        <v>100021</v>
      </c>
      <c r="N22" s="549">
        <f ca="1">IF(P22="",99999,'Endrunde 4'!$D22)</f>
        <v>99999</v>
      </c>
      <c r="O22" s="259" t="str">
        <f ca="1">IF(P22="","",'Endrunde 4'!$E22)</f>
        <v/>
      </c>
      <c r="P22" s="260" t="str">
        <f ca="1">IF($C$4="","",IF('Endrunde 4'!$I22=$C$4,'Endrunde 4'!$K22,IF('Endrunde 4'!$K22=$C$4,'Endrunde 4'!$I22,"")))</f>
        <v/>
      </c>
      <c r="Q22" s="550">
        <f t="shared" ca="1" si="4"/>
        <v>100019</v>
      </c>
      <c r="R22" s="548">
        <f t="shared" ca="1" si="5"/>
        <v>100021</v>
      </c>
      <c r="S22" s="549">
        <f ca="1">IF(U22="",99999,'Endrunde 4'!$D22)</f>
        <v>99999</v>
      </c>
      <c r="T22" s="259" t="str">
        <f ca="1">IF(U22="","",'Endrunde 4'!$E22)</f>
        <v/>
      </c>
      <c r="U22" s="260" t="str">
        <f ca="1">IF($C$9="","",IF('Endrunde 4'!$I22=$C$9,'Endrunde 4'!$K22,IF('Endrunde 4'!$K22=$C$9,'Endrunde 4'!$I22,"")))</f>
        <v/>
      </c>
      <c r="V22" s="550">
        <f t="shared" ca="1" si="6"/>
        <v>100020</v>
      </c>
      <c r="W22" s="548">
        <f t="shared" ca="1" si="7"/>
        <v>100021</v>
      </c>
      <c r="X22" s="549">
        <f ca="1">IF(Z22="",99999,'Endrunde 4'!$D22)</f>
        <v>99999</v>
      </c>
      <c r="Y22" s="259" t="str">
        <f ca="1">IF(Z22="","",'Endrunde 4'!$E22)</f>
        <v/>
      </c>
      <c r="Z22" s="260" t="str">
        <f ca="1">IF($C$14="","",IF('Endrunde 4'!$I22=$C$14,'Endrunde 4'!$K22,IF('Endrunde 4'!$K22=$C$14,'Endrunde 4'!$I22,"")))</f>
        <v/>
      </c>
      <c r="AA22" s="550">
        <f t="shared" ca="1" si="8"/>
        <v>100019</v>
      </c>
      <c r="AB22" s="548">
        <f t="shared" ca="1" si="9"/>
        <v>100021</v>
      </c>
      <c r="AC22" s="549">
        <f ca="1">IF(AE22="",99999,'Endrunde 4'!$D22)</f>
        <v>99999</v>
      </c>
      <c r="AD22" s="259" t="str">
        <f ca="1">IF(AE22="","",'Endrunde 4'!$E22)</f>
        <v/>
      </c>
      <c r="AE22" s="260" t="str">
        <f ca="1">IF($C$19="","",IF('Endrunde 4'!$I22=$C$19,'Endrunde 4'!$K22,IF('Endrunde 4'!$K22=$C$19,'Endrunde 4'!$I22,"")))</f>
        <v/>
      </c>
      <c r="AF22" s="550">
        <f t="shared" ca="1" si="10"/>
        <v>100018</v>
      </c>
      <c r="AG22" s="548">
        <f t="shared" ca="1" si="11"/>
        <v>100021</v>
      </c>
      <c r="AH22" s="549">
        <f ca="1">IF(AJ22="",99999,'Endrunde 4'!$D22)</f>
        <v>99999</v>
      </c>
      <c r="AI22" s="259" t="str">
        <f ca="1">IF(AJ22="","",'Endrunde 4'!$E22)</f>
        <v/>
      </c>
      <c r="AJ22" s="260" t="str">
        <f ca="1">IF($C$24="","",IF('Endrunde 4'!$I22=$C$24,'Endrunde 4'!$K22,IF('Endrunde 4'!$K22=$C$24,'Endrunde 4'!$I22,"")))</f>
        <v/>
      </c>
      <c r="AK22" s="550">
        <f t="shared" ca="1" si="12"/>
        <v>100019</v>
      </c>
      <c r="AL22" s="548">
        <f t="shared" si="13"/>
        <v>100021</v>
      </c>
      <c r="AM22" s="549">
        <f>IF(AO22="",99999,'Endrunde 4'!$D22)</f>
        <v>99999</v>
      </c>
      <c r="AN22" s="259" t="str">
        <f>IF(AO22="","",'Endrunde 4'!$E22)</f>
        <v/>
      </c>
      <c r="AO22" s="260" t="str">
        <f>IF($C$29="","",IF('Endrunde 4'!$I22=$C$29,'Endrunde 4'!$K22,IF('Endrunde 4'!$K22=$C$29,'Endrunde 4'!$I22,"")))</f>
        <v/>
      </c>
      <c r="AP22" s="550">
        <f t="shared" si="14"/>
        <v>100021</v>
      </c>
      <c r="AQ22" s="548">
        <f t="shared" si="15"/>
        <v>100021</v>
      </c>
      <c r="AR22" s="549">
        <f>IF(AT22="",99999,'Endrunde 4'!$D22)</f>
        <v>99999</v>
      </c>
      <c r="AS22" s="259" t="str">
        <f>IF(AT22="","",'Endrunde 4'!$E22)</f>
        <v/>
      </c>
      <c r="AT22" s="260" t="str">
        <f>IF($C$34="","",IF('Endrunde 4'!$I22=$C$34,'Endrunde 4'!$K22,IF('Endrunde 4'!$K22=$C$34,'Endrunde 4'!$I22,"")))</f>
        <v/>
      </c>
      <c r="AU22" s="550">
        <f t="shared" si="16"/>
        <v>100021</v>
      </c>
      <c r="AV22" s="548">
        <f t="shared" si="17"/>
        <v>100021</v>
      </c>
      <c r="AW22" s="549">
        <f>IF(AY22="",99999,'Endrunde 4'!$D22)</f>
        <v>99999</v>
      </c>
      <c r="AX22" s="259" t="str">
        <f>IF(AY22="","",'Endrunde 4'!$E22)</f>
        <v/>
      </c>
      <c r="AY22" s="260" t="str">
        <f>IF($C$39="","",IF('Endrunde 4'!$I22=$C$39,'Endrunde 4'!$K22,IF('Endrunde 4'!$K22=$C$39,'Endrunde 4'!$I22,"")))</f>
        <v/>
      </c>
      <c r="AZ22" s="550">
        <f t="shared" si="18"/>
        <v>100021</v>
      </c>
      <c r="BA22" s="548">
        <f t="shared" si="19"/>
        <v>100021</v>
      </c>
      <c r="BB22" s="549">
        <f>IF(BD22="",99999,'Endrunde 4'!$D22)</f>
        <v>99999</v>
      </c>
      <c r="BC22" s="259" t="str">
        <f>IF(BD22="","",'Endrunde 4'!$E22)</f>
        <v/>
      </c>
      <c r="BD22" s="260" t="str">
        <f>IF($C$44="","",IF('Endrunde 4'!$I22=$C$44,'Endrunde 4'!$K22,IF('Endrunde 4'!$K22=$C$44,'Endrunde 4'!$I22,"")))</f>
        <v/>
      </c>
      <c r="BE22" s="550">
        <f t="shared" si="20"/>
        <v>100021</v>
      </c>
      <c r="BF22" s="548">
        <f t="shared" ca="1" si="21"/>
        <v>100021</v>
      </c>
      <c r="BG22" s="549">
        <f ca="1">IF(BI22="",99999,'Endrunde 4'!$D22)</f>
        <v>99999</v>
      </c>
      <c r="BH22" s="259" t="str">
        <f ca="1">IF(BI22="","",'Endrunde 4'!$E22)</f>
        <v/>
      </c>
      <c r="BI22" s="260" t="str">
        <f ca="1">IF($C$49="","",IF('Endrunde 4'!$I22=$C$49,'Endrunde 4'!$K22,IF('Endrunde 4'!$K22=$C$49,'Endrunde 4'!$I22,"")))</f>
        <v/>
      </c>
      <c r="BJ22" s="550">
        <f t="shared" ca="1" si="22"/>
        <v>100018</v>
      </c>
      <c r="BK22" s="548">
        <f t="shared" ca="1" si="23"/>
        <v>100021</v>
      </c>
      <c r="BL22" s="549">
        <f ca="1">IF(BN22="",99999,'Endrunde 4'!$D22)</f>
        <v>99999</v>
      </c>
      <c r="BM22" s="259" t="str">
        <f ca="1">IF(BN22="","",'Endrunde 4'!$E22)</f>
        <v/>
      </c>
      <c r="BN22" s="260" t="str">
        <f ca="1">IF($C$54="","",IF('Endrunde 4'!$I22=$C$54,'Endrunde 4'!$K22,IF('Endrunde 4'!$K22=$C$54,'Endrunde 4'!$I22,"")))</f>
        <v/>
      </c>
      <c r="BO22" s="550">
        <f t="shared" ca="1" si="24"/>
        <v>100020</v>
      </c>
      <c r="BP22" s="548">
        <f t="shared" ca="1" si="25"/>
        <v>100021</v>
      </c>
      <c r="BQ22" s="549">
        <f ca="1">IF(BS22="",99999,'Endrunde 4'!$D22)</f>
        <v>99999</v>
      </c>
      <c r="BR22" s="259" t="str">
        <f ca="1">IF(BS22="","",'Endrunde 4'!$E22)</f>
        <v/>
      </c>
      <c r="BS22" s="260" t="str">
        <f ca="1">IF($C$59="","",IF('Endrunde 4'!$I22=$C$59,'Endrunde 4'!$K22,IF('Endrunde 4'!$K22=$C$59,'Endrunde 4'!$I22,"")))</f>
        <v/>
      </c>
      <c r="BT22" s="550">
        <f t="shared" ca="1" si="26"/>
        <v>100019</v>
      </c>
      <c r="BU22" s="548">
        <f t="shared" ca="1" si="27"/>
        <v>100021</v>
      </c>
      <c r="BV22" s="549">
        <f ca="1">IF(BX22="",99999,'Endrunde 4'!$D22)</f>
        <v>99999</v>
      </c>
      <c r="BW22" s="259" t="str">
        <f ca="1">IF(BX22="","",'Endrunde 4'!$E22)</f>
        <v/>
      </c>
      <c r="BX22" s="260" t="str">
        <f ca="1">IF($C$64="","",IF('Endrunde 4'!$I22=$C$64,'Endrunde 4'!$K22,IF('Endrunde 4'!$K22=$C$64,'Endrunde 4'!$I22,"")))</f>
        <v/>
      </c>
      <c r="BY22" s="550">
        <f t="shared" ca="1" si="28"/>
        <v>100019</v>
      </c>
      <c r="BZ22" s="548">
        <f t="shared" ca="1" si="29"/>
        <v>100021</v>
      </c>
      <c r="CA22" s="549">
        <f ca="1">IF(CC22="",99999,'Endrunde 4'!$D22)</f>
        <v>99999</v>
      </c>
      <c r="CB22" s="259" t="str">
        <f ca="1">IF(CC22="","",'Endrunde 4'!$E22)</f>
        <v/>
      </c>
      <c r="CC22" s="260" t="str">
        <f ca="1">IF($C$69="","",IF('Endrunde 4'!$I22=$C$69,'Endrunde 4'!$K22,IF('Endrunde 4'!$K22=$C$69,'Endrunde 4'!$I22,"")))</f>
        <v/>
      </c>
      <c r="CD22" s="550">
        <f t="shared" ca="1" si="30"/>
        <v>100019</v>
      </c>
      <c r="CE22" s="548">
        <f t="shared" si="31"/>
        <v>100021</v>
      </c>
      <c r="CF22" s="549">
        <f>IF(CH22="",99999,'Endrunde 4'!$D22)</f>
        <v>99999</v>
      </c>
      <c r="CG22" s="259" t="str">
        <f>IF(CH22="","",'Endrunde 4'!$E22)</f>
        <v/>
      </c>
      <c r="CH22" s="260" t="str">
        <f>IF($C$74="","",IF('Endrunde 4'!$I22=$C$74,'Endrunde 4'!$K22,IF('Endrunde 4'!$K22=$C$74,'Endrunde 4'!$I22,"")))</f>
        <v/>
      </c>
      <c r="CI22" s="550">
        <f t="shared" si="32"/>
        <v>100021</v>
      </c>
      <c r="CJ22" s="548">
        <f t="shared" si="33"/>
        <v>100021</v>
      </c>
      <c r="CK22" s="549">
        <f>IF(CM22="",99999,'Endrunde 4'!$D22)</f>
        <v>99999</v>
      </c>
      <c r="CL22" s="259" t="str">
        <f>IF(CM22="","",'Endrunde 4'!$E22)</f>
        <v/>
      </c>
      <c r="CM22" s="260" t="str">
        <f>IF($C$79="","",IF('Endrunde 4'!$I22=$C$79,'Endrunde 4'!$K22,IF('Endrunde 4'!$K22=$C$79,'Endrunde 4'!$I22,"")))</f>
        <v/>
      </c>
      <c r="CN22" s="550">
        <f t="shared" si="34"/>
        <v>100021</v>
      </c>
      <c r="CO22" s="548">
        <f t="shared" si="35"/>
        <v>100021</v>
      </c>
      <c r="CP22" s="549">
        <f>IF(CR22="",99999,'Endrunde 4'!$D22)</f>
        <v>99999</v>
      </c>
      <c r="CQ22" s="259" t="str">
        <f>IF(CR22="","",'Endrunde 4'!$E22)</f>
        <v/>
      </c>
      <c r="CR22" s="260" t="str">
        <f>IF($C$84="","",IF('Endrunde 4'!$I22=$C$84,'Endrunde 4'!$K22,IF('Endrunde 4'!$K22=$C$84,'Endrunde 4'!$I22,"")))</f>
        <v/>
      </c>
      <c r="CS22" s="550">
        <f t="shared" si="36"/>
        <v>100021</v>
      </c>
      <c r="CT22" s="548">
        <f t="shared" si="37"/>
        <v>100021</v>
      </c>
      <c r="CU22" s="549">
        <f>IF(CW22="",99999,'Endrunde 4'!$D22)</f>
        <v>99999</v>
      </c>
      <c r="CV22" s="259" t="str">
        <f>IF(CW22="","",'Endrunde 4'!$E22)</f>
        <v/>
      </c>
      <c r="CW22" s="260" t="str">
        <f>IF($C$89="","",IF('Endrunde 4'!$I22=$C$89,'Endrunde 4'!$K22,IF('Endrunde 4'!$K22=$C$89,'Endrunde 4'!$I22,"")))</f>
        <v/>
      </c>
      <c r="CX22" s="550">
        <f t="shared" si="38"/>
        <v>100021</v>
      </c>
    </row>
    <row r="23" spans="2:102" ht="30" customHeight="1" thickBot="1" x14ac:dyDescent="0.25">
      <c r="J23" s="523">
        <f t="shared" ca="1" si="39"/>
        <v>0</v>
      </c>
      <c r="L23" s="150">
        <f ca="1">'Endrunde 4'!$C23</f>
        <v>25</v>
      </c>
      <c r="M23" s="548">
        <f t="shared" ca="1" si="3"/>
        <v>23.520833333333332</v>
      </c>
      <c r="N23" s="549">
        <f ca="1">IF(P23="",99999,'Endrunde 4'!$D23)</f>
        <v>0.52083333333333337</v>
      </c>
      <c r="O23" s="259">
        <f ca="1">IF(P23="","",'Endrunde 4'!$E23)</f>
        <v>1</v>
      </c>
      <c r="P23" s="260" t="str">
        <f ca="1">IF($C$4="","",IF('Endrunde 4'!$I23=$C$4,'Endrunde 4'!$K23,IF('Endrunde 4'!$K23=$C$4,'Endrunde 4'!$I23,"")))</f>
        <v>VFB Essenheim</v>
      </c>
      <c r="Q23" s="550">
        <f t="shared" ca="1" si="4"/>
        <v>100020</v>
      </c>
      <c r="R23" s="548">
        <f t="shared" ca="1" si="5"/>
        <v>100022</v>
      </c>
      <c r="S23" s="549">
        <f ca="1">IF(U23="",99999,'Endrunde 4'!$D23)</f>
        <v>99999</v>
      </c>
      <c r="T23" s="259" t="str">
        <f ca="1">IF(U23="","",'Endrunde 4'!$E23)</f>
        <v/>
      </c>
      <c r="U23" s="260" t="str">
        <f ca="1">IF($C$9="","",IF('Endrunde 4'!$I23=$C$9,'Endrunde 4'!$K23,IF('Endrunde 4'!$K23=$C$9,'Endrunde 4'!$I23,"")))</f>
        <v/>
      </c>
      <c r="V23" s="550">
        <f t="shared" ca="1" si="6"/>
        <v>100021</v>
      </c>
      <c r="W23" s="548">
        <f t="shared" ca="1" si="7"/>
        <v>100022</v>
      </c>
      <c r="X23" s="549">
        <f ca="1">IF(Z23="",99999,'Endrunde 4'!$D23)</f>
        <v>99999</v>
      </c>
      <c r="Y23" s="259" t="str">
        <f ca="1">IF(Z23="","",'Endrunde 4'!$E23)</f>
        <v/>
      </c>
      <c r="Z23" s="260" t="str">
        <f ca="1">IF($C$14="","",IF('Endrunde 4'!$I23=$C$14,'Endrunde 4'!$K23,IF('Endrunde 4'!$K23=$C$14,'Endrunde 4'!$I23,"")))</f>
        <v/>
      </c>
      <c r="AA23" s="550">
        <f t="shared" ca="1" si="8"/>
        <v>100020</v>
      </c>
      <c r="AB23" s="548">
        <f t="shared" ca="1" si="9"/>
        <v>100022</v>
      </c>
      <c r="AC23" s="549">
        <f ca="1">IF(AE23="",99999,'Endrunde 4'!$D23)</f>
        <v>99999</v>
      </c>
      <c r="AD23" s="259" t="str">
        <f ca="1">IF(AE23="","",'Endrunde 4'!$E23)</f>
        <v/>
      </c>
      <c r="AE23" s="260" t="str">
        <f ca="1">IF($C$19="","",IF('Endrunde 4'!$I23=$C$19,'Endrunde 4'!$K23,IF('Endrunde 4'!$K23=$C$19,'Endrunde 4'!$I23,"")))</f>
        <v/>
      </c>
      <c r="AF23" s="550">
        <f t="shared" ca="1" si="10"/>
        <v>100020</v>
      </c>
      <c r="AG23" s="548">
        <f t="shared" ca="1" si="11"/>
        <v>23.520833333333332</v>
      </c>
      <c r="AH23" s="549">
        <f ca="1">IF(AJ23="",99999,'Endrunde 4'!$D23)</f>
        <v>0.52083333333333337</v>
      </c>
      <c r="AI23" s="259">
        <f ca="1">IF(AJ23="","",'Endrunde 4'!$E23)</f>
        <v>1</v>
      </c>
      <c r="AJ23" s="260" t="str">
        <f ca="1">IF($C$24="","",IF('Endrunde 4'!$I23=$C$24,'Endrunde 4'!$K23,IF('Endrunde 4'!$K23=$C$24,'Endrunde 4'!$I23,"")))</f>
        <v>1. FC Riedwald</v>
      </c>
      <c r="AK23" s="550">
        <f t="shared" ca="1" si="12"/>
        <v>100020</v>
      </c>
      <c r="AL23" s="548">
        <f t="shared" si="13"/>
        <v>100022</v>
      </c>
      <c r="AM23" s="549">
        <f>IF(AO23="",99999,'Endrunde 4'!$D23)</f>
        <v>99999</v>
      </c>
      <c r="AN23" s="259" t="str">
        <f>IF(AO23="","",'Endrunde 4'!$E23)</f>
        <v/>
      </c>
      <c r="AO23" s="260" t="str">
        <f>IF($C$29="","",IF('Endrunde 4'!$I23=$C$29,'Endrunde 4'!$K23,IF('Endrunde 4'!$K23=$C$29,'Endrunde 4'!$I23,"")))</f>
        <v/>
      </c>
      <c r="AP23" s="550">
        <f t="shared" si="14"/>
        <v>100022</v>
      </c>
      <c r="AQ23" s="548">
        <f t="shared" si="15"/>
        <v>100022</v>
      </c>
      <c r="AR23" s="549">
        <f>IF(AT23="",99999,'Endrunde 4'!$D23)</f>
        <v>99999</v>
      </c>
      <c r="AS23" s="259" t="str">
        <f>IF(AT23="","",'Endrunde 4'!$E23)</f>
        <v/>
      </c>
      <c r="AT23" s="260" t="str">
        <f>IF($C$34="","",IF('Endrunde 4'!$I23=$C$34,'Endrunde 4'!$K23,IF('Endrunde 4'!$K23=$C$34,'Endrunde 4'!$I23,"")))</f>
        <v/>
      </c>
      <c r="AU23" s="550">
        <f t="shared" si="16"/>
        <v>100022</v>
      </c>
      <c r="AV23" s="548">
        <f t="shared" si="17"/>
        <v>100022</v>
      </c>
      <c r="AW23" s="549">
        <f>IF(AY23="",99999,'Endrunde 4'!$D23)</f>
        <v>99999</v>
      </c>
      <c r="AX23" s="259" t="str">
        <f>IF(AY23="","",'Endrunde 4'!$E23)</f>
        <v/>
      </c>
      <c r="AY23" s="260" t="str">
        <f>IF($C$39="","",IF('Endrunde 4'!$I23=$C$39,'Endrunde 4'!$K23,IF('Endrunde 4'!$K23=$C$39,'Endrunde 4'!$I23,"")))</f>
        <v/>
      </c>
      <c r="AZ23" s="550">
        <f t="shared" si="18"/>
        <v>100022</v>
      </c>
      <c r="BA23" s="548">
        <f t="shared" si="19"/>
        <v>100022</v>
      </c>
      <c r="BB23" s="549">
        <f>IF(BD23="",99999,'Endrunde 4'!$D23)</f>
        <v>99999</v>
      </c>
      <c r="BC23" s="259" t="str">
        <f>IF(BD23="","",'Endrunde 4'!$E23)</f>
        <v/>
      </c>
      <c r="BD23" s="260" t="str">
        <f>IF($C$44="","",IF('Endrunde 4'!$I23=$C$44,'Endrunde 4'!$K23,IF('Endrunde 4'!$K23=$C$44,'Endrunde 4'!$I23,"")))</f>
        <v/>
      </c>
      <c r="BE23" s="550">
        <f t="shared" si="20"/>
        <v>100022</v>
      </c>
      <c r="BF23" s="548">
        <f t="shared" ca="1" si="21"/>
        <v>100022</v>
      </c>
      <c r="BG23" s="549">
        <f ca="1">IF(BI23="",99999,'Endrunde 4'!$D23)</f>
        <v>99999</v>
      </c>
      <c r="BH23" s="259" t="str">
        <f ca="1">IF(BI23="","",'Endrunde 4'!$E23)</f>
        <v/>
      </c>
      <c r="BI23" s="260" t="str">
        <f ca="1">IF($C$49="","",IF('Endrunde 4'!$I23=$C$49,'Endrunde 4'!$K23,IF('Endrunde 4'!$K23=$C$49,'Endrunde 4'!$I23,"")))</f>
        <v/>
      </c>
      <c r="BJ23" s="550">
        <f t="shared" ca="1" si="22"/>
        <v>100020</v>
      </c>
      <c r="BK23" s="548">
        <f t="shared" ca="1" si="23"/>
        <v>100022</v>
      </c>
      <c r="BL23" s="549">
        <f ca="1">IF(BN23="",99999,'Endrunde 4'!$D23)</f>
        <v>99999</v>
      </c>
      <c r="BM23" s="259" t="str">
        <f ca="1">IF(BN23="","",'Endrunde 4'!$E23)</f>
        <v/>
      </c>
      <c r="BN23" s="260" t="str">
        <f ca="1">IF($C$54="","",IF('Endrunde 4'!$I23=$C$54,'Endrunde 4'!$K23,IF('Endrunde 4'!$K23=$C$54,'Endrunde 4'!$I23,"")))</f>
        <v/>
      </c>
      <c r="BO23" s="550">
        <f t="shared" ca="1" si="24"/>
        <v>100021</v>
      </c>
      <c r="BP23" s="548">
        <f t="shared" ca="1" si="25"/>
        <v>100022</v>
      </c>
      <c r="BQ23" s="549">
        <f ca="1">IF(BS23="",99999,'Endrunde 4'!$D23)</f>
        <v>99999</v>
      </c>
      <c r="BR23" s="259" t="str">
        <f ca="1">IF(BS23="","",'Endrunde 4'!$E23)</f>
        <v/>
      </c>
      <c r="BS23" s="260" t="str">
        <f ca="1">IF($C$59="","",IF('Endrunde 4'!$I23=$C$59,'Endrunde 4'!$K23,IF('Endrunde 4'!$K23=$C$59,'Endrunde 4'!$I23,"")))</f>
        <v/>
      </c>
      <c r="BT23" s="550">
        <f t="shared" ca="1" si="26"/>
        <v>100020</v>
      </c>
      <c r="BU23" s="548">
        <f t="shared" ca="1" si="27"/>
        <v>100022</v>
      </c>
      <c r="BV23" s="549">
        <f ca="1">IF(BX23="",99999,'Endrunde 4'!$D23)</f>
        <v>99999</v>
      </c>
      <c r="BW23" s="259" t="str">
        <f ca="1">IF(BX23="","",'Endrunde 4'!$E23)</f>
        <v/>
      </c>
      <c r="BX23" s="260" t="str">
        <f ca="1">IF($C$64="","",IF('Endrunde 4'!$I23=$C$64,'Endrunde 4'!$K23,IF('Endrunde 4'!$K23=$C$64,'Endrunde 4'!$I23,"")))</f>
        <v/>
      </c>
      <c r="BY23" s="550">
        <f t="shared" ca="1" si="28"/>
        <v>100020</v>
      </c>
      <c r="BZ23" s="548">
        <f t="shared" ca="1" si="29"/>
        <v>100022</v>
      </c>
      <c r="CA23" s="549">
        <f ca="1">IF(CC23="",99999,'Endrunde 4'!$D23)</f>
        <v>99999</v>
      </c>
      <c r="CB23" s="259" t="str">
        <f ca="1">IF(CC23="","",'Endrunde 4'!$E23)</f>
        <v/>
      </c>
      <c r="CC23" s="260" t="str">
        <f ca="1">IF($C$69="","",IF('Endrunde 4'!$I23=$C$69,'Endrunde 4'!$K23,IF('Endrunde 4'!$K23=$C$69,'Endrunde 4'!$I23,"")))</f>
        <v/>
      </c>
      <c r="CD23" s="550">
        <f t="shared" ca="1" si="30"/>
        <v>100020</v>
      </c>
      <c r="CE23" s="548">
        <f t="shared" si="31"/>
        <v>100022</v>
      </c>
      <c r="CF23" s="549">
        <f>IF(CH23="",99999,'Endrunde 4'!$D23)</f>
        <v>99999</v>
      </c>
      <c r="CG23" s="259" t="str">
        <f>IF(CH23="","",'Endrunde 4'!$E23)</f>
        <v/>
      </c>
      <c r="CH23" s="260" t="str">
        <f>IF($C$74="","",IF('Endrunde 4'!$I23=$C$74,'Endrunde 4'!$K23,IF('Endrunde 4'!$K23=$C$74,'Endrunde 4'!$I23,"")))</f>
        <v/>
      </c>
      <c r="CI23" s="550">
        <f t="shared" si="32"/>
        <v>100022</v>
      </c>
      <c r="CJ23" s="548">
        <f t="shared" si="33"/>
        <v>100022</v>
      </c>
      <c r="CK23" s="549">
        <f>IF(CM23="",99999,'Endrunde 4'!$D23)</f>
        <v>99999</v>
      </c>
      <c r="CL23" s="259" t="str">
        <f>IF(CM23="","",'Endrunde 4'!$E23)</f>
        <v/>
      </c>
      <c r="CM23" s="260" t="str">
        <f>IF($C$79="","",IF('Endrunde 4'!$I23=$C$79,'Endrunde 4'!$K23,IF('Endrunde 4'!$K23=$C$79,'Endrunde 4'!$I23,"")))</f>
        <v/>
      </c>
      <c r="CN23" s="550">
        <f t="shared" si="34"/>
        <v>100022</v>
      </c>
      <c r="CO23" s="548">
        <f t="shared" si="35"/>
        <v>100022</v>
      </c>
      <c r="CP23" s="549">
        <f>IF(CR23="",99999,'Endrunde 4'!$D23)</f>
        <v>99999</v>
      </c>
      <c r="CQ23" s="259" t="str">
        <f>IF(CR23="","",'Endrunde 4'!$E23)</f>
        <v/>
      </c>
      <c r="CR23" s="260" t="str">
        <f>IF($C$84="","",IF('Endrunde 4'!$I23=$C$84,'Endrunde 4'!$K23,IF('Endrunde 4'!$K23=$C$84,'Endrunde 4'!$I23,"")))</f>
        <v/>
      </c>
      <c r="CS23" s="550">
        <f t="shared" si="36"/>
        <v>100022</v>
      </c>
      <c r="CT23" s="548">
        <f t="shared" si="37"/>
        <v>100022</v>
      </c>
      <c r="CU23" s="549">
        <f>IF(CW23="",99999,'Endrunde 4'!$D23)</f>
        <v>99999</v>
      </c>
      <c r="CV23" s="259" t="str">
        <f>IF(CW23="","",'Endrunde 4'!$E23)</f>
        <v/>
      </c>
      <c r="CW23" s="260" t="str">
        <f>IF($C$89="","",IF('Endrunde 4'!$I23=$C$89,'Endrunde 4'!$K23,IF('Endrunde 4'!$K23=$C$89,'Endrunde 4'!$I23,"")))</f>
        <v/>
      </c>
      <c r="CX23" s="550">
        <f t="shared" si="38"/>
        <v>100022</v>
      </c>
    </row>
    <row r="24" spans="2:102" ht="15.95" customHeight="1" x14ac:dyDescent="0.2">
      <c r="B24" s="525" t="s">
        <v>201</v>
      </c>
      <c r="C24" s="526" t="str">
        <f>IF(Planung!$C$15="","",Planung!$C$15)</f>
        <v>VFB Essenheim</v>
      </c>
      <c r="E24" s="527" t="str">
        <f>Sprache!$E$69</f>
        <v>Spiel Nr.</v>
      </c>
      <c r="F24" s="528" t="str">
        <f>Sprache!$E$39</f>
        <v>Beginn</v>
      </c>
      <c r="G24" s="529" t="str">
        <f>Sprache!$E$48</f>
        <v>Feld</v>
      </c>
      <c r="H24" s="530" t="str">
        <f>Sprache!$E$46</f>
        <v>Spiel gegen</v>
      </c>
      <c r="J24" s="523">
        <f t="shared" ca="1" si="39"/>
        <v>0</v>
      </c>
      <c r="L24" s="150">
        <f ca="1">'Endrunde 4'!$C24</f>
        <v>26</v>
      </c>
      <c r="M24" s="548">
        <f t="shared" ca="1" si="3"/>
        <v>100023</v>
      </c>
      <c r="N24" s="549">
        <f ca="1">IF(P24="",99999,'Endrunde 4'!$D24)</f>
        <v>99999</v>
      </c>
      <c r="O24" s="259" t="str">
        <f ca="1">IF(P24="","",'Endrunde 4'!$E24)</f>
        <v/>
      </c>
      <c r="P24" s="260" t="str">
        <f ca="1">IF($C$4="","",IF('Endrunde 4'!$I24=$C$4,'Endrunde 4'!$K24,IF('Endrunde 4'!$K24=$C$4,'Endrunde 4'!$I24,"")))</f>
        <v/>
      </c>
      <c r="Q24" s="550">
        <f t="shared" ca="1" si="4"/>
        <v>100021</v>
      </c>
      <c r="R24" s="548">
        <f t="shared" ca="1" si="5"/>
        <v>100023</v>
      </c>
      <c r="S24" s="549">
        <f ca="1">IF(U24="",99999,'Endrunde 4'!$D24)</f>
        <v>99999</v>
      </c>
      <c r="T24" s="259" t="str">
        <f ca="1">IF(U24="","",'Endrunde 4'!$E24)</f>
        <v/>
      </c>
      <c r="U24" s="260" t="str">
        <f ca="1">IF($C$9="","",IF('Endrunde 4'!$I24=$C$9,'Endrunde 4'!$K24,IF('Endrunde 4'!$K24=$C$9,'Endrunde 4'!$I24,"")))</f>
        <v/>
      </c>
      <c r="V24" s="550">
        <f t="shared" ca="1" si="6"/>
        <v>100022</v>
      </c>
      <c r="W24" s="548">
        <f t="shared" ca="1" si="7"/>
        <v>24.520833333333332</v>
      </c>
      <c r="X24" s="549">
        <f ca="1">IF(Z24="",99999,'Endrunde 4'!$D24)</f>
        <v>0.52083333333333337</v>
      </c>
      <c r="Y24" s="259">
        <f ca="1">IF(Z24="","",'Endrunde 4'!$E24)</f>
        <v>2</v>
      </c>
      <c r="Z24" s="260" t="str">
        <f ca="1">IF($C$14="","",IF('Endrunde 4'!$I24=$C$14,'Endrunde 4'!$K24,IF('Endrunde 4'!$K24=$C$14,'Endrunde 4'!$I24,"")))</f>
        <v>Maibach 1822 eV</v>
      </c>
      <c r="AA24" s="550">
        <f t="shared" ca="1" si="8"/>
        <v>100021</v>
      </c>
      <c r="AB24" s="548">
        <f t="shared" ca="1" si="9"/>
        <v>24.520833333333332</v>
      </c>
      <c r="AC24" s="549">
        <f ca="1">IF(AE24="",99999,'Endrunde 4'!$D24)</f>
        <v>0.52083333333333337</v>
      </c>
      <c r="AD24" s="259">
        <f ca="1">IF(AE24="","",'Endrunde 4'!$E24)</f>
        <v>2</v>
      </c>
      <c r="AE24" s="260" t="str">
        <f ca="1">IF($C$19="","",IF('Endrunde 4'!$I24=$C$19,'Endrunde 4'!$K24,IF('Endrunde 4'!$K24=$C$19,'Endrunde 4'!$I24,"")))</f>
        <v>Eintracht Frankfurt</v>
      </c>
      <c r="AF24" s="550">
        <f t="shared" ca="1" si="10"/>
        <v>100021</v>
      </c>
      <c r="AG24" s="548">
        <f t="shared" ca="1" si="11"/>
        <v>100023</v>
      </c>
      <c r="AH24" s="549">
        <f ca="1">IF(AJ24="",99999,'Endrunde 4'!$D24)</f>
        <v>99999</v>
      </c>
      <c r="AI24" s="259" t="str">
        <f ca="1">IF(AJ24="","",'Endrunde 4'!$E24)</f>
        <v/>
      </c>
      <c r="AJ24" s="260" t="str">
        <f ca="1">IF($C$24="","",IF('Endrunde 4'!$I24=$C$24,'Endrunde 4'!$K24,IF('Endrunde 4'!$K24=$C$24,'Endrunde 4'!$I24,"")))</f>
        <v/>
      </c>
      <c r="AK24" s="550">
        <f t="shared" ca="1" si="12"/>
        <v>100021</v>
      </c>
      <c r="AL24" s="548">
        <f t="shared" si="13"/>
        <v>100023</v>
      </c>
      <c r="AM24" s="549">
        <f>IF(AO24="",99999,'Endrunde 4'!$D24)</f>
        <v>99999</v>
      </c>
      <c r="AN24" s="259" t="str">
        <f>IF(AO24="","",'Endrunde 4'!$E24)</f>
        <v/>
      </c>
      <c r="AO24" s="260" t="str">
        <f>IF($C$29="","",IF('Endrunde 4'!$I24=$C$29,'Endrunde 4'!$K24,IF('Endrunde 4'!$K24=$C$29,'Endrunde 4'!$I24,"")))</f>
        <v/>
      </c>
      <c r="AP24" s="550">
        <f t="shared" si="14"/>
        <v>100023</v>
      </c>
      <c r="AQ24" s="548">
        <f t="shared" si="15"/>
        <v>100023</v>
      </c>
      <c r="AR24" s="549">
        <f>IF(AT24="",99999,'Endrunde 4'!$D24)</f>
        <v>99999</v>
      </c>
      <c r="AS24" s="259" t="str">
        <f>IF(AT24="","",'Endrunde 4'!$E24)</f>
        <v/>
      </c>
      <c r="AT24" s="260" t="str">
        <f>IF($C$34="","",IF('Endrunde 4'!$I24=$C$34,'Endrunde 4'!$K24,IF('Endrunde 4'!$K24=$C$34,'Endrunde 4'!$I24,"")))</f>
        <v/>
      </c>
      <c r="AU24" s="550">
        <f t="shared" si="16"/>
        <v>100023</v>
      </c>
      <c r="AV24" s="548">
        <f t="shared" si="17"/>
        <v>100023</v>
      </c>
      <c r="AW24" s="549">
        <f>IF(AY24="",99999,'Endrunde 4'!$D24)</f>
        <v>99999</v>
      </c>
      <c r="AX24" s="259" t="str">
        <f>IF(AY24="","",'Endrunde 4'!$E24)</f>
        <v/>
      </c>
      <c r="AY24" s="260" t="str">
        <f>IF($C$39="","",IF('Endrunde 4'!$I24=$C$39,'Endrunde 4'!$K24,IF('Endrunde 4'!$K24=$C$39,'Endrunde 4'!$I24,"")))</f>
        <v/>
      </c>
      <c r="AZ24" s="550">
        <f t="shared" si="18"/>
        <v>100023</v>
      </c>
      <c r="BA24" s="548">
        <f t="shared" si="19"/>
        <v>100023</v>
      </c>
      <c r="BB24" s="549">
        <f>IF(BD24="",99999,'Endrunde 4'!$D24)</f>
        <v>99999</v>
      </c>
      <c r="BC24" s="259" t="str">
        <f>IF(BD24="","",'Endrunde 4'!$E24)</f>
        <v/>
      </c>
      <c r="BD24" s="260" t="str">
        <f>IF($C$44="","",IF('Endrunde 4'!$I24=$C$44,'Endrunde 4'!$K24,IF('Endrunde 4'!$K24=$C$44,'Endrunde 4'!$I24,"")))</f>
        <v/>
      </c>
      <c r="BE24" s="550">
        <f t="shared" si="20"/>
        <v>100023</v>
      </c>
      <c r="BF24" s="548">
        <f t="shared" ca="1" si="21"/>
        <v>100023</v>
      </c>
      <c r="BG24" s="549">
        <f ca="1">IF(BI24="",99999,'Endrunde 4'!$D24)</f>
        <v>99999</v>
      </c>
      <c r="BH24" s="259" t="str">
        <f ca="1">IF(BI24="","",'Endrunde 4'!$E24)</f>
        <v/>
      </c>
      <c r="BI24" s="260" t="str">
        <f ca="1">IF($C$49="","",IF('Endrunde 4'!$I24=$C$49,'Endrunde 4'!$K24,IF('Endrunde 4'!$K24=$C$49,'Endrunde 4'!$I24,"")))</f>
        <v/>
      </c>
      <c r="BJ24" s="550">
        <f t="shared" ca="1" si="22"/>
        <v>100021</v>
      </c>
      <c r="BK24" s="548">
        <f t="shared" ca="1" si="23"/>
        <v>100023</v>
      </c>
      <c r="BL24" s="549">
        <f ca="1">IF(BN24="",99999,'Endrunde 4'!$D24)</f>
        <v>99999</v>
      </c>
      <c r="BM24" s="259" t="str">
        <f ca="1">IF(BN24="","",'Endrunde 4'!$E24)</f>
        <v/>
      </c>
      <c r="BN24" s="260" t="str">
        <f ca="1">IF($C$54="","",IF('Endrunde 4'!$I24=$C$54,'Endrunde 4'!$K24,IF('Endrunde 4'!$K24=$C$54,'Endrunde 4'!$I24,"")))</f>
        <v/>
      </c>
      <c r="BO24" s="550">
        <f t="shared" ca="1" si="24"/>
        <v>100022</v>
      </c>
      <c r="BP24" s="548">
        <f t="shared" ca="1" si="25"/>
        <v>100023</v>
      </c>
      <c r="BQ24" s="549">
        <f ca="1">IF(BS24="",99999,'Endrunde 4'!$D24)</f>
        <v>99999</v>
      </c>
      <c r="BR24" s="259" t="str">
        <f ca="1">IF(BS24="","",'Endrunde 4'!$E24)</f>
        <v/>
      </c>
      <c r="BS24" s="260" t="str">
        <f ca="1">IF($C$59="","",IF('Endrunde 4'!$I24=$C$59,'Endrunde 4'!$K24,IF('Endrunde 4'!$K24=$C$59,'Endrunde 4'!$I24,"")))</f>
        <v/>
      </c>
      <c r="BT24" s="550">
        <f t="shared" ca="1" si="26"/>
        <v>100021</v>
      </c>
      <c r="BU24" s="548">
        <f t="shared" ca="1" si="27"/>
        <v>100023</v>
      </c>
      <c r="BV24" s="549">
        <f ca="1">IF(BX24="",99999,'Endrunde 4'!$D24)</f>
        <v>99999</v>
      </c>
      <c r="BW24" s="259" t="str">
        <f ca="1">IF(BX24="","",'Endrunde 4'!$E24)</f>
        <v/>
      </c>
      <c r="BX24" s="260" t="str">
        <f ca="1">IF($C$64="","",IF('Endrunde 4'!$I24=$C$64,'Endrunde 4'!$K24,IF('Endrunde 4'!$K24=$C$64,'Endrunde 4'!$I24,"")))</f>
        <v/>
      </c>
      <c r="BY24" s="550">
        <f t="shared" ca="1" si="28"/>
        <v>100021</v>
      </c>
      <c r="BZ24" s="548">
        <f t="shared" ca="1" si="29"/>
        <v>100023</v>
      </c>
      <c r="CA24" s="549">
        <f ca="1">IF(CC24="",99999,'Endrunde 4'!$D24)</f>
        <v>99999</v>
      </c>
      <c r="CB24" s="259" t="str">
        <f ca="1">IF(CC24="","",'Endrunde 4'!$E24)</f>
        <v/>
      </c>
      <c r="CC24" s="260" t="str">
        <f ca="1">IF($C$69="","",IF('Endrunde 4'!$I24=$C$69,'Endrunde 4'!$K24,IF('Endrunde 4'!$K24=$C$69,'Endrunde 4'!$I24,"")))</f>
        <v/>
      </c>
      <c r="CD24" s="550">
        <f t="shared" ca="1" si="30"/>
        <v>100021</v>
      </c>
      <c r="CE24" s="548">
        <f t="shared" si="31"/>
        <v>100023</v>
      </c>
      <c r="CF24" s="549">
        <f>IF(CH24="",99999,'Endrunde 4'!$D24)</f>
        <v>99999</v>
      </c>
      <c r="CG24" s="259" t="str">
        <f>IF(CH24="","",'Endrunde 4'!$E24)</f>
        <v/>
      </c>
      <c r="CH24" s="260" t="str">
        <f>IF($C$74="","",IF('Endrunde 4'!$I24=$C$74,'Endrunde 4'!$K24,IF('Endrunde 4'!$K24=$C$74,'Endrunde 4'!$I24,"")))</f>
        <v/>
      </c>
      <c r="CI24" s="550">
        <f t="shared" si="32"/>
        <v>100023</v>
      </c>
      <c r="CJ24" s="548">
        <f t="shared" si="33"/>
        <v>100023</v>
      </c>
      <c r="CK24" s="549">
        <f>IF(CM24="",99999,'Endrunde 4'!$D24)</f>
        <v>99999</v>
      </c>
      <c r="CL24" s="259" t="str">
        <f>IF(CM24="","",'Endrunde 4'!$E24)</f>
        <v/>
      </c>
      <c r="CM24" s="260" t="str">
        <f>IF($C$79="","",IF('Endrunde 4'!$I24=$C$79,'Endrunde 4'!$K24,IF('Endrunde 4'!$K24=$C$79,'Endrunde 4'!$I24,"")))</f>
        <v/>
      </c>
      <c r="CN24" s="550">
        <f t="shared" si="34"/>
        <v>100023</v>
      </c>
      <c r="CO24" s="548">
        <f t="shared" si="35"/>
        <v>100023</v>
      </c>
      <c r="CP24" s="549">
        <f>IF(CR24="",99999,'Endrunde 4'!$D24)</f>
        <v>99999</v>
      </c>
      <c r="CQ24" s="259" t="str">
        <f>IF(CR24="","",'Endrunde 4'!$E24)</f>
        <v/>
      </c>
      <c r="CR24" s="260" t="str">
        <f>IF($C$84="","",IF('Endrunde 4'!$I24=$C$84,'Endrunde 4'!$K24,IF('Endrunde 4'!$K24=$C$84,'Endrunde 4'!$I24,"")))</f>
        <v/>
      </c>
      <c r="CS24" s="550">
        <f t="shared" si="36"/>
        <v>100023</v>
      </c>
      <c r="CT24" s="548">
        <f t="shared" si="37"/>
        <v>100023</v>
      </c>
      <c r="CU24" s="549">
        <f>IF(CW24="",99999,'Endrunde 4'!$D24)</f>
        <v>99999</v>
      </c>
      <c r="CV24" s="259" t="str">
        <f>IF(CW24="","",'Endrunde 4'!$E24)</f>
        <v/>
      </c>
      <c r="CW24" s="260" t="str">
        <f>IF($C$89="","",IF('Endrunde 4'!$I24=$C$89,'Endrunde 4'!$K24,IF('Endrunde 4'!$K24=$C$89,'Endrunde 4'!$I24,"")))</f>
        <v/>
      </c>
      <c r="CX24" s="550">
        <f t="shared" si="38"/>
        <v>100023</v>
      </c>
    </row>
    <row r="25" spans="2:102" ht="15.95" customHeight="1" x14ac:dyDescent="0.2">
      <c r="E25" s="531">
        <f ca="1">IF($AK$12&lt;99999,INDEX($L$12:$L$36,MATCH($AK$12,$AG$12:$AG$36,0)),"")</f>
        <v>21</v>
      </c>
      <c r="F25" s="532">
        <f ca="1">IF($AK$12&lt;99999,VLOOKUP($AK$12,$AG$12:$AJ$36,2,0),"")</f>
        <v>0.49652777777777779</v>
      </c>
      <c r="G25" s="533">
        <f ca="1">IF($AK$12&lt;99999,VLOOKUP($AK$12,$AG$12:$AJ$36,3,0),"")</f>
        <v>1</v>
      </c>
      <c r="H25" s="534" t="str">
        <f ca="1">IF($AK$12&lt;99999,VLOOKUP($AK$12,$AG$12:$AJ$36,4,0),"")</f>
        <v>SSV Wildbach</v>
      </c>
      <c r="J25" s="523">
        <f t="shared" ca="1" si="39"/>
        <v>0</v>
      </c>
      <c r="K25" s="523" t="str">
        <f ca="1">IF(J25=0,"",$C$24)</f>
        <v/>
      </c>
      <c r="L25" s="150">
        <f ca="1">'Endrunde 4'!$C25</f>
        <v>27</v>
      </c>
      <c r="M25" s="548">
        <f t="shared" ca="1" si="3"/>
        <v>100024</v>
      </c>
      <c r="N25" s="549">
        <f ca="1">IF(P25="",99999,'Endrunde 4'!$D25)</f>
        <v>99999</v>
      </c>
      <c r="O25" s="259" t="str">
        <f ca="1">IF(P25="","",'Endrunde 4'!$E25)</f>
        <v/>
      </c>
      <c r="P25" s="260" t="str">
        <f ca="1">IF($C$4="","",IF('Endrunde 4'!$I25=$C$4,'Endrunde 4'!$K25,IF('Endrunde 4'!$K25=$C$4,'Endrunde 4'!$I25,"")))</f>
        <v/>
      </c>
      <c r="Q25" s="550">
        <f t="shared" ca="1" si="4"/>
        <v>100023</v>
      </c>
      <c r="R25" s="548">
        <f t="shared" ca="1" si="5"/>
        <v>100024</v>
      </c>
      <c r="S25" s="549">
        <f ca="1">IF(U25="",99999,'Endrunde 4'!$D25)</f>
        <v>99999</v>
      </c>
      <c r="T25" s="259" t="str">
        <f ca="1">IF(U25="","",'Endrunde 4'!$E25)</f>
        <v/>
      </c>
      <c r="U25" s="260" t="str">
        <f ca="1">IF($C$9="","",IF('Endrunde 4'!$I25=$C$9,'Endrunde 4'!$K25,IF('Endrunde 4'!$K25=$C$9,'Endrunde 4'!$I25,"")))</f>
        <v/>
      </c>
      <c r="V25" s="550">
        <f t="shared" ca="1" si="6"/>
        <v>100023</v>
      </c>
      <c r="W25" s="548">
        <f t="shared" ca="1" si="7"/>
        <v>100024</v>
      </c>
      <c r="X25" s="549">
        <f ca="1">IF(Z25="",99999,'Endrunde 4'!$D25)</f>
        <v>99999</v>
      </c>
      <c r="Y25" s="259" t="str">
        <f ca="1">IF(Z25="","",'Endrunde 4'!$E25)</f>
        <v/>
      </c>
      <c r="Z25" s="260" t="str">
        <f ca="1">IF($C$14="","",IF('Endrunde 4'!$I25=$C$14,'Endrunde 4'!$K25,IF('Endrunde 4'!$K25=$C$14,'Endrunde 4'!$I25,"")))</f>
        <v/>
      </c>
      <c r="AA25" s="550">
        <f t="shared" ca="1" si="8"/>
        <v>100022</v>
      </c>
      <c r="AB25" s="548">
        <f t="shared" ca="1" si="9"/>
        <v>100024</v>
      </c>
      <c r="AC25" s="549">
        <f ca="1">IF(AE25="",99999,'Endrunde 4'!$D25)</f>
        <v>99999</v>
      </c>
      <c r="AD25" s="259" t="str">
        <f ca="1">IF(AE25="","",'Endrunde 4'!$E25)</f>
        <v/>
      </c>
      <c r="AE25" s="260" t="str">
        <f ca="1">IF($C$19="","",IF('Endrunde 4'!$I25=$C$19,'Endrunde 4'!$K25,IF('Endrunde 4'!$K25=$C$19,'Endrunde 4'!$I25,"")))</f>
        <v/>
      </c>
      <c r="AF25" s="550">
        <f t="shared" ca="1" si="10"/>
        <v>100022</v>
      </c>
      <c r="AG25" s="548">
        <f t="shared" ca="1" si="11"/>
        <v>100024</v>
      </c>
      <c r="AH25" s="549">
        <f ca="1">IF(AJ25="",99999,'Endrunde 4'!$D25)</f>
        <v>99999</v>
      </c>
      <c r="AI25" s="259" t="str">
        <f ca="1">IF(AJ25="","",'Endrunde 4'!$E25)</f>
        <v/>
      </c>
      <c r="AJ25" s="260" t="str">
        <f ca="1">IF($C$24="","",IF('Endrunde 4'!$I25=$C$24,'Endrunde 4'!$K25,IF('Endrunde 4'!$K25=$C$24,'Endrunde 4'!$I25,"")))</f>
        <v/>
      </c>
      <c r="AK25" s="550">
        <f t="shared" ca="1" si="12"/>
        <v>100023</v>
      </c>
      <c r="AL25" s="548">
        <f t="shared" si="13"/>
        <v>100024</v>
      </c>
      <c r="AM25" s="549">
        <f>IF(AO25="",99999,'Endrunde 4'!$D25)</f>
        <v>99999</v>
      </c>
      <c r="AN25" s="259" t="str">
        <f>IF(AO25="","",'Endrunde 4'!$E25)</f>
        <v/>
      </c>
      <c r="AO25" s="260" t="str">
        <f>IF($C$29="","",IF('Endrunde 4'!$I25=$C$29,'Endrunde 4'!$K25,IF('Endrunde 4'!$K25=$C$29,'Endrunde 4'!$I25,"")))</f>
        <v/>
      </c>
      <c r="AP25" s="550">
        <f t="shared" si="14"/>
        <v>100024</v>
      </c>
      <c r="AQ25" s="548">
        <f t="shared" si="15"/>
        <v>100024</v>
      </c>
      <c r="AR25" s="549">
        <f>IF(AT25="",99999,'Endrunde 4'!$D25)</f>
        <v>99999</v>
      </c>
      <c r="AS25" s="259" t="str">
        <f>IF(AT25="","",'Endrunde 4'!$E25)</f>
        <v/>
      </c>
      <c r="AT25" s="260" t="str">
        <f>IF($C$34="","",IF('Endrunde 4'!$I25=$C$34,'Endrunde 4'!$K25,IF('Endrunde 4'!$K25=$C$34,'Endrunde 4'!$I25,"")))</f>
        <v/>
      </c>
      <c r="AU25" s="550">
        <f t="shared" si="16"/>
        <v>100024</v>
      </c>
      <c r="AV25" s="548">
        <f t="shared" si="17"/>
        <v>100024</v>
      </c>
      <c r="AW25" s="549">
        <f>IF(AY25="",99999,'Endrunde 4'!$D25)</f>
        <v>99999</v>
      </c>
      <c r="AX25" s="259" t="str">
        <f>IF(AY25="","",'Endrunde 4'!$E25)</f>
        <v/>
      </c>
      <c r="AY25" s="260" t="str">
        <f>IF($C$39="","",IF('Endrunde 4'!$I25=$C$39,'Endrunde 4'!$K25,IF('Endrunde 4'!$K25=$C$39,'Endrunde 4'!$I25,"")))</f>
        <v/>
      </c>
      <c r="AZ25" s="550">
        <f t="shared" si="18"/>
        <v>100024</v>
      </c>
      <c r="BA25" s="548">
        <f t="shared" si="19"/>
        <v>100024</v>
      </c>
      <c r="BB25" s="549">
        <f>IF(BD25="",99999,'Endrunde 4'!$D25)</f>
        <v>99999</v>
      </c>
      <c r="BC25" s="259" t="str">
        <f>IF(BD25="","",'Endrunde 4'!$E25)</f>
        <v/>
      </c>
      <c r="BD25" s="260" t="str">
        <f>IF($C$44="","",IF('Endrunde 4'!$I25=$C$44,'Endrunde 4'!$K25,IF('Endrunde 4'!$K25=$C$44,'Endrunde 4'!$I25,"")))</f>
        <v/>
      </c>
      <c r="BE25" s="550">
        <f t="shared" si="20"/>
        <v>100024</v>
      </c>
      <c r="BF25" s="548">
        <f t="shared" ca="1" si="21"/>
        <v>100024</v>
      </c>
      <c r="BG25" s="549">
        <f ca="1">IF(BI25="",99999,'Endrunde 4'!$D25)</f>
        <v>99999</v>
      </c>
      <c r="BH25" s="259" t="str">
        <f ca="1">IF(BI25="","",'Endrunde 4'!$E25)</f>
        <v/>
      </c>
      <c r="BI25" s="260" t="str">
        <f ca="1">IF($C$49="","",IF('Endrunde 4'!$I25=$C$49,'Endrunde 4'!$K25,IF('Endrunde 4'!$K25=$C$49,'Endrunde 4'!$I25,"")))</f>
        <v/>
      </c>
      <c r="BJ25" s="550">
        <f t="shared" ca="1" si="22"/>
        <v>100022</v>
      </c>
      <c r="BK25" s="548">
        <f t="shared" ca="1" si="23"/>
        <v>100024</v>
      </c>
      <c r="BL25" s="549">
        <f ca="1">IF(BN25="",99999,'Endrunde 4'!$D25)</f>
        <v>99999</v>
      </c>
      <c r="BM25" s="259" t="str">
        <f ca="1">IF(BN25="","",'Endrunde 4'!$E25)</f>
        <v/>
      </c>
      <c r="BN25" s="260" t="str">
        <f ca="1">IF($C$54="","",IF('Endrunde 4'!$I25=$C$54,'Endrunde 4'!$K25,IF('Endrunde 4'!$K25=$C$54,'Endrunde 4'!$I25,"")))</f>
        <v/>
      </c>
      <c r="BO25" s="550">
        <f t="shared" ca="1" si="24"/>
        <v>100023</v>
      </c>
      <c r="BP25" s="548">
        <f t="shared" ca="1" si="25"/>
        <v>100024</v>
      </c>
      <c r="BQ25" s="549">
        <f ca="1">IF(BS25="",99999,'Endrunde 4'!$D25)</f>
        <v>99999</v>
      </c>
      <c r="BR25" s="259" t="str">
        <f ca="1">IF(BS25="","",'Endrunde 4'!$E25)</f>
        <v/>
      </c>
      <c r="BS25" s="260" t="str">
        <f ca="1">IF($C$59="","",IF('Endrunde 4'!$I25=$C$59,'Endrunde 4'!$K25,IF('Endrunde 4'!$K25=$C$59,'Endrunde 4'!$I25,"")))</f>
        <v/>
      </c>
      <c r="BT25" s="550">
        <f t="shared" ca="1" si="26"/>
        <v>100022</v>
      </c>
      <c r="BU25" s="548">
        <f t="shared" ca="1" si="27"/>
        <v>100024</v>
      </c>
      <c r="BV25" s="549">
        <f ca="1">IF(BX25="",99999,'Endrunde 4'!$D25)</f>
        <v>99999</v>
      </c>
      <c r="BW25" s="259" t="str">
        <f ca="1">IF(BX25="","",'Endrunde 4'!$E25)</f>
        <v/>
      </c>
      <c r="BX25" s="260" t="str">
        <f ca="1">IF($C$64="","",IF('Endrunde 4'!$I25=$C$64,'Endrunde 4'!$K25,IF('Endrunde 4'!$K25=$C$64,'Endrunde 4'!$I25,"")))</f>
        <v/>
      </c>
      <c r="BY25" s="550">
        <f t="shared" ca="1" si="28"/>
        <v>100022</v>
      </c>
      <c r="BZ25" s="548">
        <f t="shared" ca="1" si="29"/>
        <v>100024</v>
      </c>
      <c r="CA25" s="549">
        <f ca="1">IF(CC25="",99999,'Endrunde 4'!$D25)</f>
        <v>99999</v>
      </c>
      <c r="CB25" s="259" t="str">
        <f ca="1">IF(CC25="","",'Endrunde 4'!$E25)</f>
        <v/>
      </c>
      <c r="CC25" s="260" t="str">
        <f ca="1">IF($C$69="","",IF('Endrunde 4'!$I25=$C$69,'Endrunde 4'!$K25,IF('Endrunde 4'!$K25=$C$69,'Endrunde 4'!$I25,"")))</f>
        <v/>
      </c>
      <c r="CD25" s="550">
        <f t="shared" ca="1" si="30"/>
        <v>100022</v>
      </c>
      <c r="CE25" s="548">
        <f t="shared" si="31"/>
        <v>100024</v>
      </c>
      <c r="CF25" s="549">
        <f>IF(CH25="",99999,'Endrunde 4'!$D25)</f>
        <v>99999</v>
      </c>
      <c r="CG25" s="259" t="str">
        <f>IF(CH25="","",'Endrunde 4'!$E25)</f>
        <v/>
      </c>
      <c r="CH25" s="260" t="str">
        <f>IF($C$74="","",IF('Endrunde 4'!$I25=$C$74,'Endrunde 4'!$K25,IF('Endrunde 4'!$K25=$C$74,'Endrunde 4'!$I25,"")))</f>
        <v/>
      </c>
      <c r="CI25" s="550">
        <f t="shared" si="32"/>
        <v>100024</v>
      </c>
      <c r="CJ25" s="548">
        <f t="shared" si="33"/>
        <v>100024</v>
      </c>
      <c r="CK25" s="549">
        <f>IF(CM25="",99999,'Endrunde 4'!$D25)</f>
        <v>99999</v>
      </c>
      <c r="CL25" s="259" t="str">
        <f>IF(CM25="","",'Endrunde 4'!$E25)</f>
        <v/>
      </c>
      <c r="CM25" s="260" t="str">
        <f>IF($C$79="","",IF('Endrunde 4'!$I25=$C$79,'Endrunde 4'!$K25,IF('Endrunde 4'!$K25=$C$79,'Endrunde 4'!$I25,"")))</f>
        <v/>
      </c>
      <c r="CN25" s="550">
        <f t="shared" si="34"/>
        <v>100024</v>
      </c>
      <c r="CO25" s="548">
        <f t="shared" si="35"/>
        <v>100024</v>
      </c>
      <c r="CP25" s="549">
        <f>IF(CR25="",99999,'Endrunde 4'!$D25)</f>
        <v>99999</v>
      </c>
      <c r="CQ25" s="259" t="str">
        <f>IF(CR25="","",'Endrunde 4'!$E25)</f>
        <v/>
      </c>
      <c r="CR25" s="260" t="str">
        <f>IF($C$84="","",IF('Endrunde 4'!$I25=$C$84,'Endrunde 4'!$K25,IF('Endrunde 4'!$K25=$C$84,'Endrunde 4'!$I25,"")))</f>
        <v/>
      </c>
      <c r="CS25" s="550">
        <f t="shared" si="36"/>
        <v>100024</v>
      </c>
      <c r="CT25" s="548">
        <f t="shared" si="37"/>
        <v>100024</v>
      </c>
      <c r="CU25" s="549">
        <f>IF(CW25="",99999,'Endrunde 4'!$D25)</f>
        <v>99999</v>
      </c>
      <c r="CV25" s="259" t="str">
        <f>IF(CW25="","",'Endrunde 4'!$E25)</f>
        <v/>
      </c>
      <c r="CW25" s="260" t="str">
        <f>IF($C$89="","",IF('Endrunde 4'!$I25=$C$89,'Endrunde 4'!$K25,IF('Endrunde 4'!$K25=$C$89,'Endrunde 4'!$I25,"")))</f>
        <v/>
      </c>
      <c r="CX25" s="550">
        <f t="shared" si="38"/>
        <v>100024</v>
      </c>
    </row>
    <row r="26" spans="2:102" ht="15.95" customHeight="1" x14ac:dyDescent="0.2">
      <c r="E26" s="531">
        <f ca="1">IF($AK$13&lt;99999,INDEX($L$12:$L$36,MATCH($AK$13,$AG$12:$AG$36,0)),"")</f>
        <v>25</v>
      </c>
      <c r="F26" s="535">
        <f ca="1">IF($AK$13&lt;99999,VLOOKUP($AK$13,$AG$12:$AJ$36,2,0),"")</f>
        <v>0.52083333333333337</v>
      </c>
      <c r="G26" s="536">
        <f ca="1">IF($AK$13&lt;99999,VLOOKUP($AK$13,$AG$12:$AJ$36,3,0),"")</f>
        <v>1</v>
      </c>
      <c r="H26" s="537" t="str">
        <f ca="1">IF($AK$13&lt;99999,VLOOKUP($AK$13,$AG$12:$AJ$36,4,0),"")</f>
        <v>1. FC Riedwald</v>
      </c>
      <c r="J26" s="523">
        <f t="shared" ca="1" si="39"/>
        <v>0</v>
      </c>
      <c r="K26" s="523" t="str">
        <f t="shared" ref="K26:K27" ca="1" si="42">IF(J26=0,"",$C$24)</f>
        <v/>
      </c>
      <c r="L26" s="150">
        <f ca="1">'Endrunde 4'!$C26</f>
        <v>27</v>
      </c>
      <c r="M26" s="548">
        <f t="shared" ca="1" si="3"/>
        <v>100025</v>
      </c>
      <c r="N26" s="549">
        <f ca="1">IF(P26="",99999,'Endrunde 4'!$D26)</f>
        <v>99999</v>
      </c>
      <c r="O26" s="259" t="str">
        <f ca="1">IF(P26="","",'Endrunde 4'!$E26)</f>
        <v/>
      </c>
      <c r="P26" s="260" t="str">
        <f ca="1">IF($C$4="","",IF('Endrunde 4'!$I26=$C$4,'Endrunde 4'!$K26,IF('Endrunde 4'!$K26=$C$4,'Endrunde 4'!$I26,"")))</f>
        <v/>
      </c>
      <c r="Q26" s="550">
        <f t="shared" ca="1" si="4"/>
        <v>100024</v>
      </c>
      <c r="R26" s="548">
        <f t="shared" ca="1" si="5"/>
        <v>100025</v>
      </c>
      <c r="S26" s="549">
        <f ca="1">IF(U26="",99999,'Endrunde 4'!$D26)</f>
        <v>99999</v>
      </c>
      <c r="T26" s="259" t="str">
        <f ca="1">IF(U26="","",'Endrunde 4'!$E26)</f>
        <v/>
      </c>
      <c r="U26" s="260" t="str">
        <f ca="1">IF($C$9="","",IF('Endrunde 4'!$I26=$C$9,'Endrunde 4'!$K26,IF('Endrunde 4'!$K26=$C$9,'Endrunde 4'!$I26,"")))</f>
        <v/>
      </c>
      <c r="V26" s="550">
        <f t="shared" ca="1" si="6"/>
        <v>100024</v>
      </c>
      <c r="W26" s="548">
        <f t="shared" ca="1" si="7"/>
        <v>100025</v>
      </c>
      <c r="X26" s="549">
        <f ca="1">IF(Z26="",99999,'Endrunde 4'!$D26)</f>
        <v>99999</v>
      </c>
      <c r="Y26" s="259" t="str">
        <f ca="1">IF(Z26="","",'Endrunde 4'!$E26)</f>
        <v/>
      </c>
      <c r="Z26" s="260" t="str">
        <f ca="1">IF($C$14="","",IF('Endrunde 4'!$I26=$C$14,'Endrunde 4'!$K26,IF('Endrunde 4'!$K26=$C$14,'Endrunde 4'!$I26,"")))</f>
        <v/>
      </c>
      <c r="AA26" s="550">
        <f t="shared" ca="1" si="8"/>
        <v>100024</v>
      </c>
      <c r="AB26" s="548">
        <f t="shared" ca="1" si="9"/>
        <v>100025</v>
      </c>
      <c r="AC26" s="549">
        <f ca="1">IF(AE26="",99999,'Endrunde 4'!$D26)</f>
        <v>99999</v>
      </c>
      <c r="AD26" s="259" t="str">
        <f ca="1">IF(AE26="","",'Endrunde 4'!$E26)</f>
        <v/>
      </c>
      <c r="AE26" s="260" t="str">
        <f ca="1">IF($C$19="","",IF('Endrunde 4'!$I26=$C$19,'Endrunde 4'!$K26,IF('Endrunde 4'!$K26=$C$19,'Endrunde 4'!$I26,"")))</f>
        <v/>
      </c>
      <c r="AF26" s="550">
        <f t="shared" ca="1" si="10"/>
        <v>100024</v>
      </c>
      <c r="AG26" s="548">
        <f t="shared" ca="1" si="11"/>
        <v>100025</v>
      </c>
      <c r="AH26" s="549">
        <f ca="1">IF(AJ26="",99999,'Endrunde 4'!$D26)</f>
        <v>99999</v>
      </c>
      <c r="AI26" s="259" t="str">
        <f ca="1">IF(AJ26="","",'Endrunde 4'!$E26)</f>
        <v/>
      </c>
      <c r="AJ26" s="260" t="str">
        <f ca="1">IF($C$24="","",IF('Endrunde 4'!$I26=$C$24,'Endrunde 4'!$K26,IF('Endrunde 4'!$K26=$C$24,'Endrunde 4'!$I26,"")))</f>
        <v/>
      </c>
      <c r="AK26" s="550">
        <f t="shared" ca="1" si="12"/>
        <v>100024</v>
      </c>
      <c r="AL26" s="548">
        <f t="shared" si="13"/>
        <v>100025</v>
      </c>
      <c r="AM26" s="549">
        <f>IF(AO26="",99999,'Endrunde 4'!$D26)</f>
        <v>99999</v>
      </c>
      <c r="AN26" s="259" t="str">
        <f>IF(AO26="","",'Endrunde 4'!$E26)</f>
        <v/>
      </c>
      <c r="AO26" s="260" t="str">
        <f>IF($C$29="","",IF('Endrunde 4'!$I26=$C$29,'Endrunde 4'!$K26,IF('Endrunde 4'!$K26=$C$29,'Endrunde 4'!$I26,"")))</f>
        <v/>
      </c>
      <c r="AP26" s="550">
        <f t="shared" si="14"/>
        <v>100025</v>
      </c>
      <c r="AQ26" s="548">
        <f t="shared" si="15"/>
        <v>100025</v>
      </c>
      <c r="AR26" s="549">
        <f>IF(AT26="",99999,'Endrunde 4'!$D26)</f>
        <v>99999</v>
      </c>
      <c r="AS26" s="259" t="str">
        <f>IF(AT26="","",'Endrunde 4'!$E26)</f>
        <v/>
      </c>
      <c r="AT26" s="260" t="str">
        <f>IF($C$34="","",IF('Endrunde 4'!$I26=$C$34,'Endrunde 4'!$K26,IF('Endrunde 4'!$K26=$C$34,'Endrunde 4'!$I26,"")))</f>
        <v/>
      </c>
      <c r="AU26" s="550">
        <f t="shared" si="16"/>
        <v>100025</v>
      </c>
      <c r="AV26" s="548">
        <f t="shared" si="17"/>
        <v>100025</v>
      </c>
      <c r="AW26" s="549">
        <f>IF(AY26="",99999,'Endrunde 4'!$D26)</f>
        <v>99999</v>
      </c>
      <c r="AX26" s="259" t="str">
        <f>IF(AY26="","",'Endrunde 4'!$E26)</f>
        <v/>
      </c>
      <c r="AY26" s="260" t="str">
        <f>IF($C$39="","",IF('Endrunde 4'!$I26=$C$39,'Endrunde 4'!$K26,IF('Endrunde 4'!$K26=$C$39,'Endrunde 4'!$I26,"")))</f>
        <v/>
      </c>
      <c r="AZ26" s="550">
        <f t="shared" si="18"/>
        <v>100025</v>
      </c>
      <c r="BA26" s="548">
        <f t="shared" si="19"/>
        <v>100025</v>
      </c>
      <c r="BB26" s="549">
        <f>IF(BD26="",99999,'Endrunde 4'!$D26)</f>
        <v>99999</v>
      </c>
      <c r="BC26" s="259" t="str">
        <f>IF(BD26="","",'Endrunde 4'!$E26)</f>
        <v/>
      </c>
      <c r="BD26" s="260" t="str">
        <f>IF($C$44="","",IF('Endrunde 4'!$I26=$C$44,'Endrunde 4'!$K26,IF('Endrunde 4'!$K26=$C$44,'Endrunde 4'!$I26,"")))</f>
        <v/>
      </c>
      <c r="BE26" s="550">
        <f t="shared" si="20"/>
        <v>100025</v>
      </c>
      <c r="BF26" s="548">
        <f t="shared" ca="1" si="21"/>
        <v>100025</v>
      </c>
      <c r="BG26" s="549">
        <f ca="1">IF(BI26="",99999,'Endrunde 4'!$D26)</f>
        <v>99999</v>
      </c>
      <c r="BH26" s="259" t="str">
        <f ca="1">IF(BI26="","",'Endrunde 4'!$E26)</f>
        <v/>
      </c>
      <c r="BI26" s="260" t="str">
        <f ca="1">IF($C$49="","",IF('Endrunde 4'!$I26=$C$49,'Endrunde 4'!$K26,IF('Endrunde 4'!$K26=$C$49,'Endrunde 4'!$I26,"")))</f>
        <v/>
      </c>
      <c r="BJ26" s="550">
        <f t="shared" ca="1" si="22"/>
        <v>100023</v>
      </c>
      <c r="BK26" s="548">
        <f t="shared" ca="1" si="23"/>
        <v>100025</v>
      </c>
      <c r="BL26" s="549">
        <f ca="1">IF(BN26="",99999,'Endrunde 4'!$D26)</f>
        <v>99999</v>
      </c>
      <c r="BM26" s="259" t="str">
        <f ca="1">IF(BN26="","",'Endrunde 4'!$E26)</f>
        <v/>
      </c>
      <c r="BN26" s="260" t="str">
        <f ca="1">IF($C$54="","",IF('Endrunde 4'!$I26=$C$54,'Endrunde 4'!$K26,IF('Endrunde 4'!$K26=$C$54,'Endrunde 4'!$I26,"")))</f>
        <v/>
      </c>
      <c r="BO26" s="550">
        <f t="shared" ca="1" si="24"/>
        <v>100024</v>
      </c>
      <c r="BP26" s="548">
        <f t="shared" ca="1" si="25"/>
        <v>100025</v>
      </c>
      <c r="BQ26" s="549">
        <f ca="1">IF(BS26="",99999,'Endrunde 4'!$D26)</f>
        <v>99999</v>
      </c>
      <c r="BR26" s="259" t="str">
        <f ca="1">IF(BS26="","",'Endrunde 4'!$E26)</f>
        <v/>
      </c>
      <c r="BS26" s="260" t="str">
        <f ca="1">IF($C$59="","",IF('Endrunde 4'!$I26=$C$59,'Endrunde 4'!$K26,IF('Endrunde 4'!$K26=$C$59,'Endrunde 4'!$I26,"")))</f>
        <v/>
      </c>
      <c r="BT26" s="550">
        <f t="shared" ca="1" si="26"/>
        <v>100023</v>
      </c>
      <c r="BU26" s="548">
        <f t="shared" ca="1" si="27"/>
        <v>100025</v>
      </c>
      <c r="BV26" s="549">
        <f ca="1">IF(BX26="",99999,'Endrunde 4'!$D26)</f>
        <v>99999</v>
      </c>
      <c r="BW26" s="259" t="str">
        <f ca="1">IF(BX26="","",'Endrunde 4'!$E26)</f>
        <v/>
      </c>
      <c r="BX26" s="260" t="str">
        <f ca="1">IF($C$64="","",IF('Endrunde 4'!$I26=$C$64,'Endrunde 4'!$K26,IF('Endrunde 4'!$K26=$C$64,'Endrunde 4'!$I26,"")))</f>
        <v/>
      </c>
      <c r="BY26" s="550">
        <f t="shared" ca="1" si="28"/>
        <v>100023</v>
      </c>
      <c r="BZ26" s="548">
        <f t="shared" ca="1" si="29"/>
        <v>100025</v>
      </c>
      <c r="CA26" s="549">
        <f ca="1">IF(CC26="",99999,'Endrunde 4'!$D26)</f>
        <v>99999</v>
      </c>
      <c r="CB26" s="259" t="str">
        <f ca="1">IF(CC26="","",'Endrunde 4'!$E26)</f>
        <v/>
      </c>
      <c r="CC26" s="260" t="str">
        <f ca="1">IF($C$69="","",IF('Endrunde 4'!$I26=$C$69,'Endrunde 4'!$K26,IF('Endrunde 4'!$K26=$C$69,'Endrunde 4'!$I26,"")))</f>
        <v/>
      </c>
      <c r="CD26" s="550">
        <f t="shared" ca="1" si="30"/>
        <v>100023</v>
      </c>
      <c r="CE26" s="548">
        <f t="shared" si="31"/>
        <v>100025</v>
      </c>
      <c r="CF26" s="549">
        <f>IF(CH26="",99999,'Endrunde 4'!$D26)</f>
        <v>99999</v>
      </c>
      <c r="CG26" s="259" t="str">
        <f>IF(CH26="","",'Endrunde 4'!$E26)</f>
        <v/>
      </c>
      <c r="CH26" s="260" t="str">
        <f>IF($C$74="","",IF('Endrunde 4'!$I26=$C$74,'Endrunde 4'!$K26,IF('Endrunde 4'!$K26=$C$74,'Endrunde 4'!$I26,"")))</f>
        <v/>
      </c>
      <c r="CI26" s="550">
        <f t="shared" si="32"/>
        <v>100025</v>
      </c>
      <c r="CJ26" s="548">
        <f t="shared" si="33"/>
        <v>100025</v>
      </c>
      <c r="CK26" s="549">
        <f>IF(CM26="",99999,'Endrunde 4'!$D26)</f>
        <v>99999</v>
      </c>
      <c r="CL26" s="259" t="str">
        <f>IF(CM26="","",'Endrunde 4'!$E26)</f>
        <v/>
      </c>
      <c r="CM26" s="260" t="str">
        <f>IF($C$79="","",IF('Endrunde 4'!$I26=$C$79,'Endrunde 4'!$K26,IF('Endrunde 4'!$K26=$C$79,'Endrunde 4'!$I26,"")))</f>
        <v/>
      </c>
      <c r="CN26" s="550">
        <f t="shared" si="34"/>
        <v>100025</v>
      </c>
      <c r="CO26" s="548">
        <f t="shared" si="35"/>
        <v>100025</v>
      </c>
      <c r="CP26" s="549">
        <f>IF(CR26="",99999,'Endrunde 4'!$D26)</f>
        <v>99999</v>
      </c>
      <c r="CQ26" s="259" t="str">
        <f>IF(CR26="","",'Endrunde 4'!$E26)</f>
        <v/>
      </c>
      <c r="CR26" s="260" t="str">
        <f>IF($C$84="","",IF('Endrunde 4'!$I26=$C$84,'Endrunde 4'!$K26,IF('Endrunde 4'!$K26=$C$84,'Endrunde 4'!$I26,"")))</f>
        <v/>
      </c>
      <c r="CS26" s="550">
        <f t="shared" si="36"/>
        <v>100025</v>
      </c>
      <c r="CT26" s="548">
        <f t="shared" si="37"/>
        <v>100025</v>
      </c>
      <c r="CU26" s="549">
        <f>IF(CW26="",99999,'Endrunde 4'!$D26)</f>
        <v>99999</v>
      </c>
      <c r="CV26" s="259" t="str">
        <f>IF(CW26="","",'Endrunde 4'!$E26)</f>
        <v/>
      </c>
      <c r="CW26" s="260" t="str">
        <f>IF($C$89="","",IF('Endrunde 4'!$I26=$C$89,'Endrunde 4'!$K26,IF('Endrunde 4'!$K26=$C$89,'Endrunde 4'!$I26,"")))</f>
        <v/>
      </c>
      <c r="CX26" s="550">
        <f t="shared" si="38"/>
        <v>100025</v>
      </c>
    </row>
    <row r="27" spans="2:102" ht="15.95" customHeight="1" thickBot="1" x14ac:dyDescent="0.25">
      <c r="E27" s="538">
        <f ca="1">IF($AK$14&lt;99999,INDEX($L$12:$L$36,MATCH($AK$14,$AG$12:$AG$36,0)),"")</f>
        <v>32</v>
      </c>
      <c r="F27" s="539">
        <f ca="1">IF($AK$14&lt;99999,VLOOKUP($AK$14,$AG$12:$AJ$36,2,0),"")</f>
        <v>0.54513888888888895</v>
      </c>
      <c r="G27" s="540">
        <f ca="1">IF($AK$14&lt;99999,VLOOKUP($AK$14,$AG$12:$AJ$36,3,0),"")</f>
        <v>4</v>
      </c>
      <c r="H27" s="541" t="str">
        <f ca="1">IF($AK$14&lt;99999,VLOOKUP($AK$14,$AG$12:$AJ$36,4,0),"")</f>
        <v>FC Grönlingen</v>
      </c>
      <c r="J27" s="523">
        <f t="shared" ca="1" si="39"/>
        <v>0</v>
      </c>
      <c r="K27" s="523" t="str">
        <f t="shared" ca="1" si="42"/>
        <v/>
      </c>
      <c r="L27" s="150">
        <f ca="1">'Endrunde 4'!$C27</f>
        <v>27</v>
      </c>
      <c r="M27" s="548">
        <f t="shared" ca="1" si="3"/>
        <v>100026</v>
      </c>
      <c r="N27" s="549">
        <f ca="1">IF(P27="",99999,'Endrunde 4'!$D27)</f>
        <v>99999</v>
      </c>
      <c r="O27" s="259" t="str">
        <f ca="1">IF(P27="","",'Endrunde 4'!$E27)</f>
        <v/>
      </c>
      <c r="P27" s="260" t="str">
        <f ca="1">IF($C$4="","",IF('Endrunde 4'!$I27=$C$4,'Endrunde 4'!$K27,IF('Endrunde 4'!$K27=$C$4,'Endrunde 4'!$I27,"")))</f>
        <v/>
      </c>
      <c r="Q27" s="550">
        <f t="shared" ca="1" si="4"/>
        <v>100025</v>
      </c>
      <c r="R27" s="548">
        <f t="shared" ca="1" si="5"/>
        <v>100026</v>
      </c>
      <c r="S27" s="549">
        <f ca="1">IF(U27="",99999,'Endrunde 4'!$D27)</f>
        <v>99999</v>
      </c>
      <c r="T27" s="259" t="str">
        <f ca="1">IF(U27="","",'Endrunde 4'!$E27)</f>
        <v/>
      </c>
      <c r="U27" s="260" t="str">
        <f ca="1">IF($C$9="","",IF('Endrunde 4'!$I27=$C$9,'Endrunde 4'!$K27,IF('Endrunde 4'!$K27=$C$9,'Endrunde 4'!$I27,"")))</f>
        <v/>
      </c>
      <c r="V27" s="550">
        <f t="shared" ca="1" si="6"/>
        <v>100025</v>
      </c>
      <c r="W27" s="548">
        <f t="shared" ca="1" si="7"/>
        <v>100026</v>
      </c>
      <c r="X27" s="549">
        <f ca="1">IF(Z27="",99999,'Endrunde 4'!$D27)</f>
        <v>99999</v>
      </c>
      <c r="Y27" s="259" t="str">
        <f ca="1">IF(Z27="","",'Endrunde 4'!$E27)</f>
        <v/>
      </c>
      <c r="Z27" s="260" t="str">
        <f ca="1">IF($C$14="","",IF('Endrunde 4'!$I27=$C$14,'Endrunde 4'!$K27,IF('Endrunde 4'!$K27=$C$14,'Endrunde 4'!$I27,"")))</f>
        <v/>
      </c>
      <c r="AA27" s="550">
        <f t="shared" ca="1" si="8"/>
        <v>100025</v>
      </c>
      <c r="AB27" s="548">
        <f t="shared" ca="1" si="9"/>
        <v>100026</v>
      </c>
      <c r="AC27" s="549">
        <f ca="1">IF(AE27="",99999,'Endrunde 4'!$D27)</f>
        <v>99999</v>
      </c>
      <c r="AD27" s="259" t="str">
        <f ca="1">IF(AE27="","",'Endrunde 4'!$E27)</f>
        <v/>
      </c>
      <c r="AE27" s="260" t="str">
        <f ca="1">IF($C$19="","",IF('Endrunde 4'!$I27=$C$19,'Endrunde 4'!$K27,IF('Endrunde 4'!$K27=$C$19,'Endrunde 4'!$I27,"")))</f>
        <v/>
      </c>
      <c r="AF27" s="550">
        <f t="shared" ca="1" si="10"/>
        <v>100025</v>
      </c>
      <c r="AG27" s="548">
        <f t="shared" ca="1" si="11"/>
        <v>100026</v>
      </c>
      <c r="AH27" s="549">
        <f ca="1">IF(AJ27="",99999,'Endrunde 4'!$D27)</f>
        <v>99999</v>
      </c>
      <c r="AI27" s="259" t="str">
        <f ca="1">IF(AJ27="","",'Endrunde 4'!$E27)</f>
        <v/>
      </c>
      <c r="AJ27" s="260" t="str">
        <f ca="1">IF($C$24="","",IF('Endrunde 4'!$I27=$C$24,'Endrunde 4'!$K27,IF('Endrunde 4'!$K27=$C$24,'Endrunde 4'!$I27,"")))</f>
        <v/>
      </c>
      <c r="AK27" s="550">
        <f t="shared" ca="1" si="12"/>
        <v>100025</v>
      </c>
      <c r="AL27" s="548">
        <f t="shared" si="13"/>
        <v>100026</v>
      </c>
      <c r="AM27" s="549">
        <f>IF(AO27="",99999,'Endrunde 4'!$D27)</f>
        <v>99999</v>
      </c>
      <c r="AN27" s="259" t="str">
        <f>IF(AO27="","",'Endrunde 4'!$E27)</f>
        <v/>
      </c>
      <c r="AO27" s="260" t="str">
        <f>IF($C$29="","",IF('Endrunde 4'!$I27=$C$29,'Endrunde 4'!$K27,IF('Endrunde 4'!$K27=$C$29,'Endrunde 4'!$I27,"")))</f>
        <v/>
      </c>
      <c r="AP27" s="550">
        <f t="shared" si="14"/>
        <v>100026</v>
      </c>
      <c r="AQ27" s="548">
        <f t="shared" si="15"/>
        <v>100026</v>
      </c>
      <c r="AR27" s="549">
        <f>IF(AT27="",99999,'Endrunde 4'!$D27)</f>
        <v>99999</v>
      </c>
      <c r="AS27" s="259" t="str">
        <f>IF(AT27="","",'Endrunde 4'!$E27)</f>
        <v/>
      </c>
      <c r="AT27" s="260" t="str">
        <f>IF($C$34="","",IF('Endrunde 4'!$I27=$C$34,'Endrunde 4'!$K27,IF('Endrunde 4'!$K27=$C$34,'Endrunde 4'!$I27,"")))</f>
        <v/>
      </c>
      <c r="AU27" s="550">
        <f t="shared" si="16"/>
        <v>100026</v>
      </c>
      <c r="AV27" s="548">
        <f t="shared" si="17"/>
        <v>100026</v>
      </c>
      <c r="AW27" s="549">
        <f>IF(AY27="",99999,'Endrunde 4'!$D27)</f>
        <v>99999</v>
      </c>
      <c r="AX27" s="259" t="str">
        <f>IF(AY27="","",'Endrunde 4'!$E27)</f>
        <v/>
      </c>
      <c r="AY27" s="260" t="str">
        <f>IF($C$39="","",IF('Endrunde 4'!$I27=$C$39,'Endrunde 4'!$K27,IF('Endrunde 4'!$K27=$C$39,'Endrunde 4'!$I27,"")))</f>
        <v/>
      </c>
      <c r="AZ27" s="550">
        <f t="shared" si="18"/>
        <v>100026</v>
      </c>
      <c r="BA27" s="548">
        <f t="shared" si="19"/>
        <v>100026</v>
      </c>
      <c r="BB27" s="549">
        <f>IF(BD27="",99999,'Endrunde 4'!$D27)</f>
        <v>99999</v>
      </c>
      <c r="BC27" s="259" t="str">
        <f>IF(BD27="","",'Endrunde 4'!$E27)</f>
        <v/>
      </c>
      <c r="BD27" s="260" t="str">
        <f>IF($C$44="","",IF('Endrunde 4'!$I27=$C$44,'Endrunde 4'!$K27,IF('Endrunde 4'!$K27=$C$44,'Endrunde 4'!$I27,"")))</f>
        <v/>
      </c>
      <c r="BE27" s="550">
        <f t="shared" si="20"/>
        <v>100026</v>
      </c>
      <c r="BF27" s="548">
        <f t="shared" ca="1" si="21"/>
        <v>100026</v>
      </c>
      <c r="BG27" s="549">
        <f ca="1">IF(BI27="",99999,'Endrunde 4'!$D27)</f>
        <v>99999</v>
      </c>
      <c r="BH27" s="259" t="str">
        <f ca="1">IF(BI27="","",'Endrunde 4'!$E27)</f>
        <v/>
      </c>
      <c r="BI27" s="260" t="str">
        <f ca="1">IF($C$49="","",IF('Endrunde 4'!$I27=$C$49,'Endrunde 4'!$K27,IF('Endrunde 4'!$K27=$C$49,'Endrunde 4'!$I27,"")))</f>
        <v/>
      </c>
      <c r="BJ27" s="550">
        <f t="shared" ca="1" si="22"/>
        <v>100024</v>
      </c>
      <c r="BK27" s="548">
        <f t="shared" ca="1" si="23"/>
        <v>100026</v>
      </c>
      <c r="BL27" s="549">
        <f ca="1">IF(BN27="",99999,'Endrunde 4'!$D27)</f>
        <v>99999</v>
      </c>
      <c r="BM27" s="259" t="str">
        <f ca="1">IF(BN27="","",'Endrunde 4'!$E27)</f>
        <v/>
      </c>
      <c r="BN27" s="260" t="str">
        <f ca="1">IF($C$54="","",IF('Endrunde 4'!$I27=$C$54,'Endrunde 4'!$K27,IF('Endrunde 4'!$K27=$C$54,'Endrunde 4'!$I27,"")))</f>
        <v/>
      </c>
      <c r="BO27" s="550">
        <f t="shared" ca="1" si="24"/>
        <v>100025</v>
      </c>
      <c r="BP27" s="548">
        <f t="shared" ca="1" si="25"/>
        <v>27.520833333333332</v>
      </c>
      <c r="BQ27" s="549">
        <f ca="1">IF(BS27="",99999,'Endrunde 4'!$D27)</f>
        <v>0.52083333333333337</v>
      </c>
      <c r="BR27" s="259">
        <f ca="1">IF(BS27="","",'Endrunde 4'!$E27)</f>
        <v>3</v>
      </c>
      <c r="BS27" s="260" t="str">
        <f ca="1">IF($C$59="","",IF('Endrunde 4'!$I27=$C$59,'Endrunde 4'!$K27,IF('Endrunde 4'!$K27=$C$59,'Endrunde 4'!$I27,"")))</f>
        <v>FC Grönlingen</v>
      </c>
      <c r="BT27" s="550">
        <f t="shared" ca="1" si="26"/>
        <v>100024</v>
      </c>
      <c r="BU27" s="548">
        <f t="shared" ca="1" si="27"/>
        <v>100026</v>
      </c>
      <c r="BV27" s="549">
        <f ca="1">IF(BX27="",99999,'Endrunde 4'!$D27)</f>
        <v>99999</v>
      </c>
      <c r="BW27" s="259" t="str">
        <f ca="1">IF(BX27="","",'Endrunde 4'!$E27)</f>
        <v/>
      </c>
      <c r="BX27" s="260" t="str">
        <f ca="1">IF($C$64="","",IF('Endrunde 4'!$I27=$C$64,'Endrunde 4'!$K27,IF('Endrunde 4'!$K27=$C$64,'Endrunde 4'!$I27,"")))</f>
        <v/>
      </c>
      <c r="BY27" s="550">
        <f t="shared" ca="1" si="28"/>
        <v>100024</v>
      </c>
      <c r="BZ27" s="548">
        <f t="shared" ca="1" si="29"/>
        <v>27.520833333333332</v>
      </c>
      <c r="CA27" s="549">
        <f ca="1">IF(CC27="",99999,'Endrunde 4'!$D27)</f>
        <v>0.52083333333333337</v>
      </c>
      <c r="CB27" s="259">
        <f ca="1">IF(CC27="","",'Endrunde 4'!$E27)</f>
        <v>3</v>
      </c>
      <c r="CC27" s="260" t="str">
        <f ca="1">IF($C$69="","",IF('Endrunde 4'!$I27=$C$69,'Endrunde 4'!$K27,IF('Endrunde 4'!$K27=$C$69,'Endrunde 4'!$I27,"")))</f>
        <v>SSV Wildbach</v>
      </c>
      <c r="CD27" s="550">
        <f t="shared" ca="1" si="30"/>
        <v>100024</v>
      </c>
      <c r="CE27" s="548">
        <f t="shared" si="31"/>
        <v>100026</v>
      </c>
      <c r="CF27" s="549">
        <f>IF(CH27="",99999,'Endrunde 4'!$D27)</f>
        <v>99999</v>
      </c>
      <c r="CG27" s="259" t="str">
        <f>IF(CH27="","",'Endrunde 4'!$E27)</f>
        <v/>
      </c>
      <c r="CH27" s="260" t="str">
        <f>IF($C$74="","",IF('Endrunde 4'!$I27=$C$74,'Endrunde 4'!$K27,IF('Endrunde 4'!$K27=$C$74,'Endrunde 4'!$I27,"")))</f>
        <v/>
      </c>
      <c r="CI27" s="550">
        <f t="shared" si="32"/>
        <v>100026</v>
      </c>
      <c r="CJ27" s="548">
        <f t="shared" si="33"/>
        <v>100026</v>
      </c>
      <c r="CK27" s="549">
        <f>IF(CM27="",99999,'Endrunde 4'!$D27)</f>
        <v>99999</v>
      </c>
      <c r="CL27" s="259" t="str">
        <f>IF(CM27="","",'Endrunde 4'!$E27)</f>
        <v/>
      </c>
      <c r="CM27" s="260" t="str">
        <f>IF($C$79="","",IF('Endrunde 4'!$I27=$C$79,'Endrunde 4'!$K27,IF('Endrunde 4'!$K27=$C$79,'Endrunde 4'!$I27,"")))</f>
        <v/>
      </c>
      <c r="CN27" s="550">
        <f t="shared" si="34"/>
        <v>100026</v>
      </c>
      <c r="CO27" s="548">
        <f t="shared" si="35"/>
        <v>100026</v>
      </c>
      <c r="CP27" s="549">
        <f>IF(CR27="",99999,'Endrunde 4'!$D27)</f>
        <v>99999</v>
      </c>
      <c r="CQ27" s="259" t="str">
        <f>IF(CR27="","",'Endrunde 4'!$E27)</f>
        <v/>
      </c>
      <c r="CR27" s="260" t="str">
        <f>IF($C$84="","",IF('Endrunde 4'!$I27=$C$84,'Endrunde 4'!$K27,IF('Endrunde 4'!$K27=$C$84,'Endrunde 4'!$I27,"")))</f>
        <v/>
      </c>
      <c r="CS27" s="550">
        <f t="shared" si="36"/>
        <v>100026</v>
      </c>
      <c r="CT27" s="548">
        <f t="shared" si="37"/>
        <v>100026</v>
      </c>
      <c r="CU27" s="549">
        <f>IF(CW27="",99999,'Endrunde 4'!$D27)</f>
        <v>99999</v>
      </c>
      <c r="CV27" s="259" t="str">
        <f>IF(CW27="","",'Endrunde 4'!$E27)</f>
        <v/>
      </c>
      <c r="CW27" s="260" t="str">
        <f>IF($C$89="","",IF('Endrunde 4'!$I27=$C$89,'Endrunde 4'!$K27,IF('Endrunde 4'!$K27=$C$89,'Endrunde 4'!$I27,"")))</f>
        <v/>
      </c>
      <c r="CX27" s="550">
        <f t="shared" si="38"/>
        <v>100026</v>
      </c>
    </row>
    <row r="28" spans="2:102" ht="30" customHeight="1" thickBot="1" x14ac:dyDescent="0.25">
      <c r="J28" s="523">
        <f t="shared" ca="1" si="39"/>
        <v>0</v>
      </c>
      <c r="L28" s="150">
        <f ca="1">'Endrunde 4'!$C28</f>
        <v>28</v>
      </c>
      <c r="M28" s="548">
        <f t="shared" ca="1" si="3"/>
        <v>100027</v>
      </c>
      <c r="N28" s="549">
        <f ca="1">IF(P28="",99999,'Endrunde 4'!$D28)</f>
        <v>99999</v>
      </c>
      <c r="O28" s="259" t="str">
        <f ca="1">IF(P28="","",'Endrunde 4'!$E28)</f>
        <v/>
      </c>
      <c r="P28" s="260" t="str">
        <f ca="1">IF($C$4="","",IF('Endrunde 4'!$I28=$C$4,'Endrunde 4'!$K28,IF('Endrunde 4'!$K28=$C$4,'Endrunde 4'!$I28,"")))</f>
        <v/>
      </c>
      <c r="Q28" s="550">
        <f t="shared" ca="1" si="4"/>
        <v>100026</v>
      </c>
      <c r="R28" s="548">
        <f t="shared" ca="1" si="5"/>
        <v>100027</v>
      </c>
      <c r="S28" s="549">
        <f ca="1">IF(U28="",99999,'Endrunde 4'!$D28)</f>
        <v>99999</v>
      </c>
      <c r="T28" s="259" t="str">
        <f ca="1">IF(U28="","",'Endrunde 4'!$E28)</f>
        <v/>
      </c>
      <c r="U28" s="260" t="str">
        <f ca="1">IF($C$9="","",IF('Endrunde 4'!$I28=$C$9,'Endrunde 4'!$K28,IF('Endrunde 4'!$K28=$C$9,'Endrunde 4'!$I28,"")))</f>
        <v/>
      </c>
      <c r="V28" s="550">
        <f t="shared" ca="1" si="6"/>
        <v>100026</v>
      </c>
      <c r="W28" s="548">
        <f t="shared" ca="1" si="7"/>
        <v>100027</v>
      </c>
      <c r="X28" s="549">
        <f ca="1">IF(Z28="",99999,'Endrunde 4'!$D28)</f>
        <v>99999</v>
      </c>
      <c r="Y28" s="259" t="str">
        <f ca="1">IF(Z28="","",'Endrunde 4'!$E28)</f>
        <v/>
      </c>
      <c r="Z28" s="260" t="str">
        <f ca="1">IF($C$14="","",IF('Endrunde 4'!$I28=$C$14,'Endrunde 4'!$K28,IF('Endrunde 4'!$K28=$C$14,'Endrunde 4'!$I28,"")))</f>
        <v/>
      </c>
      <c r="AA28" s="550">
        <f t="shared" ca="1" si="8"/>
        <v>100026</v>
      </c>
      <c r="AB28" s="548">
        <f t="shared" ca="1" si="9"/>
        <v>100027</v>
      </c>
      <c r="AC28" s="549">
        <f ca="1">IF(AE28="",99999,'Endrunde 4'!$D28)</f>
        <v>99999</v>
      </c>
      <c r="AD28" s="259" t="str">
        <f ca="1">IF(AE28="","",'Endrunde 4'!$E28)</f>
        <v/>
      </c>
      <c r="AE28" s="260" t="str">
        <f ca="1">IF($C$19="","",IF('Endrunde 4'!$I28=$C$19,'Endrunde 4'!$K28,IF('Endrunde 4'!$K28=$C$19,'Endrunde 4'!$I28,"")))</f>
        <v/>
      </c>
      <c r="AF28" s="550">
        <f t="shared" ca="1" si="10"/>
        <v>100026</v>
      </c>
      <c r="AG28" s="548">
        <f t="shared" ca="1" si="11"/>
        <v>100027</v>
      </c>
      <c r="AH28" s="549">
        <f ca="1">IF(AJ28="",99999,'Endrunde 4'!$D28)</f>
        <v>99999</v>
      </c>
      <c r="AI28" s="259" t="str">
        <f ca="1">IF(AJ28="","",'Endrunde 4'!$E28)</f>
        <v/>
      </c>
      <c r="AJ28" s="260" t="str">
        <f ca="1">IF($C$24="","",IF('Endrunde 4'!$I28=$C$24,'Endrunde 4'!$K28,IF('Endrunde 4'!$K28=$C$24,'Endrunde 4'!$I28,"")))</f>
        <v/>
      </c>
      <c r="AK28" s="550">
        <f t="shared" ca="1" si="12"/>
        <v>100026</v>
      </c>
      <c r="AL28" s="548">
        <f t="shared" si="13"/>
        <v>100027</v>
      </c>
      <c r="AM28" s="549">
        <f>IF(AO28="",99999,'Endrunde 4'!$D28)</f>
        <v>99999</v>
      </c>
      <c r="AN28" s="259" t="str">
        <f>IF(AO28="","",'Endrunde 4'!$E28)</f>
        <v/>
      </c>
      <c r="AO28" s="260" t="str">
        <f>IF($C$29="","",IF('Endrunde 4'!$I28=$C$29,'Endrunde 4'!$K28,IF('Endrunde 4'!$K28=$C$29,'Endrunde 4'!$I28,"")))</f>
        <v/>
      </c>
      <c r="AP28" s="550">
        <f t="shared" si="14"/>
        <v>100027</v>
      </c>
      <c r="AQ28" s="548">
        <f t="shared" si="15"/>
        <v>100027</v>
      </c>
      <c r="AR28" s="549">
        <f>IF(AT28="",99999,'Endrunde 4'!$D28)</f>
        <v>99999</v>
      </c>
      <c r="AS28" s="259" t="str">
        <f>IF(AT28="","",'Endrunde 4'!$E28)</f>
        <v/>
      </c>
      <c r="AT28" s="260" t="str">
        <f>IF($C$34="","",IF('Endrunde 4'!$I28=$C$34,'Endrunde 4'!$K28,IF('Endrunde 4'!$K28=$C$34,'Endrunde 4'!$I28,"")))</f>
        <v/>
      </c>
      <c r="AU28" s="550">
        <f t="shared" si="16"/>
        <v>100027</v>
      </c>
      <c r="AV28" s="548">
        <f t="shared" si="17"/>
        <v>100027</v>
      </c>
      <c r="AW28" s="549">
        <f>IF(AY28="",99999,'Endrunde 4'!$D28)</f>
        <v>99999</v>
      </c>
      <c r="AX28" s="259" t="str">
        <f>IF(AY28="","",'Endrunde 4'!$E28)</f>
        <v/>
      </c>
      <c r="AY28" s="260" t="str">
        <f>IF($C$39="","",IF('Endrunde 4'!$I28=$C$39,'Endrunde 4'!$K28,IF('Endrunde 4'!$K28=$C$39,'Endrunde 4'!$I28,"")))</f>
        <v/>
      </c>
      <c r="AZ28" s="550">
        <f t="shared" si="18"/>
        <v>100027</v>
      </c>
      <c r="BA28" s="548">
        <f t="shared" si="19"/>
        <v>100027</v>
      </c>
      <c r="BB28" s="549">
        <f>IF(BD28="",99999,'Endrunde 4'!$D28)</f>
        <v>99999</v>
      </c>
      <c r="BC28" s="259" t="str">
        <f>IF(BD28="","",'Endrunde 4'!$E28)</f>
        <v/>
      </c>
      <c r="BD28" s="260" t="str">
        <f>IF($C$44="","",IF('Endrunde 4'!$I28=$C$44,'Endrunde 4'!$K28,IF('Endrunde 4'!$K28=$C$44,'Endrunde 4'!$I28,"")))</f>
        <v/>
      </c>
      <c r="BE28" s="550">
        <f t="shared" si="20"/>
        <v>100027</v>
      </c>
      <c r="BF28" s="548">
        <f t="shared" ca="1" si="21"/>
        <v>28.520833333333332</v>
      </c>
      <c r="BG28" s="549">
        <f ca="1">IF(BI28="",99999,'Endrunde 4'!$D28)</f>
        <v>0.52083333333333337</v>
      </c>
      <c r="BH28" s="259">
        <f ca="1">IF(BI28="","",'Endrunde 4'!$E28)</f>
        <v>4</v>
      </c>
      <c r="BI28" s="260" t="str">
        <f ca="1">IF($C$49="","",IF('Endrunde 4'!$I28=$C$49,'Endrunde 4'!$K28,IF('Endrunde 4'!$K28=$C$49,'Endrunde 4'!$I28,"")))</f>
        <v>Manchester City</v>
      </c>
      <c r="BJ28" s="550">
        <f t="shared" ca="1" si="22"/>
        <v>100025</v>
      </c>
      <c r="BK28" s="548">
        <f t="shared" ca="1" si="23"/>
        <v>100027</v>
      </c>
      <c r="BL28" s="549">
        <f ca="1">IF(BN28="",99999,'Endrunde 4'!$D28)</f>
        <v>99999</v>
      </c>
      <c r="BM28" s="259" t="str">
        <f ca="1">IF(BN28="","",'Endrunde 4'!$E28)</f>
        <v/>
      </c>
      <c r="BN28" s="260" t="str">
        <f ca="1">IF($C$54="","",IF('Endrunde 4'!$I28=$C$54,'Endrunde 4'!$K28,IF('Endrunde 4'!$K28=$C$54,'Endrunde 4'!$I28,"")))</f>
        <v/>
      </c>
      <c r="BO28" s="550">
        <f t="shared" ca="1" si="24"/>
        <v>100026</v>
      </c>
      <c r="BP28" s="548">
        <f t="shared" ca="1" si="25"/>
        <v>100027</v>
      </c>
      <c r="BQ28" s="549">
        <f ca="1">IF(BS28="",99999,'Endrunde 4'!$D28)</f>
        <v>99999</v>
      </c>
      <c r="BR28" s="259" t="str">
        <f ca="1">IF(BS28="","",'Endrunde 4'!$E28)</f>
        <v/>
      </c>
      <c r="BS28" s="260" t="str">
        <f ca="1">IF($C$59="","",IF('Endrunde 4'!$I28=$C$59,'Endrunde 4'!$K28,IF('Endrunde 4'!$K28=$C$59,'Endrunde 4'!$I28,"")))</f>
        <v/>
      </c>
      <c r="BT28" s="550">
        <f t="shared" ca="1" si="26"/>
        <v>100025</v>
      </c>
      <c r="BU28" s="548">
        <f t="shared" ca="1" si="27"/>
        <v>28.520833333333332</v>
      </c>
      <c r="BV28" s="549">
        <f ca="1">IF(BX28="",99999,'Endrunde 4'!$D28)</f>
        <v>0.52083333333333337</v>
      </c>
      <c r="BW28" s="259">
        <f ca="1">IF(BX28="","",'Endrunde 4'!$E28)</f>
        <v>4</v>
      </c>
      <c r="BX28" s="260" t="str">
        <f ca="1">IF($C$64="","",IF('Endrunde 4'!$I28=$C$64,'Endrunde 4'!$K28,IF('Endrunde 4'!$K28=$C$64,'Endrunde 4'!$I28,"")))</f>
        <v>Mainz 05</v>
      </c>
      <c r="BY28" s="550">
        <f t="shared" ca="1" si="28"/>
        <v>100025</v>
      </c>
      <c r="BZ28" s="548">
        <f t="shared" ca="1" si="29"/>
        <v>100027</v>
      </c>
      <c r="CA28" s="549">
        <f ca="1">IF(CC28="",99999,'Endrunde 4'!$D28)</f>
        <v>99999</v>
      </c>
      <c r="CB28" s="259" t="str">
        <f ca="1">IF(CC28="","",'Endrunde 4'!$E28)</f>
        <v/>
      </c>
      <c r="CC28" s="260" t="str">
        <f ca="1">IF($C$69="","",IF('Endrunde 4'!$I28=$C$69,'Endrunde 4'!$K28,IF('Endrunde 4'!$K28=$C$69,'Endrunde 4'!$I28,"")))</f>
        <v/>
      </c>
      <c r="CD28" s="550">
        <f t="shared" ca="1" si="30"/>
        <v>100025</v>
      </c>
      <c r="CE28" s="548">
        <f t="shared" si="31"/>
        <v>100027</v>
      </c>
      <c r="CF28" s="549">
        <f>IF(CH28="",99999,'Endrunde 4'!$D28)</f>
        <v>99999</v>
      </c>
      <c r="CG28" s="259" t="str">
        <f>IF(CH28="","",'Endrunde 4'!$E28)</f>
        <v/>
      </c>
      <c r="CH28" s="260" t="str">
        <f>IF($C$74="","",IF('Endrunde 4'!$I28=$C$74,'Endrunde 4'!$K28,IF('Endrunde 4'!$K28=$C$74,'Endrunde 4'!$I28,"")))</f>
        <v/>
      </c>
      <c r="CI28" s="550">
        <f t="shared" si="32"/>
        <v>100027</v>
      </c>
      <c r="CJ28" s="548">
        <f t="shared" si="33"/>
        <v>100027</v>
      </c>
      <c r="CK28" s="549">
        <f>IF(CM28="",99999,'Endrunde 4'!$D28)</f>
        <v>99999</v>
      </c>
      <c r="CL28" s="259" t="str">
        <f>IF(CM28="","",'Endrunde 4'!$E28)</f>
        <v/>
      </c>
      <c r="CM28" s="260" t="str">
        <f>IF($C$79="","",IF('Endrunde 4'!$I28=$C$79,'Endrunde 4'!$K28,IF('Endrunde 4'!$K28=$C$79,'Endrunde 4'!$I28,"")))</f>
        <v/>
      </c>
      <c r="CN28" s="550">
        <f t="shared" si="34"/>
        <v>100027</v>
      </c>
      <c r="CO28" s="548">
        <f t="shared" si="35"/>
        <v>100027</v>
      </c>
      <c r="CP28" s="549">
        <f>IF(CR28="",99999,'Endrunde 4'!$D28)</f>
        <v>99999</v>
      </c>
      <c r="CQ28" s="259" t="str">
        <f>IF(CR28="","",'Endrunde 4'!$E28)</f>
        <v/>
      </c>
      <c r="CR28" s="260" t="str">
        <f>IF($C$84="","",IF('Endrunde 4'!$I28=$C$84,'Endrunde 4'!$K28,IF('Endrunde 4'!$K28=$C$84,'Endrunde 4'!$I28,"")))</f>
        <v/>
      </c>
      <c r="CS28" s="550">
        <f t="shared" si="36"/>
        <v>100027</v>
      </c>
      <c r="CT28" s="548">
        <f t="shared" si="37"/>
        <v>100027</v>
      </c>
      <c r="CU28" s="549">
        <f>IF(CW28="",99999,'Endrunde 4'!$D28)</f>
        <v>99999</v>
      </c>
      <c r="CV28" s="259" t="str">
        <f>IF(CW28="","",'Endrunde 4'!$E28)</f>
        <v/>
      </c>
      <c r="CW28" s="260" t="str">
        <f>IF($C$89="","",IF('Endrunde 4'!$I28=$C$89,'Endrunde 4'!$K28,IF('Endrunde 4'!$K28=$C$89,'Endrunde 4'!$I28,"")))</f>
        <v/>
      </c>
      <c r="CX28" s="550">
        <f t="shared" si="38"/>
        <v>100027</v>
      </c>
    </row>
    <row r="29" spans="2:102" ht="15.95" customHeight="1" x14ac:dyDescent="0.2">
      <c r="B29" s="525" t="s">
        <v>203</v>
      </c>
      <c r="C29" s="526" t="str">
        <f>IF(Planung!$C$17="","",Planung!$C$17)</f>
        <v/>
      </c>
      <c r="E29" s="527" t="str">
        <f>Sprache!$E$69</f>
        <v>Spiel Nr.</v>
      </c>
      <c r="F29" s="528" t="str">
        <f>Sprache!$E$39</f>
        <v>Beginn</v>
      </c>
      <c r="G29" s="529" t="str">
        <f>Sprache!$E$48</f>
        <v>Feld</v>
      </c>
      <c r="H29" s="530" t="str">
        <f>Sprache!$E$46</f>
        <v>Spiel gegen</v>
      </c>
      <c r="J29" s="523">
        <f t="shared" si="39"/>
        <v>0</v>
      </c>
      <c r="L29" s="150">
        <f ca="1">'Endrunde 4'!$C29</f>
        <v>29</v>
      </c>
      <c r="M29" s="548">
        <f t="shared" ca="1" si="3"/>
        <v>100028</v>
      </c>
      <c r="N29" s="549">
        <f ca="1">IF(P29="",99999,'Endrunde 4'!$D29)</f>
        <v>99999</v>
      </c>
      <c r="O29" s="259" t="str">
        <f ca="1">IF(P29="","",'Endrunde 4'!$E29)</f>
        <v/>
      </c>
      <c r="P29" s="260" t="str">
        <f ca="1">IF($C$4="","",IF('Endrunde 4'!$I29=$C$4,'Endrunde 4'!$K29,IF('Endrunde 4'!$K29=$C$4,'Endrunde 4'!$I29,"")))</f>
        <v/>
      </c>
      <c r="Q29" s="550">
        <f t="shared" ca="1" si="4"/>
        <v>100027</v>
      </c>
      <c r="R29" s="548">
        <f t="shared" ca="1" si="5"/>
        <v>100028</v>
      </c>
      <c r="S29" s="549">
        <f ca="1">IF(U29="",99999,'Endrunde 4'!$D29)</f>
        <v>99999</v>
      </c>
      <c r="T29" s="259" t="str">
        <f ca="1">IF(U29="","",'Endrunde 4'!$E29)</f>
        <v/>
      </c>
      <c r="U29" s="260" t="str">
        <f ca="1">IF($C$9="","",IF('Endrunde 4'!$I29=$C$9,'Endrunde 4'!$K29,IF('Endrunde 4'!$K29=$C$9,'Endrunde 4'!$I29,"")))</f>
        <v/>
      </c>
      <c r="V29" s="550">
        <f t="shared" ca="1" si="6"/>
        <v>100027</v>
      </c>
      <c r="W29" s="548">
        <f t="shared" ca="1" si="7"/>
        <v>100028</v>
      </c>
      <c r="X29" s="549">
        <f ca="1">IF(Z29="",99999,'Endrunde 4'!$D29)</f>
        <v>99999</v>
      </c>
      <c r="Y29" s="259" t="str">
        <f ca="1">IF(Z29="","",'Endrunde 4'!$E29)</f>
        <v/>
      </c>
      <c r="Z29" s="260" t="str">
        <f ca="1">IF($C$14="","",IF('Endrunde 4'!$I29=$C$14,'Endrunde 4'!$K29,IF('Endrunde 4'!$K29=$C$14,'Endrunde 4'!$I29,"")))</f>
        <v/>
      </c>
      <c r="AA29" s="550">
        <f t="shared" ca="1" si="8"/>
        <v>100027</v>
      </c>
      <c r="AB29" s="548">
        <f t="shared" ca="1" si="9"/>
        <v>100028</v>
      </c>
      <c r="AC29" s="549">
        <f ca="1">IF(AE29="",99999,'Endrunde 4'!$D29)</f>
        <v>99999</v>
      </c>
      <c r="AD29" s="259" t="str">
        <f ca="1">IF(AE29="","",'Endrunde 4'!$E29)</f>
        <v/>
      </c>
      <c r="AE29" s="260" t="str">
        <f ca="1">IF($C$19="","",IF('Endrunde 4'!$I29=$C$19,'Endrunde 4'!$K29,IF('Endrunde 4'!$K29=$C$19,'Endrunde 4'!$I29,"")))</f>
        <v/>
      </c>
      <c r="AF29" s="550">
        <f t="shared" ca="1" si="10"/>
        <v>100027</v>
      </c>
      <c r="AG29" s="548">
        <f t="shared" ca="1" si="11"/>
        <v>100028</v>
      </c>
      <c r="AH29" s="549">
        <f ca="1">IF(AJ29="",99999,'Endrunde 4'!$D29)</f>
        <v>99999</v>
      </c>
      <c r="AI29" s="259" t="str">
        <f ca="1">IF(AJ29="","",'Endrunde 4'!$E29)</f>
        <v/>
      </c>
      <c r="AJ29" s="260" t="str">
        <f ca="1">IF($C$24="","",IF('Endrunde 4'!$I29=$C$24,'Endrunde 4'!$K29,IF('Endrunde 4'!$K29=$C$24,'Endrunde 4'!$I29,"")))</f>
        <v/>
      </c>
      <c r="AK29" s="550">
        <f t="shared" ca="1" si="12"/>
        <v>100027</v>
      </c>
      <c r="AL29" s="548">
        <f t="shared" si="13"/>
        <v>100028</v>
      </c>
      <c r="AM29" s="549">
        <f>IF(AO29="",99999,'Endrunde 4'!$D29)</f>
        <v>99999</v>
      </c>
      <c r="AN29" s="259" t="str">
        <f>IF(AO29="","",'Endrunde 4'!$E29)</f>
        <v/>
      </c>
      <c r="AO29" s="260" t="str">
        <f>IF($C$29="","",IF('Endrunde 4'!$I29=$C$29,'Endrunde 4'!$K29,IF('Endrunde 4'!$K29=$C$29,'Endrunde 4'!$I29,"")))</f>
        <v/>
      </c>
      <c r="AP29" s="550">
        <f t="shared" si="14"/>
        <v>100028</v>
      </c>
      <c r="AQ29" s="548">
        <f t="shared" si="15"/>
        <v>100028</v>
      </c>
      <c r="AR29" s="549">
        <f>IF(AT29="",99999,'Endrunde 4'!$D29)</f>
        <v>99999</v>
      </c>
      <c r="AS29" s="259" t="str">
        <f>IF(AT29="","",'Endrunde 4'!$E29)</f>
        <v/>
      </c>
      <c r="AT29" s="260" t="str">
        <f>IF($C$34="","",IF('Endrunde 4'!$I29=$C$34,'Endrunde 4'!$K29,IF('Endrunde 4'!$K29=$C$34,'Endrunde 4'!$I29,"")))</f>
        <v/>
      </c>
      <c r="AU29" s="550">
        <f t="shared" si="16"/>
        <v>100028</v>
      </c>
      <c r="AV29" s="548">
        <f t="shared" si="17"/>
        <v>100028</v>
      </c>
      <c r="AW29" s="549">
        <f>IF(AY29="",99999,'Endrunde 4'!$D29)</f>
        <v>99999</v>
      </c>
      <c r="AX29" s="259" t="str">
        <f>IF(AY29="","",'Endrunde 4'!$E29)</f>
        <v/>
      </c>
      <c r="AY29" s="260" t="str">
        <f>IF($C$39="","",IF('Endrunde 4'!$I29=$C$39,'Endrunde 4'!$K29,IF('Endrunde 4'!$K29=$C$39,'Endrunde 4'!$I29,"")))</f>
        <v/>
      </c>
      <c r="AZ29" s="550">
        <f t="shared" si="18"/>
        <v>100028</v>
      </c>
      <c r="BA29" s="548">
        <f t="shared" si="19"/>
        <v>100028</v>
      </c>
      <c r="BB29" s="549">
        <f>IF(BD29="",99999,'Endrunde 4'!$D29)</f>
        <v>99999</v>
      </c>
      <c r="BC29" s="259" t="str">
        <f>IF(BD29="","",'Endrunde 4'!$E29)</f>
        <v/>
      </c>
      <c r="BD29" s="260" t="str">
        <f>IF($C$44="","",IF('Endrunde 4'!$I29=$C$44,'Endrunde 4'!$K29,IF('Endrunde 4'!$K29=$C$44,'Endrunde 4'!$I29,"")))</f>
        <v/>
      </c>
      <c r="BE29" s="550">
        <f t="shared" si="20"/>
        <v>100028</v>
      </c>
      <c r="BF29" s="548">
        <f t="shared" ca="1" si="21"/>
        <v>100028</v>
      </c>
      <c r="BG29" s="549">
        <f ca="1">IF(BI29="",99999,'Endrunde 4'!$D29)</f>
        <v>99999</v>
      </c>
      <c r="BH29" s="259" t="str">
        <f ca="1">IF(BI29="","",'Endrunde 4'!$E29)</f>
        <v/>
      </c>
      <c r="BI29" s="260" t="str">
        <f ca="1">IF($C$49="","",IF('Endrunde 4'!$I29=$C$49,'Endrunde 4'!$K29,IF('Endrunde 4'!$K29=$C$49,'Endrunde 4'!$I29,"")))</f>
        <v/>
      </c>
      <c r="BJ29" s="550">
        <f t="shared" ca="1" si="22"/>
        <v>100026</v>
      </c>
      <c r="BK29" s="548">
        <f t="shared" ca="1" si="23"/>
        <v>100028</v>
      </c>
      <c r="BL29" s="549">
        <f ca="1">IF(BN29="",99999,'Endrunde 4'!$D29)</f>
        <v>99999</v>
      </c>
      <c r="BM29" s="259" t="str">
        <f ca="1">IF(BN29="","",'Endrunde 4'!$E29)</f>
        <v/>
      </c>
      <c r="BN29" s="260" t="str">
        <f ca="1">IF($C$54="","",IF('Endrunde 4'!$I29=$C$54,'Endrunde 4'!$K29,IF('Endrunde 4'!$K29=$C$54,'Endrunde 4'!$I29,"")))</f>
        <v/>
      </c>
      <c r="BO29" s="550">
        <f t="shared" ca="1" si="24"/>
        <v>100027</v>
      </c>
      <c r="BP29" s="548">
        <f t="shared" ca="1" si="25"/>
        <v>100028</v>
      </c>
      <c r="BQ29" s="549">
        <f ca="1">IF(BS29="",99999,'Endrunde 4'!$D29)</f>
        <v>99999</v>
      </c>
      <c r="BR29" s="259" t="str">
        <f ca="1">IF(BS29="","",'Endrunde 4'!$E29)</f>
        <v/>
      </c>
      <c r="BS29" s="260" t="str">
        <f ca="1">IF($C$59="","",IF('Endrunde 4'!$I29=$C$59,'Endrunde 4'!$K29,IF('Endrunde 4'!$K29=$C$59,'Endrunde 4'!$I29,"")))</f>
        <v/>
      </c>
      <c r="BT29" s="550">
        <f t="shared" ca="1" si="26"/>
        <v>100027</v>
      </c>
      <c r="BU29" s="548">
        <f t="shared" ca="1" si="27"/>
        <v>100028</v>
      </c>
      <c r="BV29" s="549">
        <f ca="1">IF(BX29="",99999,'Endrunde 4'!$D29)</f>
        <v>99999</v>
      </c>
      <c r="BW29" s="259" t="str">
        <f ca="1">IF(BX29="","",'Endrunde 4'!$E29)</f>
        <v/>
      </c>
      <c r="BX29" s="260" t="str">
        <f ca="1">IF($C$64="","",IF('Endrunde 4'!$I29=$C$64,'Endrunde 4'!$K29,IF('Endrunde 4'!$K29=$C$64,'Endrunde 4'!$I29,"")))</f>
        <v/>
      </c>
      <c r="BY29" s="550">
        <f t="shared" ca="1" si="28"/>
        <v>100026</v>
      </c>
      <c r="BZ29" s="548">
        <f t="shared" ca="1" si="29"/>
        <v>100028</v>
      </c>
      <c r="CA29" s="549">
        <f ca="1">IF(CC29="",99999,'Endrunde 4'!$D29)</f>
        <v>99999</v>
      </c>
      <c r="CB29" s="259" t="str">
        <f ca="1">IF(CC29="","",'Endrunde 4'!$E29)</f>
        <v/>
      </c>
      <c r="CC29" s="260" t="str">
        <f ca="1">IF($C$69="","",IF('Endrunde 4'!$I29=$C$69,'Endrunde 4'!$K29,IF('Endrunde 4'!$K29=$C$69,'Endrunde 4'!$I29,"")))</f>
        <v/>
      </c>
      <c r="CD29" s="550">
        <f t="shared" ca="1" si="30"/>
        <v>100027</v>
      </c>
      <c r="CE29" s="548">
        <f t="shared" si="31"/>
        <v>100028</v>
      </c>
      <c r="CF29" s="549">
        <f>IF(CH29="",99999,'Endrunde 4'!$D29)</f>
        <v>99999</v>
      </c>
      <c r="CG29" s="259" t="str">
        <f>IF(CH29="","",'Endrunde 4'!$E29)</f>
        <v/>
      </c>
      <c r="CH29" s="260" t="str">
        <f>IF($C$74="","",IF('Endrunde 4'!$I29=$C$74,'Endrunde 4'!$K29,IF('Endrunde 4'!$K29=$C$74,'Endrunde 4'!$I29,"")))</f>
        <v/>
      </c>
      <c r="CI29" s="550">
        <f t="shared" si="32"/>
        <v>100028</v>
      </c>
      <c r="CJ29" s="548">
        <f t="shared" si="33"/>
        <v>100028</v>
      </c>
      <c r="CK29" s="549">
        <f>IF(CM29="",99999,'Endrunde 4'!$D29)</f>
        <v>99999</v>
      </c>
      <c r="CL29" s="259" t="str">
        <f>IF(CM29="","",'Endrunde 4'!$E29)</f>
        <v/>
      </c>
      <c r="CM29" s="260" t="str">
        <f>IF($C$79="","",IF('Endrunde 4'!$I29=$C$79,'Endrunde 4'!$K29,IF('Endrunde 4'!$K29=$C$79,'Endrunde 4'!$I29,"")))</f>
        <v/>
      </c>
      <c r="CN29" s="550">
        <f t="shared" si="34"/>
        <v>100028</v>
      </c>
      <c r="CO29" s="548">
        <f t="shared" si="35"/>
        <v>100028</v>
      </c>
      <c r="CP29" s="549">
        <f>IF(CR29="",99999,'Endrunde 4'!$D29)</f>
        <v>99999</v>
      </c>
      <c r="CQ29" s="259" t="str">
        <f>IF(CR29="","",'Endrunde 4'!$E29)</f>
        <v/>
      </c>
      <c r="CR29" s="260" t="str">
        <f>IF($C$84="","",IF('Endrunde 4'!$I29=$C$84,'Endrunde 4'!$K29,IF('Endrunde 4'!$K29=$C$84,'Endrunde 4'!$I29,"")))</f>
        <v/>
      </c>
      <c r="CS29" s="550">
        <f t="shared" si="36"/>
        <v>100028</v>
      </c>
      <c r="CT29" s="548">
        <f t="shared" si="37"/>
        <v>100028</v>
      </c>
      <c r="CU29" s="549">
        <f>IF(CW29="",99999,'Endrunde 4'!$D29)</f>
        <v>99999</v>
      </c>
      <c r="CV29" s="259" t="str">
        <f>IF(CW29="","",'Endrunde 4'!$E29)</f>
        <v/>
      </c>
      <c r="CW29" s="260" t="str">
        <f>IF($C$89="","",IF('Endrunde 4'!$I29=$C$89,'Endrunde 4'!$K29,IF('Endrunde 4'!$K29=$C$89,'Endrunde 4'!$I29,"")))</f>
        <v/>
      </c>
      <c r="CX29" s="550">
        <f t="shared" si="38"/>
        <v>100028</v>
      </c>
    </row>
    <row r="30" spans="2:102" ht="15.95" customHeight="1" x14ac:dyDescent="0.2">
      <c r="E30" s="531" t="str">
        <f>IF($AP$12&lt;99999,INDEX($L$12:$L$36,MATCH($AP$12,$AL$12:$AL$36,0)),"")</f>
        <v/>
      </c>
      <c r="F30" s="532" t="str">
        <f>IF($AP$12&lt;99999,VLOOKUP($AP$12,$AL$12:$AO$36,2,0),"")</f>
        <v/>
      </c>
      <c r="G30" s="533" t="str">
        <f>IF($AP$12&lt;99999,VLOOKUP($AP$12,$AL$12:$AO$36,3,0),"")</f>
        <v/>
      </c>
      <c r="H30" s="534" t="str">
        <f>IF($AP$12&lt;99999,VLOOKUP($AP$12,$AL$12:$AO$36,4,0),"")</f>
        <v/>
      </c>
      <c r="J30" s="523">
        <f t="shared" si="39"/>
        <v>0</v>
      </c>
      <c r="K30" s="523" t="str">
        <f>IF(J30=0,"",$C$29)</f>
        <v/>
      </c>
      <c r="L30" s="150">
        <f ca="1">'Endrunde 4'!$C30</f>
        <v>29</v>
      </c>
      <c r="M30" s="548">
        <f t="shared" ref="M30:M36" ca="1" si="43">N30+ROW(N30)</f>
        <v>100029</v>
      </c>
      <c r="N30" s="259">
        <f ca="1">IF(P30="",99999,'Endrunde 4'!$D30)</f>
        <v>99999</v>
      </c>
      <c r="O30" s="259" t="str">
        <f ca="1">IF(P30="","",'Endrunde 4'!$E30)</f>
        <v/>
      </c>
      <c r="P30" s="554" t="str">
        <f ca="1">IF($C$4="","",IF('Endrunde 4'!$I30=$C$4,'Endrunde 4'!$K30,IF('Endrunde 4'!$K30=$C$4,'Endrunde 4'!$I30,"")))</f>
        <v/>
      </c>
      <c r="Q30" s="259">
        <f t="shared" ref="Q30:Q36" ca="1" si="44">SMALL(M$12:M$36,ROW(M30)-11)</f>
        <v>100028</v>
      </c>
      <c r="R30" s="259">
        <f t="shared" ref="R30:R36" ca="1" si="45">S30+ROW(S30)</f>
        <v>100029</v>
      </c>
      <c r="S30" s="259">
        <f ca="1">IF(U30="",99999,'Endrunde 4'!$D30)</f>
        <v>99999</v>
      </c>
      <c r="T30" s="259" t="str">
        <f ca="1">IF(U30="","",'Endrunde 4'!$E30)</f>
        <v/>
      </c>
      <c r="U30" s="554" t="str">
        <f ca="1">IF($C$9="","",IF('Endrunde 4'!$I30=$C$9,'Endrunde 4'!$K30,IF('Endrunde 4'!$K30=$C$9,'Endrunde 4'!$I30,"")))</f>
        <v/>
      </c>
      <c r="V30" s="259">
        <f t="shared" ref="V30:V36" ca="1" si="46">SMALL(R$12:R$36,ROW(R30)-11)</f>
        <v>100028</v>
      </c>
      <c r="W30" s="259">
        <f t="shared" ref="W30:W36" ca="1" si="47">X30+ROW(X30)</f>
        <v>100029</v>
      </c>
      <c r="X30" s="259">
        <f ca="1">IF(Z30="",99999,'Endrunde 4'!$D30)</f>
        <v>99999</v>
      </c>
      <c r="Y30" s="259" t="str">
        <f ca="1">IF(Z30="","",'Endrunde 4'!$E30)</f>
        <v/>
      </c>
      <c r="Z30" s="554" t="str">
        <f ca="1">IF($C$14="","",IF('Endrunde 4'!$I30=$C$14,'Endrunde 4'!$K30,IF('Endrunde 4'!$K30=$C$14,'Endrunde 4'!$I30,"")))</f>
        <v/>
      </c>
      <c r="AA30" s="259">
        <f t="shared" ref="AA30:AA36" ca="1" si="48">SMALL(W$12:W$36,ROW(W30)-11)</f>
        <v>100028</v>
      </c>
      <c r="AB30" s="259">
        <f t="shared" ref="AB30:AB36" ca="1" si="49">AC30+ROW(AC30)</f>
        <v>100029</v>
      </c>
      <c r="AC30" s="259">
        <f ca="1">IF(AE30="",99999,'Endrunde 4'!$D30)</f>
        <v>99999</v>
      </c>
      <c r="AD30" s="259" t="str">
        <f ca="1">IF(AE30="","",'Endrunde 4'!$E30)</f>
        <v/>
      </c>
      <c r="AE30" s="554" t="str">
        <f ca="1">IF($C$19="","",IF('Endrunde 4'!$I30=$C$19,'Endrunde 4'!$K30,IF('Endrunde 4'!$K30=$C$19,'Endrunde 4'!$I30,"")))</f>
        <v/>
      </c>
      <c r="AF30" s="259">
        <f t="shared" ref="AF30:AF36" ca="1" si="50">SMALL(AB$12:AB$36,ROW(AB30)-11)</f>
        <v>100028</v>
      </c>
      <c r="AG30" s="259">
        <f t="shared" ref="AG30:AG36" ca="1" si="51">AH30+ROW(AH30)</f>
        <v>100029</v>
      </c>
      <c r="AH30" s="259">
        <f ca="1">IF(AJ30="",99999,'Endrunde 4'!$D30)</f>
        <v>99999</v>
      </c>
      <c r="AI30" s="259" t="str">
        <f ca="1">IF(AJ30="","",'Endrunde 4'!$E30)</f>
        <v/>
      </c>
      <c r="AJ30" s="554" t="str">
        <f ca="1">IF($C$24="","",IF('Endrunde 4'!$I30=$C$24,'Endrunde 4'!$K30,IF('Endrunde 4'!$K30=$C$24,'Endrunde 4'!$I30,"")))</f>
        <v/>
      </c>
      <c r="AK30" s="259">
        <f t="shared" ref="AK30:AK36" ca="1" si="52">SMALL(AG$12:AG$36,ROW(AG30)-11)</f>
        <v>100028</v>
      </c>
      <c r="AL30" s="259">
        <f t="shared" ref="AL30:AL36" si="53">AM30+ROW(AM30)</f>
        <v>100029</v>
      </c>
      <c r="AM30" s="259">
        <f>IF(AO30="",99999,'Endrunde 4'!$D30)</f>
        <v>99999</v>
      </c>
      <c r="AN30" s="259" t="str">
        <f>IF(AO30="","",'Endrunde 4'!$E30)</f>
        <v/>
      </c>
      <c r="AO30" s="554" t="str">
        <f>IF($C$29="","",IF('Endrunde 4'!$I30=$C$29,'Endrunde 4'!$K30,IF('Endrunde 4'!$K30=$C$29,'Endrunde 4'!$I30,"")))</f>
        <v/>
      </c>
      <c r="AP30" s="259">
        <f t="shared" ref="AP30:AP36" si="54">SMALL(AL$12:AL$36,ROW(AL30)-11)</f>
        <v>100029</v>
      </c>
      <c r="AQ30" s="259">
        <f t="shared" ref="AQ30:AQ36" si="55">AR30+ROW(AR30)</f>
        <v>100029</v>
      </c>
      <c r="AR30" s="259">
        <f>IF(AT30="",99999,'Endrunde 4'!$D30)</f>
        <v>99999</v>
      </c>
      <c r="AS30" s="259" t="str">
        <f>IF(AT30="","",'Endrunde 4'!$E30)</f>
        <v/>
      </c>
      <c r="AT30" s="554" t="str">
        <f>IF($C$34="","",IF('Endrunde 4'!$I30=$C$34,'Endrunde 4'!$K30,IF('Endrunde 4'!$K30=$C$34,'Endrunde 4'!$I30,"")))</f>
        <v/>
      </c>
      <c r="AU30" s="259">
        <f t="shared" ref="AU30:AU36" si="56">SMALL(AQ$12:AQ$36,ROW(AQ30)-11)</f>
        <v>100029</v>
      </c>
      <c r="AV30" s="259">
        <f t="shared" ref="AV30:AV36" si="57">AW30+ROW(AW30)</f>
        <v>100029</v>
      </c>
      <c r="AW30" s="259">
        <f>IF(AY30="",99999,'Endrunde 4'!$D30)</f>
        <v>99999</v>
      </c>
      <c r="AX30" s="259" t="str">
        <f>IF(AY30="","",'Endrunde 4'!$E30)</f>
        <v/>
      </c>
      <c r="AY30" s="554" t="str">
        <f>IF($C$39="","",IF('Endrunde 4'!$I30=$C$39,'Endrunde 4'!$K30,IF('Endrunde 4'!$K30=$C$39,'Endrunde 4'!$I30,"")))</f>
        <v/>
      </c>
      <c r="AZ30" s="259">
        <f t="shared" ref="AZ30:AZ36" si="58">SMALL(AV$12:AV$36,ROW(AV30)-11)</f>
        <v>100029</v>
      </c>
      <c r="BA30" s="259">
        <f t="shared" ref="BA30:BA36" si="59">BB30+ROW(BB30)</f>
        <v>100029</v>
      </c>
      <c r="BB30" s="259">
        <f>IF(BD30="",99999,'Endrunde 4'!$D30)</f>
        <v>99999</v>
      </c>
      <c r="BC30" s="259" t="str">
        <f>IF(BD30="","",'Endrunde 4'!$E30)</f>
        <v/>
      </c>
      <c r="BD30" s="554" t="str">
        <f>IF($C$44="","",IF('Endrunde 4'!$I30=$C$44,'Endrunde 4'!$K30,IF('Endrunde 4'!$K30=$C$44,'Endrunde 4'!$I30,"")))</f>
        <v/>
      </c>
      <c r="BE30" s="259">
        <f t="shared" ref="BE30:BE36" si="60">SMALL(BA$12:BA$36,ROW(BA30)-11)</f>
        <v>100029</v>
      </c>
      <c r="BF30" s="259">
        <f t="shared" ref="BF30:BF36" ca="1" si="61">BG30+ROW(BG30)</f>
        <v>100029</v>
      </c>
      <c r="BG30" s="259">
        <f ca="1">IF(BI30="",99999,'Endrunde 4'!$D30)</f>
        <v>99999</v>
      </c>
      <c r="BH30" s="259" t="str">
        <f ca="1">IF(BI30="","",'Endrunde 4'!$E30)</f>
        <v/>
      </c>
      <c r="BI30" s="554" t="str">
        <f ca="1">IF($C$49="","",IF('Endrunde 4'!$I30=$C$49,'Endrunde 4'!$K30,IF('Endrunde 4'!$K30=$C$49,'Endrunde 4'!$I30,"")))</f>
        <v/>
      </c>
      <c r="BJ30" s="259">
        <f t="shared" ref="BJ30:BJ36" ca="1" si="62">SMALL(BF$12:BF$36,ROW(BF30)-11)</f>
        <v>100028</v>
      </c>
      <c r="BK30" s="259">
        <f t="shared" ref="BK30:BK36" ca="1" si="63">BL30+ROW(BL30)</f>
        <v>100029</v>
      </c>
      <c r="BL30" s="259">
        <f ca="1">IF(BN30="",99999,'Endrunde 4'!$D30)</f>
        <v>99999</v>
      </c>
      <c r="BM30" s="259" t="str">
        <f ca="1">IF(BN30="","",'Endrunde 4'!$E30)</f>
        <v/>
      </c>
      <c r="BN30" s="554" t="str">
        <f ca="1">IF($C$54="","",IF('Endrunde 4'!$I30=$C$54,'Endrunde 4'!$K30,IF('Endrunde 4'!$K30=$C$54,'Endrunde 4'!$I30,"")))</f>
        <v/>
      </c>
      <c r="BO30" s="259">
        <f t="shared" ref="BO30:BO36" ca="1" si="64">SMALL(BK$12:BK$36,ROW(BK30)-11)</f>
        <v>100028</v>
      </c>
      <c r="BP30" s="259">
        <f t="shared" ref="BP30:BP36" ca="1" si="65">BQ30+ROW(BQ30)</f>
        <v>100029</v>
      </c>
      <c r="BQ30" s="259">
        <f ca="1">IF(BS30="",99999,'Endrunde 4'!$D30)</f>
        <v>99999</v>
      </c>
      <c r="BR30" s="259" t="str">
        <f ca="1">IF(BS30="","",'Endrunde 4'!$E30)</f>
        <v/>
      </c>
      <c r="BS30" s="554" t="str">
        <f ca="1">IF($C$59="","",IF('Endrunde 4'!$I30=$C$59,'Endrunde 4'!$K30,IF('Endrunde 4'!$K30=$C$59,'Endrunde 4'!$I30,"")))</f>
        <v/>
      </c>
      <c r="BT30" s="550">
        <f t="shared" ref="BT30:BT36" ca="1" si="66">SMALL(BP$12:BP$36,ROW(BP30)-11)</f>
        <v>100028</v>
      </c>
      <c r="BU30" s="548">
        <f t="shared" ca="1" si="27"/>
        <v>100029</v>
      </c>
      <c r="BV30" s="259">
        <f ca="1">IF(BX30="",99999,'Endrunde 4'!$D30)</f>
        <v>99999</v>
      </c>
      <c r="BW30" s="259" t="str">
        <f ca="1">IF(BX30="","",'Endrunde 4'!$E30)</f>
        <v/>
      </c>
      <c r="BX30" s="554" t="str">
        <f ca="1">IF($C$64="","",IF('Endrunde 4'!$I30=$C$64,'Endrunde 4'!$K30,IF('Endrunde 4'!$K30=$C$64,'Endrunde 4'!$I30,"")))</f>
        <v/>
      </c>
      <c r="BY30" s="259">
        <f t="shared" ca="1" si="28"/>
        <v>100028</v>
      </c>
      <c r="BZ30" s="548">
        <f t="shared" ca="1" si="29"/>
        <v>100029</v>
      </c>
      <c r="CA30" s="259">
        <f ca="1">IF(CC30="",99999,'Endrunde 4'!$D30)</f>
        <v>99999</v>
      </c>
      <c r="CB30" s="259" t="str">
        <f ca="1">IF(CC30="","",'Endrunde 4'!$E30)</f>
        <v/>
      </c>
      <c r="CC30" s="554" t="str">
        <f ca="1">IF($C$69="","",IF('Endrunde 4'!$I30=$C$69,'Endrunde 4'!$K30,IF('Endrunde 4'!$K30=$C$69,'Endrunde 4'!$I30,"")))</f>
        <v/>
      </c>
      <c r="CD30" s="259">
        <f t="shared" ca="1" si="30"/>
        <v>100028</v>
      </c>
      <c r="CE30" s="548">
        <f t="shared" si="31"/>
        <v>100029</v>
      </c>
      <c r="CF30" s="259">
        <f>IF(CH30="",99999,'Endrunde 4'!$D30)</f>
        <v>99999</v>
      </c>
      <c r="CG30" s="259" t="str">
        <f>IF(CH30="","",'Endrunde 4'!$E30)</f>
        <v/>
      </c>
      <c r="CH30" s="554" t="str">
        <f>IF($C$74="","",IF('Endrunde 4'!$I30=$C$74,'Endrunde 4'!$K30,IF('Endrunde 4'!$K30=$C$74,'Endrunde 4'!$I30,"")))</f>
        <v/>
      </c>
      <c r="CI30" s="259">
        <f t="shared" si="32"/>
        <v>100029</v>
      </c>
      <c r="CJ30" s="548">
        <f t="shared" si="33"/>
        <v>100029</v>
      </c>
      <c r="CK30" s="259">
        <f>IF(CM30="",99999,'Endrunde 4'!$D30)</f>
        <v>99999</v>
      </c>
      <c r="CL30" s="259" t="str">
        <f>IF(CM30="","",'Endrunde 4'!$E30)</f>
        <v/>
      </c>
      <c r="CM30" s="554" t="str">
        <f>IF($C$79="","",IF('Endrunde 4'!$I30=$C$79,'Endrunde 4'!$K30,IF('Endrunde 4'!$K30=$C$79,'Endrunde 4'!$I30,"")))</f>
        <v/>
      </c>
      <c r="CN30" s="259">
        <f t="shared" si="34"/>
        <v>100029</v>
      </c>
      <c r="CO30" s="548">
        <f t="shared" si="35"/>
        <v>100029</v>
      </c>
      <c r="CP30" s="259">
        <f>IF(CR30="",99999,'Endrunde 4'!$D30)</f>
        <v>99999</v>
      </c>
      <c r="CQ30" s="259" t="str">
        <f>IF(CR30="","",'Endrunde 4'!$E30)</f>
        <v/>
      </c>
      <c r="CR30" s="554" t="str">
        <f>IF($C$84="","",IF('Endrunde 4'!$I30=$C$84,'Endrunde 4'!$K30,IF('Endrunde 4'!$K30=$C$84,'Endrunde 4'!$I30,"")))</f>
        <v/>
      </c>
      <c r="CS30" s="259">
        <f t="shared" si="36"/>
        <v>100029</v>
      </c>
      <c r="CT30" s="548">
        <f t="shared" si="37"/>
        <v>100029</v>
      </c>
      <c r="CU30" s="259">
        <f>IF(CW30="",99999,'Endrunde 4'!$D30)</f>
        <v>99999</v>
      </c>
      <c r="CV30" s="259" t="str">
        <f>IF(CW30="","",'Endrunde 4'!$E30)</f>
        <v/>
      </c>
      <c r="CW30" s="554" t="str">
        <f>IF($C$89="","",IF('Endrunde 4'!$I30=$C$89,'Endrunde 4'!$K30,IF('Endrunde 4'!$K30=$C$89,'Endrunde 4'!$I30,"")))</f>
        <v/>
      </c>
      <c r="CX30" s="550">
        <f t="shared" si="38"/>
        <v>100029</v>
      </c>
    </row>
    <row r="31" spans="2:102" ht="15.95" customHeight="1" x14ac:dyDescent="0.2">
      <c r="E31" s="531" t="str">
        <f>IF($AP$13&lt;99999,INDEX($L$12:$L$36,MATCH($AP$13,$AL$12:$AL$36,0)),"")</f>
        <v/>
      </c>
      <c r="F31" s="535" t="str">
        <f>IF($AP$13&lt;99999,VLOOKUP($AP$13,$AL$12:$AO$36,2,0),"")</f>
        <v/>
      </c>
      <c r="G31" s="536" t="str">
        <f>IF($AP$13&lt;99999,VLOOKUP($AP$13,$AL$12:$AO$36,3,0),"")</f>
        <v/>
      </c>
      <c r="H31" s="537" t="str">
        <f>IF($AP$13&lt;99999,VLOOKUP($AP$13,$AL$12:$AO$36,4,0),"")</f>
        <v/>
      </c>
      <c r="J31" s="523">
        <f t="shared" si="39"/>
        <v>0</v>
      </c>
      <c r="K31" s="523" t="str">
        <f t="shared" ref="K31:K32" si="67">IF(J31=0,"",$C$29)</f>
        <v/>
      </c>
      <c r="L31" s="150">
        <f ca="1">'Endrunde 4'!$C31</f>
        <v>29</v>
      </c>
      <c r="M31" s="548">
        <f t="shared" ca="1" si="43"/>
        <v>31.545138888888889</v>
      </c>
      <c r="N31" s="259">
        <f ca="1">IF(P31="",99999,'Endrunde 4'!$D31)</f>
        <v>0.54513888888888895</v>
      </c>
      <c r="O31" s="259">
        <f ca="1">IF(P31="","",'Endrunde 4'!$E31)</f>
        <v>1</v>
      </c>
      <c r="P31" s="554" t="str">
        <f ca="1">IF($C$4="","",IF('Endrunde 4'!$I31=$C$4,'Endrunde 4'!$K31,IF('Endrunde 4'!$K31=$C$4,'Endrunde 4'!$I31,"")))</f>
        <v>SSV Wildbach</v>
      </c>
      <c r="Q31" s="259">
        <f t="shared" ca="1" si="44"/>
        <v>100029</v>
      </c>
      <c r="R31" s="259">
        <f t="shared" ca="1" si="45"/>
        <v>100030</v>
      </c>
      <c r="S31" s="259">
        <f ca="1">IF(U31="",99999,'Endrunde 4'!$D31)</f>
        <v>99999</v>
      </c>
      <c r="T31" s="259" t="str">
        <f ca="1">IF(U31="","",'Endrunde 4'!$E31)</f>
        <v/>
      </c>
      <c r="U31" s="554" t="str">
        <f ca="1">IF($C$9="","",IF('Endrunde 4'!$I31=$C$9,'Endrunde 4'!$K31,IF('Endrunde 4'!$K31=$C$9,'Endrunde 4'!$I31,"")))</f>
        <v/>
      </c>
      <c r="V31" s="259">
        <f t="shared" ca="1" si="46"/>
        <v>100029</v>
      </c>
      <c r="W31" s="259">
        <f t="shared" ca="1" si="47"/>
        <v>100030</v>
      </c>
      <c r="X31" s="259">
        <f ca="1">IF(Z31="",99999,'Endrunde 4'!$D31)</f>
        <v>99999</v>
      </c>
      <c r="Y31" s="259" t="str">
        <f ca="1">IF(Z31="","",'Endrunde 4'!$E31)</f>
        <v/>
      </c>
      <c r="Z31" s="554" t="str">
        <f ca="1">IF($C$14="","",IF('Endrunde 4'!$I31=$C$14,'Endrunde 4'!$K31,IF('Endrunde 4'!$K31=$C$14,'Endrunde 4'!$I31,"")))</f>
        <v/>
      </c>
      <c r="AA31" s="259">
        <f t="shared" ca="1" si="48"/>
        <v>100029</v>
      </c>
      <c r="AB31" s="259">
        <f t="shared" ca="1" si="49"/>
        <v>100030</v>
      </c>
      <c r="AC31" s="259">
        <f ca="1">IF(AE31="",99999,'Endrunde 4'!$D31)</f>
        <v>99999</v>
      </c>
      <c r="AD31" s="259" t="str">
        <f ca="1">IF(AE31="","",'Endrunde 4'!$E31)</f>
        <v/>
      </c>
      <c r="AE31" s="554" t="str">
        <f ca="1">IF($C$19="","",IF('Endrunde 4'!$I31=$C$19,'Endrunde 4'!$K31,IF('Endrunde 4'!$K31=$C$19,'Endrunde 4'!$I31,"")))</f>
        <v/>
      </c>
      <c r="AF31" s="259">
        <f t="shared" ca="1" si="50"/>
        <v>100029</v>
      </c>
      <c r="AG31" s="259">
        <f t="shared" ca="1" si="51"/>
        <v>100030</v>
      </c>
      <c r="AH31" s="259">
        <f ca="1">IF(AJ31="",99999,'Endrunde 4'!$D31)</f>
        <v>99999</v>
      </c>
      <c r="AI31" s="259" t="str">
        <f ca="1">IF(AJ31="","",'Endrunde 4'!$E31)</f>
        <v/>
      </c>
      <c r="AJ31" s="554" t="str">
        <f ca="1">IF($C$24="","",IF('Endrunde 4'!$I31=$C$24,'Endrunde 4'!$K31,IF('Endrunde 4'!$K31=$C$24,'Endrunde 4'!$I31,"")))</f>
        <v/>
      </c>
      <c r="AK31" s="259">
        <f t="shared" ca="1" si="52"/>
        <v>100029</v>
      </c>
      <c r="AL31" s="259">
        <f t="shared" si="53"/>
        <v>100030</v>
      </c>
      <c r="AM31" s="259">
        <f>IF(AO31="",99999,'Endrunde 4'!$D31)</f>
        <v>99999</v>
      </c>
      <c r="AN31" s="259" t="str">
        <f>IF(AO31="","",'Endrunde 4'!$E31)</f>
        <v/>
      </c>
      <c r="AO31" s="554" t="str">
        <f>IF($C$29="","",IF('Endrunde 4'!$I31=$C$29,'Endrunde 4'!$K31,IF('Endrunde 4'!$K31=$C$29,'Endrunde 4'!$I31,"")))</f>
        <v/>
      </c>
      <c r="AP31" s="259">
        <f t="shared" si="54"/>
        <v>100030</v>
      </c>
      <c r="AQ31" s="259">
        <f t="shared" si="55"/>
        <v>100030</v>
      </c>
      <c r="AR31" s="259">
        <f>IF(AT31="",99999,'Endrunde 4'!$D31)</f>
        <v>99999</v>
      </c>
      <c r="AS31" s="259" t="str">
        <f>IF(AT31="","",'Endrunde 4'!$E31)</f>
        <v/>
      </c>
      <c r="AT31" s="554" t="str">
        <f>IF($C$34="","",IF('Endrunde 4'!$I31=$C$34,'Endrunde 4'!$K31,IF('Endrunde 4'!$K31=$C$34,'Endrunde 4'!$I31,"")))</f>
        <v/>
      </c>
      <c r="AU31" s="259">
        <f t="shared" si="56"/>
        <v>100030</v>
      </c>
      <c r="AV31" s="259">
        <f t="shared" si="57"/>
        <v>100030</v>
      </c>
      <c r="AW31" s="259">
        <f>IF(AY31="",99999,'Endrunde 4'!$D31)</f>
        <v>99999</v>
      </c>
      <c r="AX31" s="259" t="str">
        <f>IF(AY31="","",'Endrunde 4'!$E31)</f>
        <v/>
      </c>
      <c r="AY31" s="554" t="str">
        <f>IF($C$39="","",IF('Endrunde 4'!$I31=$C$39,'Endrunde 4'!$K31,IF('Endrunde 4'!$K31=$C$39,'Endrunde 4'!$I31,"")))</f>
        <v/>
      </c>
      <c r="AZ31" s="259">
        <f t="shared" si="58"/>
        <v>100030</v>
      </c>
      <c r="BA31" s="259">
        <f t="shared" si="59"/>
        <v>100030</v>
      </c>
      <c r="BB31" s="259">
        <f>IF(BD31="",99999,'Endrunde 4'!$D31)</f>
        <v>99999</v>
      </c>
      <c r="BC31" s="259" t="str">
        <f>IF(BD31="","",'Endrunde 4'!$E31)</f>
        <v/>
      </c>
      <c r="BD31" s="554" t="str">
        <f>IF($C$44="","",IF('Endrunde 4'!$I31=$C$44,'Endrunde 4'!$K31,IF('Endrunde 4'!$K31=$C$44,'Endrunde 4'!$I31,"")))</f>
        <v/>
      </c>
      <c r="BE31" s="259">
        <f t="shared" si="60"/>
        <v>100030</v>
      </c>
      <c r="BF31" s="259">
        <f t="shared" ca="1" si="61"/>
        <v>100030</v>
      </c>
      <c r="BG31" s="259">
        <f ca="1">IF(BI31="",99999,'Endrunde 4'!$D31)</f>
        <v>99999</v>
      </c>
      <c r="BH31" s="259" t="str">
        <f ca="1">IF(BI31="","",'Endrunde 4'!$E31)</f>
        <v/>
      </c>
      <c r="BI31" s="554" t="str">
        <f ca="1">IF($C$49="","",IF('Endrunde 4'!$I31=$C$49,'Endrunde 4'!$K31,IF('Endrunde 4'!$K31=$C$49,'Endrunde 4'!$I31,"")))</f>
        <v/>
      </c>
      <c r="BJ31" s="259">
        <f t="shared" ca="1" si="62"/>
        <v>100029</v>
      </c>
      <c r="BK31" s="259">
        <f t="shared" ca="1" si="63"/>
        <v>100030</v>
      </c>
      <c r="BL31" s="259">
        <f ca="1">IF(BN31="",99999,'Endrunde 4'!$D31)</f>
        <v>99999</v>
      </c>
      <c r="BM31" s="259" t="str">
        <f ca="1">IF(BN31="","",'Endrunde 4'!$E31)</f>
        <v/>
      </c>
      <c r="BN31" s="554" t="str">
        <f ca="1">IF($C$54="","",IF('Endrunde 4'!$I31=$C$54,'Endrunde 4'!$K31,IF('Endrunde 4'!$K31=$C$54,'Endrunde 4'!$I31,"")))</f>
        <v/>
      </c>
      <c r="BO31" s="259">
        <f t="shared" ca="1" si="64"/>
        <v>100029</v>
      </c>
      <c r="BP31" s="259">
        <f t="shared" ca="1" si="65"/>
        <v>31.545138888888889</v>
      </c>
      <c r="BQ31" s="259">
        <f ca="1">IF(BS31="",99999,'Endrunde 4'!$D31)</f>
        <v>0.54513888888888895</v>
      </c>
      <c r="BR31" s="259">
        <f ca="1">IF(BS31="","",'Endrunde 4'!$E31)</f>
        <v>1</v>
      </c>
      <c r="BS31" s="554" t="str">
        <f ca="1">IF($C$59="","",IF('Endrunde 4'!$I31=$C$59,'Endrunde 4'!$K31,IF('Endrunde 4'!$K31=$C$59,'Endrunde 4'!$I31,"")))</f>
        <v>1. FC Riedwald</v>
      </c>
      <c r="BT31" s="550">
        <f t="shared" ca="1" si="66"/>
        <v>100029</v>
      </c>
      <c r="BU31" s="548">
        <f t="shared" ca="1" si="27"/>
        <v>100030</v>
      </c>
      <c r="BV31" s="259">
        <f ca="1">IF(BX31="",99999,'Endrunde 4'!$D31)</f>
        <v>99999</v>
      </c>
      <c r="BW31" s="259" t="str">
        <f ca="1">IF(BX31="","",'Endrunde 4'!$E31)</f>
        <v/>
      </c>
      <c r="BX31" s="554" t="str">
        <f ca="1">IF($C$64="","",IF('Endrunde 4'!$I31=$C$64,'Endrunde 4'!$K31,IF('Endrunde 4'!$K31=$C$64,'Endrunde 4'!$I31,"")))</f>
        <v/>
      </c>
      <c r="BY31" s="259">
        <f t="shared" ca="1" si="28"/>
        <v>100029</v>
      </c>
      <c r="BZ31" s="548">
        <f t="shared" ca="1" si="29"/>
        <v>100030</v>
      </c>
      <c r="CA31" s="259">
        <f ca="1">IF(CC31="",99999,'Endrunde 4'!$D31)</f>
        <v>99999</v>
      </c>
      <c r="CB31" s="259" t="str">
        <f ca="1">IF(CC31="","",'Endrunde 4'!$E31)</f>
        <v/>
      </c>
      <c r="CC31" s="554" t="str">
        <f ca="1">IF($C$69="","",IF('Endrunde 4'!$I31=$C$69,'Endrunde 4'!$K31,IF('Endrunde 4'!$K31=$C$69,'Endrunde 4'!$I31,"")))</f>
        <v/>
      </c>
      <c r="CD31" s="259">
        <f t="shared" ca="1" si="30"/>
        <v>100029</v>
      </c>
      <c r="CE31" s="548">
        <f t="shared" si="31"/>
        <v>100030</v>
      </c>
      <c r="CF31" s="259">
        <f>IF(CH31="",99999,'Endrunde 4'!$D31)</f>
        <v>99999</v>
      </c>
      <c r="CG31" s="259" t="str">
        <f>IF(CH31="","",'Endrunde 4'!$E31)</f>
        <v/>
      </c>
      <c r="CH31" s="554" t="str">
        <f>IF($C$74="","",IF('Endrunde 4'!$I31=$C$74,'Endrunde 4'!$K31,IF('Endrunde 4'!$K31=$C$74,'Endrunde 4'!$I31,"")))</f>
        <v/>
      </c>
      <c r="CI31" s="259">
        <f t="shared" si="32"/>
        <v>100030</v>
      </c>
      <c r="CJ31" s="548">
        <f t="shared" si="33"/>
        <v>100030</v>
      </c>
      <c r="CK31" s="259">
        <f>IF(CM31="",99999,'Endrunde 4'!$D31)</f>
        <v>99999</v>
      </c>
      <c r="CL31" s="259" t="str">
        <f>IF(CM31="","",'Endrunde 4'!$E31)</f>
        <v/>
      </c>
      <c r="CM31" s="554" t="str">
        <f>IF($C$79="","",IF('Endrunde 4'!$I31=$C$79,'Endrunde 4'!$K31,IF('Endrunde 4'!$K31=$C$79,'Endrunde 4'!$I31,"")))</f>
        <v/>
      </c>
      <c r="CN31" s="259">
        <f t="shared" si="34"/>
        <v>100030</v>
      </c>
      <c r="CO31" s="548">
        <f t="shared" si="35"/>
        <v>100030</v>
      </c>
      <c r="CP31" s="259">
        <f>IF(CR31="",99999,'Endrunde 4'!$D31)</f>
        <v>99999</v>
      </c>
      <c r="CQ31" s="259" t="str">
        <f>IF(CR31="","",'Endrunde 4'!$E31)</f>
        <v/>
      </c>
      <c r="CR31" s="554" t="str">
        <f>IF($C$84="","",IF('Endrunde 4'!$I31=$C$84,'Endrunde 4'!$K31,IF('Endrunde 4'!$K31=$C$84,'Endrunde 4'!$I31,"")))</f>
        <v/>
      </c>
      <c r="CS31" s="259">
        <f t="shared" si="36"/>
        <v>100030</v>
      </c>
      <c r="CT31" s="548">
        <f t="shared" si="37"/>
        <v>100030</v>
      </c>
      <c r="CU31" s="259">
        <f>IF(CW31="",99999,'Endrunde 4'!$D31)</f>
        <v>99999</v>
      </c>
      <c r="CV31" s="259" t="str">
        <f>IF(CW31="","",'Endrunde 4'!$E31)</f>
        <v/>
      </c>
      <c r="CW31" s="554" t="str">
        <f>IF($C$89="","",IF('Endrunde 4'!$I31=$C$89,'Endrunde 4'!$K31,IF('Endrunde 4'!$K31=$C$89,'Endrunde 4'!$I31,"")))</f>
        <v/>
      </c>
      <c r="CX31" s="550">
        <f t="shared" si="38"/>
        <v>100030</v>
      </c>
    </row>
    <row r="32" spans="2:102" ht="15.95" customHeight="1" thickBot="1" x14ac:dyDescent="0.25">
      <c r="E32" s="538" t="str">
        <f>IF($AP$14&lt;99999,INDEX($L$12:$L$36,MATCH($AP$14,$AL$12:$AL$36,0)),"")</f>
        <v/>
      </c>
      <c r="F32" s="539" t="str">
        <f>IF($AP$14&lt;99999,VLOOKUP($AP$14,$AL$12:$AO$36,2,0),"")</f>
        <v/>
      </c>
      <c r="G32" s="540" t="str">
        <f>IF($AP$14&lt;99999,VLOOKUP($AP$14,$AL$12:$AO$36,3,0),"")</f>
        <v/>
      </c>
      <c r="H32" s="541" t="str">
        <f>IF($AP$14&lt;99999,VLOOKUP($AP$14,$AL$12:$AO$36,4,0),"")</f>
        <v/>
      </c>
      <c r="J32" s="523">
        <f t="shared" si="39"/>
        <v>0</v>
      </c>
      <c r="K32" s="523" t="str">
        <f t="shared" si="67"/>
        <v/>
      </c>
      <c r="L32" s="150">
        <f ca="1">'Endrunde 4'!$C32</f>
        <v>30</v>
      </c>
      <c r="M32" s="548">
        <f t="shared" ca="1" si="43"/>
        <v>100031</v>
      </c>
      <c r="N32" s="259">
        <f ca="1">IF(P32="",99999,'Endrunde 4'!$D32)</f>
        <v>99999</v>
      </c>
      <c r="O32" s="259" t="str">
        <f ca="1">IF(P32="","",'Endrunde 4'!$E32)</f>
        <v/>
      </c>
      <c r="P32" s="554" t="str">
        <f ca="1">IF($C$4="","",IF('Endrunde 4'!$I32=$C$4,'Endrunde 4'!$K32,IF('Endrunde 4'!$K32=$C$4,'Endrunde 4'!$I32,"")))</f>
        <v/>
      </c>
      <c r="Q32" s="259">
        <f t="shared" ca="1" si="44"/>
        <v>100031</v>
      </c>
      <c r="R32" s="259">
        <f t="shared" ca="1" si="45"/>
        <v>100031</v>
      </c>
      <c r="S32" s="259">
        <f ca="1">IF(U32="",99999,'Endrunde 4'!$D32)</f>
        <v>99999</v>
      </c>
      <c r="T32" s="259" t="str">
        <f ca="1">IF(U32="","",'Endrunde 4'!$E32)</f>
        <v/>
      </c>
      <c r="U32" s="554" t="str">
        <f ca="1">IF($C$9="","",IF('Endrunde 4'!$I32=$C$9,'Endrunde 4'!$K32,IF('Endrunde 4'!$K32=$C$9,'Endrunde 4'!$I32,"")))</f>
        <v/>
      </c>
      <c r="V32" s="259">
        <f t="shared" ca="1" si="46"/>
        <v>100030</v>
      </c>
      <c r="W32" s="259">
        <f t="shared" ca="1" si="47"/>
        <v>100031</v>
      </c>
      <c r="X32" s="259">
        <f ca="1">IF(Z32="",99999,'Endrunde 4'!$D32)</f>
        <v>99999</v>
      </c>
      <c r="Y32" s="259" t="str">
        <f ca="1">IF(Z32="","",'Endrunde 4'!$E32)</f>
        <v/>
      </c>
      <c r="Z32" s="554" t="str">
        <f ca="1">IF($C$14="","",IF('Endrunde 4'!$I32=$C$14,'Endrunde 4'!$K32,IF('Endrunde 4'!$K32=$C$14,'Endrunde 4'!$I32,"")))</f>
        <v/>
      </c>
      <c r="AA32" s="259">
        <f t="shared" ca="1" si="48"/>
        <v>100030</v>
      </c>
      <c r="AB32" s="259">
        <f t="shared" ca="1" si="49"/>
        <v>32.545138888888886</v>
      </c>
      <c r="AC32" s="259">
        <f ca="1">IF(AE32="",99999,'Endrunde 4'!$D32)</f>
        <v>0.54513888888888895</v>
      </c>
      <c r="AD32" s="259">
        <f ca="1">IF(AE32="","",'Endrunde 4'!$E32)</f>
        <v>2</v>
      </c>
      <c r="AE32" s="554" t="str">
        <f ca="1">IF($C$19="","",IF('Endrunde 4'!$I32=$C$19,'Endrunde 4'!$K32,IF('Endrunde 4'!$K32=$C$19,'Endrunde 4'!$I32,"")))</f>
        <v>Manchester City</v>
      </c>
      <c r="AF32" s="259">
        <f t="shared" ca="1" si="50"/>
        <v>100030</v>
      </c>
      <c r="AG32" s="259">
        <f t="shared" ca="1" si="51"/>
        <v>100031</v>
      </c>
      <c r="AH32" s="259">
        <f ca="1">IF(AJ32="",99999,'Endrunde 4'!$D32)</f>
        <v>99999</v>
      </c>
      <c r="AI32" s="259" t="str">
        <f ca="1">IF(AJ32="","",'Endrunde 4'!$E32)</f>
        <v/>
      </c>
      <c r="AJ32" s="554" t="str">
        <f ca="1">IF($C$24="","",IF('Endrunde 4'!$I32=$C$24,'Endrunde 4'!$K32,IF('Endrunde 4'!$K32=$C$24,'Endrunde 4'!$I32,"")))</f>
        <v/>
      </c>
      <c r="AK32" s="259">
        <f t="shared" ca="1" si="52"/>
        <v>100030</v>
      </c>
      <c r="AL32" s="259">
        <f t="shared" si="53"/>
        <v>100031</v>
      </c>
      <c r="AM32" s="259">
        <f>IF(AO32="",99999,'Endrunde 4'!$D32)</f>
        <v>99999</v>
      </c>
      <c r="AN32" s="259" t="str">
        <f>IF(AO32="","",'Endrunde 4'!$E32)</f>
        <v/>
      </c>
      <c r="AO32" s="554" t="str">
        <f>IF($C$29="","",IF('Endrunde 4'!$I32=$C$29,'Endrunde 4'!$K32,IF('Endrunde 4'!$K32=$C$29,'Endrunde 4'!$I32,"")))</f>
        <v/>
      </c>
      <c r="AP32" s="259">
        <f t="shared" si="54"/>
        <v>100031</v>
      </c>
      <c r="AQ32" s="259">
        <f t="shared" si="55"/>
        <v>100031</v>
      </c>
      <c r="AR32" s="259">
        <f>IF(AT32="",99999,'Endrunde 4'!$D32)</f>
        <v>99999</v>
      </c>
      <c r="AS32" s="259" t="str">
        <f>IF(AT32="","",'Endrunde 4'!$E32)</f>
        <v/>
      </c>
      <c r="AT32" s="554" t="str">
        <f>IF($C$34="","",IF('Endrunde 4'!$I32=$C$34,'Endrunde 4'!$K32,IF('Endrunde 4'!$K32=$C$34,'Endrunde 4'!$I32,"")))</f>
        <v/>
      </c>
      <c r="AU32" s="259">
        <f t="shared" si="56"/>
        <v>100031</v>
      </c>
      <c r="AV32" s="259">
        <f t="shared" si="57"/>
        <v>100031</v>
      </c>
      <c r="AW32" s="259">
        <f>IF(AY32="",99999,'Endrunde 4'!$D32)</f>
        <v>99999</v>
      </c>
      <c r="AX32" s="259" t="str">
        <f>IF(AY32="","",'Endrunde 4'!$E32)</f>
        <v/>
      </c>
      <c r="AY32" s="554" t="str">
        <f>IF($C$39="","",IF('Endrunde 4'!$I32=$C$39,'Endrunde 4'!$K32,IF('Endrunde 4'!$K32=$C$39,'Endrunde 4'!$I32,"")))</f>
        <v/>
      </c>
      <c r="AZ32" s="259">
        <f t="shared" si="58"/>
        <v>100031</v>
      </c>
      <c r="BA32" s="259">
        <f t="shared" si="59"/>
        <v>100031</v>
      </c>
      <c r="BB32" s="259">
        <f>IF(BD32="",99999,'Endrunde 4'!$D32)</f>
        <v>99999</v>
      </c>
      <c r="BC32" s="259" t="str">
        <f>IF(BD32="","",'Endrunde 4'!$E32)</f>
        <v/>
      </c>
      <c r="BD32" s="554" t="str">
        <f>IF($C$44="","",IF('Endrunde 4'!$I32=$C$44,'Endrunde 4'!$K32,IF('Endrunde 4'!$K32=$C$44,'Endrunde 4'!$I32,"")))</f>
        <v/>
      </c>
      <c r="BE32" s="259">
        <f t="shared" si="60"/>
        <v>100031</v>
      </c>
      <c r="BF32" s="259">
        <f t="shared" ca="1" si="61"/>
        <v>100031</v>
      </c>
      <c r="BG32" s="259">
        <f ca="1">IF(BI32="",99999,'Endrunde 4'!$D32)</f>
        <v>99999</v>
      </c>
      <c r="BH32" s="259" t="str">
        <f ca="1">IF(BI32="","",'Endrunde 4'!$E32)</f>
        <v/>
      </c>
      <c r="BI32" s="554" t="str">
        <f ca="1">IF($C$49="","",IF('Endrunde 4'!$I32=$C$49,'Endrunde 4'!$K32,IF('Endrunde 4'!$K32=$C$49,'Endrunde 4'!$I32,"")))</f>
        <v/>
      </c>
      <c r="BJ32" s="259">
        <f t="shared" ca="1" si="62"/>
        <v>100030</v>
      </c>
      <c r="BK32" s="259">
        <f t="shared" ca="1" si="63"/>
        <v>100031</v>
      </c>
      <c r="BL32" s="259">
        <f ca="1">IF(BN32="",99999,'Endrunde 4'!$D32)</f>
        <v>99999</v>
      </c>
      <c r="BM32" s="259" t="str">
        <f ca="1">IF(BN32="","",'Endrunde 4'!$E32)</f>
        <v/>
      </c>
      <c r="BN32" s="554" t="str">
        <f ca="1">IF($C$54="","",IF('Endrunde 4'!$I32=$C$54,'Endrunde 4'!$K32,IF('Endrunde 4'!$K32=$C$54,'Endrunde 4'!$I32,"")))</f>
        <v/>
      </c>
      <c r="BO32" s="259">
        <f t="shared" ca="1" si="64"/>
        <v>100030</v>
      </c>
      <c r="BP32" s="259">
        <f t="shared" ca="1" si="65"/>
        <v>100031</v>
      </c>
      <c r="BQ32" s="259">
        <f ca="1">IF(BS32="",99999,'Endrunde 4'!$D32)</f>
        <v>99999</v>
      </c>
      <c r="BR32" s="259" t="str">
        <f ca="1">IF(BS32="","",'Endrunde 4'!$E32)</f>
        <v/>
      </c>
      <c r="BS32" s="554" t="str">
        <f ca="1">IF($C$59="","",IF('Endrunde 4'!$I32=$C$59,'Endrunde 4'!$K32,IF('Endrunde 4'!$K32=$C$59,'Endrunde 4'!$I32,"")))</f>
        <v/>
      </c>
      <c r="BT32" s="550">
        <f t="shared" ca="1" si="66"/>
        <v>100031</v>
      </c>
      <c r="BU32" s="548">
        <f t="shared" ca="1" si="27"/>
        <v>32.545138888888886</v>
      </c>
      <c r="BV32" s="259">
        <f ca="1">IF(BX32="",99999,'Endrunde 4'!$D32)</f>
        <v>0.54513888888888895</v>
      </c>
      <c r="BW32" s="259">
        <f ca="1">IF(BX32="","",'Endrunde 4'!$E32)</f>
        <v>2</v>
      </c>
      <c r="BX32" s="554" t="str">
        <f ca="1">IF($C$64="","",IF('Endrunde 4'!$I32=$C$64,'Endrunde 4'!$K32,IF('Endrunde 4'!$K32=$C$64,'Endrunde 4'!$I32,"")))</f>
        <v>Maibach 1822 eV</v>
      </c>
      <c r="BY32" s="259">
        <f t="shared" ca="1" si="28"/>
        <v>100030</v>
      </c>
      <c r="BZ32" s="548">
        <f t="shared" ca="1" si="29"/>
        <v>100031</v>
      </c>
      <c r="CA32" s="259">
        <f ca="1">IF(CC32="",99999,'Endrunde 4'!$D32)</f>
        <v>99999</v>
      </c>
      <c r="CB32" s="259" t="str">
        <f ca="1">IF(CC32="","",'Endrunde 4'!$E32)</f>
        <v/>
      </c>
      <c r="CC32" s="554" t="str">
        <f ca="1">IF($C$69="","",IF('Endrunde 4'!$I32=$C$69,'Endrunde 4'!$K32,IF('Endrunde 4'!$K32=$C$69,'Endrunde 4'!$I32,"")))</f>
        <v/>
      </c>
      <c r="CD32" s="259">
        <f t="shared" ca="1" si="30"/>
        <v>100030</v>
      </c>
      <c r="CE32" s="548">
        <f t="shared" si="31"/>
        <v>100031</v>
      </c>
      <c r="CF32" s="259">
        <f>IF(CH32="",99999,'Endrunde 4'!$D32)</f>
        <v>99999</v>
      </c>
      <c r="CG32" s="259" t="str">
        <f>IF(CH32="","",'Endrunde 4'!$E32)</f>
        <v/>
      </c>
      <c r="CH32" s="554" t="str">
        <f>IF($C$74="","",IF('Endrunde 4'!$I32=$C$74,'Endrunde 4'!$K32,IF('Endrunde 4'!$K32=$C$74,'Endrunde 4'!$I32,"")))</f>
        <v/>
      </c>
      <c r="CI32" s="259">
        <f t="shared" si="32"/>
        <v>100031</v>
      </c>
      <c r="CJ32" s="548">
        <f t="shared" si="33"/>
        <v>100031</v>
      </c>
      <c r="CK32" s="259">
        <f>IF(CM32="",99999,'Endrunde 4'!$D32)</f>
        <v>99999</v>
      </c>
      <c r="CL32" s="259" t="str">
        <f>IF(CM32="","",'Endrunde 4'!$E32)</f>
        <v/>
      </c>
      <c r="CM32" s="554" t="str">
        <f>IF($C$79="","",IF('Endrunde 4'!$I32=$C$79,'Endrunde 4'!$K32,IF('Endrunde 4'!$K32=$C$79,'Endrunde 4'!$I32,"")))</f>
        <v/>
      </c>
      <c r="CN32" s="259">
        <f t="shared" si="34"/>
        <v>100031</v>
      </c>
      <c r="CO32" s="548">
        <f t="shared" si="35"/>
        <v>100031</v>
      </c>
      <c r="CP32" s="259">
        <f>IF(CR32="",99999,'Endrunde 4'!$D32)</f>
        <v>99999</v>
      </c>
      <c r="CQ32" s="259" t="str">
        <f>IF(CR32="","",'Endrunde 4'!$E32)</f>
        <v/>
      </c>
      <c r="CR32" s="554" t="str">
        <f>IF($C$84="","",IF('Endrunde 4'!$I32=$C$84,'Endrunde 4'!$K32,IF('Endrunde 4'!$K32=$C$84,'Endrunde 4'!$I32,"")))</f>
        <v/>
      </c>
      <c r="CS32" s="259">
        <f t="shared" si="36"/>
        <v>100031</v>
      </c>
      <c r="CT32" s="548">
        <f t="shared" si="37"/>
        <v>100031</v>
      </c>
      <c r="CU32" s="259">
        <f>IF(CW32="",99999,'Endrunde 4'!$D32)</f>
        <v>99999</v>
      </c>
      <c r="CV32" s="259" t="str">
        <f>IF(CW32="","",'Endrunde 4'!$E32)</f>
        <v/>
      </c>
      <c r="CW32" s="554" t="str">
        <f>IF($C$89="","",IF('Endrunde 4'!$I32=$C$89,'Endrunde 4'!$K32,IF('Endrunde 4'!$K32=$C$89,'Endrunde 4'!$I32,"")))</f>
        <v/>
      </c>
      <c r="CX32" s="550">
        <f t="shared" si="38"/>
        <v>100031</v>
      </c>
    </row>
    <row r="33" spans="2:102" ht="30" customHeight="1" thickBot="1" x14ac:dyDescent="0.25">
      <c r="J33" s="523">
        <f t="shared" si="39"/>
        <v>0</v>
      </c>
      <c r="L33" s="150">
        <f ca="1">'Endrunde 4'!$C33</f>
        <v>31</v>
      </c>
      <c r="M33" s="548">
        <f t="shared" ca="1" si="43"/>
        <v>100032</v>
      </c>
      <c r="N33" s="259">
        <f ca="1">IF(P33="",99999,'Endrunde 4'!$D33)</f>
        <v>99999</v>
      </c>
      <c r="O33" s="259" t="str">
        <f ca="1">IF(P33="","",'Endrunde 4'!$E33)</f>
        <v/>
      </c>
      <c r="P33" s="554" t="str">
        <f ca="1">IF($C$4="","",IF('Endrunde 4'!$I33=$C$4,'Endrunde 4'!$K33,IF('Endrunde 4'!$K33=$C$4,'Endrunde 4'!$I33,"")))</f>
        <v/>
      </c>
      <c r="Q33" s="259">
        <f t="shared" ca="1" si="44"/>
        <v>100032</v>
      </c>
      <c r="R33" s="259">
        <f t="shared" ca="1" si="45"/>
        <v>100032</v>
      </c>
      <c r="S33" s="259">
        <f ca="1">IF(U33="",99999,'Endrunde 4'!$D33)</f>
        <v>99999</v>
      </c>
      <c r="T33" s="259" t="str">
        <f ca="1">IF(U33="","",'Endrunde 4'!$E33)</f>
        <v/>
      </c>
      <c r="U33" s="554" t="str">
        <f ca="1">IF($C$9="","",IF('Endrunde 4'!$I33=$C$9,'Endrunde 4'!$K33,IF('Endrunde 4'!$K33=$C$9,'Endrunde 4'!$I33,"")))</f>
        <v/>
      </c>
      <c r="V33" s="259">
        <f t="shared" ca="1" si="46"/>
        <v>100031</v>
      </c>
      <c r="W33" s="259">
        <f t="shared" ca="1" si="47"/>
        <v>100032</v>
      </c>
      <c r="X33" s="259">
        <f ca="1">IF(Z33="",99999,'Endrunde 4'!$D33)</f>
        <v>99999</v>
      </c>
      <c r="Y33" s="259" t="str">
        <f ca="1">IF(Z33="","",'Endrunde 4'!$E33)</f>
        <v/>
      </c>
      <c r="Z33" s="554" t="str">
        <f ca="1">IF($C$14="","",IF('Endrunde 4'!$I33=$C$14,'Endrunde 4'!$K33,IF('Endrunde 4'!$K33=$C$14,'Endrunde 4'!$I33,"")))</f>
        <v/>
      </c>
      <c r="AA33" s="259">
        <f t="shared" ca="1" si="48"/>
        <v>100031</v>
      </c>
      <c r="AB33" s="259">
        <f t="shared" ca="1" si="49"/>
        <v>100032</v>
      </c>
      <c r="AC33" s="259">
        <f ca="1">IF(AE33="",99999,'Endrunde 4'!$D33)</f>
        <v>99999</v>
      </c>
      <c r="AD33" s="259" t="str">
        <f ca="1">IF(AE33="","",'Endrunde 4'!$E33)</f>
        <v/>
      </c>
      <c r="AE33" s="554" t="str">
        <f ca="1">IF($C$19="","",IF('Endrunde 4'!$I33=$C$19,'Endrunde 4'!$K33,IF('Endrunde 4'!$K33=$C$19,'Endrunde 4'!$I33,"")))</f>
        <v/>
      </c>
      <c r="AF33" s="259">
        <f t="shared" ca="1" si="50"/>
        <v>100032</v>
      </c>
      <c r="AG33" s="259">
        <f t="shared" ca="1" si="51"/>
        <v>100032</v>
      </c>
      <c r="AH33" s="259">
        <f ca="1">IF(AJ33="",99999,'Endrunde 4'!$D33)</f>
        <v>99999</v>
      </c>
      <c r="AI33" s="259" t="str">
        <f ca="1">IF(AJ33="","",'Endrunde 4'!$E33)</f>
        <v/>
      </c>
      <c r="AJ33" s="554" t="str">
        <f ca="1">IF($C$24="","",IF('Endrunde 4'!$I33=$C$24,'Endrunde 4'!$K33,IF('Endrunde 4'!$K33=$C$24,'Endrunde 4'!$I33,"")))</f>
        <v/>
      </c>
      <c r="AK33" s="259">
        <f t="shared" ca="1" si="52"/>
        <v>100031</v>
      </c>
      <c r="AL33" s="259">
        <f t="shared" si="53"/>
        <v>100032</v>
      </c>
      <c r="AM33" s="259">
        <f>IF(AO33="",99999,'Endrunde 4'!$D33)</f>
        <v>99999</v>
      </c>
      <c r="AN33" s="259" t="str">
        <f>IF(AO33="","",'Endrunde 4'!$E33)</f>
        <v/>
      </c>
      <c r="AO33" s="554" t="str">
        <f>IF($C$29="","",IF('Endrunde 4'!$I33=$C$29,'Endrunde 4'!$K33,IF('Endrunde 4'!$K33=$C$29,'Endrunde 4'!$I33,"")))</f>
        <v/>
      </c>
      <c r="AP33" s="259">
        <f t="shared" si="54"/>
        <v>100032</v>
      </c>
      <c r="AQ33" s="259">
        <f t="shared" si="55"/>
        <v>100032</v>
      </c>
      <c r="AR33" s="259">
        <f>IF(AT33="",99999,'Endrunde 4'!$D33)</f>
        <v>99999</v>
      </c>
      <c r="AS33" s="259" t="str">
        <f>IF(AT33="","",'Endrunde 4'!$E33)</f>
        <v/>
      </c>
      <c r="AT33" s="554" t="str">
        <f>IF($C$34="","",IF('Endrunde 4'!$I33=$C$34,'Endrunde 4'!$K33,IF('Endrunde 4'!$K33=$C$34,'Endrunde 4'!$I33,"")))</f>
        <v/>
      </c>
      <c r="AU33" s="259">
        <f t="shared" si="56"/>
        <v>100032</v>
      </c>
      <c r="AV33" s="259">
        <f t="shared" si="57"/>
        <v>100032</v>
      </c>
      <c r="AW33" s="259">
        <f>IF(AY33="",99999,'Endrunde 4'!$D33)</f>
        <v>99999</v>
      </c>
      <c r="AX33" s="259" t="str">
        <f>IF(AY33="","",'Endrunde 4'!$E33)</f>
        <v/>
      </c>
      <c r="AY33" s="554" t="str">
        <f>IF($C$39="","",IF('Endrunde 4'!$I33=$C$39,'Endrunde 4'!$K33,IF('Endrunde 4'!$K33=$C$39,'Endrunde 4'!$I33,"")))</f>
        <v/>
      </c>
      <c r="AZ33" s="259">
        <f t="shared" si="58"/>
        <v>100032</v>
      </c>
      <c r="BA33" s="259">
        <f t="shared" si="59"/>
        <v>100032</v>
      </c>
      <c r="BB33" s="259">
        <f>IF(BD33="",99999,'Endrunde 4'!$D33)</f>
        <v>99999</v>
      </c>
      <c r="BC33" s="259" t="str">
        <f>IF(BD33="","",'Endrunde 4'!$E33)</f>
        <v/>
      </c>
      <c r="BD33" s="554" t="str">
        <f>IF($C$44="","",IF('Endrunde 4'!$I33=$C$44,'Endrunde 4'!$K33,IF('Endrunde 4'!$K33=$C$44,'Endrunde 4'!$I33,"")))</f>
        <v/>
      </c>
      <c r="BE33" s="259">
        <f t="shared" si="60"/>
        <v>100032</v>
      </c>
      <c r="BF33" s="259">
        <f t="shared" ca="1" si="61"/>
        <v>100032</v>
      </c>
      <c r="BG33" s="259">
        <f ca="1">IF(BI33="",99999,'Endrunde 4'!$D33)</f>
        <v>99999</v>
      </c>
      <c r="BH33" s="259" t="str">
        <f ca="1">IF(BI33="","",'Endrunde 4'!$E33)</f>
        <v/>
      </c>
      <c r="BI33" s="554" t="str">
        <f ca="1">IF($C$49="","",IF('Endrunde 4'!$I33=$C$49,'Endrunde 4'!$K33,IF('Endrunde 4'!$K33=$C$49,'Endrunde 4'!$I33,"")))</f>
        <v/>
      </c>
      <c r="BJ33" s="259">
        <f t="shared" ca="1" si="62"/>
        <v>100031</v>
      </c>
      <c r="BK33" s="259">
        <f t="shared" ca="1" si="63"/>
        <v>100032</v>
      </c>
      <c r="BL33" s="259">
        <f ca="1">IF(BN33="",99999,'Endrunde 4'!$D33)</f>
        <v>99999</v>
      </c>
      <c r="BM33" s="259" t="str">
        <f ca="1">IF(BN33="","",'Endrunde 4'!$E33)</f>
        <v/>
      </c>
      <c r="BN33" s="554" t="str">
        <f ca="1">IF($C$54="","",IF('Endrunde 4'!$I33=$C$54,'Endrunde 4'!$K33,IF('Endrunde 4'!$K33=$C$54,'Endrunde 4'!$I33,"")))</f>
        <v/>
      </c>
      <c r="BO33" s="259">
        <f t="shared" ca="1" si="64"/>
        <v>100031</v>
      </c>
      <c r="BP33" s="259">
        <f t="shared" ca="1" si="65"/>
        <v>100032</v>
      </c>
      <c r="BQ33" s="259">
        <f ca="1">IF(BS33="",99999,'Endrunde 4'!$D33)</f>
        <v>99999</v>
      </c>
      <c r="BR33" s="259" t="str">
        <f ca="1">IF(BS33="","",'Endrunde 4'!$E33)</f>
        <v/>
      </c>
      <c r="BS33" s="554" t="str">
        <f ca="1">IF($C$59="","",IF('Endrunde 4'!$I33=$C$59,'Endrunde 4'!$K33,IF('Endrunde 4'!$K33=$C$59,'Endrunde 4'!$I33,"")))</f>
        <v/>
      </c>
      <c r="BT33" s="550">
        <f t="shared" ca="1" si="66"/>
        <v>100032</v>
      </c>
      <c r="BU33" s="548">
        <f t="shared" ca="1" si="27"/>
        <v>100032</v>
      </c>
      <c r="BV33" s="259">
        <f ca="1">IF(BX33="",99999,'Endrunde 4'!$D33)</f>
        <v>99999</v>
      </c>
      <c r="BW33" s="259" t="str">
        <f ca="1">IF(BX33="","",'Endrunde 4'!$E33)</f>
        <v/>
      </c>
      <c r="BX33" s="554" t="str">
        <f ca="1">IF($C$64="","",IF('Endrunde 4'!$I33=$C$64,'Endrunde 4'!$K33,IF('Endrunde 4'!$K33=$C$64,'Endrunde 4'!$I33,"")))</f>
        <v/>
      </c>
      <c r="BY33" s="259">
        <f t="shared" ca="1" si="28"/>
        <v>100032</v>
      </c>
      <c r="BZ33" s="548">
        <f t="shared" ca="1" si="29"/>
        <v>100032</v>
      </c>
      <c r="CA33" s="259">
        <f ca="1">IF(CC33="",99999,'Endrunde 4'!$D33)</f>
        <v>99999</v>
      </c>
      <c r="CB33" s="259" t="str">
        <f ca="1">IF(CC33="","",'Endrunde 4'!$E33)</f>
        <v/>
      </c>
      <c r="CC33" s="554" t="str">
        <f ca="1">IF($C$69="","",IF('Endrunde 4'!$I33=$C$69,'Endrunde 4'!$K33,IF('Endrunde 4'!$K33=$C$69,'Endrunde 4'!$I33,"")))</f>
        <v/>
      </c>
      <c r="CD33" s="259">
        <f t="shared" ca="1" si="30"/>
        <v>100031</v>
      </c>
      <c r="CE33" s="548">
        <f t="shared" si="31"/>
        <v>100032</v>
      </c>
      <c r="CF33" s="259">
        <f>IF(CH33="",99999,'Endrunde 4'!$D33)</f>
        <v>99999</v>
      </c>
      <c r="CG33" s="259" t="str">
        <f>IF(CH33="","",'Endrunde 4'!$E33)</f>
        <v/>
      </c>
      <c r="CH33" s="554" t="str">
        <f>IF($C$74="","",IF('Endrunde 4'!$I33=$C$74,'Endrunde 4'!$K33,IF('Endrunde 4'!$K33=$C$74,'Endrunde 4'!$I33,"")))</f>
        <v/>
      </c>
      <c r="CI33" s="259">
        <f t="shared" si="32"/>
        <v>100032</v>
      </c>
      <c r="CJ33" s="548">
        <f t="shared" si="33"/>
        <v>100032</v>
      </c>
      <c r="CK33" s="259">
        <f>IF(CM33="",99999,'Endrunde 4'!$D33)</f>
        <v>99999</v>
      </c>
      <c r="CL33" s="259" t="str">
        <f>IF(CM33="","",'Endrunde 4'!$E33)</f>
        <v/>
      </c>
      <c r="CM33" s="554" t="str">
        <f>IF($C$79="","",IF('Endrunde 4'!$I33=$C$79,'Endrunde 4'!$K33,IF('Endrunde 4'!$K33=$C$79,'Endrunde 4'!$I33,"")))</f>
        <v/>
      </c>
      <c r="CN33" s="259">
        <f t="shared" si="34"/>
        <v>100032</v>
      </c>
      <c r="CO33" s="548">
        <f t="shared" si="35"/>
        <v>100032</v>
      </c>
      <c r="CP33" s="259">
        <f>IF(CR33="",99999,'Endrunde 4'!$D33)</f>
        <v>99999</v>
      </c>
      <c r="CQ33" s="259" t="str">
        <f>IF(CR33="","",'Endrunde 4'!$E33)</f>
        <v/>
      </c>
      <c r="CR33" s="554" t="str">
        <f>IF($C$84="","",IF('Endrunde 4'!$I33=$C$84,'Endrunde 4'!$K33,IF('Endrunde 4'!$K33=$C$84,'Endrunde 4'!$I33,"")))</f>
        <v/>
      </c>
      <c r="CS33" s="259">
        <f t="shared" si="36"/>
        <v>100032</v>
      </c>
      <c r="CT33" s="548">
        <f t="shared" si="37"/>
        <v>100032</v>
      </c>
      <c r="CU33" s="259">
        <f>IF(CW33="",99999,'Endrunde 4'!$D33)</f>
        <v>99999</v>
      </c>
      <c r="CV33" s="259" t="str">
        <f>IF(CW33="","",'Endrunde 4'!$E33)</f>
        <v/>
      </c>
      <c r="CW33" s="554" t="str">
        <f>IF($C$89="","",IF('Endrunde 4'!$I33=$C$89,'Endrunde 4'!$K33,IF('Endrunde 4'!$K33=$C$89,'Endrunde 4'!$I33,"")))</f>
        <v/>
      </c>
      <c r="CX33" s="550">
        <f t="shared" si="38"/>
        <v>100032</v>
      </c>
    </row>
    <row r="34" spans="2:102" ht="15.95" customHeight="1" x14ac:dyDescent="0.2">
      <c r="B34" s="525" t="s">
        <v>319</v>
      </c>
      <c r="C34" s="526" t="str">
        <f>IF(Planung!$C$19="","",Planung!$C$19)</f>
        <v/>
      </c>
      <c r="E34" s="527" t="str">
        <f>Sprache!$E$69</f>
        <v>Spiel Nr.</v>
      </c>
      <c r="F34" s="528" t="str">
        <f>Sprache!$E$39</f>
        <v>Beginn</v>
      </c>
      <c r="G34" s="529" t="str">
        <f>Sprache!$E$48</f>
        <v>Feld</v>
      </c>
      <c r="H34" s="530" t="str">
        <f>Sprache!$E$46</f>
        <v>Spiel gegen</v>
      </c>
      <c r="J34" s="523">
        <f t="shared" si="39"/>
        <v>0</v>
      </c>
      <c r="L34" s="150">
        <f ca="1">'Endrunde 4'!$C34</f>
        <v>31</v>
      </c>
      <c r="M34" s="548">
        <f t="shared" ca="1" si="43"/>
        <v>100033</v>
      </c>
      <c r="N34" s="259">
        <f ca="1">IF(P34="",99999,'Endrunde 4'!$D34)</f>
        <v>99999</v>
      </c>
      <c r="O34" s="259" t="str">
        <f ca="1">IF(P34="","",'Endrunde 4'!$E34)</f>
        <v/>
      </c>
      <c r="P34" s="554" t="str">
        <f ca="1">IF($C$4="","",IF('Endrunde 4'!$I34=$C$4,'Endrunde 4'!$K34,IF('Endrunde 4'!$K34=$C$4,'Endrunde 4'!$I34,"")))</f>
        <v/>
      </c>
      <c r="Q34" s="259">
        <f t="shared" ca="1" si="44"/>
        <v>100033</v>
      </c>
      <c r="R34" s="259">
        <f t="shared" ca="1" si="45"/>
        <v>34.545138888888886</v>
      </c>
      <c r="S34" s="259">
        <f ca="1">IF(U34="",99999,'Endrunde 4'!$D34)</f>
        <v>0.54513888888888895</v>
      </c>
      <c r="T34" s="259">
        <f ca="1">IF(U34="","",'Endrunde 4'!$E34)</f>
        <v>3</v>
      </c>
      <c r="U34" s="554" t="str">
        <f ca="1">IF($C$9="","",IF('Endrunde 4'!$I34=$C$9,'Endrunde 4'!$K34,IF('Endrunde 4'!$K34=$C$9,'Endrunde 4'!$I34,"")))</f>
        <v>Inter Mailand</v>
      </c>
      <c r="V34" s="259">
        <f t="shared" ca="1" si="46"/>
        <v>100032</v>
      </c>
      <c r="W34" s="259">
        <f t="shared" ca="1" si="47"/>
        <v>100033</v>
      </c>
      <c r="X34" s="259">
        <f ca="1">IF(Z34="",99999,'Endrunde 4'!$D34)</f>
        <v>99999</v>
      </c>
      <c r="Y34" s="259" t="str">
        <f ca="1">IF(Z34="","",'Endrunde 4'!$E34)</f>
        <v/>
      </c>
      <c r="Z34" s="554" t="str">
        <f ca="1">IF($C$14="","",IF('Endrunde 4'!$I34=$C$14,'Endrunde 4'!$K34,IF('Endrunde 4'!$K34=$C$14,'Endrunde 4'!$I34,"")))</f>
        <v/>
      </c>
      <c r="AA34" s="259">
        <f t="shared" ca="1" si="48"/>
        <v>100032</v>
      </c>
      <c r="AB34" s="259">
        <f t="shared" ca="1" si="49"/>
        <v>100033</v>
      </c>
      <c r="AC34" s="259">
        <f ca="1">IF(AE34="",99999,'Endrunde 4'!$D34)</f>
        <v>99999</v>
      </c>
      <c r="AD34" s="259" t="str">
        <f ca="1">IF(AE34="","",'Endrunde 4'!$E34)</f>
        <v/>
      </c>
      <c r="AE34" s="554" t="str">
        <f ca="1">IF($C$19="","",IF('Endrunde 4'!$I34=$C$19,'Endrunde 4'!$K34,IF('Endrunde 4'!$K34=$C$19,'Endrunde 4'!$I34,"")))</f>
        <v/>
      </c>
      <c r="AF34" s="259">
        <f t="shared" ca="1" si="50"/>
        <v>100033</v>
      </c>
      <c r="AG34" s="259">
        <f t="shared" ca="1" si="51"/>
        <v>100033</v>
      </c>
      <c r="AH34" s="259">
        <f ca="1">IF(AJ34="",99999,'Endrunde 4'!$D34)</f>
        <v>99999</v>
      </c>
      <c r="AI34" s="259" t="str">
        <f ca="1">IF(AJ34="","",'Endrunde 4'!$E34)</f>
        <v/>
      </c>
      <c r="AJ34" s="554" t="str">
        <f ca="1">IF($C$24="","",IF('Endrunde 4'!$I34=$C$24,'Endrunde 4'!$K34,IF('Endrunde 4'!$K34=$C$24,'Endrunde 4'!$I34,"")))</f>
        <v/>
      </c>
      <c r="AK34" s="259">
        <f t="shared" ca="1" si="52"/>
        <v>100032</v>
      </c>
      <c r="AL34" s="259">
        <f t="shared" si="53"/>
        <v>100033</v>
      </c>
      <c r="AM34" s="259">
        <f>IF(AO34="",99999,'Endrunde 4'!$D34)</f>
        <v>99999</v>
      </c>
      <c r="AN34" s="259" t="str">
        <f>IF(AO34="","",'Endrunde 4'!$E34)</f>
        <v/>
      </c>
      <c r="AO34" s="554" t="str">
        <f>IF($C$29="","",IF('Endrunde 4'!$I34=$C$29,'Endrunde 4'!$K34,IF('Endrunde 4'!$K34=$C$29,'Endrunde 4'!$I34,"")))</f>
        <v/>
      </c>
      <c r="AP34" s="259">
        <f t="shared" si="54"/>
        <v>100033</v>
      </c>
      <c r="AQ34" s="259">
        <f t="shared" si="55"/>
        <v>100033</v>
      </c>
      <c r="AR34" s="259">
        <f>IF(AT34="",99999,'Endrunde 4'!$D34)</f>
        <v>99999</v>
      </c>
      <c r="AS34" s="259" t="str">
        <f>IF(AT34="","",'Endrunde 4'!$E34)</f>
        <v/>
      </c>
      <c r="AT34" s="554" t="str">
        <f>IF($C$34="","",IF('Endrunde 4'!$I34=$C$34,'Endrunde 4'!$K34,IF('Endrunde 4'!$K34=$C$34,'Endrunde 4'!$I34,"")))</f>
        <v/>
      </c>
      <c r="AU34" s="259">
        <f t="shared" si="56"/>
        <v>100033</v>
      </c>
      <c r="AV34" s="259">
        <f t="shared" si="57"/>
        <v>100033</v>
      </c>
      <c r="AW34" s="259">
        <f>IF(AY34="",99999,'Endrunde 4'!$D34)</f>
        <v>99999</v>
      </c>
      <c r="AX34" s="259" t="str">
        <f>IF(AY34="","",'Endrunde 4'!$E34)</f>
        <v/>
      </c>
      <c r="AY34" s="554" t="str">
        <f>IF($C$39="","",IF('Endrunde 4'!$I34=$C$39,'Endrunde 4'!$K34,IF('Endrunde 4'!$K34=$C$39,'Endrunde 4'!$I34,"")))</f>
        <v/>
      </c>
      <c r="AZ34" s="259">
        <f t="shared" si="58"/>
        <v>100033</v>
      </c>
      <c r="BA34" s="259">
        <f t="shared" si="59"/>
        <v>100033</v>
      </c>
      <c r="BB34" s="259">
        <f>IF(BD34="",99999,'Endrunde 4'!$D34)</f>
        <v>99999</v>
      </c>
      <c r="BC34" s="259" t="str">
        <f>IF(BD34="","",'Endrunde 4'!$E34)</f>
        <v/>
      </c>
      <c r="BD34" s="554" t="str">
        <f>IF($C$44="","",IF('Endrunde 4'!$I34=$C$44,'Endrunde 4'!$K34,IF('Endrunde 4'!$K34=$C$44,'Endrunde 4'!$I34,"")))</f>
        <v/>
      </c>
      <c r="BE34" s="259">
        <f t="shared" si="60"/>
        <v>100033</v>
      </c>
      <c r="BF34" s="259">
        <f t="shared" ca="1" si="61"/>
        <v>100033</v>
      </c>
      <c r="BG34" s="259">
        <f ca="1">IF(BI34="",99999,'Endrunde 4'!$D34)</f>
        <v>99999</v>
      </c>
      <c r="BH34" s="259" t="str">
        <f ca="1">IF(BI34="","",'Endrunde 4'!$E34)</f>
        <v/>
      </c>
      <c r="BI34" s="554" t="str">
        <f ca="1">IF($C$49="","",IF('Endrunde 4'!$I34=$C$49,'Endrunde 4'!$K34,IF('Endrunde 4'!$K34=$C$49,'Endrunde 4'!$I34,"")))</f>
        <v/>
      </c>
      <c r="BJ34" s="259">
        <f t="shared" ca="1" si="62"/>
        <v>100032</v>
      </c>
      <c r="BK34" s="259">
        <f t="shared" ca="1" si="63"/>
        <v>34.545138888888886</v>
      </c>
      <c r="BL34" s="259">
        <f ca="1">IF(BN34="",99999,'Endrunde 4'!$D34)</f>
        <v>0.54513888888888895</v>
      </c>
      <c r="BM34" s="259">
        <f ca="1">IF(BN34="","",'Endrunde 4'!$E34)</f>
        <v>3</v>
      </c>
      <c r="BN34" s="554" t="str">
        <f ca="1">IF($C$54="","",IF('Endrunde 4'!$I34=$C$54,'Endrunde 4'!$K34,IF('Endrunde 4'!$K34=$C$54,'Endrunde 4'!$I34,"")))</f>
        <v>FC Barcelona</v>
      </c>
      <c r="BO34" s="259">
        <f t="shared" ca="1" si="64"/>
        <v>100032</v>
      </c>
      <c r="BP34" s="259">
        <f t="shared" ca="1" si="65"/>
        <v>100033</v>
      </c>
      <c r="BQ34" s="259">
        <f ca="1">IF(BS34="",99999,'Endrunde 4'!$D34)</f>
        <v>99999</v>
      </c>
      <c r="BR34" s="259" t="str">
        <f ca="1">IF(BS34="","",'Endrunde 4'!$E34)</f>
        <v/>
      </c>
      <c r="BS34" s="554" t="str">
        <f ca="1">IF($C$59="","",IF('Endrunde 4'!$I34=$C$59,'Endrunde 4'!$K34,IF('Endrunde 4'!$K34=$C$59,'Endrunde 4'!$I34,"")))</f>
        <v/>
      </c>
      <c r="BT34" s="550">
        <f t="shared" ca="1" si="66"/>
        <v>100033</v>
      </c>
      <c r="BU34" s="548">
        <f t="shared" ca="1" si="27"/>
        <v>100033</v>
      </c>
      <c r="BV34" s="259">
        <f ca="1">IF(BX34="",99999,'Endrunde 4'!$D34)</f>
        <v>99999</v>
      </c>
      <c r="BW34" s="259" t="str">
        <f ca="1">IF(BX34="","",'Endrunde 4'!$E34)</f>
        <v/>
      </c>
      <c r="BX34" s="554" t="str">
        <f ca="1">IF($C$64="","",IF('Endrunde 4'!$I34=$C$64,'Endrunde 4'!$K34,IF('Endrunde 4'!$K34=$C$64,'Endrunde 4'!$I34,"")))</f>
        <v/>
      </c>
      <c r="BY34" s="259">
        <f t="shared" ca="1" si="28"/>
        <v>100033</v>
      </c>
      <c r="BZ34" s="548">
        <f t="shared" ca="1" si="29"/>
        <v>100033</v>
      </c>
      <c r="CA34" s="259">
        <f ca="1">IF(CC34="",99999,'Endrunde 4'!$D34)</f>
        <v>99999</v>
      </c>
      <c r="CB34" s="259" t="str">
        <f ca="1">IF(CC34="","",'Endrunde 4'!$E34)</f>
        <v/>
      </c>
      <c r="CC34" s="554" t="str">
        <f ca="1">IF($C$69="","",IF('Endrunde 4'!$I34=$C$69,'Endrunde 4'!$K34,IF('Endrunde 4'!$K34=$C$69,'Endrunde 4'!$I34,"")))</f>
        <v/>
      </c>
      <c r="CD34" s="259">
        <f t="shared" ca="1" si="30"/>
        <v>100032</v>
      </c>
      <c r="CE34" s="548">
        <f t="shared" si="31"/>
        <v>100033</v>
      </c>
      <c r="CF34" s="259">
        <f>IF(CH34="",99999,'Endrunde 4'!$D34)</f>
        <v>99999</v>
      </c>
      <c r="CG34" s="259" t="str">
        <f>IF(CH34="","",'Endrunde 4'!$E34)</f>
        <v/>
      </c>
      <c r="CH34" s="554" t="str">
        <f>IF($C$74="","",IF('Endrunde 4'!$I34=$C$74,'Endrunde 4'!$K34,IF('Endrunde 4'!$K34=$C$74,'Endrunde 4'!$I34,"")))</f>
        <v/>
      </c>
      <c r="CI34" s="259">
        <f t="shared" si="32"/>
        <v>100033</v>
      </c>
      <c r="CJ34" s="548">
        <f t="shared" si="33"/>
        <v>100033</v>
      </c>
      <c r="CK34" s="259">
        <f>IF(CM34="",99999,'Endrunde 4'!$D34)</f>
        <v>99999</v>
      </c>
      <c r="CL34" s="259" t="str">
        <f>IF(CM34="","",'Endrunde 4'!$E34)</f>
        <v/>
      </c>
      <c r="CM34" s="554" t="str">
        <f>IF($C$79="","",IF('Endrunde 4'!$I34=$C$79,'Endrunde 4'!$K34,IF('Endrunde 4'!$K34=$C$79,'Endrunde 4'!$I34,"")))</f>
        <v/>
      </c>
      <c r="CN34" s="259">
        <f t="shared" si="34"/>
        <v>100033</v>
      </c>
      <c r="CO34" s="548">
        <f t="shared" si="35"/>
        <v>100033</v>
      </c>
      <c r="CP34" s="259">
        <f>IF(CR34="",99999,'Endrunde 4'!$D34)</f>
        <v>99999</v>
      </c>
      <c r="CQ34" s="259" t="str">
        <f>IF(CR34="","",'Endrunde 4'!$E34)</f>
        <v/>
      </c>
      <c r="CR34" s="554" t="str">
        <f>IF($C$84="","",IF('Endrunde 4'!$I34=$C$84,'Endrunde 4'!$K34,IF('Endrunde 4'!$K34=$C$84,'Endrunde 4'!$I34,"")))</f>
        <v/>
      </c>
      <c r="CS34" s="259">
        <f t="shared" si="36"/>
        <v>100033</v>
      </c>
      <c r="CT34" s="548">
        <f t="shared" si="37"/>
        <v>100033</v>
      </c>
      <c r="CU34" s="259">
        <f>IF(CW34="",99999,'Endrunde 4'!$D34)</f>
        <v>99999</v>
      </c>
      <c r="CV34" s="259" t="str">
        <f>IF(CW34="","",'Endrunde 4'!$E34)</f>
        <v/>
      </c>
      <c r="CW34" s="554" t="str">
        <f>IF($C$89="","",IF('Endrunde 4'!$I34=$C$89,'Endrunde 4'!$K34,IF('Endrunde 4'!$K34=$C$89,'Endrunde 4'!$I34,"")))</f>
        <v/>
      </c>
      <c r="CX34" s="550">
        <f t="shared" si="38"/>
        <v>100033</v>
      </c>
    </row>
    <row r="35" spans="2:102" ht="15.95" customHeight="1" x14ac:dyDescent="0.2">
      <c r="E35" s="531" t="str">
        <f>IF($AU$12&lt;99999,INDEX($L$12:$L$36,MATCH($AU$12,$AQ$12:$AQ$36,0)),"")</f>
        <v/>
      </c>
      <c r="F35" s="532" t="str">
        <f>IF($AU$12&lt;99999,VLOOKUP($AU$12,$AQ$12:$AT$36,2,0),"")</f>
        <v/>
      </c>
      <c r="G35" s="533" t="str">
        <f>IF($AU$12&lt;99999,VLOOKUP($AU$12,$AQ$12:$AT$36,3,0),"")</f>
        <v/>
      </c>
      <c r="H35" s="534" t="str">
        <f>IF($AU$12&lt;99999,VLOOKUP($AU$12,$AQ$12:$AT$36,4,0),"")</f>
        <v/>
      </c>
      <c r="J35" s="523">
        <f t="shared" si="39"/>
        <v>0</v>
      </c>
      <c r="K35" s="523" t="str">
        <f>IF(J35=0,"",$C$34)</f>
        <v/>
      </c>
      <c r="L35" s="150">
        <f ca="1">'Endrunde 4'!$C35</f>
        <v>32</v>
      </c>
      <c r="M35" s="548">
        <f t="shared" ca="1" si="43"/>
        <v>100034</v>
      </c>
      <c r="N35" s="259">
        <f ca="1">IF(P35="",99999,'Endrunde 4'!$D35)</f>
        <v>99999</v>
      </c>
      <c r="O35" s="259" t="str">
        <f ca="1">IF(P35="","",'Endrunde 4'!$E35)</f>
        <v/>
      </c>
      <c r="P35" s="554" t="str">
        <f ca="1">IF($C$4="","",IF('Endrunde 4'!$I35=$C$4,'Endrunde 4'!$K35,IF('Endrunde 4'!$K35=$C$4,'Endrunde 4'!$I35,"")))</f>
        <v/>
      </c>
      <c r="Q35" s="259">
        <f t="shared" ca="1" si="44"/>
        <v>100034</v>
      </c>
      <c r="R35" s="259">
        <f t="shared" ca="1" si="45"/>
        <v>100034</v>
      </c>
      <c r="S35" s="259">
        <f ca="1">IF(U35="",99999,'Endrunde 4'!$D35)</f>
        <v>99999</v>
      </c>
      <c r="T35" s="259" t="str">
        <f ca="1">IF(U35="","",'Endrunde 4'!$E35)</f>
        <v/>
      </c>
      <c r="U35" s="554" t="str">
        <f ca="1">IF($C$9="","",IF('Endrunde 4'!$I35=$C$9,'Endrunde 4'!$K35,IF('Endrunde 4'!$K35=$C$9,'Endrunde 4'!$I35,"")))</f>
        <v/>
      </c>
      <c r="V35" s="259">
        <f t="shared" ca="1" si="46"/>
        <v>100034</v>
      </c>
      <c r="W35" s="259">
        <f t="shared" ca="1" si="47"/>
        <v>100034</v>
      </c>
      <c r="X35" s="259">
        <f ca="1">IF(Z35="",99999,'Endrunde 4'!$D35)</f>
        <v>99999</v>
      </c>
      <c r="Y35" s="259" t="str">
        <f ca="1">IF(Z35="","",'Endrunde 4'!$E35)</f>
        <v/>
      </c>
      <c r="Z35" s="554" t="str">
        <f ca="1">IF($C$14="","",IF('Endrunde 4'!$I35=$C$14,'Endrunde 4'!$K35,IF('Endrunde 4'!$K35=$C$14,'Endrunde 4'!$I35,"")))</f>
        <v/>
      </c>
      <c r="AA35" s="259">
        <f t="shared" ca="1" si="48"/>
        <v>100033</v>
      </c>
      <c r="AB35" s="259">
        <f t="shared" ca="1" si="49"/>
        <v>100034</v>
      </c>
      <c r="AC35" s="259">
        <f ca="1">IF(AE35="",99999,'Endrunde 4'!$D35)</f>
        <v>99999</v>
      </c>
      <c r="AD35" s="259" t="str">
        <f ca="1">IF(AE35="","",'Endrunde 4'!$E35)</f>
        <v/>
      </c>
      <c r="AE35" s="554" t="str">
        <f ca="1">IF($C$19="","",IF('Endrunde 4'!$I35=$C$19,'Endrunde 4'!$K35,IF('Endrunde 4'!$K35=$C$19,'Endrunde 4'!$I35,"")))</f>
        <v/>
      </c>
      <c r="AF35" s="259">
        <f t="shared" ca="1" si="50"/>
        <v>100034</v>
      </c>
      <c r="AG35" s="259">
        <f t="shared" ca="1" si="51"/>
        <v>35.545138888888886</v>
      </c>
      <c r="AH35" s="259">
        <f ca="1">IF(AJ35="",99999,'Endrunde 4'!$D35)</f>
        <v>0.54513888888888895</v>
      </c>
      <c r="AI35" s="259">
        <f ca="1">IF(AJ35="","",'Endrunde 4'!$E35)</f>
        <v>4</v>
      </c>
      <c r="AJ35" s="554" t="str">
        <f ca="1">IF($C$24="","",IF('Endrunde 4'!$I35=$C$24,'Endrunde 4'!$K35,IF('Endrunde 4'!$K35=$C$24,'Endrunde 4'!$I35,"")))</f>
        <v>FC Grönlingen</v>
      </c>
      <c r="AK35" s="259">
        <f t="shared" ca="1" si="52"/>
        <v>100033</v>
      </c>
      <c r="AL35" s="259">
        <f t="shared" si="53"/>
        <v>100034</v>
      </c>
      <c r="AM35" s="259">
        <f>IF(AO35="",99999,'Endrunde 4'!$D35)</f>
        <v>99999</v>
      </c>
      <c r="AN35" s="259" t="str">
        <f>IF(AO35="","",'Endrunde 4'!$E35)</f>
        <v/>
      </c>
      <c r="AO35" s="554" t="str">
        <f>IF($C$29="","",IF('Endrunde 4'!$I35=$C$29,'Endrunde 4'!$K35,IF('Endrunde 4'!$K35=$C$29,'Endrunde 4'!$I35,"")))</f>
        <v/>
      </c>
      <c r="AP35" s="259">
        <f t="shared" si="54"/>
        <v>100034</v>
      </c>
      <c r="AQ35" s="259">
        <f t="shared" si="55"/>
        <v>100034</v>
      </c>
      <c r="AR35" s="259">
        <f>IF(AT35="",99999,'Endrunde 4'!$D35)</f>
        <v>99999</v>
      </c>
      <c r="AS35" s="259" t="str">
        <f>IF(AT35="","",'Endrunde 4'!$E35)</f>
        <v/>
      </c>
      <c r="AT35" s="554" t="str">
        <f>IF($C$34="","",IF('Endrunde 4'!$I35=$C$34,'Endrunde 4'!$K35,IF('Endrunde 4'!$K35=$C$34,'Endrunde 4'!$I35,"")))</f>
        <v/>
      </c>
      <c r="AU35" s="259">
        <f t="shared" si="56"/>
        <v>100034</v>
      </c>
      <c r="AV35" s="259">
        <f t="shared" si="57"/>
        <v>100034</v>
      </c>
      <c r="AW35" s="259">
        <f>IF(AY35="",99999,'Endrunde 4'!$D35)</f>
        <v>99999</v>
      </c>
      <c r="AX35" s="259" t="str">
        <f>IF(AY35="","",'Endrunde 4'!$E35)</f>
        <v/>
      </c>
      <c r="AY35" s="554" t="str">
        <f>IF($C$39="","",IF('Endrunde 4'!$I35=$C$39,'Endrunde 4'!$K35,IF('Endrunde 4'!$K35=$C$39,'Endrunde 4'!$I35,"")))</f>
        <v/>
      </c>
      <c r="AZ35" s="259">
        <f t="shared" si="58"/>
        <v>100034</v>
      </c>
      <c r="BA35" s="259">
        <f t="shared" si="59"/>
        <v>100034</v>
      </c>
      <c r="BB35" s="259">
        <f>IF(BD35="",99999,'Endrunde 4'!$D35)</f>
        <v>99999</v>
      </c>
      <c r="BC35" s="259" t="str">
        <f>IF(BD35="","",'Endrunde 4'!$E35)</f>
        <v/>
      </c>
      <c r="BD35" s="554" t="str">
        <f>IF($C$44="","",IF('Endrunde 4'!$I35=$C$44,'Endrunde 4'!$K35,IF('Endrunde 4'!$K35=$C$44,'Endrunde 4'!$I35,"")))</f>
        <v/>
      </c>
      <c r="BE35" s="259">
        <f t="shared" si="60"/>
        <v>100034</v>
      </c>
      <c r="BF35" s="259">
        <f t="shared" ca="1" si="61"/>
        <v>100034</v>
      </c>
      <c r="BG35" s="259">
        <f ca="1">IF(BI35="",99999,'Endrunde 4'!$D35)</f>
        <v>99999</v>
      </c>
      <c r="BH35" s="259" t="str">
        <f ca="1">IF(BI35="","",'Endrunde 4'!$E35)</f>
        <v/>
      </c>
      <c r="BI35" s="554" t="str">
        <f ca="1">IF($C$49="","",IF('Endrunde 4'!$I35=$C$49,'Endrunde 4'!$K35,IF('Endrunde 4'!$K35=$C$49,'Endrunde 4'!$I35,"")))</f>
        <v/>
      </c>
      <c r="BJ35" s="259">
        <f t="shared" ca="1" si="62"/>
        <v>100033</v>
      </c>
      <c r="BK35" s="259">
        <f t="shared" ca="1" si="63"/>
        <v>100034</v>
      </c>
      <c r="BL35" s="259">
        <f ca="1">IF(BN35="",99999,'Endrunde 4'!$D35)</f>
        <v>99999</v>
      </c>
      <c r="BM35" s="259" t="str">
        <f ca="1">IF(BN35="","",'Endrunde 4'!$E35)</f>
        <v/>
      </c>
      <c r="BN35" s="554" t="str">
        <f ca="1">IF($C$54="","",IF('Endrunde 4'!$I35=$C$54,'Endrunde 4'!$K35,IF('Endrunde 4'!$K35=$C$54,'Endrunde 4'!$I35,"")))</f>
        <v/>
      </c>
      <c r="BO35" s="259">
        <f t="shared" ca="1" si="64"/>
        <v>100034</v>
      </c>
      <c r="BP35" s="259">
        <f t="shared" ca="1" si="65"/>
        <v>100034</v>
      </c>
      <c r="BQ35" s="259">
        <f ca="1">IF(BS35="",99999,'Endrunde 4'!$D35)</f>
        <v>99999</v>
      </c>
      <c r="BR35" s="259" t="str">
        <f ca="1">IF(BS35="","",'Endrunde 4'!$E35)</f>
        <v/>
      </c>
      <c r="BS35" s="554" t="str">
        <f ca="1">IF($C$59="","",IF('Endrunde 4'!$I35=$C$59,'Endrunde 4'!$K35,IF('Endrunde 4'!$K35=$C$59,'Endrunde 4'!$I35,"")))</f>
        <v/>
      </c>
      <c r="BT35" s="550">
        <f t="shared" ca="1" si="66"/>
        <v>100034</v>
      </c>
      <c r="BU35" s="548">
        <f t="shared" ca="1" si="27"/>
        <v>100034</v>
      </c>
      <c r="BV35" s="259">
        <f ca="1">IF(BX35="",99999,'Endrunde 4'!$D35)</f>
        <v>99999</v>
      </c>
      <c r="BW35" s="259" t="str">
        <f ca="1">IF(BX35="","",'Endrunde 4'!$E35)</f>
        <v/>
      </c>
      <c r="BX35" s="554" t="str">
        <f ca="1">IF($C$64="","",IF('Endrunde 4'!$I35=$C$64,'Endrunde 4'!$K35,IF('Endrunde 4'!$K35=$C$64,'Endrunde 4'!$I35,"")))</f>
        <v/>
      </c>
      <c r="BY35" s="259">
        <f t="shared" ca="1" si="28"/>
        <v>100034</v>
      </c>
      <c r="BZ35" s="548">
        <f t="shared" ca="1" si="29"/>
        <v>35.545138888888886</v>
      </c>
      <c r="CA35" s="259">
        <f ca="1">IF(CC35="",99999,'Endrunde 4'!$D35)</f>
        <v>0.54513888888888895</v>
      </c>
      <c r="CB35" s="259">
        <f ca="1">IF(CC35="","",'Endrunde 4'!$E35)</f>
        <v>4</v>
      </c>
      <c r="CC35" s="554" t="str">
        <f ca="1">IF($C$69="","",IF('Endrunde 4'!$I35=$C$69,'Endrunde 4'!$K35,IF('Endrunde 4'!$K35=$C$69,'Endrunde 4'!$I35,"")))</f>
        <v>VFB Essenheim</v>
      </c>
      <c r="CD35" s="259">
        <f t="shared" ca="1" si="30"/>
        <v>100033</v>
      </c>
      <c r="CE35" s="548">
        <f t="shared" si="31"/>
        <v>100034</v>
      </c>
      <c r="CF35" s="259">
        <f>IF(CH35="",99999,'Endrunde 4'!$D35)</f>
        <v>99999</v>
      </c>
      <c r="CG35" s="259" t="str">
        <f>IF(CH35="","",'Endrunde 4'!$E35)</f>
        <v/>
      </c>
      <c r="CH35" s="554" t="str">
        <f>IF($C$74="","",IF('Endrunde 4'!$I35=$C$74,'Endrunde 4'!$K35,IF('Endrunde 4'!$K35=$C$74,'Endrunde 4'!$I35,"")))</f>
        <v/>
      </c>
      <c r="CI35" s="259">
        <f t="shared" si="32"/>
        <v>100034</v>
      </c>
      <c r="CJ35" s="548">
        <f t="shared" si="33"/>
        <v>100034</v>
      </c>
      <c r="CK35" s="259">
        <f>IF(CM35="",99999,'Endrunde 4'!$D35)</f>
        <v>99999</v>
      </c>
      <c r="CL35" s="259" t="str">
        <f>IF(CM35="","",'Endrunde 4'!$E35)</f>
        <v/>
      </c>
      <c r="CM35" s="554" t="str">
        <f>IF($C$79="","",IF('Endrunde 4'!$I35=$C$79,'Endrunde 4'!$K35,IF('Endrunde 4'!$K35=$C$79,'Endrunde 4'!$I35,"")))</f>
        <v/>
      </c>
      <c r="CN35" s="259">
        <f t="shared" si="34"/>
        <v>100034</v>
      </c>
      <c r="CO35" s="548">
        <f t="shared" si="35"/>
        <v>100034</v>
      </c>
      <c r="CP35" s="259">
        <f>IF(CR35="",99999,'Endrunde 4'!$D35)</f>
        <v>99999</v>
      </c>
      <c r="CQ35" s="259" t="str">
        <f>IF(CR35="","",'Endrunde 4'!$E35)</f>
        <v/>
      </c>
      <c r="CR35" s="554" t="str">
        <f>IF($C$84="","",IF('Endrunde 4'!$I35=$C$84,'Endrunde 4'!$K35,IF('Endrunde 4'!$K35=$C$84,'Endrunde 4'!$I35,"")))</f>
        <v/>
      </c>
      <c r="CS35" s="259">
        <f t="shared" si="36"/>
        <v>100034</v>
      </c>
      <c r="CT35" s="548">
        <f t="shared" si="37"/>
        <v>100034</v>
      </c>
      <c r="CU35" s="259">
        <f>IF(CW35="",99999,'Endrunde 4'!$D35)</f>
        <v>99999</v>
      </c>
      <c r="CV35" s="259" t="str">
        <f>IF(CW35="","",'Endrunde 4'!$E35)</f>
        <v/>
      </c>
      <c r="CW35" s="554" t="str">
        <f>IF($C$89="","",IF('Endrunde 4'!$I35=$C$89,'Endrunde 4'!$K35,IF('Endrunde 4'!$K35=$C$89,'Endrunde 4'!$I35,"")))</f>
        <v/>
      </c>
      <c r="CX35" s="550">
        <f t="shared" si="38"/>
        <v>100034</v>
      </c>
    </row>
    <row r="36" spans="2:102" ht="15.95" customHeight="1" x14ac:dyDescent="0.2">
      <c r="E36" s="531" t="str">
        <f>IF($AU$13&lt;99999,INDEX($L$12:$L$36,MATCH($AU$13,$AQ$12:$AQ$36,0)),"")</f>
        <v/>
      </c>
      <c r="F36" s="535" t="str">
        <f>IF($AU$13&lt;99999,VLOOKUP($AU$13,$AQ$12:$AT$36,2,0),"")</f>
        <v/>
      </c>
      <c r="G36" s="536" t="str">
        <f>IF($AU$13&lt;99999,VLOOKUP($AU$13,$AQ$12:$AT$36,3,0),"")</f>
        <v/>
      </c>
      <c r="H36" s="537" t="str">
        <f>IF($AU$13&lt;99999,VLOOKUP($AU$13,$AQ$12:$AT$36,4,0),"")</f>
        <v/>
      </c>
      <c r="J36" s="523">
        <f t="shared" si="39"/>
        <v>0</v>
      </c>
      <c r="K36" s="523" t="str">
        <f t="shared" ref="K36:K37" si="68">IF(J36=0,"",$C$34)</f>
        <v/>
      </c>
      <c r="L36" s="150">
        <f ca="1">'Endrunde 4'!$C36</f>
        <v>33</v>
      </c>
      <c r="M36" s="551">
        <f t="shared" ca="1" si="43"/>
        <v>100035</v>
      </c>
      <c r="N36" s="552">
        <f ca="1">IF(P36="",99999,'Endrunde 4'!$D36)</f>
        <v>99999</v>
      </c>
      <c r="O36" s="552" t="str">
        <f ca="1">IF(P36="","",'Endrunde 4'!$E36)</f>
        <v/>
      </c>
      <c r="P36" s="555" t="str">
        <f ca="1">IF($C$4="","",IF('Endrunde 4'!$I36=$C$4,'Endrunde 4'!$K36,IF('Endrunde 4'!$K36=$C$4,'Endrunde 4'!$I36,"")))</f>
        <v/>
      </c>
      <c r="Q36" s="552">
        <f t="shared" ca="1" si="44"/>
        <v>100035</v>
      </c>
      <c r="R36" s="552">
        <f t="shared" ca="1" si="45"/>
        <v>100035</v>
      </c>
      <c r="S36" s="552">
        <f ca="1">IF(U36="",99999,'Endrunde 4'!$D36)</f>
        <v>99999</v>
      </c>
      <c r="T36" s="552" t="str">
        <f ca="1">IF(U36="","",'Endrunde 4'!$E36)</f>
        <v/>
      </c>
      <c r="U36" s="555" t="str">
        <f ca="1">IF($C$9="","",IF('Endrunde 4'!$I36=$C$9,'Endrunde 4'!$K36,IF('Endrunde 4'!$K36=$C$9,'Endrunde 4'!$I36,"")))</f>
        <v/>
      </c>
      <c r="V36" s="552">
        <f t="shared" ca="1" si="46"/>
        <v>100035</v>
      </c>
      <c r="W36" s="552">
        <f t="shared" ca="1" si="47"/>
        <v>36.569444444444443</v>
      </c>
      <c r="X36" s="552">
        <f ca="1">IF(Z36="",99999,'Endrunde 4'!$D36)</f>
        <v>0.56944444444444442</v>
      </c>
      <c r="Y36" s="552">
        <f ca="1">IF(Z36="","",'Endrunde 4'!$E36)</f>
        <v>1</v>
      </c>
      <c r="Z36" s="555" t="str">
        <f ca="1">IF($C$14="","",IF('Endrunde 4'!$I36=$C$14,'Endrunde 4'!$K36,IF('Endrunde 4'!$K36=$C$14,'Endrunde 4'!$I36,"")))</f>
        <v>Mainz 05</v>
      </c>
      <c r="AA36" s="552">
        <f t="shared" ca="1" si="48"/>
        <v>100034</v>
      </c>
      <c r="AB36" s="552">
        <f t="shared" ca="1" si="49"/>
        <v>100035</v>
      </c>
      <c r="AC36" s="552">
        <f ca="1">IF(AE36="",99999,'Endrunde 4'!$D36)</f>
        <v>99999</v>
      </c>
      <c r="AD36" s="552" t="str">
        <f ca="1">IF(AE36="","",'Endrunde 4'!$E36)</f>
        <v/>
      </c>
      <c r="AE36" s="555" t="str">
        <f ca="1">IF($C$19="","",IF('Endrunde 4'!$I36=$C$19,'Endrunde 4'!$K36,IF('Endrunde 4'!$K36=$C$19,'Endrunde 4'!$I36,"")))</f>
        <v/>
      </c>
      <c r="AF36" s="552">
        <f t="shared" ca="1" si="50"/>
        <v>100035</v>
      </c>
      <c r="AG36" s="552">
        <f t="shared" ca="1" si="51"/>
        <v>100035</v>
      </c>
      <c r="AH36" s="552">
        <f ca="1">IF(AJ36="",99999,'Endrunde 4'!$D36)</f>
        <v>99999</v>
      </c>
      <c r="AI36" s="552" t="str">
        <f ca="1">IF(AJ36="","",'Endrunde 4'!$E36)</f>
        <v/>
      </c>
      <c r="AJ36" s="555" t="str">
        <f ca="1">IF($C$24="","",IF('Endrunde 4'!$I36=$C$24,'Endrunde 4'!$K36,IF('Endrunde 4'!$K36=$C$24,'Endrunde 4'!$I36,"")))</f>
        <v/>
      </c>
      <c r="AK36" s="552">
        <f t="shared" ca="1" si="52"/>
        <v>100035</v>
      </c>
      <c r="AL36" s="552">
        <f t="shared" si="53"/>
        <v>100035</v>
      </c>
      <c r="AM36" s="552">
        <f>IF(AO36="",99999,'Endrunde 4'!$D36)</f>
        <v>99999</v>
      </c>
      <c r="AN36" s="552" t="str">
        <f>IF(AO36="","",'Endrunde 4'!$E36)</f>
        <v/>
      </c>
      <c r="AO36" s="555" t="str">
        <f>IF($C$29="","",IF('Endrunde 4'!$I36=$C$29,'Endrunde 4'!$K36,IF('Endrunde 4'!$K36=$C$29,'Endrunde 4'!$I36,"")))</f>
        <v/>
      </c>
      <c r="AP36" s="552">
        <f t="shared" si="54"/>
        <v>100035</v>
      </c>
      <c r="AQ36" s="552">
        <f t="shared" si="55"/>
        <v>100035</v>
      </c>
      <c r="AR36" s="552">
        <f>IF(AT36="",99999,'Endrunde 4'!$D36)</f>
        <v>99999</v>
      </c>
      <c r="AS36" s="552" t="str">
        <f>IF(AT36="","",'Endrunde 4'!$E36)</f>
        <v/>
      </c>
      <c r="AT36" s="555" t="str">
        <f>IF($C$34="","",IF('Endrunde 4'!$I36=$C$34,'Endrunde 4'!$K36,IF('Endrunde 4'!$K36=$C$34,'Endrunde 4'!$I36,"")))</f>
        <v/>
      </c>
      <c r="AU36" s="552">
        <f t="shared" si="56"/>
        <v>100035</v>
      </c>
      <c r="AV36" s="552">
        <f t="shared" si="57"/>
        <v>100035</v>
      </c>
      <c r="AW36" s="552">
        <f>IF(AY36="",99999,'Endrunde 4'!$D36)</f>
        <v>99999</v>
      </c>
      <c r="AX36" s="552" t="str">
        <f>IF(AY36="","",'Endrunde 4'!$E36)</f>
        <v/>
      </c>
      <c r="AY36" s="555" t="str">
        <f>IF($C$39="","",IF('Endrunde 4'!$I36=$C$39,'Endrunde 4'!$K36,IF('Endrunde 4'!$K36=$C$39,'Endrunde 4'!$I36,"")))</f>
        <v/>
      </c>
      <c r="AZ36" s="552">
        <f t="shared" si="58"/>
        <v>100035</v>
      </c>
      <c r="BA36" s="552">
        <f t="shared" si="59"/>
        <v>100035</v>
      </c>
      <c r="BB36" s="552">
        <f>IF(BD36="",99999,'Endrunde 4'!$D36)</f>
        <v>99999</v>
      </c>
      <c r="BC36" s="552" t="str">
        <f>IF(BD36="","",'Endrunde 4'!$E36)</f>
        <v/>
      </c>
      <c r="BD36" s="555" t="str">
        <f>IF($C$44="","",IF('Endrunde 4'!$I36=$C$44,'Endrunde 4'!$K36,IF('Endrunde 4'!$K36=$C$44,'Endrunde 4'!$I36,"")))</f>
        <v/>
      </c>
      <c r="BE36" s="552">
        <f t="shared" si="60"/>
        <v>100035</v>
      </c>
      <c r="BF36" s="552">
        <f t="shared" ca="1" si="61"/>
        <v>36.569444444444443</v>
      </c>
      <c r="BG36" s="552">
        <f ca="1">IF(BI36="",99999,'Endrunde 4'!$D36)</f>
        <v>0.56944444444444442</v>
      </c>
      <c r="BH36" s="552">
        <f ca="1">IF(BI36="","",'Endrunde 4'!$E36)</f>
        <v>1</v>
      </c>
      <c r="BI36" s="555" t="str">
        <f ca="1">IF($C$49="","",IF('Endrunde 4'!$I36=$C$49,'Endrunde 4'!$K36,IF('Endrunde 4'!$K36=$C$49,'Endrunde 4'!$I36,"")))</f>
        <v>Eintracht Frankfurt</v>
      </c>
      <c r="BJ36" s="552">
        <f t="shared" ca="1" si="62"/>
        <v>100034</v>
      </c>
      <c r="BK36" s="552">
        <f t="shared" ca="1" si="63"/>
        <v>100035</v>
      </c>
      <c r="BL36" s="552">
        <f ca="1">IF(BN36="",99999,'Endrunde 4'!$D36)</f>
        <v>99999</v>
      </c>
      <c r="BM36" s="552" t="str">
        <f ca="1">IF(BN36="","",'Endrunde 4'!$E36)</f>
        <v/>
      </c>
      <c r="BN36" s="555" t="str">
        <f ca="1">IF($C$54="","",IF('Endrunde 4'!$I36=$C$54,'Endrunde 4'!$K36,IF('Endrunde 4'!$K36=$C$54,'Endrunde 4'!$I36,"")))</f>
        <v/>
      </c>
      <c r="BO36" s="552">
        <f t="shared" ca="1" si="64"/>
        <v>100035</v>
      </c>
      <c r="BP36" s="552">
        <f t="shared" ca="1" si="65"/>
        <v>100035</v>
      </c>
      <c r="BQ36" s="552">
        <f ca="1">IF(BS36="",99999,'Endrunde 4'!$D36)</f>
        <v>99999</v>
      </c>
      <c r="BR36" s="552" t="str">
        <f ca="1">IF(BS36="","",'Endrunde 4'!$E36)</f>
        <v/>
      </c>
      <c r="BS36" s="555" t="str">
        <f ca="1">IF($C$59="","",IF('Endrunde 4'!$I36=$C$59,'Endrunde 4'!$K36,IF('Endrunde 4'!$K36=$C$59,'Endrunde 4'!$I36,"")))</f>
        <v/>
      </c>
      <c r="BT36" s="553">
        <f t="shared" ca="1" si="66"/>
        <v>100035</v>
      </c>
      <c r="BU36" s="551">
        <f t="shared" ca="1" si="27"/>
        <v>100035</v>
      </c>
      <c r="BV36" s="552">
        <f ca="1">IF(BX36="",99999,'Endrunde 4'!$D36)</f>
        <v>99999</v>
      </c>
      <c r="BW36" s="552" t="str">
        <f ca="1">IF(BX36="","",'Endrunde 4'!$E36)</f>
        <v/>
      </c>
      <c r="BX36" s="555" t="str">
        <f ca="1">IF($C$64="","",IF('Endrunde 4'!$I36=$C$64,'Endrunde 4'!$K36,IF('Endrunde 4'!$K36=$C$64,'Endrunde 4'!$I36,"")))</f>
        <v/>
      </c>
      <c r="BY36" s="552">
        <f t="shared" ca="1" si="28"/>
        <v>100035</v>
      </c>
      <c r="BZ36" s="551">
        <f t="shared" ca="1" si="29"/>
        <v>100035</v>
      </c>
      <c r="CA36" s="552">
        <f ca="1">IF(CC36="",99999,'Endrunde 4'!$D36)</f>
        <v>99999</v>
      </c>
      <c r="CB36" s="552" t="str">
        <f ca="1">IF(CC36="","",'Endrunde 4'!$E36)</f>
        <v/>
      </c>
      <c r="CC36" s="555" t="str">
        <f ca="1">IF($C$69="","",IF('Endrunde 4'!$I36=$C$69,'Endrunde 4'!$K36,IF('Endrunde 4'!$K36=$C$69,'Endrunde 4'!$I36,"")))</f>
        <v/>
      </c>
      <c r="CD36" s="552">
        <f t="shared" ca="1" si="30"/>
        <v>100035</v>
      </c>
      <c r="CE36" s="551">
        <f t="shared" si="31"/>
        <v>100035</v>
      </c>
      <c r="CF36" s="552">
        <f>IF(CH36="",99999,'Endrunde 4'!$D36)</f>
        <v>99999</v>
      </c>
      <c r="CG36" s="552" t="str">
        <f>IF(CH36="","",'Endrunde 4'!$E36)</f>
        <v/>
      </c>
      <c r="CH36" s="555" t="str">
        <f>IF($C$74="","",IF('Endrunde 4'!$I36=$C$74,'Endrunde 4'!$K36,IF('Endrunde 4'!$K36=$C$74,'Endrunde 4'!$I36,"")))</f>
        <v/>
      </c>
      <c r="CI36" s="552">
        <f t="shared" si="32"/>
        <v>100035</v>
      </c>
      <c r="CJ36" s="551">
        <f t="shared" si="33"/>
        <v>100035</v>
      </c>
      <c r="CK36" s="552">
        <f>IF(CM36="",99999,'Endrunde 4'!$D36)</f>
        <v>99999</v>
      </c>
      <c r="CL36" s="552" t="str">
        <f>IF(CM36="","",'Endrunde 4'!$E36)</f>
        <v/>
      </c>
      <c r="CM36" s="555" t="str">
        <f>IF($C$79="","",IF('Endrunde 4'!$I36=$C$79,'Endrunde 4'!$K36,IF('Endrunde 4'!$K36=$C$79,'Endrunde 4'!$I36,"")))</f>
        <v/>
      </c>
      <c r="CN36" s="552">
        <f t="shared" si="34"/>
        <v>100035</v>
      </c>
      <c r="CO36" s="551">
        <f t="shared" si="35"/>
        <v>100035</v>
      </c>
      <c r="CP36" s="552">
        <f>IF(CR36="",99999,'Endrunde 4'!$D36)</f>
        <v>99999</v>
      </c>
      <c r="CQ36" s="552" t="str">
        <f>IF(CR36="","",'Endrunde 4'!$E36)</f>
        <v/>
      </c>
      <c r="CR36" s="555" t="str">
        <f>IF($C$84="","",IF('Endrunde 4'!$I36=$C$84,'Endrunde 4'!$K36,IF('Endrunde 4'!$K36=$C$84,'Endrunde 4'!$I36,"")))</f>
        <v/>
      </c>
      <c r="CS36" s="552">
        <f t="shared" si="36"/>
        <v>100035</v>
      </c>
      <c r="CT36" s="551">
        <f t="shared" si="37"/>
        <v>100035</v>
      </c>
      <c r="CU36" s="552">
        <f>IF(CW36="",99999,'Endrunde 4'!$D36)</f>
        <v>99999</v>
      </c>
      <c r="CV36" s="552" t="str">
        <f>IF(CW36="","",'Endrunde 4'!$E36)</f>
        <v/>
      </c>
      <c r="CW36" s="555" t="str">
        <f>IF($C$89="","",IF('Endrunde 4'!$I36=$C$89,'Endrunde 4'!$K36,IF('Endrunde 4'!$K36=$C$89,'Endrunde 4'!$I36,"")))</f>
        <v/>
      </c>
      <c r="CX36" s="553">
        <f t="shared" si="38"/>
        <v>100035</v>
      </c>
    </row>
    <row r="37" spans="2:102" ht="15.95" customHeight="1" thickBot="1" x14ac:dyDescent="0.25">
      <c r="E37" s="538" t="str">
        <f>IF($AU$14&lt;99999,INDEX($L$12:$L$36,MATCH($AU$14,$AQ$12:$AQ$36,0)),"")</f>
        <v/>
      </c>
      <c r="F37" s="539" t="str">
        <f>IF($AU$14&lt;99999,VLOOKUP($AU$14,$AQ$12:$AT$36,2,0),"")</f>
        <v/>
      </c>
      <c r="G37" s="540" t="str">
        <f>IF($AU$14&lt;99999,VLOOKUP($AU$14,$AQ$12:$AT$36,3,0),"")</f>
        <v/>
      </c>
      <c r="H37" s="541" t="str">
        <f>IF($AU$14&lt;99999,VLOOKUP($AU$14,$AQ$12:$AT$36,4,0),"")</f>
        <v/>
      </c>
      <c r="J37" s="523">
        <f t="shared" si="39"/>
        <v>0</v>
      </c>
      <c r="K37" s="523" t="str">
        <f t="shared" si="68"/>
        <v/>
      </c>
    </row>
    <row r="38" spans="2:102" ht="30" customHeight="1" thickBot="1" x14ac:dyDescent="0.25">
      <c r="J38" s="523">
        <f t="shared" si="39"/>
        <v>0</v>
      </c>
    </row>
    <row r="39" spans="2:102" ht="15.95" customHeight="1" x14ac:dyDescent="0.2">
      <c r="B39" s="525" t="s">
        <v>320</v>
      </c>
      <c r="C39" s="526" t="str">
        <f>IF(Planung!$C$21="","",Planung!$C$21)</f>
        <v/>
      </c>
      <c r="E39" s="527" t="str">
        <f>Sprache!$E$69</f>
        <v>Spiel Nr.</v>
      </c>
      <c r="F39" s="528" t="str">
        <f>Sprache!$E$39</f>
        <v>Beginn</v>
      </c>
      <c r="G39" s="529" t="str">
        <f>Sprache!$E$48</f>
        <v>Feld</v>
      </c>
      <c r="H39" s="530" t="str">
        <f>Sprache!$E$46</f>
        <v>Spiel gegen</v>
      </c>
      <c r="J39" s="523">
        <f t="shared" si="39"/>
        <v>0</v>
      </c>
    </row>
    <row r="40" spans="2:102" ht="15.95" customHeight="1" x14ac:dyDescent="0.2">
      <c r="E40" s="531" t="str">
        <f>IF($AZ$12&lt;99999,INDEX($L$12:$L$36,MATCH($AZ$12,$AV$12:$AV$36,0)),"")</f>
        <v/>
      </c>
      <c r="F40" s="532" t="str">
        <f>IF($AZ$12&lt;99999,VLOOKUP($AZ$12,$AV$12:$AY$36,2,0),"")</f>
        <v/>
      </c>
      <c r="G40" s="533" t="str">
        <f>IF($AZ$12&lt;99999,VLOOKUP($AZ$12,$AV$12:$AY$36,3,0),"")</f>
        <v/>
      </c>
      <c r="H40" s="534" t="str">
        <f>IF($AZ$12&lt;99999,VLOOKUP($AZ$12,$AV$12:$AY$36,4,0),"")</f>
        <v/>
      </c>
      <c r="J40" s="523">
        <f t="shared" si="39"/>
        <v>0</v>
      </c>
      <c r="K40" s="523" t="str">
        <f>IF(J40=0,"",$C$39)</f>
        <v/>
      </c>
    </row>
    <row r="41" spans="2:102" ht="15.95" customHeight="1" x14ac:dyDescent="0.2">
      <c r="E41" s="531" t="str">
        <f>IF($AZ$13&lt;99999,INDEX($L$12:$L$36,MATCH($AZ$13,$AV$12:$AV$36,0)),"")</f>
        <v/>
      </c>
      <c r="F41" s="535" t="str">
        <f>IF($AZ$13&lt;99999,VLOOKUP($AZ$13,$AV$12:$AY$36,2,0),"")</f>
        <v/>
      </c>
      <c r="G41" s="536" t="str">
        <f>IF($AZ$13&lt;99999,VLOOKUP($AZ$13,$AV$12:$AY$36,3,0),"")</f>
        <v/>
      </c>
      <c r="H41" s="537" t="str">
        <f>IF($AZ$13&lt;99999,VLOOKUP($AZ$13,$AV$12:$AY$36,4,0),"")</f>
        <v/>
      </c>
      <c r="J41" s="523">
        <f t="shared" si="39"/>
        <v>0</v>
      </c>
      <c r="K41" s="523" t="str">
        <f t="shared" ref="K41:K42" si="69">IF(J41=0,"",$C$39)</f>
        <v/>
      </c>
    </row>
    <row r="42" spans="2:102" ht="15.95" customHeight="1" thickBot="1" x14ac:dyDescent="0.25">
      <c r="E42" s="538" t="str">
        <f>IF($AZ$14&lt;99999,INDEX($L$12:$L$36,MATCH($AZ$14,$AV$12:$AV$36,0)),"")</f>
        <v/>
      </c>
      <c r="F42" s="539" t="str">
        <f>IF($AZ$14&lt;99999,VLOOKUP($AZ$14,$AV$12:$AY$36,2,0),"")</f>
        <v/>
      </c>
      <c r="G42" s="540" t="str">
        <f>IF($AZ$14&lt;99999,VLOOKUP($AZ$14,$AV$12:$AY$36,3,0),"")</f>
        <v/>
      </c>
      <c r="H42" s="541" t="str">
        <f>IF($AZ$14&lt;99999,VLOOKUP($AZ$14,$AV$12:$AY$36,4,0),"")</f>
        <v/>
      </c>
      <c r="J42" s="523">
        <f t="shared" si="39"/>
        <v>0</v>
      </c>
      <c r="K42" s="523" t="str">
        <f t="shared" si="69"/>
        <v/>
      </c>
    </row>
    <row r="43" spans="2:102" ht="30" customHeight="1" thickBot="1" x14ac:dyDescent="0.25">
      <c r="J43" s="523">
        <f t="shared" si="39"/>
        <v>0</v>
      </c>
    </row>
    <row r="44" spans="2:102" ht="15.95" customHeight="1" x14ac:dyDescent="0.2">
      <c r="B44" s="525" t="s">
        <v>321</v>
      </c>
      <c r="C44" s="526" t="str">
        <f>IF(Planung!$C$23="","",Planung!$C$23)</f>
        <v/>
      </c>
      <c r="E44" s="527" t="str">
        <f>Sprache!$E$69</f>
        <v>Spiel Nr.</v>
      </c>
      <c r="F44" s="528" t="str">
        <f>Sprache!$E$39</f>
        <v>Beginn</v>
      </c>
      <c r="G44" s="529" t="str">
        <f>Sprache!$E$48</f>
        <v>Feld</v>
      </c>
      <c r="H44" s="530" t="str">
        <f>Sprache!$E$46</f>
        <v>Spiel gegen</v>
      </c>
      <c r="J44" s="523">
        <f t="shared" si="39"/>
        <v>0</v>
      </c>
    </row>
    <row r="45" spans="2:102" ht="15.95" customHeight="1" x14ac:dyDescent="0.2">
      <c r="E45" s="531" t="str">
        <f>IF($BE$12&lt;99999,INDEX($L$12:$L$36,MATCH($BE$12,$BA$12:$BA$36,0)),"")</f>
        <v/>
      </c>
      <c r="F45" s="532" t="str">
        <f>IF($BE$12&lt;99999,VLOOKUP($BE$12,$BA$12:$BD$36,2,0),"")</f>
        <v/>
      </c>
      <c r="G45" s="533" t="str">
        <f>IF($BE$12&lt;99999,VLOOKUP($BE$12,$BA$12:$BD$36,3,0),"")</f>
        <v/>
      </c>
      <c r="H45" s="534" t="str">
        <f>IF($BE$12&lt;99999,VLOOKUP($BE$12,$BA$12:$BD$36,4,0),"")</f>
        <v/>
      </c>
      <c r="J45" s="523">
        <f t="shared" si="39"/>
        <v>0</v>
      </c>
      <c r="K45" s="523" t="str">
        <f>IF(J45=0,"",$C$44)</f>
        <v/>
      </c>
    </row>
    <row r="46" spans="2:102" ht="15.95" customHeight="1" x14ac:dyDescent="0.2">
      <c r="E46" s="531" t="str">
        <f>IF($BE$13&lt;99999,INDEX($L$12:$L$36,MATCH($BE$13,$BA$12:$BA$36,0)),"")</f>
        <v/>
      </c>
      <c r="F46" s="535" t="str">
        <f>IF($BE$13&lt;99999,VLOOKUP($BE$13,$BA$12:$BD$36,2,0),"")</f>
        <v/>
      </c>
      <c r="G46" s="536" t="str">
        <f>IF($BE$13&lt;99999,VLOOKUP($BE$13,$BA$12:$BD$36,3,0),"")</f>
        <v/>
      </c>
      <c r="H46" s="537" t="str">
        <f>IF($BE$13&lt;99999,VLOOKUP($BE$13,$BA$12:$BD$36,4,0),"")</f>
        <v/>
      </c>
      <c r="J46" s="523">
        <f t="shared" si="39"/>
        <v>0</v>
      </c>
      <c r="K46" s="523" t="str">
        <f t="shared" ref="K46:K47" si="70">IF(J46=0,"",$C$44)</f>
        <v/>
      </c>
    </row>
    <row r="47" spans="2:102" ht="15.95" customHeight="1" thickBot="1" x14ac:dyDescent="0.25">
      <c r="E47" s="538" t="str">
        <f>IF($BE$14&lt;99999,INDEX($L$12:$L$36,MATCH($BE$14,$BA$12:$BA$36,0)),"")</f>
        <v/>
      </c>
      <c r="F47" s="539" t="str">
        <f>IF($BE$14&lt;99999,VLOOKUP($BE$14,$BA$12:$BD$36,2,0),"")</f>
        <v/>
      </c>
      <c r="G47" s="540" t="str">
        <f>IF($BE$14&lt;99999,VLOOKUP($BE$14,$BA$12:$BD$36,3,0),"")</f>
        <v/>
      </c>
      <c r="H47" s="541" t="str">
        <f>IF($BE$14&lt;99999,VLOOKUP($BE$14,$BA$12:$BD$36,4,0),"")</f>
        <v/>
      </c>
      <c r="J47" s="523">
        <f t="shared" si="39"/>
        <v>0</v>
      </c>
      <c r="K47" s="523" t="str">
        <f t="shared" si="70"/>
        <v/>
      </c>
    </row>
    <row r="48" spans="2:102" ht="30" customHeight="1" thickBot="1" x14ac:dyDescent="0.25">
      <c r="J48" s="523">
        <f t="shared" si="39"/>
        <v>0</v>
      </c>
    </row>
    <row r="49" spans="2:11" ht="15.95" customHeight="1" x14ac:dyDescent="0.2">
      <c r="B49" s="525" t="s">
        <v>196</v>
      </c>
      <c r="C49" s="526" t="str">
        <f>IF(Planung!$C$31="","",Planung!$C$31)</f>
        <v>Mainz 05</v>
      </c>
      <c r="E49" s="527" t="str">
        <f>Sprache!$E$69</f>
        <v>Spiel Nr.</v>
      </c>
      <c r="F49" s="528" t="str">
        <f>Sprache!$E$39</f>
        <v>Beginn</v>
      </c>
      <c r="G49" s="529" t="str">
        <f>Sprache!$E$48</f>
        <v>Feld</v>
      </c>
      <c r="H49" s="530" t="str">
        <f>Sprache!$E$46</f>
        <v>Spiel gegen</v>
      </c>
      <c r="J49" s="523">
        <f t="shared" ca="1" si="39"/>
        <v>0</v>
      </c>
    </row>
    <row r="50" spans="2:11" ht="15.95" customHeight="1" x14ac:dyDescent="0.2">
      <c r="E50" s="531">
        <f ca="1">IF($BJ$12&lt;99999,INDEX($L$12:$L$36,MATCH($BJ$12,$BF$12:$BF$36,0)),"")</f>
        <v>24</v>
      </c>
      <c r="F50" s="532">
        <f ca="1">IF($BJ$12&lt;99999,VLOOKUP($BJ$12,$BF$12:$BI$36,2,0),"")</f>
        <v>0.49652777777777779</v>
      </c>
      <c r="G50" s="533">
        <f ca="1">IF($BJ$12&lt;99999,VLOOKUP($BJ$12,$BF$12:$BI$36,3,0),"")</f>
        <v>4</v>
      </c>
      <c r="H50" s="534" t="str">
        <f ca="1">IF($BJ$12&lt;99999,VLOOKUP($BJ$12,$BF$12:$BI$36,4,0),"")</f>
        <v>Maibach 1822 eV</v>
      </c>
      <c r="J50" s="523">
        <f t="shared" ca="1" si="39"/>
        <v>0</v>
      </c>
      <c r="K50" s="523" t="str">
        <f ca="1">IF(J50=0,"",$C$49)</f>
        <v/>
      </c>
    </row>
    <row r="51" spans="2:11" ht="15.95" customHeight="1" x14ac:dyDescent="0.2">
      <c r="E51" s="531">
        <f ca="1">IF($BJ$13&lt;99999,INDEX($L$12:$L$36,MATCH($BJ$13,$BF$12:$BF$36,0)),"")</f>
        <v>28</v>
      </c>
      <c r="F51" s="535">
        <f ca="1">IF($BJ$13&lt;99999,VLOOKUP($BJ$13,$BF$12:$BI$36,2,0),"")</f>
        <v>0.52083333333333337</v>
      </c>
      <c r="G51" s="536">
        <f ca="1">IF($BJ$13&lt;99999,VLOOKUP($BJ$13,$BF$12:$BI$36,3,0),"")</f>
        <v>4</v>
      </c>
      <c r="H51" s="537" t="str">
        <f ca="1">IF($BJ$13&lt;99999,VLOOKUP($BJ$13,$BF$12:$BI$36,4,0),"")</f>
        <v>Manchester City</v>
      </c>
      <c r="J51" s="523">
        <f t="shared" ca="1" si="39"/>
        <v>0</v>
      </c>
      <c r="K51" s="523" t="str">
        <f t="shared" ref="K51:K52" ca="1" si="71">IF(J51=0,"",$C$49)</f>
        <v/>
      </c>
    </row>
    <row r="52" spans="2:11" ht="15.95" customHeight="1" thickBot="1" x14ac:dyDescent="0.25">
      <c r="E52" s="538">
        <f ca="1">IF($BJ$14&lt;99999,INDEX($L$12:$L$36,MATCH($BJ$14,$BF$12:$BF$36,0)),"")</f>
        <v>33</v>
      </c>
      <c r="F52" s="539">
        <f ca="1">IF($BJ$14&lt;99999,VLOOKUP($BJ$14,$BF$12:$BI$36,2,0),"")</f>
        <v>0.56944444444444442</v>
      </c>
      <c r="G52" s="540">
        <f ca="1">IF($BJ$14&lt;99999,VLOOKUP($BJ$14,$BF$12:$BI$36,3,0),"")</f>
        <v>1</v>
      </c>
      <c r="H52" s="541" t="str">
        <f ca="1">IF($BJ$14&lt;99999,VLOOKUP($BJ$14,$BF$12:$BI$36,4,0),"")</f>
        <v>Eintracht Frankfurt</v>
      </c>
      <c r="J52" s="523">
        <f t="shared" ca="1" si="39"/>
        <v>0</v>
      </c>
      <c r="K52" s="523" t="str">
        <f t="shared" ca="1" si="71"/>
        <v/>
      </c>
    </row>
    <row r="53" spans="2:11" ht="30" customHeight="1" thickBot="1" x14ac:dyDescent="0.25">
      <c r="J53" s="523">
        <f t="shared" ca="1" si="39"/>
        <v>0</v>
      </c>
    </row>
    <row r="54" spans="2:11" ht="15.95" customHeight="1" x14ac:dyDescent="0.2">
      <c r="B54" s="525" t="s">
        <v>198</v>
      </c>
      <c r="C54" s="526" t="str">
        <f>IF(Planung!$C$33="","",Planung!$C$33)</f>
        <v>Inter Mailand</v>
      </c>
      <c r="E54" s="527" t="str">
        <f>Sprache!$E$69</f>
        <v>Spiel Nr.</v>
      </c>
      <c r="F54" s="528" t="str">
        <f>Sprache!$E$39</f>
        <v>Beginn</v>
      </c>
      <c r="G54" s="529" t="str">
        <f>Sprache!$E$48</f>
        <v>Feld</v>
      </c>
      <c r="H54" s="530" t="str">
        <f>Sprache!$E$46</f>
        <v>Spiel gegen</v>
      </c>
      <c r="J54" s="523">
        <f t="shared" ca="1" si="39"/>
        <v>0</v>
      </c>
    </row>
    <row r="55" spans="2:11" ht="15.95" customHeight="1" x14ac:dyDescent="0.2">
      <c r="E55" s="531">
        <f ca="1">IF($BO$12&lt;99999,INDEX($L$12:$L$36,MATCH($BO$12,$BK$12:$BK$36,0)),"")</f>
        <v>31</v>
      </c>
      <c r="F55" s="532">
        <f ca="1">IF($BO$12&lt;99999,VLOOKUP($BO$12,$BK$12:$BN$36,2,0),"")</f>
        <v>0.54513888888888895</v>
      </c>
      <c r="G55" s="533">
        <f ca="1">IF($BO$12&lt;99999,VLOOKUP($BO$12,$BK$12:$BN$36,3,0),"")</f>
        <v>3</v>
      </c>
      <c r="H55" s="534" t="str">
        <f ca="1">IF($BO$12&lt;99999,VLOOKUP($BO$12,$BK$12:$BN$36,4,0),"")</f>
        <v>FC Barcelona</v>
      </c>
      <c r="J55" s="523">
        <f t="shared" ca="1" si="39"/>
        <v>0</v>
      </c>
      <c r="K55" s="523" t="str">
        <f ca="1">IF(J55=0,"",$C$54)</f>
        <v/>
      </c>
    </row>
    <row r="56" spans="2:11" ht="15.95" customHeight="1" x14ac:dyDescent="0.2">
      <c r="E56" s="531" t="str">
        <f ca="1">IF($BO$13&lt;99999,INDEX($L$12:$L$36,MATCH($BO$13,$BK$12:$BK$36,0)),"")</f>
        <v/>
      </c>
      <c r="F56" s="535" t="str">
        <f ca="1">IF($BO$13&lt;99999,VLOOKUP($BO$13,$BK$12:$BN$36,2,0),"")</f>
        <v/>
      </c>
      <c r="G56" s="536" t="str">
        <f ca="1">IF($BO$13&lt;99999,VLOOKUP($BO$13,$BK$12:$BN$36,3,0),"")</f>
        <v/>
      </c>
      <c r="H56" s="537" t="str">
        <f ca="1">IF($BO$13&lt;99999,VLOOKUP($BO$13,$BK$12:$BN$36,4,0),"")</f>
        <v/>
      </c>
      <c r="J56" s="523">
        <f t="shared" ca="1" si="39"/>
        <v>0</v>
      </c>
      <c r="K56" s="523" t="str">
        <f t="shared" ref="K56:K57" ca="1" si="72">IF(J56=0,"",$C$54)</f>
        <v/>
      </c>
    </row>
    <row r="57" spans="2:11" ht="15.95" customHeight="1" thickBot="1" x14ac:dyDescent="0.25">
      <c r="E57" s="538" t="str">
        <f ca="1">IF($BO$14&lt;99999,INDEX($L$12:$L$36,MATCH($BO$14,$BK$12:$BK$36,0)),"")</f>
        <v/>
      </c>
      <c r="F57" s="539" t="str">
        <f ca="1">IF($BO$14&lt;99999,VLOOKUP($BO$14,$BK$12:$BN$36,2,0),"")</f>
        <v/>
      </c>
      <c r="G57" s="540" t="str">
        <f ca="1">IF($BO$14&lt;99999,VLOOKUP($BO$14,$BK$12:$BN$36,3,0),"")</f>
        <v/>
      </c>
      <c r="H57" s="541" t="str">
        <f ca="1">IF($BO$14&lt;99999,VLOOKUP($BO$14,$BK$12:$BN$36,4,0),"")</f>
        <v/>
      </c>
      <c r="J57" s="523">
        <f t="shared" ca="1" si="39"/>
        <v>0</v>
      </c>
      <c r="K57" s="523" t="str">
        <f t="shared" ca="1" si="72"/>
        <v/>
      </c>
    </row>
    <row r="58" spans="2:11" ht="30" customHeight="1" thickBot="1" x14ac:dyDescent="0.25">
      <c r="J58" s="523">
        <f t="shared" ca="1" si="39"/>
        <v>0</v>
      </c>
    </row>
    <row r="59" spans="2:11" ht="15.95" customHeight="1" x14ac:dyDescent="0.2">
      <c r="B59" s="525" t="s">
        <v>194</v>
      </c>
      <c r="C59" s="526" t="str">
        <f>IF(Planung!$C$35="","",Planung!$C$35)</f>
        <v>SSV Wildbach</v>
      </c>
      <c r="E59" s="527" t="str">
        <f>Sprache!$E$69</f>
        <v>Spiel Nr.</v>
      </c>
      <c r="F59" s="528" t="str">
        <f>Sprache!$E$39</f>
        <v>Beginn</v>
      </c>
      <c r="G59" s="529" t="str">
        <f>Sprache!$E$48</f>
        <v>Feld</v>
      </c>
      <c r="H59" s="530" t="str">
        <f>Sprache!$E$46</f>
        <v>Spiel gegen</v>
      </c>
      <c r="J59" s="523">
        <f t="shared" ca="1" si="39"/>
        <v>0</v>
      </c>
    </row>
    <row r="60" spans="2:11" ht="15.95" customHeight="1" x14ac:dyDescent="0.2">
      <c r="E60" s="531">
        <f ca="1">IF($BT$12&lt;99999,INDEX($L$12:$L$36,MATCH($BT$12,$BP$12:$BP$36,0)),"")</f>
        <v>21</v>
      </c>
      <c r="F60" s="532">
        <f ca="1">IF($BT$12&lt;99999,VLOOKUP($BT$12,$BP$12:$BS$36,2,0),"")</f>
        <v>0.49652777777777779</v>
      </c>
      <c r="G60" s="533">
        <f ca="1">IF($BT$12&lt;99999,VLOOKUP($BT$12,$BP$12:$BS$36,3,0),"")</f>
        <v>1</v>
      </c>
      <c r="H60" s="534" t="str">
        <f ca="1">IF($BT$12&lt;99999,VLOOKUP($BT$12,$BP$12:$BS$36,4,0),"")</f>
        <v>VFB Essenheim</v>
      </c>
      <c r="J60" s="523">
        <f t="shared" ca="1" si="39"/>
        <v>0</v>
      </c>
      <c r="K60" s="523" t="str">
        <f ca="1">IF(J60=0,"",$C$59)</f>
        <v/>
      </c>
    </row>
    <row r="61" spans="2:11" ht="15.95" customHeight="1" x14ac:dyDescent="0.2">
      <c r="E61" s="531">
        <f ca="1">IF($BT$13&lt;99999,INDEX($L$12:$L$36,MATCH($BT$13,$BP$12:$BP$36,0)),"")</f>
        <v>27</v>
      </c>
      <c r="F61" s="535">
        <f ca="1">IF($BT$13&lt;99999,VLOOKUP($BT$13,$BP$12:$BS$36,2,0),"")</f>
        <v>0.52083333333333337</v>
      </c>
      <c r="G61" s="536">
        <f ca="1">IF($BT$13&lt;99999,VLOOKUP($BT$13,$BP$12:$BS$36,3,0),"")</f>
        <v>3</v>
      </c>
      <c r="H61" s="537" t="str">
        <f ca="1">IF($BT$13&lt;99999,VLOOKUP($BT$13,$BP$12:$BS$36,4,0),"")</f>
        <v>FC Grönlingen</v>
      </c>
      <c r="J61" s="523">
        <f t="shared" ca="1" si="39"/>
        <v>0</v>
      </c>
      <c r="K61" s="523" t="str">
        <f t="shared" ref="K61:K62" ca="1" si="73">IF(J61=0,"",$C$59)</f>
        <v/>
      </c>
    </row>
    <row r="62" spans="2:11" ht="15.95" customHeight="1" thickBot="1" x14ac:dyDescent="0.25">
      <c r="E62" s="538">
        <f ca="1">IF($BT$14&lt;99999,INDEX($L$12:$L$36,MATCH($BT$14,$BP$12:$BP$36,0)),"")</f>
        <v>29</v>
      </c>
      <c r="F62" s="539">
        <f ca="1">IF($BT$14&lt;99999,VLOOKUP($BT$14,$BP$12:$BS$36,2,0),"")</f>
        <v>0.54513888888888895</v>
      </c>
      <c r="G62" s="540">
        <f ca="1">IF($BT$14&lt;99999,VLOOKUP($BT$14,$BP$12:$BS$36,3,0),"")</f>
        <v>1</v>
      </c>
      <c r="H62" s="541" t="str">
        <f ca="1">IF($BT$14&lt;99999,VLOOKUP($BT$14,$BP$12:$BS$36,4,0),"")</f>
        <v>1. FC Riedwald</v>
      </c>
      <c r="J62" s="523">
        <f t="shared" ca="1" si="39"/>
        <v>0</v>
      </c>
      <c r="K62" s="523" t="str">
        <f t="shared" ca="1" si="73"/>
        <v/>
      </c>
    </row>
    <row r="63" spans="2:11" ht="15.95" customHeight="1" thickBot="1" x14ac:dyDescent="0.25">
      <c r="J63" s="524">
        <f t="shared" ca="1" si="39"/>
        <v>0</v>
      </c>
    </row>
    <row r="64" spans="2:11" ht="15.95" customHeight="1" x14ac:dyDescent="0.2">
      <c r="B64" s="525" t="s">
        <v>200</v>
      </c>
      <c r="C64" s="526" t="str">
        <f>IF(Planung!$C$37="","",Planung!$C$37)</f>
        <v>Manchester City</v>
      </c>
      <c r="E64" s="527" t="str">
        <f>Sprache!$E$69</f>
        <v>Spiel Nr.</v>
      </c>
      <c r="F64" s="528" t="str">
        <f>Sprache!$E$39</f>
        <v>Beginn</v>
      </c>
      <c r="G64" s="529" t="str">
        <f>Sprache!$E$48</f>
        <v>Feld</v>
      </c>
      <c r="H64" s="530" t="str">
        <f>Sprache!$E$46</f>
        <v>Spiel gegen</v>
      </c>
      <c r="J64" s="524">
        <f t="shared" ca="1" si="39"/>
        <v>0</v>
      </c>
    </row>
    <row r="65" spans="2:11" ht="15.95" customHeight="1" x14ac:dyDescent="0.2">
      <c r="E65" s="531">
        <f ca="1">IF($BY$12&lt;99999,INDEX($L$12:$L$36,MATCH($BY$12,$BU$12:$BU$36,0)),"")</f>
        <v>22</v>
      </c>
      <c r="F65" s="532">
        <f ca="1">IF($BY$12&lt;99999,VLOOKUP($BY$12,$BU$12:$BX$36,2,0),"")</f>
        <v>0.49652777777777779</v>
      </c>
      <c r="G65" s="533">
        <f ca="1">IF($BY$12&lt;99999,VLOOKUP($BY$12,$BU$12:$BX$36,3,0),"")</f>
        <v>2</v>
      </c>
      <c r="H65" s="534" t="str">
        <f ca="1">IF($BY$12&lt;99999,VLOOKUP($BY$12,$BU$12:$BX$36,4,0),"")</f>
        <v>Eintracht Frankfurt</v>
      </c>
      <c r="J65" s="524">
        <f t="shared" ca="1" si="39"/>
        <v>0</v>
      </c>
      <c r="K65" s="524" t="str">
        <f ca="1">IF(J65=0,"",$C$64)</f>
        <v/>
      </c>
    </row>
    <row r="66" spans="2:11" ht="15.95" customHeight="1" x14ac:dyDescent="0.2">
      <c r="E66" s="531">
        <f ca="1">IF($BY$13&lt;99999,INDEX($L$12:$L$36,MATCH($BY$13,$BU$12:$BU$36,0)),"")</f>
        <v>28</v>
      </c>
      <c r="F66" s="535">
        <f ca="1">IF($BY$13&lt;99999,VLOOKUP($BY$13,$BU$12:$BX$36,2,0),"")</f>
        <v>0.52083333333333337</v>
      </c>
      <c r="G66" s="536">
        <f ca="1">IF($BY$13&lt;99999,VLOOKUP($BY$13,$BU$12:$BX$36,3,0),"")</f>
        <v>4</v>
      </c>
      <c r="H66" s="537" t="str">
        <f ca="1">IF($BY$13&lt;99999,VLOOKUP($BY$13,$BU$12:$BX$36,4,0),"")</f>
        <v>Mainz 05</v>
      </c>
      <c r="J66" s="524">
        <f t="shared" ca="1" si="39"/>
        <v>0</v>
      </c>
      <c r="K66" s="524" t="str">
        <f ca="1">IF(J66=0,"",$C$64)</f>
        <v/>
      </c>
    </row>
    <row r="67" spans="2:11" ht="15.95" customHeight="1" thickBot="1" x14ac:dyDescent="0.25">
      <c r="E67" s="538">
        <f ca="1">IF($BY$14&lt;99999,INDEX($L$12:$L$36,MATCH($BY$14,$BU$12:$BU$36,0)),"")</f>
        <v>30</v>
      </c>
      <c r="F67" s="539">
        <f ca="1">IF($BY$14&lt;99999,VLOOKUP($BY$14,$BU$12:$BX$36,2,0),"")</f>
        <v>0.54513888888888895</v>
      </c>
      <c r="G67" s="540">
        <f ca="1">IF($BY$14&lt;99999,VLOOKUP($BY$14,$BU$12:$BX$36,3,0),"")</f>
        <v>2</v>
      </c>
      <c r="H67" s="541" t="str">
        <f ca="1">IF($BY$14&lt;99999,VLOOKUP($BY$14,$BU$12:$BX$36,4,0),"")</f>
        <v>Maibach 1822 eV</v>
      </c>
      <c r="J67" s="524">
        <f t="shared" ca="1" si="39"/>
        <v>0</v>
      </c>
      <c r="K67" s="524" t="str">
        <f ca="1">IF(J67=0,"",$C$64)</f>
        <v/>
      </c>
    </row>
    <row r="68" spans="2:11" ht="15.95" customHeight="1" thickBot="1" x14ac:dyDescent="0.25">
      <c r="J68" s="524">
        <f t="shared" ca="1" si="39"/>
        <v>0</v>
      </c>
    </row>
    <row r="69" spans="2:11" ht="15.95" customHeight="1" x14ac:dyDescent="0.2">
      <c r="B69" s="525" t="s">
        <v>202</v>
      </c>
      <c r="C69" s="526" t="str">
        <f>IF(Planung!$C$39="","",Planung!$C$39)</f>
        <v>FC Grönlingen</v>
      </c>
      <c r="E69" s="527" t="str">
        <f>Sprache!$E$69</f>
        <v>Spiel Nr.</v>
      </c>
      <c r="F69" s="528" t="str">
        <f>Sprache!$E$39</f>
        <v>Beginn</v>
      </c>
      <c r="G69" s="529" t="str">
        <f>Sprache!$E$48</f>
        <v>Feld</v>
      </c>
      <c r="H69" s="530" t="str">
        <f>Sprache!$E$46</f>
        <v>Spiel gegen</v>
      </c>
      <c r="J69" s="524">
        <f t="shared" ca="1" si="39"/>
        <v>0</v>
      </c>
    </row>
    <row r="70" spans="2:11" ht="15.95" customHeight="1" x14ac:dyDescent="0.2">
      <c r="E70" s="531">
        <f ca="1">IF($CD$12&lt;99999,INDEX($L$12:$L$36,MATCH($CD$12,$BZ$12:$BZ$36,0)),"")</f>
        <v>23</v>
      </c>
      <c r="F70" s="532">
        <f ca="1">IF($CD$12&lt;99999,VLOOKUP($CD$12,$BZ$12:$CC$36,2,0),"")</f>
        <v>0.49652777777777779</v>
      </c>
      <c r="G70" s="533">
        <f ca="1">IF($CD$12&lt;99999,VLOOKUP($CD$12,$BZ$12:$CC$36,3,0),"")</f>
        <v>3</v>
      </c>
      <c r="H70" s="534" t="str">
        <f ca="1">IF($CD$12&lt;99999,VLOOKUP($CD$12,$BZ$12:$CC$36,4,0),"")</f>
        <v>1. FC Riedwald</v>
      </c>
      <c r="J70" s="524">
        <f t="shared" ca="1" si="39"/>
        <v>0</v>
      </c>
      <c r="K70" s="524" t="str">
        <f ca="1">IF(J70=0,"",$C$69)</f>
        <v/>
      </c>
    </row>
    <row r="71" spans="2:11" ht="15.95" customHeight="1" x14ac:dyDescent="0.2">
      <c r="E71" s="531">
        <f ca="1">IF($CD$13&lt;99999,INDEX($L$12:$L$36,MATCH($CD$13,$BZ$12:$BZ$36,0)),"")</f>
        <v>27</v>
      </c>
      <c r="F71" s="535">
        <f ca="1">IF($CD$13&lt;99999,VLOOKUP($CD$13,$BZ$12:$CC$36,2,0),"")</f>
        <v>0.52083333333333337</v>
      </c>
      <c r="G71" s="536">
        <f ca="1">IF($CD$13&lt;99999,VLOOKUP($CD$13,$BZ$12:$CC$36,3,0),"")</f>
        <v>3</v>
      </c>
      <c r="H71" s="537" t="str">
        <f ca="1">IF($CD$13&lt;99999,VLOOKUP($CD$13,$BZ$12:$CC$36,4,0),"")</f>
        <v>SSV Wildbach</v>
      </c>
      <c r="J71" s="524">
        <f t="shared" ca="1" si="39"/>
        <v>0</v>
      </c>
      <c r="K71" s="524" t="str">
        <f ca="1">IF(J71=0,"",$C$69)</f>
        <v/>
      </c>
    </row>
    <row r="72" spans="2:11" ht="15.95" customHeight="1" thickBot="1" x14ac:dyDescent="0.25">
      <c r="E72" s="538">
        <f ca="1">IF($CD$14&lt;99999,INDEX($L$12:$L$36,MATCH($CD$14,$BZ$12:$BZ$36,0)),"")</f>
        <v>32</v>
      </c>
      <c r="F72" s="539">
        <f ca="1">IF($CD$14&lt;99999,VLOOKUP($CD$14,$BZ$12:$CC$36,2,0),"")</f>
        <v>0.54513888888888895</v>
      </c>
      <c r="G72" s="540">
        <f ca="1">IF($CD$14&lt;99999,VLOOKUP($CD$14,$BZ$12:$CC$36,3,0),"")</f>
        <v>4</v>
      </c>
      <c r="H72" s="541" t="str">
        <f ca="1">IF($CD$14&lt;99999,VLOOKUP($CD$14,$BZ$12:$CC$36,4,0),"")</f>
        <v>VFB Essenheim</v>
      </c>
      <c r="J72" s="524">
        <f t="shared" ca="1" si="39"/>
        <v>0</v>
      </c>
      <c r="K72" s="524" t="str">
        <f ca="1">IF(J72=0,"",$C$69)</f>
        <v/>
      </c>
    </row>
    <row r="73" spans="2:11" ht="15.95" customHeight="1" thickBot="1" x14ac:dyDescent="0.25">
      <c r="J73" s="524">
        <f t="shared" ca="1" si="39"/>
        <v>0</v>
      </c>
    </row>
    <row r="74" spans="2:11" ht="15.95" customHeight="1" x14ac:dyDescent="0.2">
      <c r="B74" s="525" t="s">
        <v>204</v>
      </c>
      <c r="C74" s="526" t="str">
        <f>IF(Planung!$C$41="","",Planung!$C$41)</f>
        <v/>
      </c>
      <c r="E74" s="527" t="str">
        <f>Sprache!$E$69</f>
        <v>Spiel Nr.</v>
      </c>
      <c r="F74" s="528" t="str">
        <f>Sprache!$E$39</f>
        <v>Beginn</v>
      </c>
      <c r="G74" s="529" t="str">
        <f>Sprache!$E$48</f>
        <v>Feld</v>
      </c>
      <c r="H74" s="530" t="str">
        <f>Sprache!$E$46</f>
        <v>Spiel gegen</v>
      </c>
      <c r="J74" s="524">
        <f t="shared" si="39"/>
        <v>0</v>
      </c>
    </row>
    <row r="75" spans="2:11" ht="15.95" customHeight="1" x14ac:dyDescent="0.2">
      <c r="E75" s="531" t="str">
        <f>IF($CI$12&lt;99999,INDEX($L$12:$L$36,MATCH($CI$12,$CE$12:$CE$36,0)),"")</f>
        <v/>
      </c>
      <c r="F75" s="532" t="str">
        <f>IF($CI$12&lt;99999,VLOOKUP($CI$12,$CE$12:$CH$36,2,0),"")</f>
        <v/>
      </c>
      <c r="G75" s="533" t="str">
        <f>IF($CI$12&lt;99999,VLOOKUP($CI$12,$CE$12:$CH$36,3,0),"")</f>
        <v/>
      </c>
      <c r="H75" s="534" t="str">
        <f>IF($CI$12&lt;99999,VLOOKUP($CI$12,$CE$12:$CH$36,4,0),"")</f>
        <v/>
      </c>
      <c r="J75" s="524">
        <f t="shared" si="39"/>
        <v>0</v>
      </c>
      <c r="K75" s="524" t="str">
        <f>IF(J75=0,"",$C$74)</f>
        <v/>
      </c>
    </row>
    <row r="76" spans="2:11" ht="15.95" customHeight="1" x14ac:dyDescent="0.2">
      <c r="E76" s="531" t="str">
        <f>IF($CI$13&lt;99999,INDEX($L$12:$L$36,MATCH($CI$13,$CE$12:$CE$36,0)),"")</f>
        <v/>
      </c>
      <c r="F76" s="535" t="str">
        <f>IF($CI$13&lt;99999,VLOOKUP($CI$13,$CE$12:$CH$36,2,0),"")</f>
        <v/>
      </c>
      <c r="G76" s="536" t="str">
        <f>IF($CI$13&lt;99999,VLOOKUP($CI$13,$CE$12:$CH$36,3,0),"")</f>
        <v/>
      </c>
      <c r="H76" s="537" t="str">
        <f>IF($CI$13&lt;99999,VLOOKUP($CI$13,$CE$12:$CH$36,4,0),"")</f>
        <v/>
      </c>
      <c r="J76" s="524">
        <f t="shared" si="39"/>
        <v>0</v>
      </c>
      <c r="K76" s="524" t="str">
        <f>IF(J76=0,"",$C$74)</f>
        <v/>
      </c>
    </row>
    <row r="77" spans="2:11" ht="15.95" customHeight="1" thickBot="1" x14ac:dyDescent="0.25">
      <c r="E77" s="538" t="str">
        <f>IF($CI$14&lt;99999,INDEX($L$12:$L$36,MATCH($CI$14,$CE$12:$CE$36,0)),"")</f>
        <v/>
      </c>
      <c r="F77" s="539" t="str">
        <f>IF($CI$14&lt;99999,VLOOKUP($CI$14,$CE$12:$CH$36,2,0),"")</f>
        <v/>
      </c>
      <c r="G77" s="540" t="str">
        <f>IF($CI$14&lt;99999,VLOOKUP($CI$14,$CE$12:$CH$36,3,0),"")</f>
        <v/>
      </c>
      <c r="H77" s="541" t="str">
        <f>IF($CI$14&lt;99999,VLOOKUP($CI$14,$CE$12:$CH$36,4,0),"")</f>
        <v/>
      </c>
      <c r="J77" s="524">
        <f t="shared" si="39"/>
        <v>0</v>
      </c>
      <c r="K77" s="524" t="str">
        <f>IF(J77=0,"",$C$74)</f>
        <v/>
      </c>
    </row>
    <row r="78" spans="2:11" ht="15.95" customHeight="1" thickBot="1" x14ac:dyDescent="0.25">
      <c r="J78" s="524">
        <f t="shared" si="39"/>
        <v>0</v>
      </c>
    </row>
    <row r="79" spans="2:11" ht="15.95" customHeight="1" x14ac:dyDescent="0.2">
      <c r="B79" s="525" t="s">
        <v>322</v>
      </c>
      <c r="C79" s="526" t="str">
        <f>IF(Planung!$C$43="","",Planung!$C$43)</f>
        <v/>
      </c>
      <c r="E79" s="527" t="str">
        <f>Sprache!$E$69</f>
        <v>Spiel Nr.</v>
      </c>
      <c r="F79" s="528" t="str">
        <f>Sprache!$E$39</f>
        <v>Beginn</v>
      </c>
      <c r="G79" s="529" t="str">
        <f>Sprache!$E$48</f>
        <v>Feld</v>
      </c>
      <c r="H79" s="530" t="str">
        <f>Sprache!$E$46</f>
        <v>Spiel gegen</v>
      </c>
      <c r="J79" s="524">
        <f t="shared" si="39"/>
        <v>0</v>
      </c>
    </row>
    <row r="80" spans="2:11" ht="15.95" customHeight="1" x14ac:dyDescent="0.2">
      <c r="E80" s="531" t="str">
        <f>IF($CN$12&lt;99999,INDEX($L$12:$L$36,MATCH($CN$12,$CJ$12:$CJ$36,0)),"")</f>
        <v/>
      </c>
      <c r="F80" s="532" t="str">
        <f>IF($CN$12&lt;99999,VLOOKUP($CN$12,$CJ$12:$CM$36,2,0),"")</f>
        <v/>
      </c>
      <c r="G80" s="533" t="str">
        <f>IF($CN$12&lt;99999,VLOOKUP($CN$12,$CJ$12:$CM$36,3,0),"")</f>
        <v/>
      </c>
      <c r="H80" s="534" t="str">
        <f>IF($CN$12&lt;99999,VLOOKUP($CN$12,$CJ$12:$CM$36,4,0),"")</f>
        <v/>
      </c>
      <c r="J80" s="524">
        <f t="shared" ref="J80:J92" si="74">IF(AND(F80&lt;&gt;"",OR(F80=F79,F80=F81)),E80,0)</f>
        <v>0</v>
      </c>
      <c r="K80" s="524" t="str">
        <f>IF(J80=0,"",$C$79)</f>
        <v/>
      </c>
    </row>
    <row r="81" spans="2:11" ht="15.95" customHeight="1" x14ac:dyDescent="0.2">
      <c r="E81" s="531" t="str">
        <f>IF($CN$13&lt;99999,INDEX($L$12:$L$36,MATCH($CN$13,$CJ$12:$CJ$36,0)),"")</f>
        <v/>
      </c>
      <c r="F81" s="535" t="str">
        <f>IF($CN$13&lt;99999,VLOOKUP($CN$13,$CJ$12:$CM$36,2,0),"")</f>
        <v/>
      </c>
      <c r="G81" s="536" t="str">
        <f>IF($CN$13&lt;99999,VLOOKUP($CN$13,$CJ$12:$CM$36,3,0),"")</f>
        <v/>
      </c>
      <c r="H81" s="537" t="str">
        <f>IF($CN$13&lt;99999,VLOOKUP($CN$13,$CJ$12:$CM$36,4,0),"")</f>
        <v/>
      </c>
      <c r="J81" s="524">
        <f t="shared" si="74"/>
        <v>0</v>
      </c>
      <c r="K81" s="524" t="str">
        <f>IF(J81=0,"",$C$79)</f>
        <v/>
      </c>
    </row>
    <row r="82" spans="2:11" ht="15.95" customHeight="1" thickBot="1" x14ac:dyDescent="0.25">
      <c r="E82" s="538" t="str">
        <f>IF($CN$14&lt;99999,INDEX($L$12:$L$36,MATCH($CN$14,$CJ$12:$CJ$36,0)),"")</f>
        <v/>
      </c>
      <c r="F82" s="539" t="str">
        <f>IF($CN$14&lt;99999,VLOOKUP($CN$14,$CJ$12:$CM$36,2,0),"")</f>
        <v/>
      </c>
      <c r="G82" s="540" t="str">
        <f>IF($CN$14&lt;99999,VLOOKUP($CN$14,$CJ$12:$CM$36,3,0),"")</f>
        <v/>
      </c>
      <c r="H82" s="541" t="str">
        <f>IF($CN$14&lt;99999,VLOOKUP($CN$14,$CJ$12:$CM$36,4,0),"")</f>
        <v/>
      </c>
      <c r="J82" s="524">
        <f t="shared" si="74"/>
        <v>0</v>
      </c>
      <c r="K82" s="524" t="str">
        <f>IF(J82=0,"",$C$79)</f>
        <v/>
      </c>
    </row>
    <row r="83" spans="2:11" ht="15.95" customHeight="1" thickBot="1" x14ac:dyDescent="0.25">
      <c r="J83" s="524">
        <f t="shared" si="74"/>
        <v>0</v>
      </c>
    </row>
    <row r="84" spans="2:11" ht="15.95" customHeight="1" x14ac:dyDescent="0.2">
      <c r="B84" s="525" t="s">
        <v>323</v>
      </c>
      <c r="C84" s="526" t="str">
        <f>IF(Planung!$C$45="","",Planung!$C$45)</f>
        <v/>
      </c>
      <c r="E84" s="527" t="str">
        <f>Sprache!$E$69</f>
        <v>Spiel Nr.</v>
      </c>
      <c r="F84" s="528" t="str">
        <f>Sprache!$E$39</f>
        <v>Beginn</v>
      </c>
      <c r="G84" s="529" t="str">
        <f>Sprache!$E$48</f>
        <v>Feld</v>
      </c>
      <c r="H84" s="530" t="str">
        <f>Sprache!$E$46</f>
        <v>Spiel gegen</v>
      </c>
      <c r="J84" s="524">
        <f t="shared" si="74"/>
        <v>0</v>
      </c>
    </row>
    <row r="85" spans="2:11" ht="15.95" customHeight="1" x14ac:dyDescent="0.2">
      <c r="E85" s="531" t="str">
        <f>IF($CS$12&lt;99999,INDEX($L$12:$L$36,MATCH($CS$12,$CO$12:$CO$36,0)),"")</f>
        <v/>
      </c>
      <c r="F85" s="532" t="str">
        <f>IF($CS$12&lt;99999,VLOOKUP($CS$12,$CO$12:$CR$36,2,0),"")</f>
        <v/>
      </c>
      <c r="G85" s="533" t="str">
        <f>IF($CS$12&lt;99999,VLOOKUP($CS$12,$CO$12:$CR$36,3,0),"")</f>
        <v/>
      </c>
      <c r="H85" s="534" t="str">
        <f>IF($CS$12&lt;99999,VLOOKUP($CS$12,$CO$12:$CR$36,4,0),"")</f>
        <v/>
      </c>
      <c r="J85" s="524">
        <f t="shared" si="74"/>
        <v>0</v>
      </c>
      <c r="K85" s="524" t="str">
        <f>IF(J85=0,"",$C$84)</f>
        <v/>
      </c>
    </row>
    <row r="86" spans="2:11" ht="15.95" customHeight="1" x14ac:dyDescent="0.2">
      <c r="E86" s="531" t="str">
        <f>IF($CS$13&lt;99999,INDEX($L$12:$L$36,MATCH($CS$13,$CO$12:$CO$36,0)),"")</f>
        <v/>
      </c>
      <c r="F86" s="535" t="str">
        <f>IF($CS$13&lt;99999,VLOOKUP($CS$13,$CO$12:$CR$36,2,0),"")</f>
        <v/>
      </c>
      <c r="G86" s="536" t="str">
        <f>IF($CS$13&lt;99999,VLOOKUP($CS$13,$CO$12:$CR$36,3,0),"")</f>
        <v/>
      </c>
      <c r="H86" s="537" t="str">
        <f>IF($CS$13&lt;99999,VLOOKUP($CS$13,$CO$12:$CR$36,4,0),"")</f>
        <v/>
      </c>
      <c r="J86" s="524">
        <f t="shared" si="74"/>
        <v>0</v>
      </c>
      <c r="K86" s="524" t="str">
        <f>IF(J86=0,"",$C$84)</f>
        <v/>
      </c>
    </row>
    <row r="87" spans="2:11" ht="15.95" customHeight="1" thickBot="1" x14ac:dyDescent="0.25">
      <c r="E87" s="538" t="str">
        <f>IF($CS$14&lt;99999,INDEX($L$12:$L$36,MATCH($CS$14,$CO$12:$CO$36,0)),"")</f>
        <v/>
      </c>
      <c r="F87" s="539" t="str">
        <f>IF($CS$14&lt;99999,VLOOKUP($CS$14,$CO$12:$CR$36,2,0),"")</f>
        <v/>
      </c>
      <c r="G87" s="540" t="str">
        <f>IF($CS$14&lt;99999,VLOOKUP($CS$14,$CO$12:$CR$36,3,0),"")</f>
        <v/>
      </c>
      <c r="H87" s="541" t="str">
        <f>IF($CS$14&lt;99999,VLOOKUP($CS$14,$CO$12:$CR$36,4,0),"")</f>
        <v/>
      </c>
      <c r="J87" s="524">
        <f t="shared" si="74"/>
        <v>0</v>
      </c>
      <c r="K87" s="524" t="str">
        <f>IF(J87=0,"",$C$84)</f>
        <v/>
      </c>
    </row>
    <row r="88" spans="2:11" ht="15.95" customHeight="1" thickBot="1" x14ac:dyDescent="0.25">
      <c r="J88" s="524">
        <f t="shared" si="74"/>
        <v>0</v>
      </c>
    </row>
    <row r="89" spans="2:11" ht="15.95" customHeight="1" x14ac:dyDescent="0.2">
      <c r="B89" s="525" t="s">
        <v>324</v>
      </c>
      <c r="C89" s="526" t="str">
        <f>IF(Planung!$C$47="","",Planung!$C$47)</f>
        <v/>
      </c>
      <c r="E89" s="527" t="str">
        <f>Sprache!$E$69</f>
        <v>Spiel Nr.</v>
      </c>
      <c r="F89" s="528" t="str">
        <f>Sprache!$E$39</f>
        <v>Beginn</v>
      </c>
      <c r="G89" s="529" t="str">
        <f>Sprache!$E$48</f>
        <v>Feld</v>
      </c>
      <c r="H89" s="530" t="str">
        <f>Sprache!$E$46</f>
        <v>Spiel gegen</v>
      </c>
      <c r="J89" s="524">
        <f t="shared" si="74"/>
        <v>0</v>
      </c>
    </row>
    <row r="90" spans="2:11" ht="15.95" customHeight="1" x14ac:dyDescent="0.2">
      <c r="E90" s="531" t="str">
        <f>IF($CX$12&lt;99999,INDEX($L$12:$L$36,MATCH($CX$12,$CT$12:$CT$36,0)),"")</f>
        <v/>
      </c>
      <c r="F90" s="532" t="str">
        <f>IF($CX$12&lt;99999,VLOOKUP($CX$12,$CT$12:$CW$36,2,0),"")</f>
        <v/>
      </c>
      <c r="G90" s="533" t="str">
        <f>IF($CX$12&lt;99999,VLOOKUP($CX$12,$CT$12:$CW$36,3,0),"")</f>
        <v/>
      </c>
      <c r="H90" s="534" t="str">
        <f>IF($CX$12&lt;99999,VLOOKUP($CX$12,$CT$12:$CW$36,4,0),"")</f>
        <v/>
      </c>
      <c r="J90" s="524">
        <f t="shared" si="74"/>
        <v>0</v>
      </c>
      <c r="K90" s="524" t="str">
        <f>IF(J90=0,"",$C$89)</f>
        <v/>
      </c>
    </row>
    <row r="91" spans="2:11" ht="15.95" customHeight="1" x14ac:dyDescent="0.2">
      <c r="E91" s="531" t="str">
        <f>IF($CX$13&lt;99999,INDEX($L$12:$L$36,MATCH($CX$13,$CT$12:$CT$36,0)),"")</f>
        <v/>
      </c>
      <c r="F91" s="535" t="str">
        <f>IF($CX$13&lt;99999,VLOOKUP($CX$13,$CT$12:$CW$36,2,0),"")</f>
        <v/>
      </c>
      <c r="G91" s="536" t="str">
        <f>IF($CX$13&lt;99999,VLOOKUP($CX$13,$CT$12:$CW$36,3,0),"")</f>
        <v/>
      </c>
      <c r="H91" s="537" t="str">
        <f>IF($CX$13&lt;99999,VLOOKUP($CX$13,$CT$12:$CW$36,4,0),"")</f>
        <v/>
      </c>
      <c r="J91" s="524">
        <f t="shared" si="74"/>
        <v>0</v>
      </c>
      <c r="K91" s="524" t="str">
        <f>IF(J91=0,"",$C$89)</f>
        <v/>
      </c>
    </row>
    <row r="92" spans="2:11" ht="15.95" customHeight="1" thickBot="1" x14ac:dyDescent="0.25">
      <c r="E92" s="538" t="str">
        <f>IF($CX$14&lt;99999,INDEX($L$12:$L$36,MATCH($CX$14,$CT$12:$CT$36,0)),"")</f>
        <v/>
      </c>
      <c r="F92" s="539" t="str">
        <f>IF($CX$14&lt;99999,VLOOKUP($CX$14,$CT$12:$CW$36,2,0),"")</f>
        <v/>
      </c>
      <c r="G92" s="540" t="str">
        <f>IF($CX$14&lt;99999,VLOOKUP($CX$14,$CT$12:$CW$36,3,0),"")</f>
        <v/>
      </c>
      <c r="H92" s="541" t="str">
        <f>IF($CX$14&lt;99999,VLOOKUP($CX$14,$CT$12:$CW$36,4,0),"")</f>
        <v/>
      </c>
      <c r="J92" s="524">
        <f t="shared" si="74"/>
        <v>0</v>
      </c>
      <c r="K92" s="524" t="str">
        <f>IF(J92=0,"",$C$89)</f>
        <v/>
      </c>
    </row>
    <row r="93" spans="2:11" ht="15.95" customHeight="1" x14ac:dyDescent="0.2"/>
    <row r="94" spans="2:11" x14ac:dyDescent="0.2"/>
    <row r="95" spans="2:11" x14ac:dyDescent="0.2"/>
  </sheetData>
  <sheetProtection sheet="1" selectLockedCells="1"/>
  <mergeCells count="1">
    <mergeCell ref="B1:H1"/>
  </mergeCells>
  <conditionalFormatting sqref="E5:F92">
    <cfRule type="expression" dxfId="4" priority="1">
      <formula>AND($F5&lt;&gt;"",OR($F5=$F4,$F5=$F6))</formula>
    </cfRule>
  </conditionalFormatting>
  <pageMargins left="0.70866141732283472" right="0.31496062992125984" top="0.39370078740157483" bottom="0.19685039370078741" header="0.31496062992125984" footer="0.31496062992125984"/>
  <pageSetup paperSize="9" fitToHeight="2"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9FB76-691C-4935-A7AE-5AD94D84567E}">
  <sheetPr codeName="Tabelle6"/>
  <dimension ref="A1:M141"/>
  <sheetViews>
    <sheetView showGridLines="0" showRowColHeaders="0" workbookViewId="0">
      <selection activeCell="J1" sqref="J1"/>
    </sheetView>
  </sheetViews>
  <sheetFormatPr baseColWidth="10" defaultColWidth="0" defaultRowHeight="12.75" zeroHeight="1" x14ac:dyDescent="0.2"/>
  <cols>
    <col min="1" max="1" width="11.42578125" customWidth="1"/>
    <col min="2" max="2" width="19.28515625" hidden="1" customWidth="1"/>
    <col min="3" max="3" width="11.42578125" hidden="1" customWidth="1"/>
    <col min="4" max="4" width="7" style="69" hidden="1" customWidth="1"/>
    <col min="5" max="5" width="44.7109375" hidden="1" customWidth="1"/>
    <col min="6" max="8" width="44.7109375" customWidth="1"/>
    <col min="9" max="9" width="3.42578125" customWidth="1"/>
    <col min="10" max="10" width="17.7109375" customWidth="1"/>
    <col min="11" max="11" width="9.140625" customWidth="1"/>
    <col min="12" max="12" width="19.7109375" customWidth="1"/>
    <col min="13" max="13" width="0" hidden="1" customWidth="1"/>
    <col min="14" max="16384" width="11.42578125" hidden="1"/>
  </cols>
  <sheetData>
    <row r="1" spans="2:12" ht="34.5" thickBot="1" x14ac:dyDescent="0.55000000000000004">
      <c r="B1" s="88"/>
      <c r="F1" s="807" t="str">
        <f>$E$35</f>
        <v>Sprache wählen</v>
      </c>
      <c r="G1" s="807"/>
      <c r="H1" s="807"/>
      <c r="I1" s="103"/>
      <c r="J1" s="105" t="s">
        <v>145</v>
      </c>
      <c r="K1" s="157" t="str">
        <f>_xlfn.UNICHAR(8592)</f>
        <v>←</v>
      </c>
      <c r="L1" s="156" t="str">
        <f>$E$104</f>
        <v>Hier klicken und Sprache wählen</v>
      </c>
    </row>
    <row r="2" spans="2:12" ht="11.25" customHeight="1" thickBot="1" x14ac:dyDescent="0.25">
      <c r="F2" s="956"/>
      <c r="G2" s="956"/>
      <c r="I2" s="70"/>
      <c r="J2" s="71"/>
    </row>
    <row r="3" spans="2:12" ht="13.5" thickTop="1" x14ac:dyDescent="0.2">
      <c r="B3" s="72" t="s">
        <v>113</v>
      </c>
      <c r="C3" s="73">
        <f>IF(AND($J$1&lt;&gt;B4,$J$1&lt;&gt;B5),1,0)</f>
        <v>0</v>
      </c>
      <c r="D3" s="957"/>
      <c r="E3" s="959"/>
      <c r="F3" s="960" t="s">
        <v>113</v>
      </c>
      <c r="G3" s="962" t="s">
        <v>145</v>
      </c>
      <c r="H3" s="954" t="s">
        <v>112</v>
      </c>
      <c r="I3" s="74"/>
    </row>
    <row r="4" spans="2:12" ht="13.5" thickBot="1" x14ac:dyDescent="0.25">
      <c r="B4" s="72" t="s">
        <v>145</v>
      </c>
      <c r="C4" s="73">
        <f>IF($J$1=B4,1,0)</f>
        <v>1</v>
      </c>
      <c r="D4" s="958"/>
      <c r="E4" s="959"/>
      <c r="F4" s="961"/>
      <c r="G4" s="963"/>
      <c r="H4" s="955"/>
      <c r="I4" s="75"/>
      <c r="J4" s="76"/>
    </row>
    <row r="5" spans="2:12" ht="29.25" thickTop="1" x14ac:dyDescent="0.45">
      <c r="B5" s="72" t="s">
        <v>112</v>
      </c>
      <c r="C5" s="73">
        <f>IF($J$1=B5,1,0)</f>
        <v>0</v>
      </c>
      <c r="E5" s="72"/>
      <c r="F5" s="80" t="str">
        <f>$E$36</f>
        <v>Überschriften</v>
      </c>
      <c r="G5" s="81"/>
      <c r="H5" s="82"/>
      <c r="I5" s="75"/>
      <c r="J5" s="76"/>
    </row>
    <row r="6" spans="2:12" x14ac:dyDescent="0.2">
      <c r="E6" s="72" t="str">
        <f>IF($C$3,F6,IF($C$4,G6,IF($H6&lt;&gt;"",$H6,$F6)))</f>
        <v>Tie Break Vorrunde</v>
      </c>
      <c r="F6" s="79" t="s">
        <v>212</v>
      </c>
      <c r="G6" s="77" t="s">
        <v>211</v>
      </c>
      <c r="H6" s="99"/>
    </row>
    <row r="7" spans="2:12" x14ac:dyDescent="0.2">
      <c r="E7" s="72" t="str">
        <f t="shared" ref="E7:E136" si="0">IF($C$3,F7,IF($C$4,G7,IF($H7&lt;&gt;"",$H7,$F7)))</f>
        <v>Direkte Vergleiche</v>
      </c>
      <c r="F7" s="79" t="s">
        <v>114</v>
      </c>
      <c r="G7" s="77" t="s">
        <v>13</v>
      </c>
      <c r="H7" s="78"/>
    </row>
    <row r="8" spans="2:12" x14ac:dyDescent="0.2">
      <c r="E8" s="72" t="str">
        <f t="shared" si="0"/>
        <v>Dein Datum</v>
      </c>
      <c r="F8" s="98" t="s">
        <v>140</v>
      </c>
      <c r="G8" s="97" t="s">
        <v>139</v>
      </c>
      <c r="H8" s="78"/>
    </row>
    <row r="9" spans="2:12" ht="15" customHeight="1" x14ac:dyDescent="0.45">
      <c r="E9" s="72" t="str">
        <f t="shared" si="0"/>
        <v>Nr.</v>
      </c>
      <c r="F9" s="95" t="s">
        <v>116</v>
      </c>
      <c r="G9" s="94" t="s">
        <v>0</v>
      </c>
      <c r="H9" s="78"/>
      <c r="I9" s="86"/>
    </row>
    <row r="10" spans="2:12" ht="15" customHeight="1" x14ac:dyDescent="0.45">
      <c r="E10" s="72" t="str">
        <f t="shared" si="0"/>
        <v>Teilnehmer bzw. Mannschaft</v>
      </c>
      <c r="F10" s="95" t="s">
        <v>117</v>
      </c>
      <c r="G10" s="94" t="s">
        <v>22</v>
      </c>
      <c r="H10" s="78"/>
      <c r="I10" s="86"/>
    </row>
    <row r="11" spans="2:12" ht="15" customHeight="1" x14ac:dyDescent="0.45">
      <c r="E11" s="72" t="str">
        <f t="shared" si="0"/>
        <v>Ergebnisse</v>
      </c>
      <c r="F11" s="95" t="s">
        <v>118</v>
      </c>
      <c r="G11" s="94" t="s">
        <v>23</v>
      </c>
      <c r="H11" s="78"/>
      <c r="I11" s="86"/>
    </row>
    <row r="12" spans="2:12" ht="15" customHeight="1" x14ac:dyDescent="0.45">
      <c r="E12" s="72" t="str">
        <f t="shared" si="0"/>
        <v>Tabelle</v>
      </c>
      <c r="F12" s="95" t="s">
        <v>119</v>
      </c>
      <c r="G12" s="94" t="s">
        <v>14</v>
      </c>
      <c r="H12" s="78"/>
      <c r="I12" s="86"/>
    </row>
    <row r="13" spans="2:12" ht="15" customHeight="1" x14ac:dyDescent="0.45">
      <c r="E13" s="72" t="str">
        <f t="shared" si="0"/>
        <v>Tabelle (Kopie)</v>
      </c>
      <c r="F13" s="95" t="s">
        <v>120</v>
      </c>
      <c r="G13" s="94" t="s">
        <v>52</v>
      </c>
      <c r="H13" s="78"/>
      <c r="I13" s="86"/>
    </row>
    <row r="14" spans="2:12" ht="15" customHeight="1" x14ac:dyDescent="0.45">
      <c r="E14" s="72" t="str">
        <f t="shared" si="0"/>
        <v>Spielpaarung</v>
      </c>
      <c r="F14" s="95" t="s">
        <v>123</v>
      </c>
      <c r="G14" s="94" t="s">
        <v>1</v>
      </c>
      <c r="H14" s="78"/>
      <c r="I14" s="86"/>
    </row>
    <row r="15" spans="2:12" ht="15" customHeight="1" x14ac:dyDescent="0.45">
      <c r="E15" s="72" t="str">
        <f t="shared" si="0"/>
        <v>Ergebnis</v>
      </c>
      <c r="F15" s="95" t="s">
        <v>124</v>
      </c>
      <c r="G15" s="94" t="s">
        <v>2</v>
      </c>
      <c r="H15" s="78"/>
      <c r="I15" s="86"/>
    </row>
    <row r="16" spans="2:12" ht="15" customHeight="1" x14ac:dyDescent="0.45">
      <c r="E16" s="72" t="str">
        <f t="shared" si="0"/>
        <v>Gruppe</v>
      </c>
      <c r="F16" s="95" t="s">
        <v>191</v>
      </c>
      <c r="G16" s="94" t="s">
        <v>190</v>
      </c>
      <c r="H16" s="78"/>
      <c r="I16" s="86"/>
    </row>
    <row r="17" spans="5:13" ht="15" customHeight="1" x14ac:dyDescent="0.45">
      <c r="E17" s="72" t="str">
        <f t="shared" si="0"/>
        <v>Grp</v>
      </c>
      <c r="F17" s="95" t="s">
        <v>192</v>
      </c>
      <c r="G17" s="94" t="s">
        <v>192</v>
      </c>
      <c r="H17" s="78"/>
      <c r="I17" s="86"/>
    </row>
    <row r="18" spans="5:13" ht="15" customHeight="1" x14ac:dyDescent="0.45">
      <c r="E18" s="72" t="str">
        <f t="shared" si="0"/>
        <v>Vorrunde</v>
      </c>
      <c r="F18" s="95" t="s">
        <v>207</v>
      </c>
      <c r="G18" s="94" t="s">
        <v>205</v>
      </c>
      <c r="H18" s="78"/>
      <c r="I18" s="86"/>
    </row>
    <row r="19" spans="5:13" ht="15" customHeight="1" x14ac:dyDescent="0.45">
      <c r="E19" s="72" t="str">
        <f t="shared" si="0"/>
        <v>Endrunde</v>
      </c>
      <c r="F19" s="95" t="s">
        <v>208</v>
      </c>
      <c r="G19" s="94" t="s">
        <v>206</v>
      </c>
      <c r="H19" s="78"/>
      <c r="I19" s="86"/>
    </row>
    <row r="20" spans="5:13" ht="15" x14ac:dyDescent="0.25">
      <c r="E20" s="72" t="str">
        <f t="shared" si="0"/>
        <v>Zusätzl. Pause (min)</v>
      </c>
      <c r="F20" s="98" t="s">
        <v>221</v>
      </c>
      <c r="G20" s="97" t="s">
        <v>220</v>
      </c>
      <c r="H20" s="78"/>
      <c r="I20" s="87"/>
      <c r="J20" s="87"/>
      <c r="K20" s="87"/>
      <c r="L20" s="87"/>
      <c r="M20" s="87"/>
    </row>
    <row r="21" spans="5:13" ht="15" x14ac:dyDescent="0.25">
      <c r="E21" s="72" t="str">
        <f t="shared" si="0"/>
        <v>SP</v>
      </c>
      <c r="F21" s="98" t="s">
        <v>103</v>
      </c>
      <c r="G21" s="97" t="s">
        <v>125</v>
      </c>
      <c r="H21" s="78"/>
      <c r="I21" s="87"/>
      <c r="J21" s="87"/>
      <c r="K21" s="87"/>
      <c r="L21" s="87"/>
      <c r="M21" s="87"/>
    </row>
    <row r="22" spans="5:13" ht="15" x14ac:dyDescent="0.25">
      <c r="E22" s="72" t="str">
        <f t="shared" si="0"/>
        <v>G</v>
      </c>
      <c r="F22" s="98" t="s">
        <v>104</v>
      </c>
      <c r="G22" s="97" t="s">
        <v>126</v>
      </c>
      <c r="H22" s="78"/>
      <c r="I22" s="87"/>
      <c r="J22" s="87"/>
      <c r="K22" s="87"/>
      <c r="L22" s="87"/>
      <c r="M22" s="87"/>
    </row>
    <row r="23" spans="5:13" ht="15" x14ac:dyDescent="0.25">
      <c r="E23" s="72" t="str">
        <f t="shared" si="0"/>
        <v>U</v>
      </c>
      <c r="F23" s="98" t="s">
        <v>105</v>
      </c>
      <c r="G23" s="97" t="s">
        <v>127</v>
      </c>
      <c r="H23" s="78"/>
      <c r="I23" s="87"/>
      <c r="J23" s="87"/>
      <c r="K23" s="87"/>
      <c r="L23" s="87"/>
      <c r="M23" s="87"/>
    </row>
    <row r="24" spans="5:13" ht="15" x14ac:dyDescent="0.25">
      <c r="E24" s="72" t="str">
        <f t="shared" si="0"/>
        <v>V</v>
      </c>
      <c r="F24" s="98" t="s">
        <v>106</v>
      </c>
      <c r="G24" s="97" t="s">
        <v>128</v>
      </c>
      <c r="H24" s="78"/>
      <c r="I24" s="87"/>
      <c r="J24" s="87"/>
      <c r="K24" s="87"/>
      <c r="L24" s="87"/>
      <c r="M24" s="87"/>
    </row>
    <row r="25" spans="5:13" ht="15" x14ac:dyDescent="0.25">
      <c r="E25" s="72" t="str">
        <f t="shared" si="0"/>
        <v>Tore</v>
      </c>
      <c r="F25" s="98" t="s">
        <v>94</v>
      </c>
      <c r="G25" s="97" t="s">
        <v>3</v>
      </c>
      <c r="H25" s="78"/>
      <c r="I25" s="87"/>
      <c r="J25" s="87"/>
      <c r="K25" s="87"/>
      <c r="L25" s="87"/>
      <c r="M25" s="87"/>
    </row>
    <row r="26" spans="5:13" ht="15" x14ac:dyDescent="0.25">
      <c r="E26" s="72" t="str">
        <f t="shared" si="0"/>
        <v>Diff.</v>
      </c>
      <c r="F26" s="98" t="s">
        <v>4</v>
      </c>
      <c r="G26" s="97" t="s">
        <v>4</v>
      </c>
      <c r="H26" s="78"/>
      <c r="I26" s="87"/>
      <c r="J26" s="87"/>
      <c r="K26" s="87"/>
      <c r="L26" s="87"/>
      <c r="M26" s="87"/>
    </row>
    <row r="27" spans="5:13" ht="15" x14ac:dyDescent="0.25">
      <c r="E27" s="72" t="str">
        <f t="shared" si="0"/>
        <v>Pkt</v>
      </c>
      <c r="F27" s="98" t="s">
        <v>110</v>
      </c>
      <c r="G27" s="97" t="s">
        <v>129</v>
      </c>
      <c r="H27" s="78"/>
      <c r="I27" s="87"/>
      <c r="J27" s="87"/>
      <c r="K27" s="87"/>
      <c r="L27" s="87"/>
      <c r="M27" s="87"/>
    </row>
    <row r="28" spans="5:13" ht="15" x14ac:dyDescent="0.25">
      <c r="E28" s="72" t="str">
        <f t="shared" si="0"/>
        <v>erz. Tore</v>
      </c>
      <c r="F28" s="98" t="s">
        <v>107</v>
      </c>
      <c r="G28" s="97" t="s">
        <v>149</v>
      </c>
      <c r="H28" s="78"/>
      <c r="I28" s="87"/>
      <c r="J28" s="87"/>
      <c r="K28" s="87"/>
      <c r="L28" s="87"/>
      <c r="M28" s="87"/>
    </row>
    <row r="29" spans="5:13" x14ac:dyDescent="0.2">
      <c r="E29" s="72" t="str">
        <f t="shared" si="0"/>
        <v>Turnierende:</v>
      </c>
      <c r="F29" s="98" t="s">
        <v>223</v>
      </c>
      <c r="G29" s="97" t="s">
        <v>222</v>
      </c>
      <c r="H29" s="78"/>
    </row>
    <row r="30" spans="5:13" x14ac:dyDescent="0.2">
      <c r="E30" s="72" t="str">
        <f t="shared" si="0"/>
        <v>Teilnehmer und Ablaufplan</v>
      </c>
      <c r="F30" s="98" t="s">
        <v>130</v>
      </c>
      <c r="G30" s="97" t="s">
        <v>20</v>
      </c>
      <c r="H30" s="78"/>
    </row>
    <row r="31" spans="5:13" x14ac:dyDescent="0.2">
      <c r="E31" s="72" t="str">
        <f t="shared" si="0"/>
        <v>Teilnehmer</v>
      </c>
      <c r="F31" s="98" t="s">
        <v>131</v>
      </c>
      <c r="G31" s="97" t="s">
        <v>21</v>
      </c>
      <c r="H31" s="78"/>
    </row>
    <row r="32" spans="5:13" x14ac:dyDescent="0.2">
      <c r="E32" s="72" t="str">
        <f t="shared" si="0"/>
        <v>Ablaufplan</v>
      </c>
      <c r="F32" s="98" t="s">
        <v>132</v>
      </c>
      <c r="G32" s="97" t="s">
        <v>24</v>
      </c>
      <c r="H32" s="78"/>
    </row>
    <row r="33" spans="5:8" x14ac:dyDescent="0.2">
      <c r="E33" s="72" t="str">
        <f t="shared" si="0"/>
        <v>Bonus</v>
      </c>
      <c r="F33" s="98" t="s">
        <v>455</v>
      </c>
      <c r="G33" s="97" t="s">
        <v>455</v>
      </c>
      <c r="H33" s="78"/>
    </row>
    <row r="34" spans="5:8" x14ac:dyDescent="0.2">
      <c r="E34" s="72" t="str">
        <f t="shared" si="0"/>
        <v>Paarungen</v>
      </c>
      <c r="F34" s="98" t="s">
        <v>133</v>
      </c>
      <c r="G34" s="97" t="s">
        <v>53</v>
      </c>
      <c r="H34" s="78"/>
    </row>
    <row r="35" spans="5:8" x14ac:dyDescent="0.2">
      <c r="E35" s="72" t="str">
        <f t="shared" si="0"/>
        <v>Sprache wählen</v>
      </c>
      <c r="F35" s="98" t="s">
        <v>111</v>
      </c>
      <c r="G35" s="97" t="s">
        <v>138</v>
      </c>
      <c r="H35" s="78"/>
    </row>
    <row r="36" spans="5:8" x14ac:dyDescent="0.2">
      <c r="E36" s="72" t="str">
        <f t="shared" si="0"/>
        <v>Überschriften</v>
      </c>
      <c r="F36" s="98" t="s">
        <v>115</v>
      </c>
      <c r="G36" s="97" t="s">
        <v>135</v>
      </c>
      <c r="H36" s="78"/>
    </row>
    <row r="37" spans="5:8" x14ac:dyDescent="0.2">
      <c r="E37" s="72" t="str">
        <f t="shared" si="0"/>
        <v>Meldungen</v>
      </c>
      <c r="F37" s="98" t="s">
        <v>136</v>
      </c>
      <c r="G37" s="97" t="s">
        <v>137</v>
      </c>
      <c r="H37" s="78"/>
    </row>
    <row r="38" spans="5:8" x14ac:dyDescent="0.2">
      <c r="E38" s="72" t="str">
        <f t="shared" si="0"/>
        <v>Deine Überschriften</v>
      </c>
      <c r="F38" s="98" t="s">
        <v>143</v>
      </c>
      <c r="G38" s="97" t="s">
        <v>142</v>
      </c>
      <c r="H38" s="78"/>
    </row>
    <row r="39" spans="5:8" x14ac:dyDescent="0.2">
      <c r="E39" s="72" t="str">
        <f t="shared" si="0"/>
        <v>Beginn</v>
      </c>
      <c r="F39" s="98" t="s">
        <v>297</v>
      </c>
      <c r="G39" s="97" t="s">
        <v>298</v>
      </c>
      <c r="H39" s="78"/>
    </row>
    <row r="40" spans="5:8" x14ac:dyDescent="0.2">
      <c r="E40" s="72" t="str">
        <f t="shared" si="0"/>
        <v>Ende der Vorrunde:</v>
      </c>
      <c r="F40" s="98" t="s">
        <v>226</v>
      </c>
      <c r="G40" s="97" t="s">
        <v>227</v>
      </c>
      <c r="H40" s="78"/>
    </row>
    <row r="41" spans="5:8" x14ac:dyDescent="0.2">
      <c r="E41" s="72" t="str">
        <f t="shared" si="0"/>
        <v>Spielzeiten</v>
      </c>
      <c r="F41" s="98" t="s">
        <v>165</v>
      </c>
      <c r="G41" s="97" t="s">
        <v>164</v>
      </c>
      <c r="H41" s="78"/>
    </row>
    <row r="42" spans="5:8" x14ac:dyDescent="0.2">
      <c r="E42" s="72" t="str">
        <f t="shared" si="0"/>
        <v>Spielzeit pro Spiel:</v>
      </c>
      <c r="F42" s="98" t="s">
        <v>228</v>
      </c>
      <c r="G42" s="97" t="s">
        <v>229</v>
      </c>
      <c r="H42" s="78"/>
    </row>
    <row r="43" spans="5:8" x14ac:dyDescent="0.2">
      <c r="E43" s="72" t="str">
        <f t="shared" si="0"/>
        <v>Wechselzeit:</v>
      </c>
      <c r="F43" s="98" t="s">
        <v>230</v>
      </c>
      <c r="G43" s="97" t="s">
        <v>231</v>
      </c>
      <c r="H43" s="78"/>
    </row>
    <row r="44" spans="5:8" x14ac:dyDescent="0.2">
      <c r="E44" s="72" t="str">
        <f t="shared" si="0"/>
        <v>Anzahl der Spielfelder:</v>
      </c>
      <c r="F44" s="98" t="s">
        <v>295</v>
      </c>
      <c r="G44" s="97" t="s">
        <v>294</v>
      </c>
      <c r="H44" s="78"/>
    </row>
    <row r="45" spans="5:8" x14ac:dyDescent="0.2">
      <c r="E45" s="72" t="str">
        <f t="shared" si="0"/>
        <v>Uhr</v>
      </c>
      <c r="F45" s="98" t="s">
        <v>157</v>
      </c>
      <c r="G45" s="97" t="s">
        <v>156</v>
      </c>
      <c r="H45" s="78"/>
    </row>
    <row r="46" spans="5:8" x14ac:dyDescent="0.2">
      <c r="E46" s="72" t="str">
        <f t="shared" si="0"/>
        <v>Spiel gegen</v>
      </c>
      <c r="F46" s="98" t="s">
        <v>161</v>
      </c>
      <c r="G46" s="97" t="s">
        <v>160</v>
      </c>
      <c r="H46" s="78"/>
    </row>
    <row r="47" spans="5:8" x14ac:dyDescent="0.2">
      <c r="E47" s="72" t="str">
        <f t="shared" si="0"/>
        <v>Anmerkung</v>
      </c>
      <c r="F47" s="98" t="s">
        <v>162</v>
      </c>
      <c r="G47" s="97" t="s">
        <v>163</v>
      </c>
      <c r="H47" s="78"/>
    </row>
    <row r="48" spans="5:8" x14ac:dyDescent="0.2">
      <c r="E48" s="72" t="str">
        <f t="shared" si="0"/>
        <v>Feld</v>
      </c>
      <c r="F48" s="98" t="s">
        <v>232</v>
      </c>
      <c r="G48" s="97" t="s">
        <v>296</v>
      </c>
      <c r="H48" s="78"/>
    </row>
    <row r="49" spans="5:8" x14ac:dyDescent="0.2">
      <c r="E49" s="72" t="str">
        <f t="shared" si="0"/>
        <v>Tie-Break</v>
      </c>
      <c r="F49" s="79" t="s">
        <v>446</v>
      </c>
      <c r="G49" s="77" t="s">
        <v>447</v>
      </c>
      <c r="H49" s="78"/>
    </row>
    <row r="50" spans="5:8" x14ac:dyDescent="0.2">
      <c r="E50" s="72" t="str">
        <f t="shared" si="0"/>
        <v>Spielpaarungen</v>
      </c>
      <c r="F50" s="98" t="s">
        <v>171</v>
      </c>
      <c r="G50" s="97" t="s">
        <v>172</v>
      </c>
      <c r="H50" s="78"/>
    </row>
    <row r="51" spans="5:8" x14ac:dyDescent="0.2">
      <c r="E51" s="72" t="str">
        <f t="shared" si="0"/>
        <v>Einstellungen</v>
      </c>
      <c r="F51" s="98" t="s">
        <v>174</v>
      </c>
      <c r="G51" s="97" t="s">
        <v>173</v>
      </c>
      <c r="H51" s="78"/>
    </row>
    <row r="52" spans="5:8" x14ac:dyDescent="0.2">
      <c r="E52" s="72" t="str">
        <f t="shared" si="0"/>
        <v>Anzahl der Punkte für einen Sieg:</v>
      </c>
      <c r="F52" s="98" t="s">
        <v>176</v>
      </c>
      <c r="G52" s="97" t="s">
        <v>175</v>
      </c>
      <c r="H52" s="78"/>
    </row>
    <row r="53" spans="5:8" x14ac:dyDescent="0.2">
      <c r="E53" s="72" t="str">
        <f t="shared" si="0"/>
        <v>Halbfinale Plätze 1 - 4</v>
      </c>
      <c r="F53" s="98" t="s">
        <v>354</v>
      </c>
      <c r="G53" s="97" t="s">
        <v>355</v>
      </c>
      <c r="H53" s="78"/>
    </row>
    <row r="54" spans="5:8" x14ac:dyDescent="0.2">
      <c r="E54" s="72" t="str">
        <f t="shared" si="0"/>
        <v>Halbfinale Plätze 5 - 8</v>
      </c>
      <c r="F54" s="98" t="s">
        <v>356</v>
      </c>
      <c r="G54" s="97" t="s">
        <v>357</v>
      </c>
      <c r="H54" s="78"/>
    </row>
    <row r="55" spans="5:8" x14ac:dyDescent="0.2">
      <c r="E55" s="72" t="str">
        <f t="shared" si="0"/>
        <v>Endspiele Plätze 1 - 4</v>
      </c>
      <c r="F55" s="98" t="s">
        <v>358</v>
      </c>
      <c r="G55" s="97" t="s">
        <v>359</v>
      </c>
      <c r="H55" s="78"/>
    </row>
    <row r="56" spans="5:8" x14ac:dyDescent="0.2">
      <c r="E56" s="72" t="str">
        <f t="shared" si="0"/>
        <v>Endspiele Plätze 5 - 8</v>
      </c>
      <c r="F56" s="98" t="s">
        <v>360</v>
      </c>
      <c r="G56" s="97" t="s">
        <v>361</v>
      </c>
      <c r="H56" s="78"/>
    </row>
    <row r="57" spans="5:8" x14ac:dyDescent="0.2">
      <c r="E57" s="72" t="str">
        <f t="shared" si="0"/>
        <v>5. Platz</v>
      </c>
      <c r="F57" s="98" t="s">
        <v>366</v>
      </c>
      <c r="G57" s="97" t="s">
        <v>364</v>
      </c>
      <c r="H57" s="78"/>
    </row>
    <row r="58" spans="5:8" x14ac:dyDescent="0.2">
      <c r="E58" s="72" t="str">
        <f t="shared" si="0"/>
        <v>7. Platz</v>
      </c>
      <c r="F58" s="98" t="s">
        <v>367</v>
      </c>
      <c r="G58" s="97" t="s">
        <v>365</v>
      </c>
      <c r="H58" s="78"/>
    </row>
    <row r="59" spans="5:8" x14ac:dyDescent="0.2">
      <c r="E59" s="72" t="str">
        <f t="shared" si="0"/>
        <v>Schiedsrichter</v>
      </c>
      <c r="F59" s="98" t="s">
        <v>368</v>
      </c>
      <c r="G59" s="97" t="s">
        <v>369</v>
      </c>
      <c r="H59" s="78"/>
    </row>
    <row r="60" spans="5:8" x14ac:dyDescent="0.2">
      <c r="E60" s="72" t="str">
        <f t="shared" si="0"/>
        <v>Halbfinale</v>
      </c>
      <c r="F60" s="98" t="s">
        <v>246</v>
      </c>
      <c r="G60" s="97" t="s">
        <v>243</v>
      </c>
      <c r="H60" s="78"/>
    </row>
    <row r="61" spans="5:8" x14ac:dyDescent="0.2">
      <c r="E61" s="72" t="str">
        <f t="shared" si="0"/>
        <v>Endspiele</v>
      </c>
      <c r="F61" s="98" t="s">
        <v>245</v>
      </c>
      <c r="G61" s="97" t="s">
        <v>244</v>
      </c>
      <c r="H61" s="78"/>
    </row>
    <row r="62" spans="5:8" x14ac:dyDescent="0.2">
      <c r="E62" s="72" t="str">
        <f t="shared" si="0"/>
        <v xml:space="preserve">Spiele um die Plätze </v>
      </c>
      <c r="F62" s="98" t="s">
        <v>248</v>
      </c>
      <c r="G62" s="97" t="s">
        <v>247</v>
      </c>
      <c r="H62" s="78"/>
    </row>
    <row r="63" spans="5:8" x14ac:dyDescent="0.2">
      <c r="E63" s="72" t="str">
        <f t="shared" si="0"/>
        <v>Vorrunde Gruppe</v>
      </c>
      <c r="F63" s="98" t="s">
        <v>252</v>
      </c>
      <c r="G63" s="97" t="s">
        <v>251</v>
      </c>
      <c r="H63" s="78"/>
    </row>
    <row r="64" spans="5:8" x14ac:dyDescent="0.2">
      <c r="E64" s="72" t="str">
        <f t="shared" si="0"/>
        <v>Gruppenerste und -zweite</v>
      </c>
      <c r="F64" s="98" t="s">
        <v>339</v>
      </c>
      <c r="G64" s="97" t="s">
        <v>303</v>
      </c>
      <c r="H64" s="78"/>
    </row>
    <row r="65" spans="5:8" x14ac:dyDescent="0.2">
      <c r="E65" s="72" t="str">
        <f t="shared" si="0"/>
        <v>Gruppendritte und -vierte</v>
      </c>
      <c r="F65" s="98" t="s">
        <v>340</v>
      </c>
      <c r="G65" s="97" t="s">
        <v>304</v>
      </c>
      <c r="H65" s="78"/>
    </row>
    <row r="66" spans="5:8" x14ac:dyDescent="0.2">
      <c r="E66" s="72" t="str">
        <f t="shared" si="0"/>
        <v>Gruppenfünfte und -sechste</v>
      </c>
      <c r="F66" s="98" t="s">
        <v>338</v>
      </c>
      <c r="G66" s="97" t="s">
        <v>305</v>
      </c>
      <c r="H66" s="78"/>
    </row>
    <row r="67" spans="5:8" x14ac:dyDescent="0.2">
      <c r="E67" s="72" t="str">
        <f t="shared" si="0"/>
        <v>Gruppensiebte und -achte</v>
      </c>
      <c r="F67" s="98" t="s">
        <v>336</v>
      </c>
      <c r="G67" s="97" t="s">
        <v>334</v>
      </c>
      <c r="H67" s="78"/>
    </row>
    <row r="68" spans="5:8" x14ac:dyDescent="0.2">
      <c r="E68" s="72" t="str">
        <f t="shared" si="0"/>
        <v>Gruppenneunte</v>
      </c>
      <c r="F68" s="98" t="s">
        <v>337</v>
      </c>
      <c r="G68" s="97" t="s">
        <v>335</v>
      </c>
      <c r="H68" s="78"/>
    </row>
    <row r="69" spans="5:8" x14ac:dyDescent="0.2">
      <c r="E69" s="72" t="str">
        <f t="shared" si="0"/>
        <v>Spiel Nr.</v>
      </c>
      <c r="F69" s="98" t="s">
        <v>348</v>
      </c>
      <c r="G69" s="97" t="s">
        <v>349</v>
      </c>
      <c r="H69" s="78"/>
    </row>
    <row r="70" spans="5:8" x14ac:dyDescent="0.2">
      <c r="E70" s="72" t="str">
        <f t="shared" si="0"/>
        <v>Elfmeter</v>
      </c>
      <c r="F70" s="98" t="s">
        <v>225</v>
      </c>
      <c r="G70" s="97" t="s">
        <v>224</v>
      </c>
      <c r="H70" s="78"/>
    </row>
    <row r="71" spans="5:8" x14ac:dyDescent="0.2">
      <c r="E71" s="72" t="str">
        <f t="shared" si="0"/>
        <v>Tie Break Endrunde 4</v>
      </c>
      <c r="F71" s="98" t="s">
        <v>436</v>
      </c>
      <c r="G71" s="97" t="s">
        <v>437</v>
      </c>
      <c r="H71" s="78"/>
    </row>
    <row r="72" spans="5:8" x14ac:dyDescent="0.2">
      <c r="E72" s="72" t="str">
        <f t="shared" si="0"/>
        <v>Balldifferenz oder Ballquotient:</v>
      </c>
      <c r="F72" s="98" t="s">
        <v>391</v>
      </c>
      <c r="G72" s="97" t="s">
        <v>392</v>
      </c>
      <c r="H72" s="78"/>
    </row>
    <row r="73" spans="5:8" x14ac:dyDescent="0.2">
      <c r="E73" s="72" t="str">
        <f t="shared" si="0"/>
        <v>Balldifferenz</v>
      </c>
      <c r="F73" s="98" t="s">
        <v>393</v>
      </c>
      <c r="G73" s="97" t="s">
        <v>394</v>
      </c>
      <c r="H73" s="78"/>
    </row>
    <row r="74" spans="5:8" x14ac:dyDescent="0.2">
      <c r="E74" s="72" t="str">
        <f t="shared" si="0"/>
        <v>Ballquotient</v>
      </c>
      <c r="F74" s="98" t="s">
        <v>395</v>
      </c>
      <c r="G74" s="97" t="s">
        <v>396</v>
      </c>
      <c r="H74" s="78"/>
    </row>
    <row r="75" spans="5:8" x14ac:dyDescent="0.2">
      <c r="E75" s="72" t="str">
        <f t="shared" si="0"/>
        <v>Ballpunkte</v>
      </c>
      <c r="F75" s="98" t="s">
        <v>397</v>
      </c>
      <c r="G75" s="97" t="s">
        <v>398</v>
      </c>
      <c r="H75" s="78"/>
    </row>
    <row r="76" spans="5:8" x14ac:dyDescent="0.2">
      <c r="E76" s="72" t="str">
        <f t="shared" si="0"/>
        <v>Satzpunkte</v>
      </c>
      <c r="F76" s="98" t="s">
        <v>399</v>
      </c>
      <c r="G76" s="97" t="s">
        <v>400</v>
      </c>
      <c r="H76" s="78"/>
    </row>
    <row r="77" spans="5:8" x14ac:dyDescent="0.2">
      <c r="E77" s="72" t="str">
        <f t="shared" si="0"/>
        <v>Satzdifferenz als zweites Kriterium?</v>
      </c>
      <c r="F77" s="98" t="s">
        <v>401</v>
      </c>
      <c r="G77" s="97" t="s">
        <v>402</v>
      </c>
      <c r="H77" s="78"/>
    </row>
    <row r="78" spans="5:8" x14ac:dyDescent="0.2">
      <c r="E78" s="72" t="str">
        <f t="shared" si="0"/>
        <v>Ja</v>
      </c>
      <c r="F78" s="98" t="s">
        <v>403</v>
      </c>
      <c r="G78" s="97" t="s">
        <v>404</v>
      </c>
      <c r="H78" s="78"/>
    </row>
    <row r="79" spans="5:8" x14ac:dyDescent="0.2">
      <c r="E79" s="72" t="str">
        <f t="shared" si="0"/>
        <v>Nein</v>
      </c>
      <c r="F79" s="98" t="s">
        <v>405</v>
      </c>
      <c r="G79" s="97" t="s">
        <v>406</v>
      </c>
      <c r="H79" s="78"/>
    </row>
    <row r="80" spans="5:8" x14ac:dyDescent="0.2">
      <c r="E80" s="72" t="str">
        <f t="shared" si="0"/>
        <v>Satzpkt.</v>
      </c>
      <c r="F80" s="98" t="s">
        <v>407</v>
      </c>
      <c r="G80" s="97" t="s">
        <v>408</v>
      </c>
      <c r="H80" s="78"/>
    </row>
    <row r="81" spans="5:8" x14ac:dyDescent="0.2">
      <c r="E81" s="72" t="str">
        <f t="shared" si="0"/>
        <v>Erstes Kriterium für die Rangliste:</v>
      </c>
      <c r="F81" s="98" t="s">
        <v>409</v>
      </c>
      <c r="G81" s="97" t="s">
        <v>410</v>
      </c>
      <c r="H81" s="78"/>
    </row>
    <row r="82" spans="5:8" x14ac:dyDescent="0.2">
      <c r="E82" s="72" t="str">
        <f t="shared" si="0"/>
        <v>Anzahl der (Sieg-)Punkte</v>
      </c>
      <c r="F82" s="98" t="s">
        <v>411</v>
      </c>
      <c r="G82" s="97" t="s">
        <v>412</v>
      </c>
      <c r="H82" s="78"/>
    </row>
    <row r="83" spans="5:8" x14ac:dyDescent="0.2">
      <c r="E83" s="72" t="str">
        <f t="shared" si="0"/>
        <v>Anzahl der gewonnenen Sätze</v>
      </c>
      <c r="F83" s="98" t="s">
        <v>413</v>
      </c>
      <c r="G83" s="97" t="s">
        <v>414</v>
      </c>
      <c r="H83" s="78"/>
    </row>
    <row r="84" spans="5:8" x14ac:dyDescent="0.2">
      <c r="E84" s="72" t="str">
        <f t="shared" si="0"/>
        <v>Anzahl der gewonnenen Sätze als drittes Kriterium?</v>
      </c>
      <c r="F84" s="98" t="s">
        <v>415</v>
      </c>
      <c r="G84" s="97" t="s">
        <v>416</v>
      </c>
      <c r="H84" s="78"/>
    </row>
    <row r="85" spans="5:8" x14ac:dyDescent="0.2">
      <c r="E85" s="72" t="str">
        <f t="shared" si="0"/>
        <v>Nur sinnvoll, wenn die Anzahl der (Sieg-)Punkte 1. Kriterium ist</v>
      </c>
      <c r="F85" s="98" t="s">
        <v>417</v>
      </c>
      <c r="G85" s="97" t="s">
        <v>418</v>
      </c>
      <c r="H85" s="78"/>
    </row>
    <row r="86" spans="5:8" x14ac:dyDescent="0.2">
      <c r="E86" s="72" t="str">
        <f t="shared" si="0"/>
        <v>Teamnummern</v>
      </c>
      <c r="F86" s="98" t="s">
        <v>419</v>
      </c>
      <c r="G86" s="97" t="s">
        <v>420</v>
      </c>
      <c r="H86" s="78"/>
    </row>
    <row r="87" spans="5:8" x14ac:dyDescent="0.2">
      <c r="E87" s="72" t="str">
        <f t="shared" si="0"/>
        <v>Sieger</v>
      </c>
      <c r="F87" s="98" t="s">
        <v>347</v>
      </c>
      <c r="G87" s="97" t="s">
        <v>421</v>
      </c>
      <c r="H87" s="78"/>
    </row>
    <row r="88" spans="5:8" x14ac:dyDescent="0.2">
      <c r="E88" s="72" t="str">
        <f t="shared" si="0"/>
        <v>Anzeige in den Kreuztabellen der Vorrunde:</v>
      </c>
      <c r="F88" s="98" t="s">
        <v>422</v>
      </c>
      <c r="G88" s="97" t="s">
        <v>423</v>
      </c>
      <c r="H88" s="78"/>
    </row>
    <row r="89" spans="5:8" x14ac:dyDescent="0.2">
      <c r="E89" s="72" t="str">
        <f t="shared" si="0"/>
        <v>Sätze</v>
      </c>
      <c r="F89" s="98" t="s">
        <v>370</v>
      </c>
      <c r="G89" s="97" t="s">
        <v>371</v>
      </c>
      <c r="H89" s="78"/>
    </row>
    <row r="90" spans="5:8" x14ac:dyDescent="0.2">
      <c r="E90" s="72" t="str">
        <f t="shared" si="0"/>
        <v>Bälle</v>
      </c>
      <c r="F90" s="98" t="s">
        <v>372</v>
      </c>
      <c r="G90" s="97" t="s">
        <v>373</v>
      </c>
      <c r="H90" s="78"/>
    </row>
    <row r="91" spans="5:8" x14ac:dyDescent="0.2">
      <c r="E91" s="72" t="str">
        <f t="shared" si="0"/>
        <v>1. Satz</v>
      </c>
      <c r="F91" s="98" t="s">
        <v>374</v>
      </c>
      <c r="G91" s="97" t="s">
        <v>375</v>
      </c>
      <c r="H91" s="78"/>
    </row>
    <row r="92" spans="5:8" x14ac:dyDescent="0.2">
      <c r="E92" s="72" t="str">
        <f t="shared" si="0"/>
        <v>2. Satz</v>
      </c>
      <c r="F92" s="98" t="s">
        <v>376</v>
      </c>
      <c r="G92" s="97" t="s">
        <v>377</v>
      </c>
      <c r="H92" s="78"/>
    </row>
    <row r="93" spans="5:8" x14ac:dyDescent="0.2">
      <c r="E93" s="72" t="str">
        <f t="shared" si="0"/>
        <v>3. Satz</v>
      </c>
      <c r="F93" s="98" t="s">
        <v>378</v>
      </c>
      <c r="G93" s="97" t="s">
        <v>379</v>
      </c>
      <c r="H93" s="78"/>
    </row>
    <row r="94" spans="5:8" x14ac:dyDescent="0.2">
      <c r="E94" s="72" t="str">
        <f t="shared" si="0"/>
        <v>Buchstaben</v>
      </c>
      <c r="F94" s="98" t="s">
        <v>189</v>
      </c>
      <c r="G94" s="97" t="s">
        <v>188</v>
      </c>
      <c r="H94" s="78"/>
    </row>
    <row r="95" spans="5:8" x14ac:dyDescent="0.2">
      <c r="E95" s="72" t="str">
        <f t="shared" si="0"/>
        <v>Team-Kürzel</v>
      </c>
      <c r="F95" s="98" t="s">
        <v>432</v>
      </c>
      <c r="G95" s="97" t="s">
        <v>433</v>
      </c>
      <c r="H95" s="78"/>
    </row>
    <row r="96" spans="5:8" x14ac:dyDescent="0.2">
      <c r="E96" s="72" t="str">
        <f t="shared" si="0"/>
        <v>z.B.  A2 - A4</v>
      </c>
      <c r="F96" s="98" t="s">
        <v>434</v>
      </c>
      <c r="G96" s="97" t="s">
        <v>435</v>
      </c>
      <c r="H96" s="78"/>
    </row>
    <row r="97" spans="5:8" x14ac:dyDescent="0.2">
      <c r="E97" s="72" t="str">
        <f t="shared" si="0"/>
        <v>Quot.</v>
      </c>
      <c r="F97" s="98" t="s">
        <v>438</v>
      </c>
      <c r="G97" s="97" t="s">
        <v>438</v>
      </c>
      <c r="H97" s="78"/>
    </row>
    <row r="98" spans="5:8" x14ac:dyDescent="0.2">
      <c r="E98" s="72">
        <f t="shared" si="0"/>
        <v>0</v>
      </c>
      <c r="F98" s="98"/>
      <c r="G98" s="97"/>
      <c r="H98" s="78"/>
    </row>
    <row r="99" spans="5:8" ht="28.5" x14ac:dyDescent="0.45">
      <c r="E99" s="72"/>
      <c r="F99" s="83" t="str">
        <f>$E$37</f>
        <v>Meldungen</v>
      </c>
      <c r="G99" s="84"/>
      <c r="H99" s="85"/>
    </row>
    <row r="100" spans="5:8" ht="79.5" customHeight="1" x14ac:dyDescent="0.2">
      <c r="E100" s="72" t="str">
        <f t="shared" si="0"/>
        <v>Sind zwei oder mehr Mannschaften nicht unterscheidbar und wird eine Entscheidung z.B. durch Elfmeterschießen oder Los getroffen, genügt es, für die bevorzugte Mannschaft einen Bonuspunkt einzutragen.</v>
      </c>
      <c r="F100" s="89" t="s">
        <v>236</v>
      </c>
      <c r="G100" s="90" t="s">
        <v>235</v>
      </c>
      <c r="H100" s="91"/>
    </row>
    <row r="101" spans="5:8" ht="51.75" customHeight="1" x14ac:dyDescent="0.2">
      <c r="E101" s="72" t="str">
        <f t="shared" si="0"/>
        <v>Doppelte Spielpaarungen und Spiele gegen sich selbst
führen in der Gesamttabelle zu falschen Werten!</v>
      </c>
      <c r="F101" s="96" t="s">
        <v>152</v>
      </c>
      <c r="G101" s="137" t="s">
        <v>55</v>
      </c>
      <c r="H101" s="91"/>
    </row>
    <row r="102" spans="5:8" ht="51.75" customHeight="1" x14ac:dyDescent="0.2">
      <c r="E102" s="72" t="str">
        <f t="shared" si="0"/>
        <v>Änderung der Spielpaarungen nur auf dem Blatt 'Planung'!   Hier nur die Ergebnisse eintragen!</v>
      </c>
      <c r="F102" s="96" t="s">
        <v>122</v>
      </c>
      <c r="G102" s="90" t="s">
        <v>121</v>
      </c>
      <c r="H102" s="91"/>
    </row>
    <row r="103" spans="5:8" ht="16.5" customHeight="1" x14ac:dyDescent="0.2">
      <c r="E103" s="72" t="str">
        <f t="shared" si="0"/>
        <v>Kann gelöscht werden   →</v>
      </c>
      <c r="F103" s="101" t="s">
        <v>144</v>
      </c>
      <c r="G103" s="100" t="s">
        <v>141</v>
      </c>
      <c r="H103" s="92"/>
    </row>
    <row r="104" spans="5:8" ht="20.25" customHeight="1" x14ac:dyDescent="0.2">
      <c r="E104" s="72" t="str">
        <f t="shared" si="0"/>
        <v>Hier klicken und Sprache wählen</v>
      </c>
      <c r="F104" s="106" t="s">
        <v>147</v>
      </c>
      <c r="G104" s="104" t="s">
        <v>146</v>
      </c>
      <c r="H104" s="93"/>
    </row>
    <row r="105" spans="5:8" ht="32.25" customHeight="1" x14ac:dyDescent="0.2">
      <c r="E105" s="72" t="str">
        <f t="shared" si="0"/>
        <v>Doppelte Namen führen zu
falschen Tabellenwerten</v>
      </c>
      <c r="F105" s="149" t="s">
        <v>154</v>
      </c>
      <c r="G105" s="148" t="s">
        <v>54</v>
      </c>
      <c r="H105" s="93"/>
    </row>
    <row r="106" spans="5:8" ht="51.75" customHeight="1" x14ac:dyDescent="0.2">
      <c r="E106" s="72" t="str">
        <f t="shared" si="0"/>
        <v>Rote Schrift bedeutet, dass die Rangfolge auch mit dem direkten Vergleich nicht geklärt ist. Fair Play oder Los muss hier entscheiden.</v>
      </c>
      <c r="F106" s="220" t="s">
        <v>151</v>
      </c>
      <c r="G106" s="221" t="s">
        <v>150</v>
      </c>
      <c r="H106" s="92"/>
    </row>
    <row r="107" spans="5:8" ht="17.25" customHeight="1" x14ac:dyDescent="0.2">
      <c r="E107" s="72" t="str">
        <f t="shared" si="0"/>
        <v>Zeitkonflikt</v>
      </c>
      <c r="F107" s="222" t="s">
        <v>159</v>
      </c>
      <c r="G107" s="223" t="s">
        <v>158</v>
      </c>
      <c r="H107" s="224"/>
    </row>
    <row r="108" spans="5:8" ht="16.5" customHeight="1" x14ac:dyDescent="0.2">
      <c r="E108" s="72" t="str">
        <f t="shared" si="0"/>
        <v xml:space="preserve"> : </v>
      </c>
      <c r="F108" s="225" t="s">
        <v>440</v>
      </c>
      <c r="G108" s="238" t="s">
        <v>439</v>
      </c>
      <c r="H108" s="224"/>
    </row>
    <row r="109" spans="5:8" ht="33" customHeight="1" x14ac:dyDescent="0.2">
      <c r="E109" s="72" t="str">
        <f t="shared" si="0"/>
        <v>Direkte Vergleiche bei Gleichstand in Punkten, Tordifferenz und erzielten Toren (FIFA-Modus)</v>
      </c>
      <c r="F109" s="230" t="s">
        <v>181</v>
      </c>
      <c r="G109" s="231" t="s">
        <v>178</v>
      </c>
      <c r="H109" s="227"/>
    </row>
    <row r="110" spans="5:8" ht="32.25" customHeight="1" x14ac:dyDescent="0.2">
      <c r="E110" s="72" t="str">
        <f t="shared" si="0"/>
        <v>Direkte Vergleiche bei Gleichstand in Punkten (UEFA-Modus)</v>
      </c>
      <c r="F110" s="230" t="s">
        <v>179</v>
      </c>
      <c r="G110" s="231" t="s">
        <v>180</v>
      </c>
      <c r="H110" s="227"/>
    </row>
    <row r="111" spans="5:8" ht="18" customHeight="1" x14ac:dyDescent="0.2">
      <c r="E111" s="72" t="str">
        <f t="shared" si="0"/>
        <v>Modus für direkte Vergleiche:</v>
      </c>
      <c r="F111" s="232" t="s">
        <v>183</v>
      </c>
      <c r="G111" s="233" t="s">
        <v>182</v>
      </c>
      <c r="H111" s="234"/>
    </row>
    <row r="112" spans="5:8" ht="18" customHeight="1" x14ac:dyDescent="0.2">
      <c r="E112" s="72" t="str">
        <f t="shared" si="0"/>
        <v>Modus 1</v>
      </c>
      <c r="F112" s="232" t="s">
        <v>186</v>
      </c>
      <c r="G112" s="233" t="s">
        <v>184</v>
      </c>
      <c r="H112" s="234"/>
    </row>
    <row r="113" spans="5:8" ht="20.25" customHeight="1" x14ac:dyDescent="0.2">
      <c r="E113" s="72" t="str">
        <f t="shared" si="0"/>
        <v>Modus 2</v>
      </c>
      <c r="F113" s="232" t="s">
        <v>187</v>
      </c>
      <c r="G113" s="233" t="s">
        <v>185</v>
      </c>
      <c r="H113" s="234"/>
    </row>
    <row r="114" spans="5:8" ht="18" customHeight="1" x14ac:dyDescent="0.2">
      <c r="E114" s="72" t="str">
        <f t="shared" si="0"/>
        <v>Abkürzungen der Mannschaftsnamen:</v>
      </c>
      <c r="F114" s="232" t="s">
        <v>267</v>
      </c>
      <c r="G114" s="233" t="s">
        <v>268</v>
      </c>
      <c r="H114" s="234"/>
    </row>
    <row r="115" spans="5:8" ht="17.25" customHeight="1" x14ac:dyDescent="0.2">
      <c r="E115" s="72" t="str">
        <f t="shared" si="0"/>
        <v>Buchstaben</v>
      </c>
      <c r="F115" s="232" t="s">
        <v>189</v>
      </c>
      <c r="G115" s="233" t="s">
        <v>188</v>
      </c>
      <c r="H115" s="234"/>
    </row>
    <row r="116" spans="5:8" ht="18" customHeight="1" x14ac:dyDescent="0.2">
      <c r="E116" s="72" t="str">
        <f t="shared" si="0"/>
        <v>Rang</v>
      </c>
      <c r="F116" s="232" t="s">
        <v>234</v>
      </c>
      <c r="G116" s="233" t="s">
        <v>233</v>
      </c>
      <c r="H116" s="234"/>
    </row>
    <row r="117" spans="5:8" ht="16.5" customHeight="1" x14ac:dyDescent="0.2">
      <c r="E117" s="72" t="str">
        <f t="shared" si="0"/>
        <v>3. Platz</v>
      </c>
      <c r="F117" s="232" t="s">
        <v>242</v>
      </c>
      <c r="G117" s="233" t="s">
        <v>239</v>
      </c>
      <c r="H117" s="234"/>
    </row>
    <row r="118" spans="5:8" ht="17.25" customHeight="1" x14ac:dyDescent="0.2">
      <c r="E118" s="72" t="str">
        <f t="shared" si="0"/>
        <v>Finale</v>
      </c>
      <c r="F118" s="232" t="s">
        <v>241</v>
      </c>
      <c r="G118" s="233" t="s">
        <v>240</v>
      </c>
      <c r="H118" s="234"/>
    </row>
    <row r="119" spans="5:8" ht="30.75" customHeight="1" x14ac:dyDescent="0.2">
      <c r="E119" s="72" t="str">
        <f t="shared" si="0"/>
        <v xml:space="preserve">Wegen zeitlicher Konflikte kann nur auf maximal </v>
      </c>
      <c r="F119" s="230" t="s">
        <v>264</v>
      </c>
      <c r="G119" s="231" t="s">
        <v>265</v>
      </c>
      <c r="H119" s="234"/>
    </row>
    <row r="120" spans="5:8" ht="17.25" customHeight="1" x14ac:dyDescent="0.2">
      <c r="E120" s="72" t="str">
        <f t="shared" si="0"/>
        <v xml:space="preserve"> Spielplätzen gleichzeitig gespielt werden.</v>
      </c>
      <c r="F120" s="230" t="s">
        <v>275</v>
      </c>
      <c r="G120" s="231" t="s">
        <v>266</v>
      </c>
      <c r="H120" s="234"/>
    </row>
    <row r="121" spans="5:8" ht="17.25" customHeight="1" x14ac:dyDescent="0.2">
      <c r="E121" s="72" t="str">
        <f t="shared" si="0"/>
        <v>Turnierende (Endrunde 1):</v>
      </c>
      <c r="F121" s="232" t="s">
        <v>269</v>
      </c>
      <c r="G121" s="233" t="s">
        <v>270</v>
      </c>
      <c r="H121" s="234"/>
    </row>
    <row r="122" spans="5:8" ht="17.25" customHeight="1" x14ac:dyDescent="0.2">
      <c r="E122" s="72" t="str">
        <f t="shared" si="0"/>
        <v>Turnierende (Endrunde 2):</v>
      </c>
      <c r="F122" s="232" t="s">
        <v>271</v>
      </c>
      <c r="G122" s="233" t="s">
        <v>272</v>
      </c>
      <c r="H122" s="234"/>
    </row>
    <row r="123" spans="5:8" ht="17.25" customHeight="1" x14ac:dyDescent="0.2">
      <c r="E123" s="72" t="str">
        <f t="shared" si="0"/>
        <v>Turnierende (Endrunde 3):</v>
      </c>
      <c r="F123" s="232" t="s">
        <v>299</v>
      </c>
      <c r="G123" s="233" t="s">
        <v>300</v>
      </c>
      <c r="H123" s="234"/>
    </row>
    <row r="124" spans="5:8" ht="17.25" customHeight="1" x14ac:dyDescent="0.2">
      <c r="E124" s="72" t="str">
        <f t="shared" si="0"/>
        <v>Turnierende (Endrunde 4):</v>
      </c>
      <c r="F124" s="232" t="s">
        <v>316</v>
      </c>
      <c r="G124" s="233" t="s">
        <v>317</v>
      </c>
      <c r="H124" s="234"/>
    </row>
    <row r="125" spans="5:8" ht="17.25" customHeight="1" x14ac:dyDescent="0.2">
      <c r="E125" s="72" t="str">
        <f t="shared" si="0"/>
        <v>Turnierende (Endrunde 2a):</v>
      </c>
      <c r="F125" s="232" t="s">
        <v>363</v>
      </c>
      <c r="G125" s="233" t="s">
        <v>362</v>
      </c>
      <c r="H125" s="234"/>
    </row>
    <row r="126" spans="5:8" ht="17.25" customHeight="1" x14ac:dyDescent="0.2">
      <c r="E126" s="72" t="str">
        <f t="shared" si="0"/>
        <v xml:space="preserve">ZEITKONFLIKT für Team </v>
      </c>
      <c r="F126" s="232" t="s">
        <v>279</v>
      </c>
      <c r="G126" s="233" t="s">
        <v>280</v>
      </c>
      <c r="H126" s="234"/>
    </row>
    <row r="127" spans="5:8" ht="17.25" customHeight="1" x14ac:dyDescent="0.2">
      <c r="E127" s="72" t="str">
        <f t="shared" si="0"/>
        <v xml:space="preserve">in den Spielen </v>
      </c>
      <c r="F127" s="232" t="s">
        <v>281</v>
      </c>
      <c r="G127" s="233" t="s">
        <v>282</v>
      </c>
      <c r="H127" s="234"/>
    </row>
    <row r="128" spans="5:8" ht="17.25" customHeight="1" x14ac:dyDescent="0.2">
      <c r="E128" s="72" t="str">
        <f t="shared" si="0"/>
        <v xml:space="preserve"> und </v>
      </c>
      <c r="F128" s="232" t="s">
        <v>283</v>
      </c>
      <c r="G128" s="233" t="s">
        <v>284</v>
      </c>
      <c r="H128" s="234"/>
    </row>
    <row r="129" spans="5:9" ht="31.5" customHeight="1" x14ac:dyDescent="0.2">
      <c r="E129" s="72" t="str">
        <f t="shared" si="0"/>
        <v>ZEITKONFLIKT
Zu viele Spielplätze!</v>
      </c>
      <c r="F129" s="232" t="s">
        <v>273</v>
      </c>
      <c r="G129" s="233" t="s">
        <v>274</v>
      </c>
      <c r="H129" s="234"/>
    </row>
    <row r="130" spans="5:9" ht="17.25" customHeight="1" x14ac:dyDescent="0.2">
      <c r="E130" s="72" t="str">
        <f t="shared" si="0"/>
        <v>Anstoßzeiten Endrunde 4</v>
      </c>
      <c r="F130" s="232" t="s">
        <v>350</v>
      </c>
      <c r="G130" s="233" t="s">
        <v>351</v>
      </c>
      <c r="H130" s="234"/>
    </row>
    <row r="131" spans="5:9" ht="28.5" customHeight="1" x14ac:dyDescent="0.2">
      <c r="E131" s="72" t="str">
        <f t="shared" si="0"/>
        <v>Unentschieden bei einzelnen Sätzen in der Vorrunde möglich?</v>
      </c>
      <c r="F131" s="232" t="s">
        <v>456</v>
      </c>
      <c r="G131" s="233" t="s">
        <v>457</v>
      </c>
      <c r="H131" s="234"/>
    </row>
    <row r="132" spans="5:9" ht="27" customHeight="1" x14ac:dyDescent="0.2">
      <c r="E132" s="72" t="str">
        <f t="shared" si="0"/>
        <v>Bei Unentschieden bekommt jedes Team 0,5 Satzpunkte.</v>
      </c>
      <c r="F132" s="232" t="s">
        <v>458</v>
      </c>
      <c r="G132" s="233" t="s">
        <v>459</v>
      </c>
      <c r="H132" s="234"/>
    </row>
    <row r="133" spans="5:9" ht="28.5" customHeight="1" x14ac:dyDescent="0.2">
      <c r="E133" s="72" t="str">
        <f t="shared" si="0"/>
        <v>Unentschieden bei einzelnen Sätzen in der Endrunde möglich?</v>
      </c>
      <c r="F133" s="232" t="s">
        <v>460</v>
      </c>
      <c r="G133" s="233" t="s">
        <v>461</v>
      </c>
      <c r="H133" s="234"/>
    </row>
    <row r="134" spans="5:9" ht="17.25" customHeight="1" x14ac:dyDescent="0.2">
      <c r="E134" s="72">
        <f t="shared" si="0"/>
        <v>0</v>
      </c>
      <c r="F134" s="232"/>
      <c r="G134" s="233"/>
      <c r="H134" s="234"/>
    </row>
    <row r="135" spans="5:9" ht="17.25" customHeight="1" x14ac:dyDescent="0.2">
      <c r="E135" s="72">
        <f t="shared" si="0"/>
        <v>0</v>
      </c>
      <c r="F135" s="232"/>
      <c r="G135" s="233"/>
      <c r="H135" s="234"/>
    </row>
    <row r="136" spans="5:9" ht="18.75" customHeight="1" thickBot="1" x14ac:dyDescent="0.25">
      <c r="E136" s="72">
        <f t="shared" si="0"/>
        <v>0</v>
      </c>
      <c r="F136" s="228"/>
      <c r="G136" s="226"/>
      <c r="H136" s="229"/>
    </row>
    <row r="137" spans="5:9" ht="13.5" thickTop="1" x14ac:dyDescent="0.2"/>
    <row r="138" spans="5:9" x14ac:dyDescent="0.2"/>
    <row r="139" spans="5:9" x14ac:dyDescent="0.2"/>
    <row r="140" spans="5:9" hidden="1" x14ac:dyDescent="0.2"/>
    <row r="141" spans="5:9" hidden="1" x14ac:dyDescent="0.2">
      <c r="I141" s="102"/>
    </row>
  </sheetData>
  <sheetProtection sheet="1" selectLockedCells="1"/>
  <mergeCells count="7">
    <mergeCell ref="F1:H1"/>
    <mergeCell ref="H3:H4"/>
    <mergeCell ref="F2:G2"/>
    <mergeCell ref="D3:D4"/>
    <mergeCell ref="E3:E4"/>
    <mergeCell ref="F3:F4"/>
    <mergeCell ref="G3:G4"/>
  </mergeCells>
  <conditionalFormatting sqref="F3:F4">
    <cfRule type="expression" dxfId="3" priority="7">
      <formula>C3</formula>
    </cfRule>
  </conditionalFormatting>
  <conditionalFormatting sqref="G3:G4">
    <cfRule type="expression" dxfId="2" priority="3">
      <formula>C4</formula>
    </cfRule>
  </conditionalFormatting>
  <conditionalFormatting sqref="D3:D4">
    <cfRule type="expression" dxfId="1" priority="84">
      <formula>#REF!</formula>
    </cfRule>
  </conditionalFormatting>
  <conditionalFormatting sqref="H3:H4">
    <cfRule type="expression" dxfId="0" priority="85">
      <formula>C5</formula>
    </cfRule>
  </conditionalFormatting>
  <dataValidations count="3">
    <dataValidation allowBlank="1" showErrorMessage="1" errorTitle="Language" error="Invalid language" promptTitle="Language" prompt="Please choose a language for the country names" sqref="I3" xr:uid="{D74F54ED-A484-497F-B60B-4572799DBFBF}"/>
    <dataValidation type="whole" allowBlank="1" showInputMessage="1" showErrorMessage="1" sqref="J2" xr:uid="{3B6319A8-0080-4C57-8EFB-9F91E387C351}">
      <formula1>1</formula1>
      <formula2>5</formula2>
    </dataValidation>
    <dataValidation type="list" allowBlank="1" showErrorMessage="1" errorTitle="Language" error="Invalid language" sqref="J1" xr:uid="{D7322420-D554-4832-9E07-C0DBCDC53145}">
      <formula1>$B$3:$B$5</formula1>
    </dataValidation>
  </dataValidations>
  <pageMargins left="0.7" right="0.7" top="0.78740157499999996" bottom="0.78740157499999996" header="0.3" footer="0.3"/>
  <pageSetup paperSize="9"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83EEF-2674-475D-978A-9F01AFF94912}">
  <sheetPr codeName="Tabelle7"/>
  <dimension ref="A1:H46"/>
  <sheetViews>
    <sheetView showGridLines="0" showRowColHeaders="0" workbookViewId="0">
      <selection activeCell="B9" sqref="B9"/>
    </sheetView>
  </sheetViews>
  <sheetFormatPr baseColWidth="10" defaultColWidth="0" defaultRowHeight="12.75" zeroHeight="1" x14ac:dyDescent="0.2"/>
  <cols>
    <col min="1" max="1" width="11.42578125" style="235" customWidth="1"/>
    <col min="2" max="2" width="35.85546875" customWidth="1"/>
    <col min="3" max="3" width="7.28515625" customWidth="1"/>
    <col min="4" max="4" width="10.85546875" customWidth="1"/>
    <col min="5" max="5" width="11.42578125" customWidth="1"/>
    <col min="6" max="7" width="11.42578125" hidden="1" customWidth="1"/>
    <col min="8" max="8" width="12.85546875" hidden="1" customWidth="1"/>
    <col min="9" max="16384" width="11.42578125" hidden="1"/>
  </cols>
  <sheetData>
    <row r="1" spans="1:8" ht="26.25" x14ac:dyDescent="0.4">
      <c r="B1" s="215" t="str">
        <f>Sprache!$E$51</f>
        <v>Einstellungen</v>
      </c>
    </row>
    <row r="2" spans="1:8" x14ac:dyDescent="0.2"/>
    <row r="3" spans="1:8" x14ac:dyDescent="0.2"/>
    <row r="4" spans="1:8" x14ac:dyDescent="0.2">
      <c r="A4" s="237" t="s">
        <v>7</v>
      </c>
      <c r="B4" s="236" t="str">
        <f>Sprache!$E$52</f>
        <v>Anzahl der Punkte für einen Sieg:</v>
      </c>
      <c r="C4" s="216">
        <v>2</v>
      </c>
    </row>
    <row r="5" spans="1:8" x14ac:dyDescent="0.2"/>
    <row r="6" spans="1:8" x14ac:dyDescent="0.2"/>
    <row r="7" spans="1:8" ht="12.75" customHeight="1" x14ac:dyDescent="0.2">
      <c r="A7" s="603" t="s">
        <v>8</v>
      </c>
      <c r="B7" s="604" t="str">
        <f>Sprache!$E$81</f>
        <v>Erstes Kriterium für die Rangliste:</v>
      </c>
      <c r="C7" s="598"/>
      <c r="D7" s="599"/>
    </row>
    <row r="8" spans="1:8" ht="12.75" customHeight="1" x14ac:dyDescent="0.2">
      <c r="A8" s="597"/>
      <c r="B8" s="598"/>
      <c r="C8" s="598"/>
      <c r="D8" s="599"/>
      <c r="F8" s="561"/>
      <c r="G8" s="561"/>
      <c r="H8" s="609" t="s">
        <v>205</v>
      </c>
    </row>
    <row r="9" spans="1:8" ht="21.75" customHeight="1" x14ac:dyDescent="0.2">
      <c r="A9" s="597"/>
      <c r="B9" s="607" t="s">
        <v>412</v>
      </c>
      <c r="C9" s="598"/>
      <c r="D9" s="599"/>
      <c r="F9" s="561"/>
      <c r="G9" s="561" t="b">
        <f>($B$9=Sprache!$E$82)</f>
        <v>1</v>
      </c>
      <c r="H9" s="561">
        <f>IF(G9,8,44)</f>
        <v>8</v>
      </c>
    </row>
    <row r="10" spans="1:8" ht="12.75" customHeight="1" x14ac:dyDescent="0.2">
      <c r="A10" s="597"/>
      <c r="B10" s="599"/>
      <c r="C10" s="599"/>
      <c r="D10" s="599"/>
      <c r="F10" s="561"/>
      <c r="G10" s="561"/>
      <c r="H10" s="561"/>
    </row>
    <row r="11" spans="1:8" ht="12.75" customHeight="1" x14ac:dyDescent="0.2">
      <c r="A11" s="597"/>
      <c r="B11" s="599"/>
      <c r="C11" s="599"/>
      <c r="D11" s="599"/>
      <c r="F11" s="561"/>
      <c r="G11" s="561"/>
      <c r="H11" s="561"/>
    </row>
    <row r="12" spans="1:8" ht="12.75" customHeight="1" x14ac:dyDescent="0.2">
      <c r="A12" s="603" t="s">
        <v>9</v>
      </c>
      <c r="B12" s="605" t="str">
        <f>Sprache!$E$77</f>
        <v>Satzdifferenz als zweites Kriterium?</v>
      </c>
      <c r="C12" s="600"/>
      <c r="D12" s="600"/>
      <c r="F12" s="561"/>
      <c r="G12" s="561"/>
      <c r="H12" s="561"/>
    </row>
    <row r="13" spans="1:8" ht="12.75" customHeight="1" x14ac:dyDescent="0.2">
      <c r="A13" s="597"/>
      <c r="B13" s="599"/>
      <c r="C13" s="599"/>
      <c r="D13" s="599"/>
      <c r="F13" s="561"/>
      <c r="G13" s="561"/>
      <c r="H13" s="561"/>
    </row>
    <row r="14" spans="1:8" ht="21.75" customHeight="1" x14ac:dyDescent="0.2">
      <c r="A14" s="597"/>
      <c r="B14" s="607" t="s">
        <v>406</v>
      </c>
      <c r="C14" s="599"/>
      <c r="D14" s="599"/>
      <c r="F14" s="561"/>
      <c r="G14" s="561" t="b">
        <f>($B$14=Sprache!$E$78)</f>
        <v>0</v>
      </c>
      <c r="H14" s="561"/>
    </row>
    <row r="15" spans="1:8" ht="12.75" customHeight="1" x14ac:dyDescent="0.2">
      <c r="A15" s="597"/>
      <c r="B15" s="600"/>
      <c r="C15" s="600"/>
      <c r="D15" s="600"/>
      <c r="F15" s="561"/>
      <c r="G15" s="561"/>
      <c r="H15" s="561"/>
    </row>
    <row r="16" spans="1:8" ht="12.75" customHeight="1" x14ac:dyDescent="0.2">
      <c r="A16" s="597"/>
      <c r="B16" s="599"/>
      <c r="C16" s="599"/>
      <c r="D16" s="599"/>
      <c r="F16" s="561"/>
      <c r="G16" s="561"/>
      <c r="H16" s="561"/>
    </row>
    <row r="17" spans="1:8" ht="12.75" customHeight="1" x14ac:dyDescent="0.2">
      <c r="A17" s="603" t="s">
        <v>10</v>
      </c>
      <c r="B17" s="606" t="str">
        <f>Sprache!$E$84</f>
        <v>Anzahl der gewonnenen Sätze als drittes Kriterium?</v>
      </c>
      <c r="C17" s="760"/>
      <c r="D17" s="599"/>
      <c r="F17" s="561"/>
      <c r="G17" s="561"/>
      <c r="H17" s="561"/>
    </row>
    <row r="18" spans="1:8" ht="19.5" customHeight="1" x14ac:dyDescent="0.2">
      <c r="B18" s="608" t="str">
        <f>Sprache!$E$85</f>
        <v>Nur sinnvoll, wenn die Anzahl der (Sieg-)Punkte 1. Kriterium ist</v>
      </c>
      <c r="F18" s="561"/>
      <c r="G18" s="561"/>
      <c r="H18" s="561"/>
    </row>
    <row r="19" spans="1:8" ht="21.75" customHeight="1" x14ac:dyDescent="0.2">
      <c r="B19" s="607" t="s">
        <v>406</v>
      </c>
      <c r="F19" s="561"/>
      <c r="G19" s="561" t="b">
        <f>($B$19=Sprache!$E$78)</f>
        <v>0</v>
      </c>
      <c r="H19" s="561"/>
    </row>
    <row r="20" spans="1:8" ht="12.75" customHeight="1" x14ac:dyDescent="0.2">
      <c r="F20" s="561"/>
      <c r="G20" s="561"/>
      <c r="H20" s="561"/>
    </row>
    <row r="21" spans="1:8" ht="12.75" customHeight="1" x14ac:dyDescent="0.2">
      <c r="F21" s="561"/>
      <c r="G21" s="561"/>
      <c r="H21" s="561"/>
    </row>
    <row r="22" spans="1:8" ht="12.75" customHeight="1" x14ac:dyDescent="0.2">
      <c r="A22" s="237" t="s">
        <v>11</v>
      </c>
      <c r="B22" s="236" t="str">
        <f>Sprache!$E$72</f>
        <v>Balldifferenz oder Ballquotient:</v>
      </c>
      <c r="F22" s="561"/>
      <c r="G22" s="561"/>
      <c r="H22" s="561"/>
    </row>
    <row r="23" spans="1:8" ht="12.75" customHeight="1" x14ac:dyDescent="0.2">
      <c r="F23" s="609" t="s">
        <v>424</v>
      </c>
      <c r="G23" s="609" t="s">
        <v>425</v>
      </c>
      <c r="H23" s="609" t="s">
        <v>426</v>
      </c>
    </row>
    <row r="24" spans="1:8" ht="21.75" customHeight="1" x14ac:dyDescent="0.2">
      <c r="B24" s="607" t="s">
        <v>394</v>
      </c>
      <c r="F24" s="561">
        <v>499</v>
      </c>
      <c r="G24" s="561" t="b">
        <f>($B$24=Sprache!$E$73)</f>
        <v>1</v>
      </c>
      <c r="H24" s="561">
        <v>3</v>
      </c>
    </row>
    <row r="25" spans="1:8" ht="12.75" customHeight="1" x14ac:dyDescent="0.2">
      <c r="F25" s="561"/>
      <c r="G25" s="561"/>
      <c r="H25" s="561"/>
    </row>
    <row r="26" spans="1:8" ht="12.75" customHeight="1" x14ac:dyDescent="0.2">
      <c r="F26" s="561"/>
      <c r="G26" s="561"/>
      <c r="H26" s="561"/>
    </row>
    <row r="27" spans="1:8" ht="12.75" customHeight="1" x14ac:dyDescent="0.2">
      <c r="A27" s="237" t="s">
        <v>12</v>
      </c>
      <c r="B27" s="236" t="str">
        <f>Sprache!$E$88</f>
        <v>Anzeige in den Kreuztabellen der Vorrunde:</v>
      </c>
      <c r="F27" s="561"/>
      <c r="G27" s="561"/>
      <c r="H27" s="561"/>
    </row>
    <row r="28" spans="1:8" ht="12.75" customHeight="1" x14ac:dyDescent="0.2">
      <c r="F28" s="561"/>
      <c r="G28" s="609" t="s">
        <v>427</v>
      </c>
      <c r="H28" s="561"/>
    </row>
    <row r="29" spans="1:8" ht="21.75" customHeight="1" x14ac:dyDescent="0.2">
      <c r="B29" s="607" t="s">
        <v>398</v>
      </c>
      <c r="F29" s="561"/>
      <c r="G29" s="561">
        <f>IF($B$29=Sprache!$E$75,3,4)</f>
        <v>3</v>
      </c>
      <c r="H29" s="561"/>
    </row>
    <row r="30" spans="1:8" ht="12.75" customHeight="1" x14ac:dyDescent="0.2"/>
    <row r="31" spans="1:8" ht="12.75" customHeight="1" x14ac:dyDescent="0.2"/>
    <row r="32" spans="1:8" ht="12.75" customHeight="1" x14ac:dyDescent="0.2"/>
    <row r="33" spans="1:4" ht="12.75" customHeight="1" x14ac:dyDescent="0.2">
      <c r="A33" s="237" t="s">
        <v>17</v>
      </c>
      <c r="B33" s="236" t="str">
        <f>Sprache!$E$114</f>
        <v>Abkürzungen der Mannschaftsnamen:</v>
      </c>
      <c r="C33" s="761">
        <v>7</v>
      </c>
      <c r="D33" t="str">
        <f>Sprache!$E$94</f>
        <v>Buchstaben</v>
      </c>
    </row>
    <row r="34" spans="1:4" x14ac:dyDescent="0.2"/>
    <row r="35" spans="1:4" x14ac:dyDescent="0.2"/>
    <row r="36" spans="1:4" x14ac:dyDescent="0.2">
      <c r="A36" s="603" t="s">
        <v>18</v>
      </c>
      <c r="B36" s="606" t="str">
        <f>Sprache!$E$131</f>
        <v>Unentschieden bei einzelnen Sätzen in der Vorrunde möglich?</v>
      </c>
    </row>
    <row r="37" spans="1:4" ht="19.5" customHeight="1" x14ac:dyDescent="0.2">
      <c r="B37" s="608" t="str">
        <f>Sprache!$E$132</f>
        <v>Bei Unentschieden bekommt jedes Team 0,5 Satzpunkte.</v>
      </c>
    </row>
    <row r="38" spans="1:4" ht="21.75" customHeight="1" x14ac:dyDescent="0.2">
      <c r="B38" s="607" t="s">
        <v>406</v>
      </c>
    </row>
    <row r="39" spans="1:4" x14ac:dyDescent="0.2"/>
    <row r="40" spans="1:4" x14ac:dyDescent="0.2"/>
    <row r="41" spans="1:4" x14ac:dyDescent="0.2">
      <c r="A41" s="603" t="s">
        <v>19</v>
      </c>
      <c r="B41" s="606" t="str">
        <f>Sprache!$E$133</f>
        <v>Unentschieden bei einzelnen Sätzen in der Endrunde möglich?</v>
      </c>
    </row>
    <row r="42" spans="1:4" ht="19.5" customHeight="1" x14ac:dyDescent="0.2">
      <c r="B42" s="608" t="str">
        <f>Sprache!$E$132</f>
        <v>Bei Unentschieden bekommt jedes Team 0,5 Satzpunkte.</v>
      </c>
    </row>
    <row r="43" spans="1:4" ht="21.75" customHeight="1" x14ac:dyDescent="0.2">
      <c r="B43" s="607" t="s">
        <v>406</v>
      </c>
    </row>
    <row r="44" spans="1:4" x14ac:dyDescent="0.2"/>
    <row r="45" spans="1:4" x14ac:dyDescent="0.2"/>
    <row r="46" spans="1:4" x14ac:dyDescent="0.2"/>
  </sheetData>
  <sheetProtection sheet="1" selectLockedCells="1"/>
  <pageMargins left="0.7" right="0.7" top="0.78740157499999996" bottom="0.78740157499999996" header="0.3" footer="0.3"/>
  <pageSetup paperSize="9" orientation="portrait" horizontalDpi="0" verticalDpi="0" r:id="rId1"/>
  <extLst>
    <ext xmlns:x14="http://schemas.microsoft.com/office/spreadsheetml/2009/9/main" uri="{CCE6A557-97BC-4b89-ADB6-D9C93CAAB3DF}">
      <x14:dataValidations xmlns:xm="http://schemas.microsoft.com/office/excel/2006/main" count="4">
        <x14:dataValidation type="list" allowBlank="1" showInputMessage="1" showErrorMessage="1" xr:uid="{400244CF-378A-41D6-977C-30F67A3A961B}">
          <x14:formula1>
            <xm:f>Sprache!$E$82:$E$83</xm:f>
          </x14:formula1>
          <xm:sqref>B9</xm:sqref>
        </x14:dataValidation>
        <x14:dataValidation type="list" allowBlank="1" showInputMessage="1" showErrorMessage="1" xr:uid="{56DE0E37-EABF-4E32-B3F9-A245B54FE96B}">
          <x14:formula1>
            <xm:f>Sprache!$E$78:$E$79</xm:f>
          </x14:formula1>
          <xm:sqref>B14 B19 B38 B43</xm:sqref>
        </x14:dataValidation>
        <x14:dataValidation type="list" allowBlank="1" showInputMessage="1" showErrorMessage="1" xr:uid="{C5258168-E27E-4690-B37C-87BBAAD4CAEF}">
          <x14:formula1>
            <xm:f>Sprache!$E$73:$E$74</xm:f>
          </x14:formula1>
          <xm:sqref>B24</xm:sqref>
        </x14:dataValidation>
        <x14:dataValidation type="list" allowBlank="1" showInputMessage="1" showErrorMessage="1" xr:uid="{6E18680A-DD60-4513-BBF0-352C65F4CFBC}">
          <x14:formula1>
            <xm:f>Sprache!$E$75:$E$76</xm:f>
          </x14:formula1>
          <xm:sqref>B29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B2E1E-00FB-41EE-8D2A-7F75EE45B3BC}">
  <dimension ref="A1:W105"/>
  <sheetViews>
    <sheetView showGridLines="0" showRowColHeaders="0" workbookViewId="0"/>
  </sheetViews>
  <sheetFormatPr baseColWidth="10" defaultColWidth="0" defaultRowHeight="12.75" zeroHeight="1" x14ac:dyDescent="0.2"/>
  <cols>
    <col min="1" max="23" width="11.42578125" style="696" customWidth="1"/>
    <col min="24" max="16384" width="11.42578125" style="696" hidden="1"/>
  </cols>
  <sheetData>
    <row r="1" spans="1:1" x14ac:dyDescent="0.2">
      <c r="A1" s="695"/>
    </row>
    <row r="2" spans="1:1" x14ac:dyDescent="0.2"/>
    <row r="3" spans="1:1" x14ac:dyDescent="0.2"/>
    <row r="4" spans="1:1" x14ac:dyDescent="0.2"/>
    <row r="5" spans="1:1" x14ac:dyDescent="0.2"/>
    <row r="6" spans="1:1" x14ac:dyDescent="0.2"/>
    <row r="7" spans="1:1" x14ac:dyDescent="0.2"/>
    <row r="8" spans="1:1" x14ac:dyDescent="0.2"/>
    <row r="9" spans="1:1" x14ac:dyDescent="0.2"/>
    <row r="10" spans="1:1" x14ac:dyDescent="0.2"/>
    <row r="11" spans="1:1" x14ac:dyDescent="0.2"/>
    <row r="12" spans="1:1" x14ac:dyDescent="0.2"/>
    <row r="13" spans="1:1" x14ac:dyDescent="0.2"/>
    <row r="14" spans="1:1" x14ac:dyDescent="0.2"/>
    <row r="15" spans="1:1" x14ac:dyDescent="0.2"/>
    <row r="16" spans="1:1"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spans="4:20" x14ac:dyDescent="0.2"/>
    <row r="98" spans="4:20" x14ac:dyDescent="0.2"/>
    <row r="99" spans="4:20" x14ac:dyDescent="0.2"/>
    <row r="100" spans="4:20" x14ac:dyDescent="0.2">
      <c r="D100" s="967"/>
      <c r="E100" s="968"/>
      <c r="F100" s="968"/>
      <c r="G100" s="968"/>
      <c r="H100" s="968"/>
      <c r="I100" s="969"/>
      <c r="O100" s="967"/>
      <c r="P100" s="968"/>
      <c r="Q100" s="968"/>
      <c r="R100" s="968"/>
      <c r="S100" s="968"/>
      <c r="T100" s="969"/>
    </row>
    <row r="101" spans="4:20" x14ac:dyDescent="0.2">
      <c r="D101" s="970" t="s">
        <v>134</v>
      </c>
      <c r="E101" s="971"/>
      <c r="F101" s="971"/>
      <c r="G101" s="971"/>
      <c r="H101" s="971"/>
      <c r="I101" s="972"/>
      <c r="O101" s="970" t="s">
        <v>57</v>
      </c>
      <c r="P101" s="971"/>
      <c r="Q101" s="971"/>
      <c r="R101" s="971"/>
      <c r="S101" s="971"/>
      <c r="T101" s="972"/>
    </row>
    <row r="102" spans="4:20" x14ac:dyDescent="0.2">
      <c r="D102" s="973" t="s">
        <v>56</v>
      </c>
      <c r="E102" s="974"/>
      <c r="F102" s="974"/>
      <c r="G102" s="974"/>
      <c r="H102" s="974"/>
      <c r="I102" s="975"/>
      <c r="O102" s="973" t="s">
        <v>56</v>
      </c>
      <c r="P102" s="974"/>
      <c r="Q102" s="974"/>
      <c r="R102" s="974"/>
      <c r="S102" s="974"/>
      <c r="T102" s="975"/>
    </row>
    <row r="103" spans="4:20" x14ac:dyDescent="0.2">
      <c r="D103" s="964"/>
      <c r="E103" s="965"/>
      <c r="F103" s="965"/>
      <c r="G103" s="965"/>
      <c r="H103" s="965"/>
      <c r="I103" s="966"/>
      <c r="O103" s="964"/>
      <c r="P103" s="965"/>
      <c r="Q103" s="965"/>
      <c r="R103" s="965"/>
      <c r="S103" s="965"/>
      <c r="T103" s="966"/>
    </row>
    <row r="104" spans="4:20" x14ac:dyDescent="0.2"/>
    <row r="105" spans="4:20" x14ac:dyDescent="0.2"/>
  </sheetData>
  <sheetProtection sheet="1" selectLockedCells="1"/>
  <mergeCells count="8">
    <mergeCell ref="D103:I103"/>
    <mergeCell ref="O103:T103"/>
    <mergeCell ref="D100:I100"/>
    <mergeCell ref="O100:T100"/>
    <mergeCell ref="D101:I101"/>
    <mergeCell ref="O101:T101"/>
    <mergeCell ref="D102:I102"/>
    <mergeCell ref="O102:T102"/>
  </mergeCells>
  <hyperlinks>
    <hyperlink ref="O102" r:id="rId1" xr:uid="{A1D220F2-9D70-4851-ABFB-AD1F3D71F2E6}"/>
    <hyperlink ref="D102" r:id="rId2" xr:uid="{9F368499-C232-4954-B1C0-FBD64E37902A}"/>
  </hyperlinks>
  <pageMargins left="0.7" right="0.7" top="0.78740157499999996" bottom="0.78740157499999996" header="0.3" footer="0.3"/>
  <pageSetup paperSize="9" orientation="portrait" horizontalDpi="4294967293" verticalDpi="0" r:id="rId3"/>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1"/>
  <dimension ref="A1:CB208"/>
  <sheetViews>
    <sheetView zoomScaleNormal="100" workbookViewId="0">
      <selection activeCell="Y16" sqref="Y16"/>
    </sheetView>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8.85546875" style="10" customWidth="1"/>
    <col min="8" max="8" width="7.42578125" style="10" customWidth="1"/>
    <col min="9" max="9" width="9.28515625" style="10" customWidth="1"/>
    <col min="10" max="10" width="8.28515625" style="10" customWidth="1"/>
    <col min="11" max="11" width="11.1406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10.8554687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2.140625"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46" width="9.140625" style="10" customWidth="1"/>
    <col min="47" max="47" width="8.140625" style="10" customWidth="1"/>
    <col min="48" max="48" width="8.85546875" style="10" customWidth="1"/>
    <col min="49" max="49" width="9.28515625" style="10" customWidth="1"/>
    <col min="50" max="50" width="7.140625" style="10" customWidth="1"/>
    <col min="51" max="69" width="4.7109375" style="10" customWidth="1"/>
    <col min="70" max="80" width="6.7109375" style="10" customWidth="1"/>
    <col min="81" max="16384" width="2.7109375" style="10"/>
  </cols>
  <sheetData>
    <row r="1" spans="1:50" s="2" customFormat="1" x14ac:dyDescent="0.2">
      <c r="Z1" s="1"/>
    </row>
    <row r="2" spans="1:50" s="2" customFormat="1" x14ac:dyDescent="0.2">
      <c r="B2" s="3"/>
      <c r="C2" s="3"/>
      <c r="D2" s="3"/>
      <c r="E2" s="3"/>
      <c r="F2" s="1"/>
      <c r="G2" s="1"/>
      <c r="H2" s="1"/>
      <c r="I2" s="1"/>
      <c r="J2" s="1"/>
      <c r="K2" s="1"/>
      <c r="L2" s="1"/>
      <c r="M2" s="1"/>
      <c r="N2" s="3"/>
      <c r="O2" s="1"/>
      <c r="P2" s="1"/>
      <c r="Q2" s="1"/>
      <c r="W2" s="2" t="s">
        <v>148</v>
      </c>
      <c r="AV2" s="2" t="s">
        <v>385</v>
      </c>
    </row>
    <row r="3" spans="1:50" s="2" customFormat="1" ht="13.5" customHeight="1" thickBot="1" x14ac:dyDescent="0.25">
      <c r="B3" s="1"/>
      <c r="C3" s="3"/>
      <c r="D3" s="3"/>
      <c r="E3" s="3"/>
      <c r="F3" s="3"/>
      <c r="G3" s="68" t="s">
        <v>107</v>
      </c>
      <c r="H3" s="68" t="s">
        <v>108</v>
      </c>
      <c r="I3" s="27" t="s">
        <v>381</v>
      </c>
      <c r="J3" s="27" t="s">
        <v>110</v>
      </c>
      <c r="K3" s="27" t="s">
        <v>103</v>
      </c>
      <c r="L3" s="28" t="s">
        <v>104</v>
      </c>
      <c r="M3" s="28" t="s">
        <v>105</v>
      </c>
      <c r="N3" s="28" t="s">
        <v>106</v>
      </c>
      <c r="O3" s="107">
        <f t="shared" ref="O3:V3" ca="1" si="0">IF(9-COUNTIF(O$17:O$25,"")&gt;1,O$16,99999)</f>
        <v>99999</v>
      </c>
      <c r="P3" s="108">
        <f t="shared" ca="1" si="0"/>
        <v>99999</v>
      </c>
      <c r="Q3" s="108">
        <f t="shared" ca="1" si="0"/>
        <v>99999</v>
      </c>
      <c r="R3" s="108">
        <f t="shared" ca="1" si="0"/>
        <v>99999</v>
      </c>
      <c r="S3" s="108">
        <f t="shared" ca="1" si="0"/>
        <v>99999</v>
      </c>
      <c r="T3" s="108">
        <f t="shared" ca="1" si="0"/>
        <v>99999</v>
      </c>
      <c r="U3" s="108">
        <f t="shared" ca="1" si="0"/>
        <v>99999</v>
      </c>
      <c r="V3" s="108">
        <f t="shared" ca="1" si="0"/>
        <v>99999</v>
      </c>
      <c r="W3" s="976">
        <f ca="1">IF($O$4&lt;10,$O$4,0)</f>
        <v>0</v>
      </c>
      <c r="X3" s="977"/>
      <c r="Y3" s="977"/>
      <c r="Z3" s="977"/>
      <c r="AA3" s="977"/>
      <c r="AB3" s="976">
        <f ca="1">IF($P$4&lt;10,$P$4,0)</f>
        <v>0</v>
      </c>
      <c r="AC3" s="977"/>
      <c r="AD3" s="977"/>
      <c r="AE3" s="977"/>
      <c r="AF3" s="977"/>
      <c r="AG3" s="976">
        <f ca="1">IF($Q$4&lt;10,$Q$4,0)</f>
        <v>0</v>
      </c>
      <c r="AH3" s="977"/>
      <c r="AI3" s="977"/>
      <c r="AJ3" s="977"/>
      <c r="AK3" s="977"/>
      <c r="AL3" s="976">
        <f ca="1">IF($R$4&lt;10,$R$4,0)</f>
        <v>0</v>
      </c>
      <c r="AM3" s="977"/>
      <c r="AN3" s="977"/>
      <c r="AO3" s="977"/>
      <c r="AP3" s="977"/>
      <c r="AS3" s="5" t="s">
        <v>386</v>
      </c>
      <c r="AT3" s="5" t="s">
        <v>387</v>
      </c>
      <c r="AU3" s="5" t="s">
        <v>388</v>
      </c>
      <c r="AV3" s="5" t="s">
        <v>389</v>
      </c>
      <c r="AW3" s="5"/>
      <c r="AX3" s="5" t="s">
        <v>390</v>
      </c>
    </row>
    <row r="4" spans="1:50" s="2" customFormat="1" ht="12.75" thickTop="1" x14ac:dyDescent="0.2">
      <c r="A4" s="214"/>
      <c r="B4" s="1">
        <v>1</v>
      </c>
      <c r="C4" s="21">
        <f ca="1">RANK(D4,$D$4:$D$12,1)</f>
        <v>4</v>
      </c>
      <c r="D4" s="3">
        <f ca="1">E4+ROW()/1000+(F4="")*10</f>
        <v>4.0039999999999996</v>
      </c>
      <c r="E4" s="219">
        <f ca="1">IF($AI$15,RANK(AH17,AH$17:AH$25,1),RANK(X17,X$17:X$25,1))</f>
        <v>4</v>
      </c>
      <c r="F4" s="1" t="str">
        <f>$Q64</f>
        <v>1. FC Riedwald</v>
      </c>
      <c r="G4" s="1">
        <f ca="1">SUMIFS($AH$64:$AH$135,$V$64:$V$135,$F4)+SUMIFS($AI$64:$AI$135,$W$64:$W$135,$F4)</f>
        <v>177</v>
      </c>
      <c r="H4" s="1">
        <f ca="1">SUMIFS($AI$64:$AI$135,$V$64:$V$135,$F4)+SUMIFS($AH$64:$AH$135,$W$64:$W$135,$F4)</f>
        <v>176</v>
      </c>
      <c r="I4" s="3">
        <f ca="1">IF(Einstellungen!$G$24,G4-H4,IF(H4=0,IF(G4=0,0,Einstellungen!$F$24),G4/H4))</f>
        <v>1</v>
      </c>
      <c r="J4" s="1">
        <f ca="1">$L4*Einstellungen!$C$4+$M4</f>
        <v>4</v>
      </c>
      <c r="K4" s="1">
        <f ca="1">SUMPRODUCT(($V$64:$V$135=F4)*($AJ$64:$AJ$135&lt;&gt;"")*$AA$64:$AA$135)+SUMPRODUCT(($W$64:$W$135=F4)*($AK$64:$AK$135&lt;&gt;"")*$AA$64:$AA$135)</f>
        <v>4</v>
      </c>
      <c r="L4" s="1">
        <f ca="1">SUMPRODUCT(($V$64:$V$135=F4)*($AJ$64:$AJ$135&gt;$AK$64:$AK$135)*$AA$64:$AA$135)+SUMPRODUCT(($W$64:$W$135=F4)*($AJ$64:$AJ$135&lt;$AK$64:$AK$135)*$AA$64:$AA$135)</f>
        <v>1</v>
      </c>
      <c r="M4" s="1">
        <f ca="1">SUMPRODUCT(($V$64:$W$135=F4)*($AJ$64:$AJ$135=$AK$64:$AK$135)*$AA$64:$AA$135)</f>
        <v>2</v>
      </c>
      <c r="N4" s="1">
        <f ca="1">K4-L4-M4</f>
        <v>1</v>
      </c>
      <c r="O4" s="116">
        <f ca="1">SMALL($O$3:$V$3,1)</f>
        <v>99999</v>
      </c>
      <c r="P4" s="116">
        <f ca="1">SMALL($O$3:$V$3,2)</f>
        <v>99999</v>
      </c>
      <c r="Q4" s="116">
        <f ca="1">SMALL($O$3:$V$3,3)</f>
        <v>99999</v>
      </c>
      <c r="R4" s="116">
        <f ca="1">SMALL($O$3:$V$3,4)</f>
        <v>99999</v>
      </c>
      <c r="V4" s="1"/>
      <c r="W4" s="456" t="str">
        <f ca="1">IFERROR(INDEX($O$17:$V$25,ROW(A1),$W$3),"")</f>
        <v/>
      </c>
      <c r="X4" s="457" t="str">
        <f ca="1">INDEX($W$4:$W$12,MATCH(ROW(A1),$AA$4:$AA$12,0))</f>
        <v/>
      </c>
      <c r="Y4" s="458">
        <f ca="1">IF($W4="",99999,VLOOKUP($W4,$C$17:$Z$25,24,0))</f>
        <v>99999</v>
      </c>
      <c r="Z4" s="458">
        <f ca="1">RANK(Y4,Y$4:Y$12,1)+IFERROR(INDEX($E$4:$E$12,MATCH(W4,$F$4:$F$12,0)),0)/100+ROW()/10000</f>
        <v>1.0604</v>
      </c>
      <c r="AA4" s="460">
        <f ca="1">RANK($Z4,$Z$4:$Z$12,1)</f>
        <v>1</v>
      </c>
      <c r="AB4" s="456" t="str">
        <f t="shared" ref="AB4:AB12" ca="1" si="1">IFERROR(INDEX($O$17:$V$25,ROW(A1),$AB$3),"")</f>
        <v/>
      </c>
      <c r="AC4" s="457" t="str">
        <f ca="1">INDEX($AB$4:$AB$12,MATCH(ROW(A1),$AF$4:$AF$12,0))</f>
        <v/>
      </c>
      <c r="AD4" s="479">
        <f ca="1">IF($AB4="",99999,VLOOKUP($AB4,$C$17:$Z$25,24,0))</f>
        <v>99999</v>
      </c>
      <c r="AE4" s="458">
        <f ca="1">RANK(AD4,AD$4:AD$12,1)+IFERROR(INDEX($E$4:$E$12,MATCH(AB4,$F$4:$F$12,0)),0)/100+ROW()/10000</f>
        <v>1.0604</v>
      </c>
      <c r="AF4" s="458">
        <f ca="1">RANK($AE4,$AE$4:$AE$12,1)</f>
        <v>1</v>
      </c>
      <c r="AG4" s="456" t="str">
        <f t="shared" ref="AG4:AG12" ca="1" si="2">IFERROR(INDEX($O$17:$V$25,ROW(C1),$AG$3),"")</f>
        <v/>
      </c>
      <c r="AH4" s="457" t="str">
        <f ca="1">INDEX($AG$4:$AG$12,MATCH(ROW(A1),$AK$4:$AK$12,0))</f>
        <v/>
      </c>
      <c r="AI4" s="479">
        <f ca="1">IF($AG4="",99999,VLOOKUP($AG4,$C$17:$Z$25,24,0))</f>
        <v>99999</v>
      </c>
      <c r="AJ4" s="458">
        <f ca="1">RANK(AI4,AI$4:AI$12,1)+IFERROR(INDEX($E$4:$E$12,MATCH(AG4,$F$4:$F$12,0)),0)/100+ROW()/10000</f>
        <v>1.0604</v>
      </c>
      <c r="AK4" s="460">
        <f ca="1">RANK($AJ4,$AJ$4:$AJ$12,1)</f>
        <v>1</v>
      </c>
      <c r="AL4" s="457" t="str">
        <f t="shared" ref="AL4:AL12" ca="1" si="3">IFERROR(INDEX($O$17:$V$25,ROW(E1),$AL$3),"")</f>
        <v/>
      </c>
      <c r="AM4" s="457" t="str">
        <f ca="1">INDEX($AL$4:$AL$12,MATCH(ROW(A1),$AP$4:$AP$12,0))</f>
        <v/>
      </c>
      <c r="AN4" s="479">
        <f ca="1">IF($AL4="",99999,VLOOKUP($AL4,$C$17:$Z$25,24,0))</f>
        <v>99999</v>
      </c>
      <c r="AO4" s="458">
        <f ca="1">RANK(AN4,AN$4:AN$12,1)+IFERROR(INDEX($E$4:$E$12,MATCH(AL4,$F$4:$F$12,0)),0)/100+ROW()/10000</f>
        <v>1.0604</v>
      </c>
      <c r="AP4" s="460">
        <f ca="1">RANK($AO4,$AO$4:$AO$12,1)</f>
        <v>1</v>
      </c>
      <c r="AS4" s="1">
        <f ca="1">SUMPRODUCT(($V$64:$V$135=F4)*$AK$64:$AK$135)+SUMPRODUCT(($W$64:$W$135=F4)*$AJ$64:$AJ$135)</f>
        <v>4</v>
      </c>
      <c r="AT4" s="1">
        <f ca="1">SUMPRODUCT(($V$64:$V$135=F4)*$AJ$64:$AJ$135)+SUMPRODUCT(($W$64:$W$135=F4)*$AK$64:$AK$135)</f>
        <v>4</v>
      </c>
      <c r="AU4" s="1">
        <f ca="1">AT4-AS4</f>
        <v>0</v>
      </c>
      <c r="AV4" s="1">
        <f ca="1">IF(Einstellungen!$G$24,$I4,ROUND($I4,Einstellungen!$H$24))</f>
        <v>1</v>
      </c>
      <c r="AW4" s="1">
        <f ca="1">I4-(F4="")*10000</f>
        <v>1</v>
      </c>
      <c r="AX4" s="1">
        <f ca="1" xml:space="preserve"> RANK(AW4,$AW$4:$AW$12,1)</f>
        <v>7</v>
      </c>
    </row>
    <row r="5" spans="1:50" s="2" customFormat="1" x14ac:dyDescent="0.2">
      <c r="A5" s="214"/>
      <c r="B5" s="1">
        <v>2</v>
      </c>
      <c r="C5" s="22">
        <f t="shared" ref="C5:C12" ca="1" si="4">RANK(D5,$D$4:$D$12,1)</f>
        <v>5</v>
      </c>
      <c r="D5" s="13">
        <f t="shared" ref="D5:D12" ca="1" si="5">E5+ROW()/1000+(F5="")*10</f>
        <v>5.0049999999999999</v>
      </c>
      <c r="E5" s="219">
        <f t="shared" ref="E5:E12" ca="1" si="6">IF($AI$15,RANK(AH18,AH$17:AH$25,1),RANK(X18,X$17:X$25,1))</f>
        <v>5</v>
      </c>
      <c r="F5" s="1" t="str">
        <f t="shared" ref="F5:F12" si="7">$Q65</f>
        <v>FC Barcelona</v>
      </c>
      <c r="G5" s="1">
        <f t="shared" ref="G5:G12" ca="1" si="8">SUMIFS($AH$64:$AH$135,$V$64:$V$135,$F5)+SUMIFS($AI$64:$AI$135,$W$64:$W$135,$F5)</f>
        <v>179</v>
      </c>
      <c r="H5" s="1">
        <f t="shared" ref="H5:H12" ca="1" si="9">SUMIFS($AI$64:$AI$135,$V$64:$V$135,$F5)+SUMIFS($AH$64:$AH$135,$W$64:$W$135,$F5)</f>
        <v>211</v>
      </c>
      <c r="I5" s="3">
        <f ca="1">IF(Einstellungen!$G$24,G5-H5,IF(H5=0,IF(G5=0,0,Einstellungen!$F$24),G5/H5))</f>
        <v>-32</v>
      </c>
      <c r="J5" s="1">
        <f ca="1">$L5*Einstellungen!$C$4+$M5</f>
        <v>1</v>
      </c>
      <c r="K5" s="1">
        <f t="shared" ref="K5:K12" ca="1" si="10">SUMPRODUCT(($V$64:$V$135=F5)*($AJ$64:$AJ$135&lt;&gt;"")*$AA$64:$AA$135)+SUMPRODUCT(($W$64:$W$135=F5)*($AK$64:$AK$135&lt;&gt;"")*$AA$64:$AA$135)</f>
        <v>4</v>
      </c>
      <c r="L5" s="1">
        <f t="shared" ref="L5:L12" ca="1" si="11">SUMPRODUCT(($V$64:$V$135=F5)*($AJ$64:$AJ$135&gt;$AK$64:$AK$135)*$AA$64:$AA$135)+SUMPRODUCT(($W$64:$W$135=F5)*($AJ$64:$AJ$135&lt;$AK$64:$AK$135)*$AA$64:$AA$135)</f>
        <v>0</v>
      </c>
      <c r="M5" s="1">
        <f t="shared" ref="M5:M12" ca="1" si="12">SUMPRODUCT(($V$64:$W$135=F5)*($AJ$64:$AJ$135=$AK$64:$AK$135)*$AA$64:$AA$135)</f>
        <v>1</v>
      </c>
      <c r="N5" s="1">
        <f t="shared" ref="N5:N12" ca="1" si="13">K5-L5-M5</f>
        <v>3</v>
      </c>
      <c r="O5" s="24"/>
      <c r="P5" s="25"/>
      <c r="V5" s="1"/>
      <c r="W5" s="461" t="str">
        <f t="shared" ref="W5:W12" ca="1" si="14">IFERROR(INDEX($O$17:$V$25,ROW(A2),$W$3),"")</f>
        <v/>
      </c>
      <c r="X5" s="462" t="str">
        <f t="shared" ref="X5:X12" ca="1" si="15">INDEX($W$4:$W$12,MATCH(ROW(A2),$AA$4:$AA$12,0))</f>
        <v/>
      </c>
      <c r="Y5" s="459">
        <f t="shared" ref="Y5:Y12" ca="1" si="16">IF($W5="",99999,VLOOKUP($W5,$C$17:$Z$25,24,0))</f>
        <v>99999</v>
      </c>
      <c r="Z5" s="459">
        <f t="shared" ref="Z5:Z12" ca="1" si="17">RANK(Y5,Y$4:Y$12,1)+IFERROR(INDEX($E$4:$E$12,MATCH(W5,$F$4:$F$12,0)),0)/100+ROW()/10000</f>
        <v>1.0605</v>
      </c>
      <c r="AA5" s="464">
        <f t="shared" ref="AA5:AA12" ca="1" si="18">RANK($Z5,$Z$4:$Z$12,1)</f>
        <v>2</v>
      </c>
      <c r="AB5" s="461" t="str">
        <f t="shared" ca="1" si="1"/>
        <v/>
      </c>
      <c r="AC5" s="462" t="str">
        <f t="shared" ref="AC5:AC12" ca="1" si="19">INDEX($AB$4:$AB$12,MATCH(ROW(A2),$AF$4:$AF$12,0))</f>
        <v/>
      </c>
      <c r="AD5" s="463">
        <f t="shared" ref="AD5:AD12" ca="1" si="20">IF($AB5="",99999,VLOOKUP($AB5,$C$17:$Z$25,24,0))</f>
        <v>99999</v>
      </c>
      <c r="AE5" s="459">
        <f t="shared" ref="AE5:AE12" ca="1" si="21">RANK(AD5,AD$4:AD$12,1)+IFERROR(INDEX($E$4:$E$12,MATCH(AB5,$F$4:$F$12,0)),0)/100+ROW()/10000</f>
        <v>1.0605</v>
      </c>
      <c r="AF5" s="459">
        <f t="shared" ref="AF5:AF12" ca="1" si="22">RANK($AE5,$AE$4:$AE$12,1)</f>
        <v>2</v>
      </c>
      <c r="AG5" s="461" t="str">
        <f t="shared" ca="1" si="2"/>
        <v/>
      </c>
      <c r="AH5" s="462" t="str">
        <f t="shared" ref="AH5:AH12" ca="1" si="23">INDEX($AG$4:$AG$12,MATCH(ROW(A2),$AK$4:$AK$12,0))</f>
        <v/>
      </c>
      <c r="AI5" s="463">
        <f t="shared" ref="AI5:AI12" ca="1" si="24">IF($AG5="",99999,VLOOKUP($AG5,$C$17:$Z$25,24,0))</f>
        <v>99999</v>
      </c>
      <c r="AJ5" s="459">
        <f t="shared" ref="AJ5:AJ12" ca="1" si="25">RANK(AI5,AI$4:AI$12,1)+IFERROR(INDEX($E$4:$E$12,MATCH(AG5,$F$4:$F$12,0)),0)/100+ROW()/10000</f>
        <v>1.0605</v>
      </c>
      <c r="AK5" s="464">
        <f t="shared" ref="AK5:AK12" ca="1" si="26">RANK($AJ5,$AJ$4:$AJ$12,1)</f>
        <v>2</v>
      </c>
      <c r="AL5" s="462" t="str">
        <f t="shared" ca="1" si="3"/>
        <v/>
      </c>
      <c r="AM5" s="462" t="str">
        <f t="shared" ref="AM5:AM12" ca="1" si="27">INDEX($AL$4:$AL$12,MATCH(ROW(A2),$AP$4:$AP$12,0))</f>
        <v/>
      </c>
      <c r="AN5" s="463">
        <f t="shared" ref="AN5:AN12" ca="1" si="28">IF($AL5="",99999,VLOOKUP($AL5,$C$17:$Z$25,24,0))</f>
        <v>99999</v>
      </c>
      <c r="AO5" s="459">
        <f t="shared" ref="AO5:AO12" ca="1" si="29">RANK(AN5,AN$4:AN$12,1)+IFERROR(INDEX($E$4:$E$12,MATCH(AL5,$F$4:$F$12,0)),0)/100+ROW()/10000</f>
        <v>1.0605</v>
      </c>
      <c r="AP5" s="464">
        <f t="shared" ref="AP5:AP12" ca="1" si="30">RANK($AO5,$AO$4:$AO$12,1)</f>
        <v>2</v>
      </c>
      <c r="AS5" s="1">
        <f t="shared" ref="AS5:AS12" ca="1" si="31">SUMPRODUCT(($V$64:$V$135=F5)*$AK$64:$AK$135)+SUMPRODUCT(($W$64:$W$135=F5)*$AJ$64:$AJ$135)</f>
        <v>7</v>
      </c>
      <c r="AT5" s="1">
        <f t="shared" ref="AT5:AT12" ca="1" si="32">SUMPRODUCT(($V$64:$V$135=F5)*$AJ$64:$AJ$135)+SUMPRODUCT(($W$64:$W$135=F5)*$AK$64:$AK$135)</f>
        <v>2</v>
      </c>
      <c r="AU5" s="1">
        <f t="shared" ref="AU5:AU12" ca="1" si="33">AT5-AS5</f>
        <v>-5</v>
      </c>
      <c r="AV5" s="1">
        <f ca="1">IF(Einstellungen!$G$24,$I5,ROUND($I5,Einstellungen!$H$24))</f>
        <v>-32</v>
      </c>
      <c r="AW5" s="1">
        <f t="shared" ref="AW5:AW12" ca="1" si="34">I5-(F5="")*10000</f>
        <v>-32</v>
      </c>
      <c r="AX5" s="1">
        <f t="shared" ref="AX5:AX12" ca="1" si="35" xml:space="preserve"> RANK(AW5,$AW$4:$AW$12,1)</f>
        <v>5</v>
      </c>
    </row>
    <row r="6" spans="1:50" s="2" customFormat="1" x14ac:dyDescent="0.2">
      <c r="A6" s="214"/>
      <c r="B6" s="1">
        <v>3</v>
      </c>
      <c r="C6" s="22">
        <f t="shared" ca="1" si="4"/>
        <v>1</v>
      </c>
      <c r="D6" s="13">
        <f t="shared" ca="1" si="5"/>
        <v>1.006</v>
      </c>
      <c r="E6" s="219">
        <f t="shared" ca="1" si="6"/>
        <v>1</v>
      </c>
      <c r="F6" s="1" t="str">
        <f t="shared" si="7"/>
        <v>Eintracht Frankfurt</v>
      </c>
      <c r="G6" s="1">
        <f t="shared" ca="1" si="8"/>
        <v>191</v>
      </c>
      <c r="H6" s="1">
        <f t="shared" ca="1" si="9"/>
        <v>171</v>
      </c>
      <c r="I6" s="3">
        <f ca="1">IF(Einstellungen!$G$24,G6-H6,IF(H6=0,IF(G6=0,0,Einstellungen!$F$24),G6/H6))</f>
        <v>20</v>
      </c>
      <c r="J6" s="1">
        <f ca="1">$L6*Einstellungen!$C$4+$M6</f>
        <v>5</v>
      </c>
      <c r="K6" s="1">
        <f t="shared" ca="1" si="10"/>
        <v>4</v>
      </c>
      <c r="L6" s="1">
        <f t="shared" ca="1" si="11"/>
        <v>1</v>
      </c>
      <c r="M6" s="1">
        <f t="shared" ca="1" si="12"/>
        <v>3</v>
      </c>
      <c r="N6" s="1">
        <f t="shared" ca="1" si="13"/>
        <v>0</v>
      </c>
      <c r="O6" s="24"/>
      <c r="P6" s="25"/>
      <c r="V6" s="1"/>
      <c r="W6" s="461" t="str">
        <f t="shared" ca="1" si="14"/>
        <v/>
      </c>
      <c r="X6" s="462" t="str">
        <f t="shared" ca="1" si="15"/>
        <v/>
      </c>
      <c r="Y6" s="459">
        <f t="shared" ca="1" si="16"/>
        <v>99999</v>
      </c>
      <c r="Z6" s="459">
        <f t="shared" ca="1" si="17"/>
        <v>1.0606</v>
      </c>
      <c r="AA6" s="464">
        <f t="shared" ca="1" si="18"/>
        <v>3</v>
      </c>
      <c r="AB6" s="461" t="str">
        <f t="shared" ca="1" si="1"/>
        <v/>
      </c>
      <c r="AC6" s="462" t="str">
        <f t="shared" ca="1" si="19"/>
        <v/>
      </c>
      <c r="AD6" s="463">
        <f t="shared" ca="1" si="20"/>
        <v>99999</v>
      </c>
      <c r="AE6" s="459">
        <f t="shared" ca="1" si="21"/>
        <v>1.0606</v>
      </c>
      <c r="AF6" s="459">
        <f t="shared" ca="1" si="22"/>
        <v>3</v>
      </c>
      <c r="AG6" s="461" t="str">
        <f t="shared" ca="1" si="2"/>
        <v/>
      </c>
      <c r="AH6" s="462" t="str">
        <f t="shared" ca="1" si="23"/>
        <v/>
      </c>
      <c r="AI6" s="463">
        <f t="shared" ca="1" si="24"/>
        <v>99999</v>
      </c>
      <c r="AJ6" s="459">
        <f t="shared" ca="1" si="25"/>
        <v>1.0606</v>
      </c>
      <c r="AK6" s="464">
        <f t="shared" ca="1" si="26"/>
        <v>3</v>
      </c>
      <c r="AL6" s="462" t="str">
        <f t="shared" ca="1" si="3"/>
        <v/>
      </c>
      <c r="AM6" s="462" t="str">
        <f t="shared" ca="1" si="27"/>
        <v/>
      </c>
      <c r="AN6" s="463">
        <f t="shared" ca="1" si="28"/>
        <v>99999</v>
      </c>
      <c r="AO6" s="459">
        <f t="shared" ca="1" si="29"/>
        <v>1.0606</v>
      </c>
      <c r="AP6" s="464">
        <f t="shared" ca="1" si="30"/>
        <v>3</v>
      </c>
      <c r="AS6" s="1">
        <f t="shared" ca="1" si="31"/>
        <v>3</v>
      </c>
      <c r="AT6" s="1">
        <f t="shared" ca="1" si="32"/>
        <v>5</v>
      </c>
      <c r="AU6" s="1">
        <f t="shared" ca="1" si="33"/>
        <v>2</v>
      </c>
      <c r="AV6" s="1">
        <f ca="1">IF(Einstellungen!$G$24,$I6,ROUND($I6,Einstellungen!$H$24))</f>
        <v>20</v>
      </c>
      <c r="AW6" s="1">
        <f t="shared" ca="1" si="34"/>
        <v>20</v>
      </c>
      <c r="AX6" s="1">
        <f t="shared" ca="1" si="35"/>
        <v>9</v>
      </c>
    </row>
    <row r="7" spans="1:50" s="2" customFormat="1" x14ac:dyDescent="0.2">
      <c r="A7" s="214"/>
      <c r="B7" s="1">
        <v>4</v>
      </c>
      <c r="C7" s="22">
        <f t="shared" ca="1" si="4"/>
        <v>2</v>
      </c>
      <c r="D7" s="13">
        <f t="shared" ca="1" si="5"/>
        <v>2.0070000000000001</v>
      </c>
      <c r="E7" s="219">
        <f t="shared" ca="1" si="6"/>
        <v>2</v>
      </c>
      <c r="F7" s="1" t="str">
        <f t="shared" si="7"/>
        <v>Maibach 1822 eV</v>
      </c>
      <c r="G7" s="1">
        <f t="shared" ca="1" si="8"/>
        <v>179</v>
      </c>
      <c r="H7" s="1">
        <f t="shared" ca="1" si="9"/>
        <v>160</v>
      </c>
      <c r="I7" s="3">
        <f ca="1">IF(Einstellungen!$G$24,G7-H7,IF(H7=0,IF(G7=0,0,Einstellungen!$F$24),G7/H7))</f>
        <v>19</v>
      </c>
      <c r="J7" s="1">
        <f ca="1">$L7*Einstellungen!$C$4+$M7</f>
        <v>5</v>
      </c>
      <c r="K7" s="1">
        <f t="shared" ca="1" si="10"/>
        <v>4</v>
      </c>
      <c r="L7" s="1">
        <f t="shared" ca="1" si="11"/>
        <v>2</v>
      </c>
      <c r="M7" s="1">
        <f t="shared" ca="1" si="12"/>
        <v>1</v>
      </c>
      <c r="N7" s="1">
        <f t="shared" ca="1" si="13"/>
        <v>1</v>
      </c>
      <c r="O7" s="24"/>
      <c r="P7" s="25"/>
      <c r="V7" s="1"/>
      <c r="W7" s="461" t="str">
        <f t="shared" ca="1" si="14"/>
        <v/>
      </c>
      <c r="X7" s="462" t="str">
        <f t="shared" ca="1" si="15"/>
        <v/>
      </c>
      <c r="Y7" s="459">
        <f t="shared" ca="1" si="16"/>
        <v>99999</v>
      </c>
      <c r="Z7" s="459">
        <f t="shared" ca="1" si="17"/>
        <v>1.0607</v>
      </c>
      <c r="AA7" s="464">
        <f t="shared" ca="1" si="18"/>
        <v>4</v>
      </c>
      <c r="AB7" s="461" t="str">
        <f t="shared" ca="1" si="1"/>
        <v/>
      </c>
      <c r="AC7" s="462" t="str">
        <f t="shared" ca="1" si="19"/>
        <v/>
      </c>
      <c r="AD7" s="463">
        <f t="shared" ca="1" si="20"/>
        <v>99999</v>
      </c>
      <c r="AE7" s="459">
        <f t="shared" ca="1" si="21"/>
        <v>1.0607</v>
      </c>
      <c r="AF7" s="459">
        <f t="shared" ca="1" si="22"/>
        <v>4</v>
      </c>
      <c r="AG7" s="461" t="str">
        <f t="shared" ca="1" si="2"/>
        <v/>
      </c>
      <c r="AH7" s="462" t="str">
        <f t="shared" ca="1" si="23"/>
        <v/>
      </c>
      <c r="AI7" s="463">
        <f t="shared" ca="1" si="24"/>
        <v>99999</v>
      </c>
      <c r="AJ7" s="459">
        <f t="shared" ca="1" si="25"/>
        <v>1.0607</v>
      </c>
      <c r="AK7" s="464">
        <f t="shared" ca="1" si="26"/>
        <v>4</v>
      </c>
      <c r="AL7" s="462" t="str">
        <f t="shared" ca="1" si="3"/>
        <v/>
      </c>
      <c r="AM7" s="462" t="str">
        <f t="shared" ca="1" si="27"/>
        <v/>
      </c>
      <c r="AN7" s="463">
        <f t="shared" ca="1" si="28"/>
        <v>99999</v>
      </c>
      <c r="AO7" s="459">
        <f t="shared" ca="1" si="29"/>
        <v>1.0607</v>
      </c>
      <c r="AP7" s="464">
        <f t="shared" ca="1" si="30"/>
        <v>4</v>
      </c>
      <c r="AS7" s="1">
        <f t="shared" ca="1" si="31"/>
        <v>3</v>
      </c>
      <c r="AT7" s="1">
        <f t="shared" ca="1" si="32"/>
        <v>5</v>
      </c>
      <c r="AU7" s="1">
        <f t="shared" ca="1" si="33"/>
        <v>2</v>
      </c>
      <c r="AV7" s="1">
        <f ca="1">IF(Einstellungen!$G$24,$I7,ROUND($I7,Einstellungen!$H$24))</f>
        <v>19</v>
      </c>
      <c r="AW7" s="1">
        <f t="shared" ca="1" si="34"/>
        <v>19</v>
      </c>
      <c r="AX7" s="1">
        <f t="shared" ca="1" si="35"/>
        <v>8</v>
      </c>
    </row>
    <row r="8" spans="1:50" s="2" customFormat="1" x14ac:dyDescent="0.2">
      <c r="A8" s="214"/>
      <c r="B8" s="1">
        <v>5</v>
      </c>
      <c r="C8" s="22">
        <f t="shared" ca="1" si="4"/>
        <v>3</v>
      </c>
      <c r="D8" s="13">
        <f t="shared" ca="1" si="5"/>
        <v>3.008</v>
      </c>
      <c r="E8" s="219">
        <f t="shared" ca="1" si="6"/>
        <v>3</v>
      </c>
      <c r="F8" s="1" t="str">
        <f t="shared" si="7"/>
        <v>VFB Essenheim</v>
      </c>
      <c r="G8" s="1">
        <f t="shared" ca="1" si="8"/>
        <v>198</v>
      </c>
      <c r="H8" s="1">
        <f t="shared" ca="1" si="9"/>
        <v>206</v>
      </c>
      <c r="I8" s="3">
        <f ca="1">IF(Einstellungen!$G$24,G8-H8,IF(H8=0,IF(G8=0,0,Einstellungen!$F$24),G8/H8))</f>
        <v>-8</v>
      </c>
      <c r="J8" s="1">
        <f ca="1">$L8*Einstellungen!$C$4+$M8</f>
        <v>5</v>
      </c>
      <c r="K8" s="1">
        <f t="shared" ca="1" si="10"/>
        <v>4</v>
      </c>
      <c r="L8" s="1">
        <f t="shared" ca="1" si="11"/>
        <v>2</v>
      </c>
      <c r="M8" s="1">
        <f t="shared" ca="1" si="12"/>
        <v>1</v>
      </c>
      <c r="N8" s="1">
        <f t="shared" ca="1" si="13"/>
        <v>1</v>
      </c>
      <c r="P8" s="25"/>
      <c r="W8" s="461" t="str">
        <f t="shared" ca="1" si="14"/>
        <v/>
      </c>
      <c r="X8" s="462" t="str">
        <f t="shared" ca="1" si="15"/>
        <v/>
      </c>
      <c r="Y8" s="459">
        <f t="shared" ca="1" si="16"/>
        <v>99999</v>
      </c>
      <c r="Z8" s="459">
        <f t="shared" ca="1" si="17"/>
        <v>1.0608</v>
      </c>
      <c r="AA8" s="464">
        <f t="shared" ca="1" si="18"/>
        <v>5</v>
      </c>
      <c r="AB8" s="461" t="str">
        <f t="shared" ca="1" si="1"/>
        <v/>
      </c>
      <c r="AC8" s="462" t="str">
        <f t="shared" ca="1" si="19"/>
        <v/>
      </c>
      <c r="AD8" s="463">
        <f t="shared" ca="1" si="20"/>
        <v>99999</v>
      </c>
      <c r="AE8" s="459">
        <f t="shared" ca="1" si="21"/>
        <v>1.0608</v>
      </c>
      <c r="AF8" s="459">
        <f t="shared" ca="1" si="22"/>
        <v>5</v>
      </c>
      <c r="AG8" s="461" t="str">
        <f t="shared" ca="1" si="2"/>
        <v/>
      </c>
      <c r="AH8" s="462" t="str">
        <f t="shared" ca="1" si="23"/>
        <v/>
      </c>
      <c r="AI8" s="463">
        <f t="shared" ca="1" si="24"/>
        <v>99999</v>
      </c>
      <c r="AJ8" s="459">
        <f t="shared" ca="1" si="25"/>
        <v>1.0608</v>
      </c>
      <c r="AK8" s="464">
        <f t="shared" ca="1" si="26"/>
        <v>5</v>
      </c>
      <c r="AL8" s="462" t="str">
        <f t="shared" ca="1" si="3"/>
        <v/>
      </c>
      <c r="AM8" s="462" t="str">
        <f t="shared" ca="1" si="27"/>
        <v/>
      </c>
      <c r="AN8" s="463">
        <f t="shared" ca="1" si="28"/>
        <v>99999</v>
      </c>
      <c r="AO8" s="459">
        <f t="shared" ca="1" si="29"/>
        <v>1.0608</v>
      </c>
      <c r="AP8" s="464">
        <f t="shared" ca="1" si="30"/>
        <v>5</v>
      </c>
      <c r="AS8" s="1">
        <f t="shared" ca="1" si="31"/>
        <v>4</v>
      </c>
      <c r="AT8" s="1">
        <f t="shared" ca="1" si="32"/>
        <v>5</v>
      </c>
      <c r="AU8" s="1">
        <f t="shared" ca="1" si="33"/>
        <v>1</v>
      </c>
      <c r="AV8" s="1">
        <f ca="1">IF(Einstellungen!$G$24,$I8,ROUND($I8,Einstellungen!$H$24))</f>
        <v>-8</v>
      </c>
      <c r="AW8" s="1">
        <f t="shared" ca="1" si="34"/>
        <v>-8</v>
      </c>
      <c r="AX8" s="1">
        <f t="shared" ca="1" si="35"/>
        <v>6</v>
      </c>
    </row>
    <row r="9" spans="1:50" s="2" customFormat="1" x14ac:dyDescent="0.2">
      <c r="A9" s="214"/>
      <c r="B9" s="1">
        <v>6</v>
      </c>
      <c r="C9" s="22">
        <f t="shared" ca="1" si="4"/>
        <v>6</v>
      </c>
      <c r="D9" s="13">
        <f t="shared" ca="1" si="5"/>
        <v>16.009</v>
      </c>
      <c r="E9" s="219">
        <f t="shared" ca="1" si="6"/>
        <v>6</v>
      </c>
      <c r="F9" s="1" t="str">
        <f t="shared" si="7"/>
        <v/>
      </c>
      <c r="G9" s="1">
        <f t="shared" ca="1" si="8"/>
        <v>0</v>
      </c>
      <c r="H9" s="1">
        <f t="shared" ca="1" si="9"/>
        <v>0</v>
      </c>
      <c r="I9" s="3">
        <f ca="1">IF(Einstellungen!$G$24,G9-H9,IF(H9=0,IF(G9=0,0,Einstellungen!$F$24),G9/H9))</f>
        <v>0</v>
      </c>
      <c r="J9" s="1">
        <f ca="1">$L9*Einstellungen!$C$4+$M9</f>
        <v>0</v>
      </c>
      <c r="K9" s="1">
        <f t="shared" ca="1" si="10"/>
        <v>0</v>
      </c>
      <c r="L9" s="1">
        <f t="shared" ca="1" si="11"/>
        <v>0</v>
      </c>
      <c r="M9" s="1">
        <f t="shared" ca="1" si="12"/>
        <v>0</v>
      </c>
      <c r="N9" s="1">
        <f t="shared" ca="1" si="13"/>
        <v>0</v>
      </c>
      <c r="P9" s="25"/>
      <c r="W9" s="461" t="str">
        <f t="shared" ca="1" si="14"/>
        <v/>
      </c>
      <c r="X9" s="462" t="str">
        <f t="shared" ca="1" si="15"/>
        <v/>
      </c>
      <c r="Y9" s="459">
        <f t="shared" ca="1" si="16"/>
        <v>99999</v>
      </c>
      <c r="Z9" s="459">
        <f t="shared" ca="1" si="17"/>
        <v>1.0609</v>
      </c>
      <c r="AA9" s="464">
        <f t="shared" ca="1" si="18"/>
        <v>6</v>
      </c>
      <c r="AB9" s="461" t="str">
        <f t="shared" ca="1" si="1"/>
        <v/>
      </c>
      <c r="AC9" s="462" t="str">
        <f t="shared" ca="1" si="19"/>
        <v/>
      </c>
      <c r="AD9" s="463">
        <f t="shared" ca="1" si="20"/>
        <v>99999</v>
      </c>
      <c r="AE9" s="459">
        <f t="shared" ca="1" si="21"/>
        <v>1.0609</v>
      </c>
      <c r="AF9" s="459">
        <f t="shared" ca="1" si="22"/>
        <v>6</v>
      </c>
      <c r="AG9" s="461" t="str">
        <f t="shared" ca="1" si="2"/>
        <v/>
      </c>
      <c r="AH9" s="462" t="str">
        <f t="shared" ca="1" si="23"/>
        <v/>
      </c>
      <c r="AI9" s="463">
        <f t="shared" ca="1" si="24"/>
        <v>99999</v>
      </c>
      <c r="AJ9" s="459">
        <f t="shared" ca="1" si="25"/>
        <v>1.0609</v>
      </c>
      <c r="AK9" s="464">
        <f t="shared" ca="1" si="26"/>
        <v>6</v>
      </c>
      <c r="AL9" s="462" t="str">
        <f t="shared" ca="1" si="3"/>
        <v/>
      </c>
      <c r="AM9" s="462" t="str">
        <f t="shared" ca="1" si="27"/>
        <v/>
      </c>
      <c r="AN9" s="463">
        <f t="shared" ca="1" si="28"/>
        <v>99999</v>
      </c>
      <c r="AO9" s="459">
        <f t="shared" ca="1" si="29"/>
        <v>1.0609</v>
      </c>
      <c r="AP9" s="464">
        <f t="shared" ca="1" si="30"/>
        <v>6</v>
      </c>
      <c r="AS9" s="1">
        <f t="shared" ca="1" si="31"/>
        <v>0</v>
      </c>
      <c r="AT9" s="1">
        <f t="shared" ca="1" si="32"/>
        <v>0</v>
      </c>
      <c r="AU9" s="1">
        <f t="shared" ca="1" si="33"/>
        <v>0</v>
      </c>
      <c r="AV9" s="1">
        <f ca="1">IF(Einstellungen!$G$24,$I9,ROUND($I9,Einstellungen!$H$24))</f>
        <v>0</v>
      </c>
      <c r="AW9" s="1">
        <f t="shared" ca="1" si="34"/>
        <v>-10000</v>
      </c>
      <c r="AX9" s="1">
        <f t="shared" ca="1" si="35"/>
        <v>1</v>
      </c>
    </row>
    <row r="10" spans="1:50" s="2" customFormat="1" x14ac:dyDescent="0.2">
      <c r="A10" s="214"/>
      <c r="B10" s="1">
        <v>7</v>
      </c>
      <c r="C10" s="22">
        <f t="shared" ca="1" si="4"/>
        <v>7</v>
      </c>
      <c r="D10" s="13">
        <f t="shared" ca="1" si="5"/>
        <v>16.009999999999998</v>
      </c>
      <c r="E10" s="219">
        <f t="shared" ca="1" si="6"/>
        <v>6</v>
      </c>
      <c r="F10" s="1" t="str">
        <f t="shared" si="7"/>
        <v/>
      </c>
      <c r="G10" s="1">
        <f t="shared" ca="1" si="8"/>
        <v>0</v>
      </c>
      <c r="H10" s="1">
        <f t="shared" ca="1" si="9"/>
        <v>0</v>
      </c>
      <c r="I10" s="3">
        <f ca="1">IF(Einstellungen!$G$24,G10-H10,IF(H10=0,IF(G10=0,0,Einstellungen!$F$24),G10/H10))</f>
        <v>0</v>
      </c>
      <c r="J10" s="1">
        <f ca="1">$L10*Einstellungen!$C$4+$M10</f>
        <v>0</v>
      </c>
      <c r="K10" s="1">
        <f t="shared" ca="1" si="10"/>
        <v>0</v>
      </c>
      <c r="L10" s="1">
        <f t="shared" ca="1" si="11"/>
        <v>0</v>
      </c>
      <c r="M10" s="1">
        <f t="shared" ca="1" si="12"/>
        <v>0</v>
      </c>
      <c r="N10" s="1">
        <f t="shared" ca="1" si="13"/>
        <v>0</v>
      </c>
      <c r="P10" s="25"/>
      <c r="W10" s="461" t="str">
        <f t="shared" ca="1" si="14"/>
        <v/>
      </c>
      <c r="X10" s="462" t="str">
        <f t="shared" ca="1" si="15"/>
        <v/>
      </c>
      <c r="Y10" s="459">
        <f t="shared" ca="1" si="16"/>
        <v>99999</v>
      </c>
      <c r="Z10" s="459">
        <f t="shared" ca="1" si="17"/>
        <v>1.0609999999999999</v>
      </c>
      <c r="AA10" s="464">
        <f t="shared" ca="1" si="18"/>
        <v>7</v>
      </c>
      <c r="AB10" s="461" t="str">
        <f t="shared" ca="1" si="1"/>
        <v/>
      </c>
      <c r="AC10" s="462" t="str">
        <f t="shared" ca="1" si="19"/>
        <v/>
      </c>
      <c r="AD10" s="463">
        <f t="shared" ca="1" si="20"/>
        <v>99999</v>
      </c>
      <c r="AE10" s="459">
        <f t="shared" ca="1" si="21"/>
        <v>1.0609999999999999</v>
      </c>
      <c r="AF10" s="459">
        <f t="shared" ca="1" si="22"/>
        <v>7</v>
      </c>
      <c r="AG10" s="461" t="str">
        <f t="shared" ca="1" si="2"/>
        <v/>
      </c>
      <c r="AH10" s="462" t="str">
        <f t="shared" ca="1" si="23"/>
        <v/>
      </c>
      <c r="AI10" s="463">
        <f t="shared" ca="1" si="24"/>
        <v>99999</v>
      </c>
      <c r="AJ10" s="459">
        <f t="shared" ca="1" si="25"/>
        <v>1.0609999999999999</v>
      </c>
      <c r="AK10" s="464">
        <f t="shared" ca="1" si="26"/>
        <v>7</v>
      </c>
      <c r="AL10" s="462" t="str">
        <f t="shared" ca="1" si="3"/>
        <v/>
      </c>
      <c r="AM10" s="462" t="str">
        <f t="shared" ca="1" si="27"/>
        <v/>
      </c>
      <c r="AN10" s="463">
        <f t="shared" ca="1" si="28"/>
        <v>99999</v>
      </c>
      <c r="AO10" s="459">
        <f t="shared" ca="1" si="29"/>
        <v>1.0609999999999999</v>
      </c>
      <c r="AP10" s="464">
        <f t="shared" ca="1" si="30"/>
        <v>7</v>
      </c>
      <c r="AS10" s="1">
        <f t="shared" ca="1" si="31"/>
        <v>0</v>
      </c>
      <c r="AT10" s="1">
        <f t="shared" ca="1" si="32"/>
        <v>0</v>
      </c>
      <c r="AU10" s="1">
        <f t="shared" ca="1" si="33"/>
        <v>0</v>
      </c>
      <c r="AV10" s="1">
        <f ca="1">IF(Einstellungen!$G$24,$I10,ROUND($I10,Einstellungen!$H$24))</f>
        <v>0</v>
      </c>
      <c r="AW10" s="1">
        <f t="shared" ca="1" si="34"/>
        <v>-10000</v>
      </c>
      <c r="AX10" s="1">
        <f t="shared" ca="1" si="35"/>
        <v>1</v>
      </c>
    </row>
    <row r="11" spans="1:50" s="2" customFormat="1" x14ac:dyDescent="0.2">
      <c r="A11" s="214"/>
      <c r="B11" s="1">
        <v>8</v>
      </c>
      <c r="C11" s="22">
        <f t="shared" ca="1" si="4"/>
        <v>8</v>
      </c>
      <c r="D11" s="13">
        <f t="shared" ca="1" si="5"/>
        <v>16.010999999999999</v>
      </c>
      <c r="E11" s="219">
        <f t="shared" ca="1" si="6"/>
        <v>6</v>
      </c>
      <c r="F11" s="1" t="str">
        <f t="shared" si="7"/>
        <v/>
      </c>
      <c r="G11" s="1">
        <f t="shared" ca="1" si="8"/>
        <v>0</v>
      </c>
      <c r="H11" s="1">
        <f t="shared" ca="1" si="9"/>
        <v>0</v>
      </c>
      <c r="I11" s="3">
        <f ca="1">IF(Einstellungen!$G$24,G11-H11,IF(H11=0,IF(G11=0,0,Einstellungen!$F$24),G11/H11))</f>
        <v>0</v>
      </c>
      <c r="J11" s="1">
        <f ca="1">$L11*Einstellungen!$C$4+$M11</f>
        <v>0</v>
      </c>
      <c r="K11" s="1">
        <f t="shared" ca="1" si="10"/>
        <v>0</v>
      </c>
      <c r="L11" s="1">
        <f t="shared" ca="1" si="11"/>
        <v>0</v>
      </c>
      <c r="M11" s="1">
        <f t="shared" ca="1" si="12"/>
        <v>0</v>
      </c>
      <c r="N11" s="1">
        <f t="shared" ca="1" si="13"/>
        <v>0</v>
      </c>
      <c r="O11" s="13"/>
      <c r="P11" s="13"/>
      <c r="Q11" s="13"/>
      <c r="R11" s="13"/>
      <c r="S11" s="13"/>
      <c r="T11" s="13"/>
      <c r="U11" s="13"/>
      <c r="V11" s="13"/>
      <c r="W11" s="461" t="str">
        <f t="shared" ca="1" si="14"/>
        <v/>
      </c>
      <c r="X11" s="462" t="str">
        <f t="shared" ca="1" si="15"/>
        <v/>
      </c>
      <c r="Y11" s="459">
        <f t="shared" ca="1" si="16"/>
        <v>99999</v>
      </c>
      <c r="Z11" s="459">
        <f t="shared" ca="1" si="17"/>
        <v>1.0611000000000002</v>
      </c>
      <c r="AA11" s="464">
        <f t="shared" ca="1" si="18"/>
        <v>8</v>
      </c>
      <c r="AB11" s="461" t="str">
        <f t="shared" ca="1" si="1"/>
        <v/>
      </c>
      <c r="AC11" s="462" t="str">
        <f t="shared" ca="1" si="19"/>
        <v/>
      </c>
      <c r="AD11" s="463">
        <f t="shared" ca="1" si="20"/>
        <v>99999</v>
      </c>
      <c r="AE11" s="459">
        <f t="shared" ca="1" si="21"/>
        <v>1.0611000000000002</v>
      </c>
      <c r="AF11" s="459">
        <f t="shared" ca="1" si="22"/>
        <v>8</v>
      </c>
      <c r="AG11" s="461" t="str">
        <f t="shared" ca="1" si="2"/>
        <v/>
      </c>
      <c r="AH11" s="462" t="str">
        <f t="shared" ca="1" si="23"/>
        <v/>
      </c>
      <c r="AI11" s="463">
        <f t="shared" ca="1" si="24"/>
        <v>99999</v>
      </c>
      <c r="AJ11" s="459">
        <f t="shared" ca="1" si="25"/>
        <v>1.0611000000000002</v>
      </c>
      <c r="AK11" s="464">
        <f t="shared" ca="1" si="26"/>
        <v>8</v>
      </c>
      <c r="AL11" s="462" t="str">
        <f t="shared" ca="1" si="3"/>
        <v/>
      </c>
      <c r="AM11" s="462" t="str">
        <f t="shared" ca="1" si="27"/>
        <v/>
      </c>
      <c r="AN11" s="463">
        <f t="shared" ca="1" si="28"/>
        <v>99999</v>
      </c>
      <c r="AO11" s="459">
        <f t="shared" ca="1" si="29"/>
        <v>1.0611000000000002</v>
      </c>
      <c r="AP11" s="464">
        <f t="shared" ca="1" si="30"/>
        <v>8</v>
      </c>
      <c r="AS11" s="1">
        <f t="shared" ca="1" si="31"/>
        <v>0</v>
      </c>
      <c r="AT11" s="1">
        <f t="shared" ca="1" si="32"/>
        <v>0</v>
      </c>
      <c r="AU11" s="1">
        <f t="shared" ca="1" si="33"/>
        <v>0</v>
      </c>
      <c r="AV11" s="1">
        <f ca="1">IF(Einstellungen!$G$24,$I11,ROUND($I11,Einstellungen!$H$24))</f>
        <v>0</v>
      </c>
      <c r="AW11" s="1">
        <f t="shared" ca="1" si="34"/>
        <v>-10000</v>
      </c>
      <c r="AX11" s="1">
        <f t="shared" ca="1" si="35"/>
        <v>1</v>
      </c>
    </row>
    <row r="12" spans="1:50" s="2" customFormat="1" ht="12.75" thickBot="1" x14ac:dyDescent="0.25">
      <c r="A12" s="214"/>
      <c r="B12" s="1">
        <v>9</v>
      </c>
      <c r="C12" s="23">
        <f t="shared" ca="1" si="4"/>
        <v>9</v>
      </c>
      <c r="D12" s="13">
        <f t="shared" ca="1" si="5"/>
        <v>16.012</v>
      </c>
      <c r="E12" s="219">
        <f t="shared" ca="1" si="6"/>
        <v>6</v>
      </c>
      <c r="F12" s="1" t="str">
        <f t="shared" si="7"/>
        <v/>
      </c>
      <c r="G12" s="1">
        <f t="shared" ca="1" si="8"/>
        <v>0</v>
      </c>
      <c r="H12" s="1">
        <f t="shared" ca="1" si="9"/>
        <v>0</v>
      </c>
      <c r="I12" s="3">
        <f ca="1">IF(Einstellungen!$G$24,G12-H12,IF(H12=0,IF(G12=0,0,Einstellungen!$F$24),G12/H12))</f>
        <v>0</v>
      </c>
      <c r="J12" s="1">
        <f ca="1">$L12*Einstellungen!$C$4+$M12</f>
        <v>0</v>
      </c>
      <c r="K12" s="29">
        <f t="shared" ca="1" si="10"/>
        <v>0</v>
      </c>
      <c r="L12" s="1">
        <f t="shared" ca="1" si="11"/>
        <v>0</v>
      </c>
      <c r="M12" s="1">
        <f t="shared" ca="1" si="12"/>
        <v>0</v>
      </c>
      <c r="N12" s="1">
        <f t="shared" ca="1" si="13"/>
        <v>0</v>
      </c>
      <c r="O12" s="1"/>
      <c r="P12" s="1"/>
      <c r="Q12" s="1"/>
      <c r="R12" s="1"/>
      <c r="S12" s="1"/>
      <c r="T12" s="1"/>
      <c r="U12" s="1"/>
      <c r="V12" s="1"/>
      <c r="W12" s="465" t="str">
        <f t="shared" ca="1" si="14"/>
        <v/>
      </c>
      <c r="X12" s="466" t="str">
        <f t="shared" ca="1" si="15"/>
        <v/>
      </c>
      <c r="Y12" s="467">
        <f t="shared" ca="1" si="16"/>
        <v>99999</v>
      </c>
      <c r="Z12" s="467">
        <f t="shared" ca="1" si="17"/>
        <v>1.0612000000000001</v>
      </c>
      <c r="AA12" s="468">
        <f t="shared" ca="1" si="18"/>
        <v>9</v>
      </c>
      <c r="AB12" s="465" t="str">
        <f t="shared" ca="1" si="1"/>
        <v/>
      </c>
      <c r="AC12" s="466" t="str">
        <f t="shared" ca="1" si="19"/>
        <v/>
      </c>
      <c r="AD12" s="469">
        <f t="shared" ca="1" si="20"/>
        <v>99999</v>
      </c>
      <c r="AE12" s="467">
        <f t="shared" ca="1" si="21"/>
        <v>1.0612000000000001</v>
      </c>
      <c r="AF12" s="467">
        <f t="shared" ca="1" si="22"/>
        <v>9</v>
      </c>
      <c r="AG12" s="465" t="str">
        <f t="shared" ca="1" si="2"/>
        <v/>
      </c>
      <c r="AH12" s="466" t="str">
        <f t="shared" ca="1" si="23"/>
        <v/>
      </c>
      <c r="AI12" s="469">
        <f t="shared" ca="1" si="24"/>
        <v>99999</v>
      </c>
      <c r="AJ12" s="467">
        <f t="shared" ca="1" si="25"/>
        <v>1.0612000000000001</v>
      </c>
      <c r="AK12" s="468">
        <f t="shared" ca="1" si="26"/>
        <v>9</v>
      </c>
      <c r="AL12" s="466" t="str">
        <f t="shared" ca="1" si="3"/>
        <v/>
      </c>
      <c r="AM12" s="466" t="str">
        <f t="shared" ca="1" si="27"/>
        <v/>
      </c>
      <c r="AN12" s="469">
        <f t="shared" ca="1" si="28"/>
        <v>99999</v>
      </c>
      <c r="AO12" s="467">
        <f t="shared" ca="1" si="29"/>
        <v>1.0612000000000001</v>
      </c>
      <c r="AP12" s="468">
        <f t="shared" ca="1" si="30"/>
        <v>9</v>
      </c>
      <c r="AS12" s="1">
        <f t="shared" ca="1" si="31"/>
        <v>0</v>
      </c>
      <c r="AT12" s="1">
        <f t="shared" ca="1" si="32"/>
        <v>0</v>
      </c>
      <c r="AU12" s="1">
        <f t="shared" ca="1" si="33"/>
        <v>0</v>
      </c>
      <c r="AV12" s="1">
        <f ca="1">IF(Einstellungen!$G$24,$I12,ROUND($I12,Einstellungen!$H$24))</f>
        <v>0</v>
      </c>
      <c r="AW12" s="1">
        <f t="shared" ca="1" si="34"/>
        <v>-10000</v>
      </c>
      <c r="AX12" s="1">
        <f t="shared" ca="1" si="35"/>
        <v>1</v>
      </c>
    </row>
    <row r="13" spans="1:50" s="2" customFormat="1" ht="12.75" thickTop="1" x14ac:dyDescent="0.2">
      <c r="B13" s="3">
        <f>$F$13*($F$13-1)</f>
        <v>20</v>
      </c>
      <c r="C13" s="3"/>
      <c r="D13" s="3"/>
      <c r="E13" s="3"/>
      <c r="F13" s="3">
        <f>9-COUNTBLANK($F$4:$F$12)</f>
        <v>5</v>
      </c>
      <c r="G13" s="3"/>
      <c r="H13" s="3"/>
      <c r="I13" s="3"/>
      <c r="J13" s="3"/>
      <c r="K13" s="28">
        <f ca="1">QUOTIENT(SUM(K4:K12),2)</f>
        <v>10</v>
      </c>
      <c r="L13" s="1"/>
      <c r="M13" s="1"/>
      <c r="N13" s="1"/>
      <c r="O13" s="1"/>
      <c r="P13" s="1"/>
      <c r="Q13" s="1"/>
      <c r="R13" s="1"/>
      <c r="S13" s="1"/>
      <c r="T13" s="1"/>
      <c r="U13" s="1"/>
      <c r="V13" s="1"/>
      <c r="Y13" s="1"/>
      <c r="Z13" s="1"/>
    </row>
    <row r="14" spans="1:50" s="2" customFormat="1" x14ac:dyDescent="0.2">
      <c r="B14" s="14">
        <f>MAX($B$13,Calc2!$B$13)</f>
        <v>20</v>
      </c>
      <c r="D14" s="1" t="s">
        <v>209</v>
      </c>
      <c r="F14" s="14">
        <f>MAX($F$13,Calc2!$F$13)</f>
        <v>5</v>
      </c>
      <c r="O14" s="1"/>
      <c r="P14" s="1"/>
      <c r="Q14" s="1"/>
      <c r="R14" s="1"/>
      <c r="S14" s="1"/>
      <c r="T14" s="1"/>
      <c r="U14" s="1"/>
      <c r="V14" s="1"/>
      <c r="W14" s="1"/>
      <c r="Y14" s="1"/>
      <c r="Z14" s="1"/>
    </row>
    <row r="15" spans="1:50" s="2" customFormat="1" x14ac:dyDescent="0.2">
      <c r="O15" s="12"/>
      <c r="AD15" s="611"/>
      <c r="AE15" s="611"/>
      <c r="AF15" s="611"/>
      <c r="AG15" s="611"/>
      <c r="AH15" s="611"/>
      <c r="AI15" s="612"/>
      <c r="AK15" s="214"/>
    </row>
    <row r="16" spans="1:50" s="2" customFormat="1" ht="15.75" thickBot="1" x14ac:dyDescent="0.25">
      <c r="B16" s="13" t="s">
        <v>6</v>
      </c>
      <c r="C16" s="27" t="s">
        <v>97</v>
      </c>
      <c r="D16" s="27" t="s">
        <v>103</v>
      </c>
      <c r="E16" s="27" t="s">
        <v>104</v>
      </c>
      <c r="F16" s="27" t="s">
        <v>105</v>
      </c>
      <c r="G16" s="27" t="s">
        <v>106</v>
      </c>
      <c r="H16" s="27" t="s">
        <v>107</v>
      </c>
      <c r="I16" s="27" t="s">
        <v>108</v>
      </c>
      <c r="J16" s="27" t="s">
        <v>109</v>
      </c>
      <c r="K16" s="27" t="s">
        <v>382</v>
      </c>
      <c r="L16" s="11" t="s">
        <v>383</v>
      </c>
      <c r="M16" s="26" t="s">
        <v>96</v>
      </c>
      <c r="N16" s="26" t="s">
        <v>15</v>
      </c>
      <c r="O16" s="30">
        <v>1</v>
      </c>
      <c r="P16" s="1">
        <v>2</v>
      </c>
      <c r="Q16" s="1">
        <v>3</v>
      </c>
      <c r="R16" s="1">
        <v>4</v>
      </c>
      <c r="S16" s="1">
        <v>5</v>
      </c>
      <c r="T16" s="1">
        <v>6</v>
      </c>
      <c r="U16" s="1">
        <v>7</v>
      </c>
      <c r="V16" s="1">
        <v>8</v>
      </c>
      <c r="W16" s="11" t="s">
        <v>98</v>
      </c>
      <c r="X16" s="173" t="s">
        <v>166</v>
      </c>
      <c r="Y16" s="11" t="s">
        <v>454</v>
      </c>
      <c r="Z16" s="173" t="s">
        <v>210</v>
      </c>
      <c r="AA16" s="1" t="s">
        <v>387</v>
      </c>
      <c r="AB16" s="1" t="s">
        <v>109</v>
      </c>
      <c r="AC16" s="1" t="s">
        <v>107</v>
      </c>
      <c r="AD16" s="617" t="s">
        <v>428</v>
      </c>
      <c r="AE16" s="610"/>
      <c r="AF16" s="613"/>
      <c r="AG16" s="613"/>
      <c r="AH16" s="614"/>
      <c r="AI16" s="612"/>
    </row>
    <row r="17" spans="2:80" s="2" customFormat="1" ht="12.75" thickTop="1" x14ac:dyDescent="0.2">
      <c r="C17" s="2" t="str">
        <f>$Q64</f>
        <v>1. FC Riedwald</v>
      </c>
      <c r="D17" s="1">
        <f t="shared" ref="D17:D25" ca="1" si="36">K4</f>
        <v>4</v>
      </c>
      <c r="E17" s="1">
        <f t="shared" ref="E17:E25" ca="1" si="37">L4</f>
        <v>1</v>
      </c>
      <c r="F17" s="1">
        <f t="shared" ref="F17:F25" ca="1" si="38">M4</f>
        <v>2</v>
      </c>
      <c r="G17" s="1">
        <f t="shared" ref="G17:G25" ca="1" si="39">N4</f>
        <v>1</v>
      </c>
      <c r="H17" s="1">
        <f t="shared" ref="H17:J23" ca="1" si="40">G4</f>
        <v>177</v>
      </c>
      <c r="I17" s="1">
        <f t="shared" ca="1" si="40"/>
        <v>176</v>
      </c>
      <c r="J17" s="13">
        <f t="shared" ca="1" si="40"/>
        <v>1</v>
      </c>
      <c r="K17" s="1">
        <f ca="1">IF(Einstellungen!$G$9,J4,$AT4)</f>
        <v>4</v>
      </c>
      <c r="L17" s="694">
        <f ca="1">K17*$F$64+(AU4+$H$65)*$F$65*Einstellungen!$G$14+AT4*$F$66*Einstellungen!$G$19+AX4*$F$67</f>
        <v>4000000.0070000002</v>
      </c>
      <c r="M17" s="14">
        <f ca="1">IF($AI$15,COUNTIF($K$17:$K$25,K17),COUNTIF($L$17:$L$25,L17))</f>
        <v>1</v>
      </c>
      <c r="N17" s="14">
        <f t="array" aca="1" ref="N17" ca="1">IF($AI$15,SUM(($K$17:$K$25&gt;=K17)/COUNTIF($K$17:$K$25,$K$17:$K$25)),SUM(($L$17:$L$25&gt;=L17)/COUNTIF($L$17:$L$25,$L$17:$L$25)))</f>
        <v>4</v>
      </c>
      <c r="O17" s="52" t="str">
        <f t="shared" ref="O17:O25" ca="1" si="41">IF(AND(M17&gt;1,N17=1),C17,"")</f>
        <v/>
      </c>
      <c r="P17" s="53" t="str">
        <f t="shared" ref="P17:P25" ca="1" si="42">IF(AND(M17&gt;1,N17=2),C17,"")</f>
        <v/>
      </c>
      <c r="Q17" s="53" t="str">
        <f t="shared" ref="Q17:Q25" ca="1" si="43">IF(AND(M17&gt;1,N17=3),C17,"")</f>
        <v/>
      </c>
      <c r="R17" s="53" t="str">
        <f t="shared" ref="R17:R25" ca="1" si="44">IF(AND(M17&gt;1,N17=4),C17,"")</f>
        <v/>
      </c>
      <c r="S17" s="53" t="str">
        <f t="shared" ref="S17:S25" ca="1" si="45">IF(AND(M17&gt;1,N17=5),C17,"")</f>
        <v/>
      </c>
      <c r="T17" s="53" t="str">
        <f t="shared" ref="T17:T25" ca="1" si="46">IF(AND($M17&gt;1,$N17=6),$C17,"")</f>
        <v/>
      </c>
      <c r="U17" s="53" t="str">
        <f t="shared" ref="U17:U25" ca="1" si="47">IF(AND($M17&gt;1,$N17=7),$C17,"")</f>
        <v/>
      </c>
      <c r="V17" s="54" t="str">
        <f t="shared" ref="V17:V25" ca="1" si="48">IF(AND($M17&gt;1,$N17=8),$C17,"")</f>
        <v/>
      </c>
      <c r="W17" s="62">
        <f ca="1">AA17*$F$64+(AB17+$H$65)*$F$65</f>
        <v>500000</v>
      </c>
      <c r="X17" s="21">
        <f ca="1">RANK($L17,$L$17:$L$25)+RANK($W17,$W$17:$W$25)/100+(9-$Y17)/10000+($C17="")*100</f>
        <v>4.0108999999999995</v>
      </c>
      <c r="Y17" s="13">
        <f>Vorrunde!$AZ12+$AD17</f>
        <v>0</v>
      </c>
      <c r="Z17" s="1">
        <f ca="1">RANK($W17,$W$17:$W$25)+(9-$Y17)/10</f>
        <v>1.9</v>
      </c>
      <c r="AA17" s="1">
        <f ca="1">SUM(E30:BP30)</f>
        <v>0</v>
      </c>
      <c r="AB17" s="1">
        <f ca="1">SUM(E41:BP41)</f>
        <v>0</v>
      </c>
      <c r="AC17" s="1">
        <f ca="1">SUM(E52:BP52)</f>
        <v>0</v>
      </c>
      <c r="AD17" s="613">
        <f>IF($C17="",0,COUNTIF(Playoffs!$U$12:$U$17,$C17))</f>
        <v>0</v>
      </c>
      <c r="AE17" s="615"/>
      <c r="AF17" s="613"/>
      <c r="AG17" s="613"/>
      <c r="AH17" s="616"/>
      <c r="AI17" s="613"/>
    </row>
    <row r="18" spans="2:80" s="2" customFormat="1" x14ac:dyDescent="0.2">
      <c r="C18" s="2" t="str">
        <f t="shared" ref="C18:C25" si="49">$Q65</f>
        <v>FC Barcelona</v>
      </c>
      <c r="D18" s="1">
        <f t="shared" ca="1" si="36"/>
        <v>4</v>
      </c>
      <c r="E18" s="1">
        <f t="shared" ca="1" si="37"/>
        <v>0</v>
      </c>
      <c r="F18" s="1">
        <f t="shared" ca="1" si="38"/>
        <v>1</v>
      </c>
      <c r="G18" s="1">
        <f t="shared" ca="1" si="39"/>
        <v>3</v>
      </c>
      <c r="H18" s="1">
        <f t="shared" ca="1" si="40"/>
        <v>179</v>
      </c>
      <c r="I18" s="1">
        <f t="shared" ca="1" si="40"/>
        <v>211</v>
      </c>
      <c r="J18" s="13">
        <f t="shared" ca="1" si="40"/>
        <v>-32</v>
      </c>
      <c r="K18" s="1">
        <f ca="1">IF(Einstellungen!$G$9,J5,$AT5)</f>
        <v>1</v>
      </c>
      <c r="L18" s="694">
        <f ca="1">K18*$F$64+(AU5+$H$65)*$F$65*Einstellungen!$G$14+AT5*$F$66*Einstellungen!$G$19+AX5*$F$67</f>
        <v>1000000.005</v>
      </c>
      <c r="M18" s="14">
        <f t="shared" ref="M18:M25" ca="1" si="50">IF($AI$15,COUNTIF($K$17:$K$25,K18),COUNTIF($L$17:$L$25,L18))</f>
        <v>1</v>
      </c>
      <c r="N18" s="14">
        <f t="array" aca="1" ref="N18" ca="1">IF($AI$15,SUM(($K$17:$K$25&gt;=K18)/COUNTIF($K$17:$K$25,$K$17:$K$25)),SUM(($L$17:$L$25&gt;=L18)/COUNTIF($L$17:$L$25,$L$17:$L$25)))</f>
        <v>5</v>
      </c>
      <c r="O18" s="6" t="str">
        <f t="shared" ca="1" si="41"/>
        <v/>
      </c>
      <c r="P18" s="4" t="str">
        <f t="shared" ca="1" si="42"/>
        <v/>
      </c>
      <c r="Q18" s="4" t="str">
        <f t="shared" ca="1" si="43"/>
        <v/>
      </c>
      <c r="R18" s="4" t="str">
        <f t="shared" ca="1" si="44"/>
        <v/>
      </c>
      <c r="S18" s="4" t="str">
        <f t="shared" ca="1" si="45"/>
        <v/>
      </c>
      <c r="T18" s="4" t="str">
        <f t="shared" ca="1" si="46"/>
        <v/>
      </c>
      <c r="U18" s="4" t="str">
        <f t="shared" ca="1" si="47"/>
        <v/>
      </c>
      <c r="V18" s="55" t="str">
        <f t="shared" ca="1" si="48"/>
        <v/>
      </c>
      <c r="W18" s="62">
        <f t="shared" ref="W18:W25" ca="1" si="51">AA18*$F$64+(AB18+$H$65)*$F$65</f>
        <v>500000</v>
      </c>
      <c r="X18" s="22">
        <f ca="1">RANK($L18,$L$17:$L$25)+RANK($W18,$W$17:$W$25)/100+(9-$Y18)/10000+($C18="")*100</f>
        <v>5.0108999999999995</v>
      </c>
      <c r="Y18" s="13">
        <f>Vorrunde!$AZ13+$AD18</f>
        <v>0</v>
      </c>
      <c r="Z18" s="1">
        <f t="shared" ref="Z18:Z25" ca="1" si="52">RANK($W18,$W$17:$W$25)+(9-$Y18)/10</f>
        <v>1.9</v>
      </c>
      <c r="AA18" s="1">
        <f t="shared" ref="AA18:AA25" ca="1" si="53">SUM(E31:BP31)</f>
        <v>0</v>
      </c>
      <c r="AB18" s="1">
        <f t="shared" ref="AB18:AB25" ca="1" si="54">SUM(E42:BP42)</f>
        <v>0</v>
      </c>
      <c r="AC18" s="1">
        <f t="shared" ref="AC18:AC25" ca="1" si="55">SUM(E53:BP53)</f>
        <v>0</v>
      </c>
      <c r="AD18" s="613">
        <f>IF($C18="",0,COUNTIF(Playoffs!$U$12:$U$17,$C18))</f>
        <v>0</v>
      </c>
      <c r="AE18" s="615"/>
      <c r="AF18" s="613"/>
      <c r="AG18" s="613"/>
      <c r="AH18" s="616"/>
      <c r="AI18" s="613"/>
    </row>
    <row r="19" spans="2:80" s="2" customFormat="1" x14ac:dyDescent="0.2">
      <c r="C19" s="2" t="str">
        <f t="shared" si="49"/>
        <v>Eintracht Frankfurt</v>
      </c>
      <c r="D19" s="1">
        <f t="shared" ca="1" si="36"/>
        <v>4</v>
      </c>
      <c r="E19" s="1">
        <f t="shared" ca="1" si="37"/>
        <v>1</v>
      </c>
      <c r="F19" s="1">
        <f t="shared" ca="1" si="38"/>
        <v>3</v>
      </c>
      <c r="G19" s="1">
        <f t="shared" ca="1" si="39"/>
        <v>0</v>
      </c>
      <c r="H19" s="1">
        <f t="shared" ca="1" si="40"/>
        <v>191</v>
      </c>
      <c r="I19" s="1">
        <f t="shared" ca="1" si="40"/>
        <v>171</v>
      </c>
      <c r="J19" s="13">
        <f t="shared" ca="1" si="40"/>
        <v>20</v>
      </c>
      <c r="K19" s="1">
        <f ca="1">IF(Einstellungen!$G$9,J6,$AT6)</f>
        <v>5</v>
      </c>
      <c r="L19" s="694">
        <f ca="1">K19*$F$64+(AU6+$H$65)*$F$65*Einstellungen!$G$14+AT6*$F$66*Einstellungen!$G$19+AX6*$F$67</f>
        <v>5000000.0089999996</v>
      </c>
      <c r="M19" s="14">
        <f t="shared" ca="1" si="50"/>
        <v>1</v>
      </c>
      <c r="N19" s="14">
        <f t="array" aca="1" ref="N19" ca="1">IF($AI$15,SUM(($K$17:$K$25&gt;=K19)/COUNTIF($K$17:$K$25,$K$17:$K$25)),SUM(($L$17:$L$25&gt;=L19)/COUNTIF($L$17:$L$25,$L$17:$L$25)))</f>
        <v>1</v>
      </c>
      <c r="O19" s="6" t="str">
        <f t="shared" ca="1" si="41"/>
        <v/>
      </c>
      <c r="P19" s="4" t="str">
        <f t="shared" ca="1" si="42"/>
        <v/>
      </c>
      <c r="Q19" s="4" t="str">
        <f t="shared" ca="1" si="43"/>
        <v/>
      </c>
      <c r="R19" s="4" t="str">
        <f t="shared" ca="1" si="44"/>
        <v/>
      </c>
      <c r="S19" s="4" t="str">
        <f t="shared" ca="1" si="45"/>
        <v/>
      </c>
      <c r="T19" s="4" t="str">
        <f t="shared" ca="1" si="46"/>
        <v/>
      </c>
      <c r="U19" s="4" t="str">
        <f t="shared" ca="1" si="47"/>
        <v/>
      </c>
      <c r="V19" s="55" t="str">
        <f t="shared" ca="1" si="48"/>
        <v/>
      </c>
      <c r="W19" s="62">
        <f t="shared" ca="1" si="51"/>
        <v>500000</v>
      </c>
      <c r="X19" s="22">
        <f t="shared" ref="X19:X25" ca="1" si="56">RANK($L19,$L$17:$L$25)+RANK($W19,$W$17:$W$25)/100+(9-$Y19)/10000+($C19="")*100</f>
        <v>1.0108999999999999</v>
      </c>
      <c r="Y19" s="13">
        <f>Vorrunde!$AZ14+$AD19</f>
        <v>0</v>
      </c>
      <c r="Z19" s="1">
        <f t="shared" ca="1" si="52"/>
        <v>1.9</v>
      </c>
      <c r="AA19" s="1">
        <f t="shared" ca="1" si="53"/>
        <v>0</v>
      </c>
      <c r="AB19" s="1">
        <f t="shared" ca="1" si="54"/>
        <v>0</v>
      </c>
      <c r="AC19" s="1">
        <f t="shared" ca="1" si="55"/>
        <v>0</v>
      </c>
      <c r="AD19" s="613">
        <f>IF($C19="",0,COUNTIF(Playoffs!$U$12:$U$17,$C19))</f>
        <v>0</v>
      </c>
      <c r="AE19" s="615"/>
      <c r="AF19" s="613"/>
      <c r="AG19" s="613"/>
      <c r="AH19" s="616"/>
      <c r="AI19" s="613"/>
    </row>
    <row r="20" spans="2:80" s="2" customFormat="1" x14ac:dyDescent="0.2">
      <c r="C20" s="2" t="str">
        <f t="shared" si="49"/>
        <v>Maibach 1822 eV</v>
      </c>
      <c r="D20" s="1">
        <f t="shared" ca="1" si="36"/>
        <v>4</v>
      </c>
      <c r="E20" s="1">
        <f t="shared" ca="1" si="37"/>
        <v>2</v>
      </c>
      <c r="F20" s="1">
        <f t="shared" ca="1" si="38"/>
        <v>1</v>
      </c>
      <c r="G20" s="1">
        <f t="shared" ca="1" si="39"/>
        <v>1</v>
      </c>
      <c r="H20" s="1">
        <f t="shared" ca="1" si="40"/>
        <v>179</v>
      </c>
      <c r="I20" s="1">
        <f t="shared" ca="1" si="40"/>
        <v>160</v>
      </c>
      <c r="J20" s="13">
        <f t="shared" ca="1" si="40"/>
        <v>19</v>
      </c>
      <c r="K20" s="1">
        <f ca="1">IF(Einstellungen!$G$9,J7,$AT7)</f>
        <v>5</v>
      </c>
      <c r="L20" s="694">
        <f ca="1">K20*$F$64+(AU7+$H$65)*$F$65*Einstellungen!$G$14+AT7*$F$66*Einstellungen!$G$19+AX7*$F$67</f>
        <v>5000000.0080000004</v>
      </c>
      <c r="M20" s="14">
        <f t="shared" ca="1" si="50"/>
        <v>1</v>
      </c>
      <c r="N20" s="14">
        <f t="array" aca="1" ref="N20" ca="1">IF($AI$15,SUM(($K$17:$K$25&gt;=K20)/COUNTIF($K$17:$K$25,$K$17:$K$25)),SUM(($L$17:$L$25&gt;=L20)/COUNTIF($L$17:$L$25,$L$17:$L$25)))</f>
        <v>2</v>
      </c>
      <c r="O20" s="6" t="str">
        <f t="shared" ca="1" si="41"/>
        <v/>
      </c>
      <c r="P20" s="4" t="str">
        <f t="shared" ca="1" si="42"/>
        <v/>
      </c>
      <c r="Q20" s="4" t="str">
        <f t="shared" ca="1" si="43"/>
        <v/>
      </c>
      <c r="R20" s="4" t="str">
        <f t="shared" ca="1" si="44"/>
        <v/>
      </c>
      <c r="S20" s="4" t="str">
        <f t="shared" ca="1" si="45"/>
        <v/>
      </c>
      <c r="T20" s="4" t="str">
        <f t="shared" ca="1" si="46"/>
        <v/>
      </c>
      <c r="U20" s="4" t="str">
        <f t="shared" ca="1" si="47"/>
        <v/>
      </c>
      <c r="V20" s="55" t="str">
        <f t="shared" ca="1" si="48"/>
        <v/>
      </c>
      <c r="W20" s="62">
        <f t="shared" ca="1" si="51"/>
        <v>500000</v>
      </c>
      <c r="X20" s="22">
        <f t="shared" ca="1" si="56"/>
        <v>2.0108999999999999</v>
      </c>
      <c r="Y20" s="13">
        <f>Vorrunde!$AZ15+$AD20</f>
        <v>0</v>
      </c>
      <c r="Z20" s="1">
        <f t="shared" ca="1" si="52"/>
        <v>1.9</v>
      </c>
      <c r="AA20" s="1">
        <f t="shared" ca="1" si="53"/>
        <v>0</v>
      </c>
      <c r="AB20" s="1">
        <f t="shared" ca="1" si="54"/>
        <v>0</v>
      </c>
      <c r="AC20" s="1">
        <f t="shared" ca="1" si="55"/>
        <v>0</v>
      </c>
      <c r="AD20" s="613">
        <f>IF($C20="",0,COUNTIF(Playoffs!$U$12:$U$17,$C20))</f>
        <v>0</v>
      </c>
      <c r="AE20" s="615"/>
      <c r="AF20" s="613"/>
      <c r="AG20" s="613"/>
      <c r="AH20" s="616"/>
      <c r="AI20" s="613"/>
    </row>
    <row r="21" spans="2:80" s="2" customFormat="1" x14ac:dyDescent="0.2">
      <c r="C21" s="2" t="str">
        <f t="shared" si="49"/>
        <v>VFB Essenheim</v>
      </c>
      <c r="D21" s="1">
        <f t="shared" ca="1" si="36"/>
        <v>4</v>
      </c>
      <c r="E21" s="1">
        <f t="shared" ca="1" si="37"/>
        <v>2</v>
      </c>
      <c r="F21" s="1">
        <f t="shared" ca="1" si="38"/>
        <v>1</v>
      </c>
      <c r="G21" s="1">
        <f t="shared" ca="1" si="39"/>
        <v>1</v>
      </c>
      <c r="H21" s="1">
        <f t="shared" ca="1" si="40"/>
        <v>198</v>
      </c>
      <c r="I21" s="1">
        <f t="shared" ca="1" si="40"/>
        <v>206</v>
      </c>
      <c r="J21" s="13">
        <f t="shared" ca="1" si="40"/>
        <v>-8</v>
      </c>
      <c r="K21" s="1">
        <f ca="1">IF(Einstellungen!$G$9,J8,$AT8)</f>
        <v>5</v>
      </c>
      <c r="L21" s="694">
        <f ca="1">K21*$F$64+(AU8+$H$65)*$F$65*Einstellungen!$G$14+AT8*$F$66*Einstellungen!$G$19+AX8*$F$67</f>
        <v>5000000.0060000001</v>
      </c>
      <c r="M21" s="14">
        <f t="shared" ca="1" si="50"/>
        <v>1</v>
      </c>
      <c r="N21" s="14">
        <f t="array" aca="1" ref="N21" ca="1">IF($AI$15,SUM(($K$17:$K$25&gt;=K21)/COUNTIF($K$17:$K$25,$K$17:$K$25)),SUM(($L$17:$L$25&gt;=L21)/COUNTIF($L$17:$L$25,$L$17:$L$25)))</f>
        <v>3</v>
      </c>
      <c r="O21" s="6" t="str">
        <f t="shared" ca="1" si="41"/>
        <v/>
      </c>
      <c r="P21" s="4" t="str">
        <f t="shared" ca="1" si="42"/>
        <v/>
      </c>
      <c r="Q21" s="4" t="str">
        <f t="shared" ca="1" si="43"/>
        <v/>
      </c>
      <c r="R21" s="4" t="str">
        <f t="shared" ca="1" si="44"/>
        <v/>
      </c>
      <c r="S21" s="4" t="str">
        <f t="shared" ca="1" si="45"/>
        <v/>
      </c>
      <c r="T21" s="4" t="str">
        <f t="shared" ca="1" si="46"/>
        <v/>
      </c>
      <c r="U21" s="4" t="str">
        <f t="shared" ca="1" si="47"/>
        <v/>
      </c>
      <c r="V21" s="55" t="str">
        <f t="shared" ca="1" si="48"/>
        <v/>
      </c>
      <c r="W21" s="62">
        <f t="shared" ca="1" si="51"/>
        <v>500000</v>
      </c>
      <c r="X21" s="22">
        <f t="shared" ca="1" si="56"/>
        <v>3.0108999999999999</v>
      </c>
      <c r="Y21" s="13">
        <f>Vorrunde!$AZ16+$AD21</f>
        <v>0</v>
      </c>
      <c r="Z21" s="1">
        <f t="shared" ca="1" si="52"/>
        <v>1.9</v>
      </c>
      <c r="AA21" s="1">
        <f t="shared" ca="1" si="53"/>
        <v>0</v>
      </c>
      <c r="AB21" s="1">
        <f t="shared" ca="1" si="54"/>
        <v>0</v>
      </c>
      <c r="AC21" s="1">
        <f t="shared" ca="1" si="55"/>
        <v>0</v>
      </c>
      <c r="AD21" s="613">
        <f>IF($C21="",0,COUNTIF(Playoffs!$U$12:$U$17,$C21))</f>
        <v>0</v>
      </c>
      <c r="AE21" s="615"/>
      <c r="AF21" s="613"/>
      <c r="AG21" s="613"/>
      <c r="AH21" s="616"/>
      <c r="AI21" s="613"/>
    </row>
    <row r="22" spans="2:80" s="2" customFormat="1" x14ac:dyDescent="0.2">
      <c r="C22" s="2" t="str">
        <f t="shared" si="49"/>
        <v/>
      </c>
      <c r="D22" s="1">
        <f t="shared" ca="1" si="36"/>
        <v>0</v>
      </c>
      <c r="E22" s="1">
        <f t="shared" ca="1" si="37"/>
        <v>0</v>
      </c>
      <c r="F22" s="1">
        <f t="shared" ca="1" si="38"/>
        <v>0</v>
      </c>
      <c r="G22" s="1">
        <f t="shared" ca="1" si="39"/>
        <v>0</v>
      </c>
      <c r="H22" s="1">
        <f t="shared" ca="1" si="40"/>
        <v>0</v>
      </c>
      <c r="I22" s="1">
        <f t="shared" ca="1" si="40"/>
        <v>0</v>
      </c>
      <c r="J22" s="13">
        <f t="shared" ca="1" si="40"/>
        <v>0</v>
      </c>
      <c r="K22" s="1">
        <f ca="1">IF(Einstellungen!$G$9,J9,$AT9)</f>
        <v>0</v>
      </c>
      <c r="L22" s="694">
        <f ca="1">K22*$F$64+(AU9+$H$65)*$F$65*Einstellungen!$G$14+AT9*$F$66*Einstellungen!$G$19+AX9*$F$67</f>
        <v>1E-3</v>
      </c>
      <c r="M22" s="14">
        <f t="shared" ca="1" si="50"/>
        <v>4</v>
      </c>
      <c r="N22" s="14">
        <f t="array" aca="1" ref="N22" ca="1">IF($AI$15,SUM(($K$17:$K$25&gt;=K22)/COUNTIF($K$17:$K$25,$K$17:$K$25)),SUM(($L$17:$L$25&gt;=L22)/COUNTIF($L$17:$L$25,$L$17:$L$25)))</f>
        <v>6</v>
      </c>
      <c r="O22" s="6" t="str">
        <f t="shared" ca="1" si="41"/>
        <v/>
      </c>
      <c r="P22" s="4" t="str">
        <f t="shared" ca="1" si="42"/>
        <v/>
      </c>
      <c r="Q22" s="4" t="str">
        <f t="shared" ca="1" si="43"/>
        <v/>
      </c>
      <c r="R22" s="4" t="str">
        <f t="shared" ca="1" si="44"/>
        <v/>
      </c>
      <c r="S22" s="4" t="str">
        <f t="shared" ca="1" si="45"/>
        <v/>
      </c>
      <c r="T22" s="4" t="str">
        <f t="shared" ca="1" si="46"/>
        <v/>
      </c>
      <c r="U22" s="4" t="str">
        <f t="shared" ca="1" si="47"/>
        <v/>
      </c>
      <c r="V22" s="55" t="str">
        <f t="shared" ca="1" si="48"/>
        <v/>
      </c>
      <c r="W22" s="62">
        <f t="shared" ca="1" si="51"/>
        <v>500000</v>
      </c>
      <c r="X22" s="22">
        <f t="shared" ca="1" si="56"/>
        <v>106.01089999999999</v>
      </c>
      <c r="Y22" s="13">
        <f>Vorrunde!$AZ17+$AD22</f>
        <v>0</v>
      </c>
      <c r="Z22" s="1">
        <f t="shared" ca="1" si="52"/>
        <v>1.9</v>
      </c>
      <c r="AA22" s="1">
        <f t="shared" ca="1" si="53"/>
        <v>0</v>
      </c>
      <c r="AB22" s="1">
        <f t="shared" ca="1" si="54"/>
        <v>0</v>
      </c>
      <c r="AC22" s="1">
        <f t="shared" ca="1" si="55"/>
        <v>0</v>
      </c>
      <c r="AD22" s="613">
        <f>IF($C22="",0,COUNTIF(Playoffs!$U$12:$U$17,$C22))</f>
        <v>0</v>
      </c>
      <c r="AE22" s="615"/>
      <c r="AF22" s="613"/>
      <c r="AG22" s="613"/>
      <c r="AH22" s="616"/>
      <c r="AI22" s="613"/>
    </row>
    <row r="23" spans="2:80" s="2" customFormat="1" x14ac:dyDescent="0.2">
      <c r="C23" s="2" t="str">
        <f t="shared" si="49"/>
        <v/>
      </c>
      <c r="D23" s="1">
        <f t="shared" ca="1" si="36"/>
        <v>0</v>
      </c>
      <c r="E23" s="1">
        <f t="shared" ca="1" si="37"/>
        <v>0</v>
      </c>
      <c r="F23" s="1">
        <f t="shared" ca="1" si="38"/>
        <v>0</v>
      </c>
      <c r="G23" s="1">
        <f t="shared" ca="1" si="39"/>
        <v>0</v>
      </c>
      <c r="H23" s="1">
        <f t="shared" ca="1" si="40"/>
        <v>0</v>
      </c>
      <c r="I23" s="1">
        <f t="shared" ca="1" si="40"/>
        <v>0</v>
      </c>
      <c r="J23" s="13">
        <f t="shared" ca="1" si="40"/>
        <v>0</v>
      </c>
      <c r="K23" s="1">
        <f ca="1">IF(Einstellungen!$G$9,J10,$AT10)</f>
        <v>0</v>
      </c>
      <c r="L23" s="694">
        <f ca="1">K23*$F$64+(AU10+$H$65)*$F$65*Einstellungen!$G$14+AT10*$F$66*Einstellungen!$G$19+AX10*$F$67</f>
        <v>1E-3</v>
      </c>
      <c r="M23" s="14">
        <f t="shared" ca="1" si="50"/>
        <v>4</v>
      </c>
      <c r="N23" s="14">
        <f t="array" aca="1" ref="N23" ca="1">IF($AI$15,SUM(($K$17:$K$25&gt;=K23)/COUNTIF($K$17:$K$25,$K$17:$K$25)),SUM(($L$17:$L$25&gt;=L23)/COUNTIF($L$17:$L$25,$L$17:$L$25)))</f>
        <v>6</v>
      </c>
      <c r="O23" s="6" t="str">
        <f t="shared" ca="1" si="41"/>
        <v/>
      </c>
      <c r="P23" s="4" t="str">
        <f t="shared" ca="1" si="42"/>
        <v/>
      </c>
      <c r="Q23" s="4" t="str">
        <f t="shared" ca="1" si="43"/>
        <v/>
      </c>
      <c r="R23" s="4" t="str">
        <f t="shared" ca="1" si="44"/>
        <v/>
      </c>
      <c r="S23" s="4" t="str">
        <f t="shared" ca="1" si="45"/>
        <v/>
      </c>
      <c r="T23" s="4" t="str">
        <f t="shared" ca="1" si="46"/>
        <v/>
      </c>
      <c r="U23" s="4" t="str">
        <f t="shared" ca="1" si="47"/>
        <v/>
      </c>
      <c r="V23" s="55" t="str">
        <f t="shared" ca="1" si="48"/>
        <v/>
      </c>
      <c r="W23" s="62">
        <f t="shared" ca="1" si="51"/>
        <v>500000</v>
      </c>
      <c r="X23" s="22">
        <f t="shared" ca="1" si="56"/>
        <v>106.01089999999999</v>
      </c>
      <c r="Y23" s="13">
        <f>Vorrunde!$AZ18+$AD23</f>
        <v>0</v>
      </c>
      <c r="Z23" s="1">
        <f t="shared" ca="1" si="52"/>
        <v>1.9</v>
      </c>
      <c r="AA23" s="1">
        <f t="shared" ca="1" si="53"/>
        <v>0</v>
      </c>
      <c r="AB23" s="1">
        <f t="shared" ca="1" si="54"/>
        <v>0</v>
      </c>
      <c r="AC23" s="1">
        <f t="shared" ca="1" si="55"/>
        <v>0</v>
      </c>
      <c r="AD23" s="613">
        <f>IF($C23="",0,COUNTIF(Playoffs!$U$12:$U$17,$C23))</f>
        <v>0</v>
      </c>
      <c r="AE23" s="615"/>
      <c r="AF23" s="613"/>
      <c r="AG23" s="613"/>
      <c r="AH23" s="616"/>
      <c r="AI23" s="613"/>
    </row>
    <row r="24" spans="2:80" s="2" customFormat="1" x14ac:dyDescent="0.2">
      <c r="C24" s="2" t="str">
        <f t="shared" si="49"/>
        <v/>
      </c>
      <c r="D24" s="1">
        <f t="shared" ca="1" si="36"/>
        <v>0</v>
      </c>
      <c r="E24" s="1">
        <f t="shared" ca="1" si="37"/>
        <v>0</v>
      </c>
      <c r="F24" s="1">
        <f t="shared" ca="1" si="38"/>
        <v>0</v>
      </c>
      <c r="G24" s="1">
        <f t="shared" ca="1" si="39"/>
        <v>0</v>
      </c>
      <c r="H24" s="1">
        <f t="shared" ref="H24:J24" ca="1" si="57">G11</f>
        <v>0</v>
      </c>
      <c r="I24" s="1">
        <f t="shared" ca="1" si="57"/>
        <v>0</v>
      </c>
      <c r="J24" s="13">
        <f t="shared" ca="1" si="57"/>
        <v>0</v>
      </c>
      <c r="K24" s="1">
        <f ca="1">IF(Einstellungen!$G$9,J11,$AT11)</f>
        <v>0</v>
      </c>
      <c r="L24" s="694">
        <f ca="1">K24*$F$64+(AU11+$H$65)*$F$65*Einstellungen!$G$14+AT11*$F$66*Einstellungen!$G$19+AX11*$F$67</f>
        <v>1E-3</v>
      </c>
      <c r="M24" s="14">
        <f t="shared" ca="1" si="50"/>
        <v>4</v>
      </c>
      <c r="N24" s="14">
        <f t="array" aca="1" ref="N24" ca="1">IF($AI$15,SUM(($K$17:$K$25&gt;=K24)/COUNTIF($K$17:$K$25,$K$17:$K$25)),SUM(($L$17:$L$25&gt;=L24)/COUNTIF($L$17:$L$25,$L$17:$L$25)))</f>
        <v>6</v>
      </c>
      <c r="O24" s="6" t="str">
        <f t="shared" ca="1" si="41"/>
        <v/>
      </c>
      <c r="P24" s="4" t="str">
        <f t="shared" ca="1" si="42"/>
        <v/>
      </c>
      <c r="Q24" s="4" t="str">
        <f t="shared" ca="1" si="43"/>
        <v/>
      </c>
      <c r="R24" s="4" t="str">
        <f t="shared" ca="1" si="44"/>
        <v/>
      </c>
      <c r="S24" s="4" t="str">
        <f t="shared" ca="1" si="45"/>
        <v/>
      </c>
      <c r="T24" s="4" t="str">
        <f t="shared" ca="1" si="46"/>
        <v/>
      </c>
      <c r="U24" s="4" t="str">
        <f t="shared" ca="1" si="47"/>
        <v/>
      </c>
      <c r="V24" s="55" t="str">
        <f t="shared" ca="1" si="48"/>
        <v/>
      </c>
      <c r="W24" s="62">
        <f t="shared" ca="1" si="51"/>
        <v>500000</v>
      </c>
      <c r="X24" s="22">
        <f t="shared" ca="1" si="56"/>
        <v>106.01089999999999</v>
      </c>
      <c r="Y24" s="13">
        <f>Vorrunde!$AZ19+$AD24</f>
        <v>0</v>
      </c>
      <c r="Z24" s="1">
        <f t="shared" ca="1" si="52"/>
        <v>1.9</v>
      </c>
      <c r="AA24" s="1">
        <f t="shared" ca="1" si="53"/>
        <v>0</v>
      </c>
      <c r="AB24" s="1">
        <f t="shared" ca="1" si="54"/>
        <v>0</v>
      </c>
      <c r="AC24" s="1">
        <f t="shared" ca="1" si="55"/>
        <v>0</v>
      </c>
      <c r="AD24" s="613">
        <f>IF($C24="",0,COUNTIF(Playoffs!$U$12:$U$17,$C24))</f>
        <v>0</v>
      </c>
      <c r="AE24" s="615"/>
      <c r="AF24" s="613"/>
      <c r="AG24" s="613"/>
      <c r="AH24" s="616"/>
      <c r="AI24" s="613"/>
    </row>
    <row r="25" spans="2:80" s="2" customFormat="1" ht="12.75" thickBot="1" x14ac:dyDescent="0.25">
      <c r="C25" s="2" t="str">
        <f t="shared" si="49"/>
        <v/>
      </c>
      <c r="D25" s="1">
        <f t="shared" ca="1" si="36"/>
        <v>0</v>
      </c>
      <c r="E25" s="1">
        <f t="shared" ca="1" si="37"/>
        <v>0</v>
      </c>
      <c r="F25" s="1">
        <f t="shared" ca="1" si="38"/>
        <v>0</v>
      </c>
      <c r="G25" s="1">
        <f t="shared" ca="1" si="39"/>
        <v>0</v>
      </c>
      <c r="H25" s="1">
        <f t="shared" ref="H25:J25" ca="1" si="58">G12</f>
        <v>0</v>
      </c>
      <c r="I25" s="1">
        <f t="shared" ca="1" si="58"/>
        <v>0</v>
      </c>
      <c r="J25" s="13">
        <f t="shared" ca="1" si="58"/>
        <v>0</v>
      </c>
      <c r="K25" s="1">
        <f ca="1">IF(Einstellungen!$G$9,J12,$AT12)</f>
        <v>0</v>
      </c>
      <c r="L25" s="694">
        <f ca="1">K25*$F$64+(AU12+$H$65)*$F$65*Einstellungen!$G$14+AT12*$F$66*Einstellungen!$G$19+AX12*$F$67</f>
        <v>1E-3</v>
      </c>
      <c r="M25" s="14">
        <f t="shared" ca="1" si="50"/>
        <v>4</v>
      </c>
      <c r="N25" s="14">
        <f t="array" aca="1" ref="N25" ca="1">IF($AI$15,SUM(($K$17:$K$25&gt;=K25)/COUNTIF($K$17:$K$25,$K$17:$K$25)),SUM(($L$17:$L$25&gt;=L25)/COUNTIF($L$17:$L$25,$L$17:$L$25)))</f>
        <v>6</v>
      </c>
      <c r="O25" s="56" t="str">
        <f t="shared" ca="1" si="41"/>
        <v/>
      </c>
      <c r="P25" s="57" t="str">
        <f t="shared" ca="1" si="42"/>
        <v/>
      </c>
      <c r="Q25" s="57" t="str">
        <f t="shared" ca="1" si="43"/>
        <v/>
      </c>
      <c r="R25" s="57" t="str">
        <f t="shared" ca="1" si="44"/>
        <v/>
      </c>
      <c r="S25" s="57" t="str">
        <f t="shared" ca="1" si="45"/>
        <v/>
      </c>
      <c r="T25" s="57" t="str">
        <f t="shared" ca="1" si="46"/>
        <v/>
      </c>
      <c r="U25" s="57" t="str">
        <f t="shared" ca="1" si="47"/>
        <v/>
      </c>
      <c r="V25" s="58" t="str">
        <f t="shared" ca="1" si="48"/>
        <v/>
      </c>
      <c r="W25" s="62">
        <f t="shared" ca="1" si="51"/>
        <v>500000</v>
      </c>
      <c r="X25" s="23">
        <f t="shared" ca="1" si="56"/>
        <v>106.01089999999999</v>
      </c>
      <c r="Y25" s="13">
        <f>Vorrunde!$AZ20+$AD25</f>
        <v>0</v>
      </c>
      <c r="Z25" s="1">
        <f t="shared" ca="1" si="52"/>
        <v>1.9</v>
      </c>
      <c r="AA25" s="1">
        <f t="shared" ca="1" si="53"/>
        <v>0</v>
      </c>
      <c r="AB25" s="1">
        <f t="shared" ca="1" si="54"/>
        <v>0</v>
      </c>
      <c r="AC25" s="1">
        <f t="shared" ca="1" si="55"/>
        <v>0</v>
      </c>
      <c r="AD25" s="613">
        <f>IF($C25="",0,COUNTIF(Playoffs!$U$12:$U$17,$C25))</f>
        <v>0</v>
      </c>
      <c r="AE25" s="615"/>
      <c r="AF25" s="613"/>
      <c r="AG25" s="613"/>
      <c r="AH25" s="616"/>
      <c r="AI25" s="613"/>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596" t="s">
        <v>384</v>
      </c>
      <c r="E29" s="985">
        <v>1</v>
      </c>
      <c r="F29" s="982"/>
      <c r="G29" s="982"/>
      <c r="H29" s="982"/>
      <c r="I29" s="982"/>
      <c r="J29" s="982"/>
      <c r="K29" s="982"/>
      <c r="L29" s="984"/>
      <c r="M29" s="981">
        <v>2</v>
      </c>
      <c r="N29" s="982"/>
      <c r="O29" s="982"/>
      <c r="P29" s="982"/>
      <c r="Q29" s="982"/>
      <c r="R29" s="982"/>
      <c r="S29" s="982"/>
      <c r="T29" s="984"/>
      <c r="U29" s="981">
        <v>3</v>
      </c>
      <c r="V29" s="982"/>
      <c r="W29" s="982"/>
      <c r="X29" s="982"/>
      <c r="Y29" s="982"/>
      <c r="Z29" s="982"/>
      <c r="AA29" s="982"/>
      <c r="AB29" s="984"/>
      <c r="AC29" s="981">
        <v>4</v>
      </c>
      <c r="AD29" s="982"/>
      <c r="AE29" s="982"/>
      <c r="AF29" s="982"/>
      <c r="AG29" s="982"/>
      <c r="AH29" s="982"/>
      <c r="AI29" s="982"/>
      <c r="AJ29" s="984"/>
      <c r="AK29" s="981">
        <v>5</v>
      </c>
      <c r="AL29" s="982"/>
      <c r="AM29" s="982"/>
      <c r="AN29" s="982"/>
      <c r="AO29" s="982"/>
      <c r="AP29" s="982"/>
      <c r="AQ29" s="982"/>
      <c r="AR29" s="984"/>
      <c r="AS29" s="981">
        <v>6</v>
      </c>
      <c r="AT29" s="982"/>
      <c r="AU29" s="982"/>
      <c r="AV29" s="982"/>
      <c r="AW29" s="982"/>
      <c r="AX29" s="982"/>
      <c r="AY29" s="982"/>
      <c r="AZ29" s="984"/>
      <c r="BA29" s="981">
        <v>7</v>
      </c>
      <c r="BB29" s="982"/>
      <c r="BC29" s="982"/>
      <c r="BD29" s="982"/>
      <c r="BE29" s="982"/>
      <c r="BF29" s="982"/>
      <c r="BG29" s="982"/>
      <c r="BH29" s="984"/>
      <c r="BI29" s="981">
        <v>8</v>
      </c>
      <c r="BJ29" s="982"/>
      <c r="BK29" s="982"/>
      <c r="BL29" s="982"/>
      <c r="BM29" s="982"/>
      <c r="BN29" s="982"/>
      <c r="BO29" s="982"/>
      <c r="BP29" s="983"/>
      <c r="BQ29" s="13"/>
      <c r="BR29" s="5" t="s">
        <v>94</v>
      </c>
      <c r="BS29" s="2" t="str">
        <f>$F$4</f>
        <v>1. FC Riedwald</v>
      </c>
      <c r="BT29" s="2" t="str">
        <f>$F$5</f>
        <v>FC Barcelona</v>
      </c>
      <c r="BU29" s="2" t="str">
        <f>$F$6</f>
        <v>Eintracht Frankfurt</v>
      </c>
      <c r="BV29" s="2" t="str">
        <f>$F$7</f>
        <v>Maibach 1822 eV</v>
      </c>
      <c r="BW29" s="2" t="str">
        <f>$F$8</f>
        <v>VFB Essenheim</v>
      </c>
      <c r="BX29" s="2" t="str">
        <f>$F$9</f>
        <v/>
      </c>
      <c r="BY29" s="2" t="str">
        <f>$F$10</f>
        <v/>
      </c>
      <c r="BZ29" s="2" t="str">
        <f>$F$11</f>
        <v/>
      </c>
      <c r="CA29" s="2" t="str">
        <f>$F$12</f>
        <v/>
      </c>
      <c r="CB29" s="51"/>
    </row>
    <row r="30" spans="2:80" s="2" customFormat="1" x14ac:dyDescent="0.2">
      <c r="C30" s="2" t="str">
        <f>$Q64</f>
        <v>1. FC Riedwald</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59">F4</f>
        <v>1. FC Riedwald</v>
      </c>
      <c r="BS30" s="7"/>
      <c r="BT30" s="8">
        <f t="shared" ref="BT30:CA32" ca="1" si="60">SUMIFS($AH$64:$AH$135,$V$64:$V$135,$BR30,$W$64:$W$135,BT$29)+SUMIFS($AI$64:$AI$135,$W$64:$W$135,$BR30,$V$64:$V$135,BT$29)</f>
        <v>50</v>
      </c>
      <c r="BU30" s="8">
        <f t="shared" ca="1" si="60"/>
        <v>42</v>
      </c>
      <c r="BV30" s="8">
        <f t="shared" ca="1" si="60"/>
        <v>41</v>
      </c>
      <c r="BW30" s="8">
        <f t="shared" ca="1" si="60"/>
        <v>44</v>
      </c>
      <c r="BX30" s="8">
        <f t="shared" ca="1" si="60"/>
        <v>0</v>
      </c>
      <c r="BY30" s="8">
        <f t="shared" ca="1" si="60"/>
        <v>0</v>
      </c>
      <c r="BZ30" s="8">
        <f t="shared" ca="1" si="60"/>
        <v>0</v>
      </c>
      <c r="CA30" s="8">
        <f t="shared" ca="1" si="60"/>
        <v>0</v>
      </c>
      <c r="CB30" s="4"/>
    </row>
    <row r="31" spans="2:80" s="2" customFormat="1" x14ac:dyDescent="0.2">
      <c r="C31" s="2" t="str">
        <f t="shared" ref="C31:C38" si="61">$Q65</f>
        <v>FC Barcelona</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59"/>
        <v>FC Barcelona</v>
      </c>
      <c r="BS31" s="9">
        <f t="shared" ref="BS31:BU38" ca="1" si="62">SUMIFS($AH$64:$AH$135,$V$64:$V$135,$BR31,$W$64:$W$135,BS$29)+SUMIFS($AI$64:$AI$135,$W$64:$W$135,$BR31,$V$64:$V$135,BS$29)</f>
        <v>37</v>
      </c>
      <c r="BT31" s="7"/>
      <c r="BU31" s="8">
        <f t="shared" ca="1" si="60"/>
        <v>48</v>
      </c>
      <c r="BV31" s="8">
        <f t="shared" ca="1" si="60"/>
        <v>29</v>
      </c>
      <c r="BW31" s="8">
        <f t="shared" ca="1" si="60"/>
        <v>65</v>
      </c>
      <c r="BX31" s="8">
        <f t="shared" ca="1" si="60"/>
        <v>0</v>
      </c>
      <c r="BY31" s="8">
        <f t="shared" ca="1" si="60"/>
        <v>0</v>
      </c>
      <c r="BZ31" s="8">
        <f t="shared" ca="1" si="60"/>
        <v>0</v>
      </c>
      <c r="CA31" s="8">
        <f t="shared" ca="1" si="60"/>
        <v>0</v>
      </c>
      <c r="CB31" s="4"/>
    </row>
    <row r="32" spans="2:80" s="2" customFormat="1" x14ac:dyDescent="0.2">
      <c r="C32" s="2" t="str">
        <f t="shared" si="61"/>
        <v>Eintracht Frankfurt</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59"/>
        <v>Eintracht Frankfurt</v>
      </c>
      <c r="BS32" s="9">
        <f t="shared" ca="1" si="62"/>
        <v>46</v>
      </c>
      <c r="BT32" s="9">
        <f t="shared" ca="1" si="62"/>
        <v>48</v>
      </c>
      <c r="BU32" s="7"/>
      <c r="BV32" s="8">
        <f t="shared" ca="1" si="60"/>
        <v>50</v>
      </c>
      <c r="BW32" s="8">
        <f t="shared" ca="1" si="60"/>
        <v>47</v>
      </c>
      <c r="BX32" s="8">
        <f t="shared" ca="1" si="60"/>
        <v>0</v>
      </c>
      <c r="BY32" s="8">
        <f t="shared" ca="1" si="60"/>
        <v>0</v>
      </c>
      <c r="BZ32" s="8">
        <f t="shared" ca="1" si="60"/>
        <v>0</v>
      </c>
      <c r="CA32" s="8">
        <f t="shared" ca="1" si="60"/>
        <v>0</v>
      </c>
      <c r="CB32" s="4"/>
    </row>
    <row r="33" spans="2:80" s="2" customFormat="1" x14ac:dyDescent="0.2">
      <c r="C33" s="2" t="str">
        <f t="shared" si="61"/>
        <v>Maibach 1822 eV</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59"/>
        <v>Maibach 1822 eV</v>
      </c>
      <c r="BS33" s="9">
        <f t="shared" ca="1" si="62"/>
        <v>43</v>
      </c>
      <c r="BT33" s="9">
        <f t="shared" ca="1" si="62"/>
        <v>50</v>
      </c>
      <c r="BU33" s="9">
        <f t="shared" ca="1" si="62"/>
        <v>36</v>
      </c>
      <c r="BV33" s="7"/>
      <c r="BW33" s="8">
        <f ca="1">SUMIFS($AH$64:$AH$135,$V$64:$V$135,$BR33,$W$64:$W$135,BW$29)+SUMIFS($AI$64:$AI$135,$W$64:$W$135,$BR33,$V$64:$V$135,BW$29)</f>
        <v>50</v>
      </c>
      <c r="BX33" s="8">
        <f ca="1">SUMIFS($AH$64:$AH$135,$V$64:$V$135,$BR33,$W$64:$W$135,BX$29)+SUMIFS($AI$64:$AI$135,$W$64:$W$135,$BR33,$V$64:$V$135,BX$29)</f>
        <v>0</v>
      </c>
      <c r="BY33" s="8">
        <f ca="1">SUMIFS($AH$64:$AH$135,$V$64:$V$135,$BR33,$W$64:$W$135,BY$29)+SUMIFS($AI$64:$AI$135,$W$64:$W$135,$BR33,$V$64:$V$135,BY$29)</f>
        <v>0</v>
      </c>
      <c r="BZ33" s="8">
        <f ca="1">SUMIFS($AH$64:$AH$135,$V$64:$V$135,$BR33,$W$64:$W$135,BZ$29)+SUMIFS($AI$64:$AI$135,$W$64:$W$135,$BR33,$V$64:$V$135,BZ$29)</f>
        <v>0</v>
      </c>
      <c r="CA33" s="8">
        <f ca="1">SUMIFS($AH$64:$AH$135,$V$64:$V$135,$BR33,$W$64:$W$135,CA$29)+SUMIFS($AI$64:$AI$135,$W$64:$W$135,$BR33,$V$64:$V$135,CA$29)</f>
        <v>0</v>
      </c>
      <c r="CB33" s="4"/>
    </row>
    <row r="34" spans="2:80" s="2" customFormat="1" x14ac:dyDescent="0.2">
      <c r="C34" s="2" t="str">
        <f t="shared" si="61"/>
        <v>VFB Essenheim</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59"/>
        <v>VFB Essenheim</v>
      </c>
      <c r="BS34" s="9">
        <f t="shared" ca="1" si="62"/>
        <v>50</v>
      </c>
      <c r="BT34" s="9">
        <f t="shared" ca="1" si="62"/>
        <v>63</v>
      </c>
      <c r="BU34" s="9">
        <f t="shared" ca="1" si="62"/>
        <v>45</v>
      </c>
      <c r="BV34" s="9">
        <f ca="1">SUMIFS($AH$64:$AH$135,$V$64:$V$135,$BR34,$W$64:$W$135,BV$29)+SUMIFS($AI$64:$AI$135,$W$64:$W$135,$BR34,$V$64:$V$135,BV$29)</f>
        <v>40</v>
      </c>
      <c r="BW34" s="7"/>
      <c r="BX34" s="8">
        <f ca="1">SUMIFS($AH$64:$AH$135,$V$64:$V$135,$BR34,$W$64:$W$135,BX$29)+SUMIFS($AI$64:$AI$135,$W$64:$W$135,$BR34,$V$64:$V$135,BX$29)</f>
        <v>0</v>
      </c>
      <c r="BY34" s="8">
        <f ca="1">SUMIFS($AH$64:$AH$135,$V$64:$V$135,$BR34,$W$64:$W$135,BY$29)+SUMIFS($AI$64:$AI$135,$W$64:$W$135,$BR34,$V$64:$V$135,BY$29)</f>
        <v>0</v>
      </c>
      <c r="BZ34" s="8">
        <f ca="1">SUMIFS($AH$64:$AH$135,$V$64:$V$135,$BR34,$W$64:$W$135,BZ$29)+SUMIFS($AI$64:$AI$135,$W$64:$W$135,$BR34,$V$64:$V$135,BZ$29)</f>
        <v>0</v>
      </c>
      <c r="CA34" s="8">
        <f ca="1">SUMIFS($AH$64:$AH$135,$V$64:$V$135,$BR34,$W$64:$W$135,CA$29)+SUMIFS($AI$64:$AI$135,$W$64:$W$135,$BR34,$V$64:$V$135,CA$29)</f>
        <v>0</v>
      </c>
      <c r="CB34" s="4"/>
    </row>
    <row r="35" spans="2:80" s="2" customFormat="1" x14ac:dyDescent="0.2">
      <c r="C35" s="2" t="str">
        <f t="shared" si="61"/>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59"/>
        <v/>
      </c>
      <c r="BS35" s="9">
        <f t="shared" ca="1" si="62"/>
        <v>0</v>
      </c>
      <c r="BT35" s="9">
        <f t="shared" ca="1" si="62"/>
        <v>0</v>
      </c>
      <c r="BU35" s="9">
        <f t="shared" ca="1" si="62"/>
        <v>0</v>
      </c>
      <c r="BV35" s="9">
        <f ca="1">SUMIFS($AH$64:$AH$135,$V$64:$V$135,$BR35,$W$64:$W$135,BV$29)+SUMIFS($AI$64:$AI$135,$W$64:$W$135,$BR35,$V$64:$V$135,BV$29)</f>
        <v>0</v>
      </c>
      <c r="BW35" s="9">
        <f ca="1">SUMIFS($AH$64:$AH$135,$V$64:$V$135,$BR35,$W$64:$W$135,BW$29)+SUMIFS($AI$64:$AI$135,$W$64:$W$135,$BR35,$V$64:$V$135,BW$29)</f>
        <v>0</v>
      </c>
      <c r="BX35" s="7"/>
      <c r="BY35" s="8">
        <f ca="1">SUMIFS($AH$64:$AH$135,$V$64:$V$135,$BR35,$W$64:$W$135,BY$29)+SUMIFS($AI$64:$AI$135,$W$64:$W$135,$BR35,$V$64:$V$135,BY$29)</f>
        <v>0</v>
      </c>
      <c r="BZ35" s="8">
        <f ca="1">SUMIFS($AH$64:$AH$135,$V$64:$V$135,$BR35,$W$64:$W$135,BZ$29)+SUMIFS($AI$64:$AI$135,$W$64:$W$135,$BR35,$V$64:$V$135,BZ$29)</f>
        <v>0</v>
      </c>
      <c r="CA35" s="8">
        <f ca="1">SUMIFS($AH$64:$AH$135,$V$64:$V$135,$BR35,$W$64:$W$135,CA$29)+SUMIFS($AI$64:$AI$135,$W$64:$W$135,$BR35,$V$64:$V$135,CA$29)</f>
        <v>0</v>
      </c>
      <c r="CB35" s="4"/>
    </row>
    <row r="36" spans="2:80" s="2" customFormat="1" x14ac:dyDescent="0.2">
      <c r="C36" s="2" t="str">
        <f t="shared" si="61"/>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59"/>
        <v/>
      </c>
      <c r="BS36" s="9">
        <f t="shared" ca="1" si="62"/>
        <v>0</v>
      </c>
      <c r="BT36" s="9">
        <f t="shared" ca="1" si="62"/>
        <v>0</v>
      </c>
      <c r="BU36" s="9">
        <f t="shared" ca="1" si="62"/>
        <v>0</v>
      </c>
      <c r="BV36" s="9">
        <f ca="1">SUMIFS($AH$64:$AH$135,$V$64:$V$135,$BR36,$W$64:$W$135,BV$29)+SUMIFS($AI$64:$AI$135,$W$64:$W$135,$BR36,$V$64:$V$135,BV$29)</f>
        <v>0</v>
      </c>
      <c r="BW36" s="9">
        <f ca="1">SUMIFS($AH$64:$AH$135,$V$64:$V$135,$BR36,$W$64:$W$135,BW$29)+SUMIFS($AI$64:$AI$135,$W$64:$W$135,$BR36,$V$64:$V$135,BW$29)</f>
        <v>0</v>
      </c>
      <c r="BX36" s="9">
        <f ca="1">SUMIFS($AH$64:$AH$135,$V$64:$V$135,$BR36,$W$64:$W$135,BX$29)+SUMIFS($AI$64:$AI$135,$W$64:$W$135,$BR36,$V$64:$V$135,BX$29)</f>
        <v>0</v>
      </c>
      <c r="BY36" s="7"/>
      <c r="BZ36" s="8">
        <f ca="1">SUMIFS($AH$64:$AH$135,$V$64:$V$135,$BR36,$W$64:$W$135,BZ$29)+SUMIFS($AI$64:$AI$135,$W$64:$W$135,$BR36,$V$64:$V$135,BZ$29)</f>
        <v>0</v>
      </c>
      <c r="CA36" s="8">
        <f ca="1">SUMIFS($AH$64:$AH$135,$V$64:$V$135,$BR36,$W$64:$W$135,CA$29)+SUMIFS($AI$64:$AI$135,$W$64:$W$135,$BR36,$V$64:$V$135,CA$29)</f>
        <v>0</v>
      </c>
      <c r="CB36" s="4"/>
    </row>
    <row r="37" spans="2:80" s="2" customFormat="1" x14ac:dyDescent="0.2">
      <c r="C37" s="2" t="str">
        <f t="shared" si="61"/>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59"/>
        <v/>
      </c>
      <c r="BS37" s="9">
        <f t="shared" ca="1" si="62"/>
        <v>0</v>
      </c>
      <c r="BT37" s="9">
        <f t="shared" ca="1" si="62"/>
        <v>0</v>
      </c>
      <c r="BU37" s="9">
        <f t="shared" ca="1" si="62"/>
        <v>0</v>
      </c>
      <c r="BV37" s="9">
        <f ca="1">SUMIFS($AH$64:$AH$135,$V$64:$V$135,$BR37,$W$64:$W$135,BV$29)+SUMIFS($AI$64:$AI$135,$W$64:$W$135,$BR37,$V$64:$V$135,BV$29)</f>
        <v>0</v>
      </c>
      <c r="BW37" s="9">
        <f ca="1">SUMIFS($AH$64:$AH$135,$V$64:$V$135,$BR37,$W$64:$W$135,BW$29)+SUMIFS($AI$64:$AI$135,$W$64:$W$135,$BR37,$V$64:$V$135,BW$29)</f>
        <v>0</v>
      </c>
      <c r="BX37" s="9">
        <f ca="1">SUMIFS($AH$64:$AH$135,$V$64:$V$135,$BR37,$W$64:$W$135,BX$29)+SUMIFS($AI$64:$AI$135,$W$64:$W$135,$BR37,$V$64:$V$135,BX$29)</f>
        <v>0</v>
      </c>
      <c r="BY37" s="9">
        <f ca="1">SUMIFS($AH$64:$AH$135,$V$64:$V$135,$BR37,$W$64:$W$135,BY$29)+SUMIFS($AI$64:$AI$135,$W$64:$W$135,$BR37,$V$64:$V$135,BY$29)</f>
        <v>0</v>
      </c>
      <c r="BZ37" s="7"/>
      <c r="CA37" s="8">
        <f ca="1">SUMIFS($AH$64:$AH$135,$V$64:$V$135,$BR37,$W$64:$W$135,CA$29)+SUMIFS($AI$64:$AI$135,$W$64:$W$135,$BR37,$V$64:$V$135,CA$29)</f>
        <v>0</v>
      </c>
      <c r="CB37" s="4"/>
    </row>
    <row r="38" spans="2:80" s="2" customFormat="1" x14ac:dyDescent="0.2">
      <c r="C38" s="2" t="str">
        <f t="shared" si="61"/>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59"/>
        <v/>
      </c>
      <c r="BS38" s="9">
        <f t="shared" ca="1" si="62"/>
        <v>0</v>
      </c>
      <c r="BT38" s="9">
        <f t="shared" ca="1" si="62"/>
        <v>0</v>
      </c>
      <c r="BU38" s="9">
        <f t="shared" ca="1" si="62"/>
        <v>0</v>
      </c>
      <c r="BV38" s="9">
        <f ca="1">SUMIFS($AH$64:$AH$135,$V$64:$V$135,$BR38,$W$64:$W$135,BV$29)+SUMIFS($AI$64:$AI$135,$W$64:$W$135,$BR38,$V$64:$V$135,BV$29)</f>
        <v>0</v>
      </c>
      <c r="BW38" s="9">
        <f ca="1">SUMIFS($AH$64:$AH$135,$V$64:$V$135,$BR38,$W$64:$W$135,BW$29)+SUMIFS($AI$64:$AI$135,$W$64:$W$135,$BR38,$V$64:$V$135,BW$29)</f>
        <v>0</v>
      </c>
      <c r="BX38" s="9">
        <f ca="1">SUMIFS($AH$64:$AH$135,$V$64:$V$135,$BR38,$W$64:$W$135,BX$29)+SUMIFS($AI$64:$AI$135,$W$64:$W$135,$BR38,$V$64:$V$135,BX$29)</f>
        <v>0</v>
      </c>
      <c r="BY38" s="9">
        <f ca="1">SUMIFS($AH$64:$AH$135,$V$64:$V$135,$BR38,$W$64:$W$135,BY$29)+SUMIFS($AI$64:$AI$135,$W$64:$W$135,$BR38,$V$64:$V$135,BY$29)</f>
        <v>0</v>
      </c>
      <c r="BZ38" s="9">
        <f ca="1">SUMIFS($AH$64:$AH$135,$V$64:$V$135,$BR38,$W$64:$W$135,BZ$29)+SUMIFS($AI$64:$AI$135,$W$64:$W$135,$BR38,$V$64:$V$135,BZ$29)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102</v>
      </c>
      <c r="BS40" s="2" t="str">
        <f>$F$4</f>
        <v>1. FC Riedwald</v>
      </c>
      <c r="BT40" s="2" t="str">
        <f>$F$5</f>
        <v>FC Barcelona</v>
      </c>
      <c r="BU40" s="2" t="str">
        <f>$F$6</f>
        <v>Eintracht Frankfurt</v>
      </c>
      <c r="BV40" s="2" t="str">
        <f>$F$7</f>
        <v>Maibach 1822 eV</v>
      </c>
      <c r="BW40" s="2" t="str">
        <f>$F$8</f>
        <v>VFB Essenheim</v>
      </c>
      <c r="BX40" s="2" t="str">
        <f>$F$9</f>
        <v/>
      </c>
      <c r="BY40" s="2" t="str">
        <f>$F$10</f>
        <v/>
      </c>
      <c r="BZ40" s="2" t="str">
        <f>$F$11</f>
        <v/>
      </c>
      <c r="CA40" s="2" t="str">
        <f>$F$12</f>
        <v/>
      </c>
      <c r="CB40" s="4"/>
    </row>
    <row r="41" spans="2:80" s="2" customFormat="1" x14ac:dyDescent="0.2">
      <c r="B41" s="596"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63">F4</f>
        <v>1. FC Riedwald</v>
      </c>
      <c r="BS41" s="7"/>
      <c r="BT41" s="8">
        <f ca="1">BT30-BS31</f>
        <v>13</v>
      </c>
      <c r="BU41" s="8">
        <f ca="1">BU30-BS32</f>
        <v>-4</v>
      </c>
      <c r="BV41" s="8">
        <f ca="1">BV30-BS33</f>
        <v>-2</v>
      </c>
      <c r="BW41" s="8">
        <f ca="1">BW30-BS34</f>
        <v>-6</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63"/>
        <v>FC Barcelona</v>
      </c>
      <c r="BS42" s="9">
        <f ca="1">IF(BT41="","",-1*BT41)</f>
        <v>-13</v>
      </c>
      <c r="BT42" s="7"/>
      <c r="BU42" s="8">
        <f ca="1">BU31-BT32</f>
        <v>0</v>
      </c>
      <c r="BV42" s="8">
        <f ca="1">BV31-BT33</f>
        <v>-21</v>
      </c>
      <c r="BW42" s="8">
        <f ca="1">BW31-BT34</f>
        <v>2</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63"/>
        <v>Eintracht Frankfurt</v>
      </c>
      <c r="BS43" s="9">
        <f ca="1">IF(BU41="","",-1*BU41)</f>
        <v>4</v>
      </c>
      <c r="BT43" s="9">
        <f ca="1">IF(BU42="","",-1*BU42)</f>
        <v>0</v>
      </c>
      <c r="BU43" s="7"/>
      <c r="BV43" s="8">
        <f ca="1">BV32-BU33</f>
        <v>14</v>
      </c>
      <c r="BW43" s="8">
        <f ca="1">BW32-BU34</f>
        <v>2</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63"/>
        <v>Maibach 1822 eV</v>
      </c>
      <c r="BS44" s="9">
        <f ca="1">IF(BV41="","",-1*BV41)</f>
        <v>2</v>
      </c>
      <c r="BT44" s="9">
        <f ca="1">IF(BV42="","",-1*BV42)</f>
        <v>21</v>
      </c>
      <c r="BU44" s="9">
        <f ca="1">IF(BV43="","",-1*BV43)</f>
        <v>-14</v>
      </c>
      <c r="BV44" s="7"/>
      <c r="BW44" s="8">
        <f ca="1">BW33-BV34</f>
        <v>10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63"/>
        <v>VFB Essenheim</v>
      </c>
      <c r="BS45" s="9">
        <f ca="1">IF(BW41="","",-1*BW41)</f>
        <v>6</v>
      </c>
      <c r="BT45" s="9">
        <f ca="1">IF(BW42="","",-1*BW42)</f>
        <v>-2</v>
      </c>
      <c r="BU45" s="9">
        <f ca="1">IF(BW43="","",-1*BW43)</f>
        <v>-2</v>
      </c>
      <c r="BV45" s="9">
        <f ca="1">IF(BW44="","",-1*BW44)</f>
        <v>-10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63"/>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63"/>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63"/>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63"/>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64">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95</v>
      </c>
      <c r="BS51" s="2" t="str">
        <f>$F$4</f>
        <v>1. FC Riedwald</v>
      </c>
      <c r="BT51" s="2" t="str">
        <f>$F$5</f>
        <v>FC Barcelona</v>
      </c>
      <c r="BU51" s="2" t="str">
        <f>$F$6</f>
        <v>Eintracht Frankfurt</v>
      </c>
      <c r="BV51" s="2" t="str">
        <f>$F$7</f>
        <v>Maibach 1822 eV</v>
      </c>
      <c r="BW51" s="2" t="str">
        <f>$F$8</f>
        <v>VFB Essenheim</v>
      </c>
      <c r="BX51" s="2" t="str">
        <f>$F$9</f>
        <v/>
      </c>
      <c r="BY51" s="2" t="str">
        <f>$F$10</f>
        <v/>
      </c>
      <c r="BZ51" s="2" t="str">
        <f>$F$11</f>
        <v/>
      </c>
      <c r="CA51" s="2" t="str">
        <f>$F$12</f>
        <v/>
      </c>
      <c r="CB51" s="4"/>
    </row>
    <row r="52" spans="2:80" s="2" customFormat="1" x14ac:dyDescent="0.2">
      <c r="B52" s="596" t="s">
        <v>101</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65">F4</f>
        <v>1. FC Riedwald</v>
      </c>
      <c r="BS52" s="7"/>
      <c r="BT52" s="8">
        <f t="shared" ref="BT52:CA54" ca="1" si="66">SUMIFS($AJ$64:$AJ$135,$V$64:$V$135,$BR52,$W$64:$W$135,BT$51)+SUMIFS($AK$64:$AK$135,$W$64:$W$135,$BR52,$V$64:$V$135,BT$51)</f>
        <v>2</v>
      </c>
      <c r="BU52" s="8">
        <f t="shared" ca="1" si="66"/>
        <v>1</v>
      </c>
      <c r="BV52" s="8">
        <f t="shared" ca="1" si="66"/>
        <v>1</v>
      </c>
      <c r="BW52" s="8">
        <f t="shared" ca="1" si="66"/>
        <v>0</v>
      </c>
      <c r="BX52" s="8">
        <f t="shared" ca="1" si="66"/>
        <v>0</v>
      </c>
      <c r="BY52" s="8">
        <f t="shared" ca="1" si="66"/>
        <v>0</v>
      </c>
      <c r="BZ52" s="8">
        <f t="shared" ca="1" si="66"/>
        <v>0</v>
      </c>
      <c r="CA52" s="8">
        <f t="shared" ca="1" si="66"/>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65"/>
        <v>FC Barcelona</v>
      </c>
      <c r="BS53" s="9">
        <f t="shared" ref="BS53:BU60" ca="1" si="67">SUMIFS($AJ$64:$AJ$135,$V$64:$V$135,$BR53,$W$64:$W$135,BS$51)+SUMIFS($AK$64:$AK$135,$W$64:$W$135,$BR53,$V$64:$V$135,BS$51)</f>
        <v>0</v>
      </c>
      <c r="BT53" s="7"/>
      <c r="BU53" s="8">
        <f t="shared" ca="1" si="66"/>
        <v>1</v>
      </c>
      <c r="BV53" s="8">
        <f t="shared" ca="1" si="66"/>
        <v>0</v>
      </c>
      <c r="BW53" s="8">
        <f t="shared" ca="1" si="66"/>
        <v>1</v>
      </c>
      <c r="BX53" s="8">
        <f t="shared" ca="1" si="66"/>
        <v>0</v>
      </c>
      <c r="BY53" s="8">
        <f t="shared" ca="1" si="66"/>
        <v>0</v>
      </c>
      <c r="BZ53" s="8">
        <f t="shared" ca="1" si="66"/>
        <v>0</v>
      </c>
      <c r="CA53" s="8">
        <f t="shared" ca="1" si="66"/>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65"/>
        <v>Eintracht Frankfurt</v>
      </c>
      <c r="BS54" s="9">
        <f t="shared" ca="1" si="67"/>
        <v>1</v>
      </c>
      <c r="BT54" s="9">
        <f t="shared" ca="1" si="67"/>
        <v>1</v>
      </c>
      <c r="BU54" s="7"/>
      <c r="BV54" s="8">
        <f t="shared" ca="1" si="66"/>
        <v>2</v>
      </c>
      <c r="BW54" s="8">
        <f t="shared" ca="1" si="66"/>
        <v>1</v>
      </c>
      <c r="BX54" s="8">
        <f t="shared" ca="1" si="66"/>
        <v>0</v>
      </c>
      <c r="BY54" s="8">
        <f t="shared" ca="1" si="66"/>
        <v>0</v>
      </c>
      <c r="BZ54" s="8">
        <f t="shared" ca="1" si="66"/>
        <v>0</v>
      </c>
      <c r="CA54" s="8">
        <f t="shared" ca="1" si="66"/>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65"/>
        <v>Maibach 1822 eV</v>
      </c>
      <c r="BS55" s="9">
        <f t="shared" ca="1" si="67"/>
        <v>1</v>
      </c>
      <c r="BT55" s="9">
        <f t="shared" ca="1" si="67"/>
        <v>2</v>
      </c>
      <c r="BU55" s="9">
        <f t="shared" ca="1" si="67"/>
        <v>0</v>
      </c>
      <c r="BV55" s="7"/>
      <c r="BW55" s="8">
        <f ca="1">SUMIFS($AJ$64:$AJ$135,$V$64:$V$135,$BR55,$W$64:$W$135,BW$51)+SUMIFS($AK$64:$AK$135,$W$64:$W$135,$BR55,$V$64:$V$135,BW$51)</f>
        <v>2</v>
      </c>
      <c r="BX55" s="8">
        <f ca="1">SUMIFS($AJ$64:$AJ$135,$V$64:$V$135,$BR55,$W$64:$W$135,BX$51)+SUMIFS($AK$64:$AK$135,$W$64:$W$135,$BR55,$V$64:$V$135,BX$51)</f>
        <v>0</v>
      </c>
      <c r="BY55" s="8">
        <f ca="1">SUMIFS($AJ$64:$AJ$135,$V$64:$V$135,$BR55,$W$64:$W$135,BY$51)+SUMIFS($AK$64:$AK$135,$W$64:$W$135,$BR55,$V$64:$V$135,BY$51)</f>
        <v>0</v>
      </c>
      <c r="BZ55" s="8">
        <f ca="1">SUMIFS($AJ$64:$AJ$135,$V$64:$V$135,$BR55,$W$64:$W$135,BZ$51)+SUMIFS($AK$64:$AK$135,$W$64:$W$135,$BR55,$V$64:$V$135,BZ$51)</f>
        <v>0</v>
      </c>
      <c r="CA55" s="8">
        <f ca="1">SUMIFS($AJ$64:$AJ$135,$V$64:$V$135,$BR55,$W$64:$W$135,CA$51)+SUMIFS($AK$64:$AK$135,$W$64:$W$135,$BR55,$V$64:$V$135,CA$51)</f>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65"/>
        <v>VFB Essenheim</v>
      </c>
      <c r="BS56" s="9">
        <f t="shared" ca="1" si="67"/>
        <v>2</v>
      </c>
      <c r="BT56" s="9">
        <f t="shared" ca="1" si="67"/>
        <v>2</v>
      </c>
      <c r="BU56" s="9">
        <f t="shared" ca="1" si="67"/>
        <v>1</v>
      </c>
      <c r="BV56" s="9">
        <f ca="1">SUMIFS($AJ$64:$AJ$135,$V$64:$V$135,$BR56,$W$64:$W$135,BV$51)+SUMIFS($AK$64:$AK$135,$W$64:$W$135,$BR56,$V$64:$V$135,BV$51)</f>
        <v>0</v>
      </c>
      <c r="BW56" s="7"/>
      <c r="BX56" s="8">
        <f ca="1">SUMIFS($AJ$64:$AJ$135,$V$64:$V$135,$BR56,$W$64:$W$135,BX$51)+SUMIFS($AK$64:$AK$135,$W$64:$W$135,$BR56,$V$64:$V$135,BX$51)</f>
        <v>0</v>
      </c>
      <c r="BY56" s="8">
        <f ca="1">SUMIFS($AJ$64:$AJ$135,$V$64:$V$135,$BR56,$W$64:$W$135,BY$51)+SUMIFS($AK$64:$AK$135,$W$64:$W$135,$BR56,$V$64:$V$135,BY$51)</f>
        <v>0</v>
      </c>
      <c r="BZ56" s="8">
        <f ca="1">SUMIFS($AJ$64:$AJ$135,$V$64:$V$135,$BR56,$W$64:$W$135,BZ$51)+SUMIFS($AK$64:$AK$135,$W$64:$W$135,$BR56,$V$64:$V$135,BZ$51)</f>
        <v>0</v>
      </c>
      <c r="CA56" s="8">
        <f ca="1">SUMIFS($AJ$64:$AJ$135,$V$64:$V$135,$BR56,$W$64:$W$135,CA$51)+SUMIFS($AK$64:$AK$135,$W$64:$W$135,$BR56,$V$64:$V$135,CA$51)</f>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65"/>
        <v/>
      </c>
      <c r="BS57" s="9">
        <f t="shared" ca="1" si="67"/>
        <v>0</v>
      </c>
      <c r="BT57" s="9">
        <f t="shared" ca="1" si="67"/>
        <v>0</v>
      </c>
      <c r="BU57" s="9">
        <f t="shared" ca="1" si="67"/>
        <v>0</v>
      </c>
      <c r="BV57" s="9">
        <f ca="1">SUMIFS($AJ$64:$AJ$135,$V$64:$V$135,$BR57,$W$64:$W$135,BV$51)+SUMIFS($AK$64:$AK$135,$W$64:$W$135,$BR57,$V$64:$V$135,BV$51)</f>
        <v>0</v>
      </c>
      <c r="BW57" s="9">
        <f ca="1">SUMIFS($AJ$64:$AJ$135,$V$64:$V$135,$BR57,$W$64:$W$135,BW$51)+SUMIFS($AK$64:$AK$135,$W$64:$W$135,$BR57,$V$64:$V$135,BW$51)</f>
        <v>0</v>
      </c>
      <c r="BX57" s="7"/>
      <c r="BY57" s="8">
        <f ca="1">SUMIFS($AJ$64:$AJ$135,$V$64:$V$135,$BR57,$W$64:$W$135,BY$51)+SUMIFS($AK$64:$AK$135,$W$64:$W$135,$BR57,$V$64:$V$135,BY$51)</f>
        <v>0</v>
      </c>
      <c r="BZ57" s="8">
        <f ca="1">SUMIFS($AJ$64:$AJ$135,$V$64:$V$135,$BR57,$W$64:$W$135,BZ$51)+SUMIFS($AK$64:$AK$135,$W$64:$W$135,$BR57,$V$64:$V$135,BZ$51)</f>
        <v>0</v>
      </c>
      <c r="CA57" s="8">
        <f ca="1">SUMIFS($AJ$64:$AJ$135,$V$64:$V$135,$BR57,$W$64:$W$135,CA$51)+SUMIFS($AK$64:$AK$135,$W$64:$W$135,$BR57,$V$64:$V$135,CA$51)</f>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65"/>
        <v/>
      </c>
      <c r="BS58" s="9">
        <f t="shared" ca="1" si="67"/>
        <v>0</v>
      </c>
      <c r="BT58" s="9">
        <f t="shared" ca="1" si="67"/>
        <v>0</v>
      </c>
      <c r="BU58" s="9">
        <f t="shared" ca="1" si="67"/>
        <v>0</v>
      </c>
      <c r="BV58" s="9">
        <f ca="1">SUMIFS($AJ$64:$AJ$135,$V$64:$V$135,$BR58,$W$64:$W$135,BV$51)+SUMIFS($AK$64:$AK$135,$W$64:$W$135,$BR58,$V$64:$V$135,BV$51)</f>
        <v>0</v>
      </c>
      <c r="BW58" s="9">
        <f ca="1">SUMIFS($AJ$64:$AJ$135,$V$64:$V$135,$BR58,$W$64:$W$135,BW$51)+SUMIFS($AK$64:$AK$135,$W$64:$W$135,$BR58,$V$64:$V$135,BW$51)</f>
        <v>0</v>
      </c>
      <c r="BX58" s="9">
        <f ca="1">SUMIFS($AJ$64:$AJ$135,$V$64:$V$135,$BR58,$W$64:$W$135,BX$51)+SUMIFS($AK$64:$AK$135,$W$64:$W$135,$BR58,$V$64:$V$135,BX$51)</f>
        <v>0</v>
      </c>
      <c r="BY58" s="7"/>
      <c r="BZ58" s="8">
        <f ca="1">SUMIFS($AJ$64:$AJ$135,$V$64:$V$135,$BR58,$W$64:$W$135,BZ$51)+SUMIFS($AK$64:$AK$135,$W$64:$W$135,$BR58,$V$64:$V$135,BZ$51)</f>
        <v>0</v>
      </c>
      <c r="CA58" s="8">
        <f ca="1">SUMIFS($AJ$64:$AJ$135,$V$64:$V$135,$BR58,$W$64:$W$135,CA$51)+SUMIFS($AK$64:$AK$135,$W$64:$W$135,$BR58,$V$64:$V$135,CA$51)</f>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65"/>
        <v/>
      </c>
      <c r="BS59" s="9">
        <f t="shared" ca="1" si="67"/>
        <v>0</v>
      </c>
      <c r="BT59" s="9">
        <f t="shared" ca="1" si="67"/>
        <v>0</v>
      </c>
      <c r="BU59" s="9">
        <f t="shared" ca="1" si="67"/>
        <v>0</v>
      </c>
      <c r="BV59" s="9">
        <f ca="1">SUMIFS($AJ$64:$AJ$135,$V$64:$V$135,$BR59,$W$64:$W$135,BV$51)+SUMIFS($AK$64:$AK$135,$W$64:$W$135,$BR59,$V$64:$V$135,BV$51)</f>
        <v>0</v>
      </c>
      <c r="BW59" s="9">
        <f ca="1">SUMIFS($AJ$64:$AJ$135,$V$64:$V$135,$BR59,$W$64:$W$135,BW$51)+SUMIFS($AK$64:$AK$135,$W$64:$W$135,$BR59,$V$64:$V$135,BW$51)</f>
        <v>0</v>
      </c>
      <c r="BX59" s="9">
        <f ca="1">SUMIFS($AJ$64:$AJ$135,$V$64:$V$135,$BR59,$W$64:$W$135,BX$51)+SUMIFS($AK$64:$AK$135,$W$64:$W$135,$BR59,$V$64:$V$135,BX$51)</f>
        <v>0</v>
      </c>
      <c r="BY59" s="9">
        <f ca="1">SUMIFS($AJ$64:$AJ$135,$V$64:$V$135,$BR59,$W$64:$W$135,BY$51)+SUMIFS($AK$64:$AK$135,$W$64:$W$135,$BR59,$V$64:$V$135,BY$51)</f>
        <v>0</v>
      </c>
      <c r="BZ59" s="7"/>
      <c r="CA59" s="8">
        <f ca="1">SUMIFS($AJ$64:$AJ$135,$V$64:$V$135,$BR59,$W$64:$W$135,CA$51)+SUMIFS($AK$64:$AK$135,$W$64:$W$135,$BR59,$V$64:$V$135,CA$51)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65"/>
        <v/>
      </c>
      <c r="BS60" s="9">
        <f t="shared" ca="1" si="67"/>
        <v>0</v>
      </c>
      <c r="BT60" s="9">
        <f t="shared" ca="1" si="67"/>
        <v>0</v>
      </c>
      <c r="BU60" s="9">
        <f t="shared" ca="1" si="67"/>
        <v>0</v>
      </c>
      <c r="BV60" s="9">
        <f ca="1">SUMIFS($AJ$64:$AJ$135,$V$64:$V$135,$BR60,$W$64:$W$135,BV$51)+SUMIFS($AK$64:$AK$135,$W$64:$W$135,$BR60,$V$64:$V$135,BV$51)</f>
        <v>0</v>
      </c>
      <c r="BW60" s="9">
        <f ca="1">SUMIFS($AJ$64:$AJ$135,$V$64:$V$135,$BR60,$W$64:$W$135,BW$51)+SUMIFS($AK$64:$AK$135,$W$64:$W$135,$BR60,$V$64:$V$135,BW$51)</f>
        <v>0</v>
      </c>
      <c r="BX60" s="9">
        <f ca="1">SUMIFS($AJ$64:$AJ$135,$V$64:$V$135,$BR60,$W$64:$W$135,BX$51)+SUMIFS($AK$64:$AK$135,$W$64:$W$135,$BR60,$V$64:$V$135,BX$51)</f>
        <v>0</v>
      </c>
      <c r="BY60" s="9">
        <f ca="1">SUMIFS($AJ$64:$AJ$135,$V$64:$V$135,$BR60,$W$64:$W$135,BY$51)+SUMIFS($AK$64:$AK$135,$W$64:$W$135,$BR60,$V$64:$V$135,BY$51)</f>
        <v>0</v>
      </c>
      <c r="BZ60" s="9">
        <f ca="1">SUMIFS($AJ$64:$AJ$135,$V$64:$V$135,$BR60,$W$64:$W$135,BZ$51)+SUMIFS($AK$64:$AK$135,$W$64:$W$135,$BR60,$V$64:$V$135,BZ$51)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3.5" customHeight="1" thickBot="1" x14ac:dyDescent="0.25">
      <c r="F63" s="173" t="s">
        <v>167</v>
      </c>
      <c r="X63" s="979" t="s">
        <v>374</v>
      </c>
      <c r="Y63" s="979"/>
      <c r="Z63" s="68" t="s">
        <v>153</v>
      </c>
      <c r="AA63" s="68" t="s">
        <v>16</v>
      </c>
      <c r="AB63" s="68" t="s">
        <v>372</v>
      </c>
      <c r="AC63" s="592" t="s">
        <v>370</v>
      </c>
      <c r="AD63" s="980" t="s">
        <v>376</v>
      </c>
      <c r="AE63" s="980"/>
      <c r="AF63" s="980" t="s">
        <v>378</v>
      </c>
      <c r="AG63" s="980"/>
      <c r="AH63" s="978" t="s">
        <v>372</v>
      </c>
      <c r="AI63" s="978"/>
      <c r="AJ63" s="978" t="s">
        <v>370</v>
      </c>
      <c r="AK63" s="978"/>
      <c r="AL63" s="978" t="s">
        <v>380</v>
      </c>
      <c r="AM63" s="978"/>
      <c r="AN63" s="4"/>
      <c r="AO63" s="4"/>
      <c r="AP63" s="4"/>
      <c r="AQ63" s="4"/>
      <c r="AR63" s="4"/>
    </row>
    <row r="64" spans="2:80" s="2" customFormat="1" ht="14.25" thickTop="1" thickBot="1" x14ac:dyDescent="0.25">
      <c r="F64" s="685">
        <v>1000000</v>
      </c>
      <c r="G64" s="686" t="s">
        <v>441</v>
      </c>
      <c r="H64" s="687"/>
      <c r="I64" s="687"/>
      <c r="P64" s="44" t="s">
        <v>7</v>
      </c>
      <c r="Q64" s="59" t="str">
        <f>IF(Planung!$C$7="","",Planung!$C$7)</f>
        <v>1. FC Riedwald</v>
      </c>
      <c r="U64" s="64" t="s">
        <v>7</v>
      </c>
      <c r="V64" s="39" t="str">
        <f ca="1">Planung!$L6</f>
        <v>VFB Essenheim</v>
      </c>
      <c r="W64" s="32" t="str">
        <f ca="1">Planung!$N6</f>
        <v>FC Barcelona</v>
      </c>
      <c r="X64" s="32">
        <f ca="1">IF(AND($AA64=1,Vorrunde!$I12&lt;&gt;"",Vorrunde!$K12&lt;&gt;"",ABS(Vorrunde!$I12-Vorrunde!$K12)&gt;1),Vorrunde!$I12,"")</f>
        <v>13</v>
      </c>
      <c r="Y64" s="33">
        <f ca="1">IF(AND($AA64=1,Vorrunde!$I12&lt;&gt;"",Vorrunde!$K12&lt;&gt;"",ABS(Vorrunde!$I12-Vorrunde!$K12)&gt;1),Vorrunde!$K12,"")</f>
        <v>25</v>
      </c>
      <c r="Z64" s="31" t="str">
        <f ca="1">V64&amp;W64</f>
        <v>VFB EssenheimFC Barcelona</v>
      </c>
      <c r="AA64" s="32">
        <f ca="1">IF(AND(V64&lt;&gt;"",W64&lt;&gt;"",V64&lt;&gt;W64,Vorrunde!$R12&lt;&gt;"",Vorrunde!$T12&lt;&gt;""),1,0)</f>
        <v>1</v>
      </c>
      <c r="AB64" s="138" t="str">
        <f ca="1">IF(AA64&gt;0,AH64&amp;Sprache!$E$108&amp;AI64,"")</f>
        <v>63 : 65</v>
      </c>
      <c r="AC64" s="35" t="str">
        <f ca="1">IF(AA64&gt;0,AJ64&amp;Sprache!$E$108&amp;AK64,"")</f>
        <v>2 : 1</v>
      </c>
      <c r="AD64" s="39">
        <f ca="1">IF(AND($AA64=1,Vorrunde!$L12&lt;&gt;"",Vorrunde!$N12&lt;&gt;"",ABS(Vorrunde!$L12-Vorrunde!$N12)&gt;1),Vorrunde!$L12,"")</f>
        <v>25</v>
      </c>
      <c r="AE64" s="33">
        <f ca="1">IF(AND($AA64=1,Vorrunde!$L12&lt;&gt;"",Vorrunde!$N12&lt;&gt;"",ABS(Vorrunde!$L12-Vorrunde!$N12)&gt;1),Vorrunde!$N12,"")</f>
        <v>19</v>
      </c>
      <c r="AF64" s="39">
        <f ca="1">IF(AND($AA64=1,Vorrunde!$O12&lt;&gt;"",Vorrunde!$Q12&lt;&gt;"",ABS(Vorrunde!$O12-Vorrunde!$Q12)&gt;1),Vorrunde!$O12,"")</f>
        <v>25</v>
      </c>
      <c r="AG64" s="33">
        <f ca="1">IF(AND($AA64=1,Vorrunde!$O12&lt;&gt;"",Vorrunde!$Q12&lt;&gt;"",ABS(Vorrunde!$O12-Vorrunde!$Q12)&gt;1),Vorrunde!$Q12,"")</f>
        <v>21</v>
      </c>
      <c r="AH64" s="39">
        <f ca="1">IF(AA64&gt;0,SUM(X64,AD64,AF64),"")</f>
        <v>63</v>
      </c>
      <c r="AI64" s="33">
        <f ca="1">IF(AA64&gt;0,SUM(Y64,AE64,AG64),"")</f>
        <v>65</v>
      </c>
      <c r="AJ64" s="39">
        <f ca="1">IF(Vorrunde!$R12="",0,Vorrunde!$R12)</f>
        <v>2</v>
      </c>
      <c r="AK64" s="33">
        <f ca="1">IF(Vorrunde!$T12="",0,Vorrunde!$T12)</f>
        <v>1</v>
      </c>
      <c r="AL64" s="32">
        <f ca="1">IF($AA64=0,"",IF($AJ64&gt;$AK64,Einstellungen!$C$4,IF($AJ64=$AK64,1,0)))</f>
        <v>2</v>
      </c>
      <c r="AM64" s="33">
        <f ca="1">IF($AA64=0,"",IF($AJ64&lt;$AK64,Einstellungen!$C$4,IF($AJ64=$AK64,1,0)))</f>
        <v>0</v>
      </c>
      <c r="AN64" s="4"/>
      <c r="AO64" s="4"/>
      <c r="AP64" s="4"/>
      <c r="AQ64" s="4"/>
      <c r="AR64" s="4"/>
    </row>
    <row r="65" spans="2:43" s="2" customFormat="1" ht="13.5" thickBot="1" x14ac:dyDescent="0.25">
      <c r="F65" s="688">
        <v>1000</v>
      </c>
      <c r="G65" s="689" t="s">
        <v>442</v>
      </c>
      <c r="H65" s="690">
        <v>500</v>
      </c>
      <c r="I65" s="691" t="s">
        <v>443</v>
      </c>
      <c r="P65" s="45" t="s">
        <v>8</v>
      </c>
      <c r="Q65" s="60" t="str">
        <f>IF(Planung!$C$9="","",Planung!$C$9)</f>
        <v>FC Barcelona</v>
      </c>
      <c r="U65" s="65" t="s">
        <v>8</v>
      </c>
      <c r="V65" s="40" t="str">
        <f ca="1">Planung!$L7</f>
        <v>FC Grönlingen</v>
      </c>
      <c r="W65" s="13" t="str">
        <f ca="1">Planung!$N7</f>
        <v>Inter Mailand</v>
      </c>
      <c r="X65" s="13">
        <f ca="1">IF(AND($AA65=1,Vorrunde!$I13&lt;&gt;"",Vorrunde!$K13&lt;&gt;"",ABS(Vorrunde!$I13-Vorrunde!$K13)&gt;1),Vorrunde!$I13,"")</f>
        <v>25</v>
      </c>
      <c r="Y65" s="35">
        <f ca="1">IF(AND($AA65=1,Vorrunde!$I13&lt;&gt;"",Vorrunde!$K13&lt;&gt;"",ABS(Vorrunde!$I13-Vorrunde!$K13)&gt;1),Vorrunde!$K13,"")</f>
        <v>20</v>
      </c>
      <c r="Z65" s="34" t="str">
        <f t="shared" ref="Z65:Z128" ca="1" si="68">V65&amp;W65</f>
        <v>FC GrönlingenInter Mailand</v>
      </c>
      <c r="AA65" s="13">
        <f ca="1">IF(AND(V65&lt;&gt;"",W65&lt;&gt;"",V65&lt;&gt;W65,Vorrunde!$R13&lt;&gt;"",Vorrunde!$T13&lt;&gt;""),1,0)</f>
        <v>1</v>
      </c>
      <c r="AB65" s="13" t="str">
        <f ca="1">IF(AA65&gt;0,AH65&amp;Sprache!$E$108&amp;AI65,"")</f>
        <v>48 : 45</v>
      </c>
      <c r="AC65" s="35" t="str">
        <f ca="1">IF(AA65&gt;0,AJ65&amp;Sprache!$E$108&amp;AK65,"")</f>
        <v>1 : 1</v>
      </c>
      <c r="AD65" s="40">
        <f ca="1">IF(AND($AA65=1,Vorrunde!$L13&lt;&gt;"",Vorrunde!$N13&lt;&gt;"",ABS(Vorrunde!$L13-Vorrunde!$N13)&gt;1),Vorrunde!$L13,"")</f>
        <v>23</v>
      </c>
      <c r="AE65" s="35">
        <f ca="1">IF(AND($AA65=1,Vorrunde!$L13&lt;&gt;"",Vorrunde!$N13&lt;&gt;"",ABS(Vorrunde!$L13-Vorrunde!$N13)&gt;1),Vorrunde!$N13,"")</f>
        <v>25</v>
      </c>
      <c r="AF65" s="40" t="str">
        <f ca="1">IF(AND($AA65=1,Vorrunde!$O13&lt;&gt;"",Vorrunde!$Q13&lt;&gt;"",ABS(Vorrunde!$O13-Vorrunde!$Q13)&gt;1),Vorrunde!$O13,"")</f>
        <v/>
      </c>
      <c r="AG65" s="35" t="str">
        <f ca="1">IF(AND($AA65=1,Vorrunde!$O13&lt;&gt;"",Vorrunde!$Q13&lt;&gt;"",ABS(Vorrunde!$O13-Vorrunde!$Q13)&gt;1),Vorrunde!$Q13,"")</f>
        <v/>
      </c>
      <c r="AH65" s="40">
        <f t="shared" ref="AH65:AH128" ca="1" si="69">IF(AA65&gt;0,SUM(X65,AD65,AF65),"")</f>
        <v>48</v>
      </c>
      <c r="AI65" s="35">
        <f t="shared" ref="AI65:AI128" ca="1" si="70">IF(AA65&gt;0,SUM(Y65,AE65,AG65),"")</f>
        <v>45</v>
      </c>
      <c r="AJ65" s="40">
        <f ca="1">IF(Vorrunde!$R13="",0,Vorrunde!$R13)</f>
        <v>1</v>
      </c>
      <c r="AK65" s="35">
        <f ca="1">IF(Vorrunde!$T13="",0,Vorrunde!$T13)</f>
        <v>1</v>
      </c>
      <c r="AL65" s="13">
        <f ca="1">IF($AA65=0,"",IF($AJ65&gt;$AK65,Einstellungen!$C$4,IF($AJ65=$AK65,1,0)))</f>
        <v>1</v>
      </c>
      <c r="AM65" s="35">
        <f ca="1">IF($AA65=0,"",IF($AJ65&lt;$AK65,Einstellungen!$C$4,IF($AJ65=$AK65,1,0)))</f>
        <v>1</v>
      </c>
      <c r="AN65" s="13"/>
      <c r="AO65" s="13"/>
      <c r="AP65" s="13"/>
      <c r="AQ65" s="13"/>
    </row>
    <row r="66" spans="2:43" s="2" customFormat="1" ht="12.75" x14ac:dyDescent="0.2">
      <c r="F66" s="688">
        <v>1</v>
      </c>
      <c r="G66" s="689" t="s">
        <v>444</v>
      </c>
      <c r="H66" s="687"/>
      <c r="I66" s="687"/>
      <c r="P66" s="45" t="s">
        <v>9</v>
      </c>
      <c r="Q66" s="60" t="str">
        <f>IF(Planung!$C$11="","",Planung!$C$11)</f>
        <v>Eintracht Frankfurt</v>
      </c>
      <c r="U66" s="65" t="s">
        <v>9</v>
      </c>
      <c r="V66" s="40" t="str">
        <f ca="1">Planung!$L8</f>
        <v>Eintracht Frankfurt</v>
      </c>
      <c r="W66" s="13" t="str">
        <f ca="1">Planung!$N8</f>
        <v>Maibach 1822 eV</v>
      </c>
      <c r="X66" s="13">
        <f ca="1">IF(AND($AA66=1,Vorrunde!$I14&lt;&gt;"",Vorrunde!$K14&lt;&gt;"",ABS(Vorrunde!$I14-Vorrunde!$K14)&gt;1),Vorrunde!$I14,"")</f>
        <v>25</v>
      </c>
      <c r="Y66" s="35">
        <f ca="1">IF(AND($AA66=1,Vorrunde!$I14&lt;&gt;"",Vorrunde!$K14&lt;&gt;"",ABS(Vorrunde!$I14-Vorrunde!$K14)&gt;1),Vorrunde!$K14,"")</f>
        <v>17</v>
      </c>
      <c r="Z66" s="34" t="str">
        <f t="shared" ca="1" si="68"/>
        <v>Eintracht FrankfurtMaibach 1822 eV</v>
      </c>
      <c r="AA66" s="13">
        <f ca="1">IF(AND(V66&lt;&gt;"",W66&lt;&gt;"",V66&lt;&gt;W66,Vorrunde!$R14&lt;&gt;"",Vorrunde!$T14&lt;&gt;""),1,0)</f>
        <v>1</v>
      </c>
      <c r="AB66" s="13" t="str">
        <f ca="1">IF(AA66&gt;0,AH66&amp;Sprache!$E$108&amp;AI66,"")</f>
        <v>50 : 36</v>
      </c>
      <c r="AC66" s="35" t="str">
        <f ca="1">IF(AA66&gt;0,AJ66&amp;Sprache!$E$108&amp;AK66,"")</f>
        <v>2 : 0</v>
      </c>
      <c r="AD66" s="40">
        <f ca="1">IF(AND($AA66=1,Vorrunde!$L14&lt;&gt;"",Vorrunde!$N14&lt;&gt;"",ABS(Vorrunde!$L14-Vorrunde!$N14)&gt;1),Vorrunde!$L14,"")</f>
        <v>25</v>
      </c>
      <c r="AE66" s="35">
        <f ca="1">IF(AND($AA66=1,Vorrunde!$L14&lt;&gt;"",Vorrunde!$N14&lt;&gt;"",ABS(Vorrunde!$L14-Vorrunde!$N14)&gt;1),Vorrunde!$N14,"")</f>
        <v>19</v>
      </c>
      <c r="AF66" s="40" t="str">
        <f ca="1">IF(AND($AA66=1,Vorrunde!$O14&lt;&gt;"",Vorrunde!$Q14&lt;&gt;"",ABS(Vorrunde!$O14-Vorrunde!$Q14)&gt;1),Vorrunde!$O14,"")</f>
        <v/>
      </c>
      <c r="AG66" s="35" t="str">
        <f ca="1">IF(AND($AA66=1,Vorrunde!$O14&lt;&gt;"",Vorrunde!$Q14&lt;&gt;"",ABS(Vorrunde!$O14-Vorrunde!$Q14)&gt;1),Vorrunde!$Q14,"")</f>
        <v/>
      </c>
      <c r="AH66" s="40">
        <f t="shared" ca="1" si="69"/>
        <v>50</v>
      </c>
      <c r="AI66" s="35">
        <f t="shared" ca="1" si="70"/>
        <v>36</v>
      </c>
      <c r="AJ66" s="40">
        <f ca="1">IF(Vorrunde!$R14="",0,Vorrunde!$R14)</f>
        <v>2</v>
      </c>
      <c r="AK66" s="35">
        <f ca="1">IF(Vorrunde!$T14="",0,Vorrunde!$T14)</f>
        <v>0</v>
      </c>
      <c r="AL66" s="13">
        <f ca="1">IF($AA66=0,"",IF($AJ66&gt;$AK66,Einstellungen!$C$4,IF($AJ66=$AK66,1,0)))</f>
        <v>2</v>
      </c>
      <c r="AM66" s="35">
        <f ca="1">IF($AA66=0,"",IF($AJ66&lt;$AK66,Einstellungen!$C$4,IF($AJ66=$AK66,1,0)))</f>
        <v>0</v>
      </c>
      <c r="AN66" s="13"/>
      <c r="AO66" s="13"/>
      <c r="AP66" s="13"/>
      <c r="AQ66" s="13"/>
    </row>
    <row r="67" spans="2:43" s="2" customFormat="1" ht="12.75" thickBot="1" x14ac:dyDescent="0.25">
      <c r="F67" s="692">
        <v>1E-3</v>
      </c>
      <c r="G67" s="693" t="s">
        <v>445</v>
      </c>
      <c r="H67" s="687"/>
      <c r="I67" s="687"/>
      <c r="P67" s="45" t="s">
        <v>10</v>
      </c>
      <c r="Q67" s="60" t="str">
        <f>IF(Planung!$C$13="","",Planung!$C$13)</f>
        <v>Maibach 1822 eV</v>
      </c>
      <c r="U67" s="65" t="s">
        <v>10</v>
      </c>
      <c r="V67" s="40" t="str">
        <f ca="1">Planung!$L9</f>
        <v>SSV Wildbach</v>
      </c>
      <c r="W67" s="13" t="str">
        <f ca="1">Planung!$N9</f>
        <v>Manchester City</v>
      </c>
      <c r="X67" s="13">
        <f ca="1">IF(AND($AA67=1,Vorrunde!$I15&lt;&gt;"",Vorrunde!$K15&lt;&gt;"",ABS(Vorrunde!$I15-Vorrunde!$K15)&gt;1),Vorrunde!$I15,"")</f>
        <v>25</v>
      </c>
      <c r="Y67" s="35">
        <f ca="1">IF(AND($AA67=1,Vorrunde!$I15&lt;&gt;"",Vorrunde!$K15&lt;&gt;"",ABS(Vorrunde!$I15-Vorrunde!$K15)&gt;1),Vorrunde!$K15,"")</f>
        <v>22</v>
      </c>
      <c r="Z67" s="34" t="str">
        <f t="shared" ca="1" si="68"/>
        <v>SSV WildbachManchester City</v>
      </c>
      <c r="AA67" s="13">
        <f ca="1">IF(AND(V67&lt;&gt;"",W67&lt;&gt;"",V67&lt;&gt;W67,Vorrunde!$R15&lt;&gt;"",Vorrunde!$T15&lt;&gt;""),1,0)</f>
        <v>1</v>
      </c>
      <c r="AB67" s="13" t="str">
        <f ca="1">IF(AA67&gt;0,AH67&amp;Sprache!$E$108&amp;AI67,"")</f>
        <v>50 : 42</v>
      </c>
      <c r="AC67" s="35" t="str">
        <f ca="1">IF(AA67&gt;0,AJ67&amp;Sprache!$E$108&amp;AK67,"")</f>
        <v>2 : 0</v>
      </c>
      <c r="AD67" s="40">
        <f ca="1">IF(AND($AA67=1,Vorrunde!$L15&lt;&gt;"",Vorrunde!$N15&lt;&gt;"",ABS(Vorrunde!$L15-Vorrunde!$N15)&gt;1),Vorrunde!$L15,"")</f>
        <v>25</v>
      </c>
      <c r="AE67" s="35">
        <f ca="1">IF(AND($AA67=1,Vorrunde!$L15&lt;&gt;"",Vorrunde!$N15&lt;&gt;"",ABS(Vorrunde!$L15-Vorrunde!$N15)&gt;1),Vorrunde!$N15,"")</f>
        <v>20</v>
      </c>
      <c r="AF67" s="40" t="str">
        <f ca="1">IF(AND($AA67=1,Vorrunde!$O15&lt;&gt;"",Vorrunde!$Q15&lt;&gt;"",ABS(Vorrunde!$O15-Vorrunde!$Q15)&gt;1),Vorrunde!$O15,"")</f>
        <v/>
      </c>
      <c r="AG67" s="35" t="str">
        <f ca="1">IF(AND($AA67=1,Vorrunde!$O15&lt;&gt;"",Vorrunde!$Q15&lt;&gt;"",ABS(Vorrunde!$O15-Vorrunde!$Q15)&gt;1),Vorrunde!$Q15,"")</f>
        <v/>
      </c>
      <c r="AH67" s="40">
        <f t="shared" ca="1" si="69"/>
        <v>50</v>
      </c>
      <c r="AI67" s="35">
        <f t="shared" ca="1" si="70"/>
        <v>42</v>
      </c>
      <c r="AJ67" s="40">
        <f ca="1">IF(Vorrunde!$R15="",0,Vorrunde!$R15)</f>
        <v>2</v>
      </c>
      <c r="AK67" s="35">
        <f ca="1">IF(Vorrunde!$T15="",0,Vorrunde!$T15)</f>
        <v>0</v>
      </c>
      <c r="AL67" s="13">
        <f ca="1">IF($AA67=0,"",IF($AJ67&gt;$AK67,Einstellungen!$C$4,IF($AJ67=$AK67,1,0)))</f>
        <v>2</v>
      </c>
      <c r="AM67" s="35">
        <f ca="1">IF($AA67=0,"",IF($AJ67&lt;$AK67,Einstellungen!$C$4,IF($AJ67=$AK67,1,0)))</f>
        <v>0</v>
      </c>
      <c r="AN67" s="13"/>
      <c r="AO67" s="13"/>
      <c r="AP67" s="13"/>
      <c r="AQ67" s="13"/>
    </row>
    <row r="68" spans="2:43" s="2" customFormat="1" x14ac:dyDescent="0.2">
      <c r="P68" s="45" t="s">
        <v>11</v>
      </c>
      <c r="Q68" s="60" t="str">
        <f>IF(Planung!$C$15="","",Planung!$C$15)</f>
        <v>VFB Essenheim</v>
      </c>
      <c r="U68" s="65" t="s">
        <v>11</v>
      </c>
      <c r="V68" s="40" t="str">
        <f ca="1">Planung!$L10</f>
        <v>VFB Essenheim</v>
      </c>
      <c r="W68" s="13" t="str">
        <f ca="1">Planung!$N10</f>
        <v>1. FC Riedwald</v>
      </c>
      <c r="X68" s="13">
        <f ca="1">IF(AND($AA68=1,Vorrunde!$I16&lt;&gt;"",Vorrunde!$K16&lt;&gt;"",ABS(Vorrunde!$I16-Vorrunde!$K16)&gt;1),Vorrunde!$I16,"")</f>
        <v>25</v>
      </c>
      <c r="Y68" s="35">
        <f ca="1">IF(AND($AA68=1,Vorrunde!$I16&lt;&gt;"",Vorrunde!$K16&lt;&gt;"",ABS(Vorrunde!$I16-Vorrunde!$K16)&gt;1),Vorrunde!$K16,"")</f>
        <v>23</v>
      </c>
      <c r="Z68" s="34" t="str">
        <f t="shared" ca="1" si="68"/>
        <v>VFB Essenheim1. FC Riedwald</v>
      </c>
      <c r="AA68" s="13">
        <f ca="1">IF(AND(V68&lt;&gt;"",W68&lt;&gt;"",V68&lt;&gt;W68,Vorrunde!$R16&lt;&gt;"",Vorrunde!$T16&lt;&gt;""),1,0)</f>
        <v>1</v>
      </c>
      <c r="AB68" s="13" t="str">
        <f ca="1">IF(AA68&gt;0,AH68&amp;Sprache!$E$108&amp;AI68,"")</f>
        <v>50 : 44</v>
      </c>
      <c r="AC68" s="35" t="str">
        <f ca="1">IF(AA68&gt;0,AJ68&amp;Sprache!$E$108&amp;AK68,"")</f>
        <v>2 : 0</v>
      </c>
      <c r="AD68" s="40">
        <f ca="1">IF(AND($AA68=1,Vorrunde!$L16&lt;&gt;"",Vorrunde!$N16&lt;&gt;"",ABS(Vorrunde!$L16-Vorrunde!$N16)&gt;1),Vorrunde!$L16,"")</f>
        <v>25</v>
      </c>
      <c r="AE68" s="35">
        <f ca="1">IF(AND($AA68=1,Vorrunde!$L16&lt;&gt;"",Vorrunde!$N16&lt;&gt;"",ABS(Vorrunde!$L16-Vorrunde!$N16)&gt;1),Vorrunde!$N16,"")</f>
        <v>21</v>
      </c>
      <c r="AF68" s="40" t="str">
        <f ca="1">IF(AND($AA68=1,Vorrunde!$O16&lt;&gt;"",Vorrunde!$Q16&lt;&gt;"",ABS(Vorrunde!$O16-Vorrunde!$Q16)&gt;1),Vorrunde!$O16,"")</f>
        <v/>
      </c>
      <c r="AG68" s="35" t="str">
        <f ca="1">IF(AND($AA68=1,Vorrunde!$O16&lt;&gt;"",Vorrunde!$Q16&lt;&gt;"",ABS(Vorrunde!$O16-Vorrunde!$Q16)&gt;1),Vorrunde!$Q16,"")</f>
        <v/>
      </c>
      <c r="AH68" s="40">
        <f t="shared" ca="1" si="69"/>
        <v>50</v>
      </c>
      <c r="AI68" s="35">
        <f t="shared" ca="1" si="70"/>
        <v>44</v>
      </c>
      <c r="AJ68" s="40">
        <f ca="1">IF(Vorrunde!$R16="",0,Vorrunde!$R16)</f>
        <v>2</v>
      </c>
      <c r="AK68" s="35">
        <f ca="1">IF(Vorrunde!$T16="",0,Vorrunde!$T16)</f>
        <v>0</v>
      </c>
      <c r="AL68" s="13">
        <f ca="1">IF($AA68=0,"",IF($AJ68&gt;$AK68,Einstellungen!$C$4,IF($AJ68=$AK68,1,0)))</f>
        <v>2</v>
      </c>
      <c r="AM68" s="35">
        <f ca="1">IF($AA68=0,"",IF($AJ68&lt;$AK68,Einstellungen!$C$4,IF($AJ68=$AK68,1,0)))</f>
        <v>0</v>
      </c>
      <c r="AN68" s="13"/>
      <c r="AO68" s="13"/>
      <c r="AP68" s="13"/>
      <c r="AQ68" s="13"/>
    </row>
    <row r="69" spans="2:43" s="2" customFormat="1" x14ac:dyDescent="0.2">
      <c r="P69" s="45" t="s">
        <v>12</v>
      </c>
      <c r="Q69" s="60" t="str">
        <f>IF(Planung!$C$17="","",Planung!$C$17)</f>
        <v/>
      </c>
      <c r="U69" s="65" t="s">
        <v>12</v>
      </c>
      <c r="V69" s="40" t="str">
        <f ca="1">Planung!$L11</f>
        <v>FC Grönlingen</v>
      </c>
      <c r="W69" s="13" t="str">
        <f ca="1">Planung!$N11</f>
        <v>Mainz 05</v>
      </c>
      <c r="X69" s="13">
        <f ca="1">IF(AND($AA69=1,Vorrunde!$I17&lt;&gt;"",Vorrunde!$K17&lt;&gt;"",ABS(Vorrunde!$I17-Vorrunde!$K17)&gt;1),Vorrunde!$I17,"")</f>
        <v>25</v>
      </c>
      <c r="Y69" s="35">
        <f ca="1">IF(AND($AA69=1,Vorrunde!$I17&lt;&gt;"",Vorrunde!$K17&lt;&gt;"",ABS(Vorrunde!$I17-Vorrunde!$K17)&gt;1),Vorrunde!$K17,"")</f>
        <v>17</v>
      </c>
      <c r="Z69" s="34" t="str">
        <f t="shared" ca="1" si="68"/>
        <v>FC GrönlingenMainz 05</v>
      </c>
      <c r="AA69" s="13">
        <f ca="1">IF(AND(V69&lt;&gt;"",W69&lt;&gt;"",V69&lt;&gt;W69,Vorrunde!$R17&lt;&gt;"",Vorrunde!$T17&lt;&gt;""),1,0)</f>
        <v>1</v>
      </c>
      <c r="AB69" s="13" t="str">
        <f ca="1">IF(AA69&gt;0,AH69&amp;Sprache!$E$108&amp;AI69,"")</f>
        <v>50 : 39</v>
      </c>
      <c r="AC69" s="35" t="str">
        <f ca="1">IF(AA69&gt;0,AJ69&amp;Sprache!$E$108&amp;AK69,"")</f>
        <v>2 : 0</v>
      </c>
      <c r="AD69" s="40">
        <f ca="1">IF(AND($AA69=1,Vorrunde!$L17&lt;&gt;"",Vorrunde!$N17&lt;&gt;"",ABS(Vorrunde!$L17-Vorrunde!$N17)&gt;1),Vorrunde!$L17,"")</f>
        <v>25</v>
      </c>
      <c r="AE69" s="35">
        <f ca="1">IF(AND($AA69=1,Vorrunde!$L17&lt;&gt;"",Vorrunde!$N17&lt;&gt;"",ABS(Vorrunde!$L17-Vorrunde!$N17)&gt;1),Vorrunde!$N17,"")</f>
        <v>22</v>
      </c>
      <c r="AF69" s="40" t="str">
        <f ca="1">IF(AND($AA69=1,Vorrunde!$O17&lt;&gt;"",Vorrunde!$Q17&lt;&gt;"",ABS(Vorrunde!$O17-Vorrunde!$Q17)&gt;1),Vorrunde!$O17,"")</f>
        <v/>
      </c>
      <c r="AG69" s="35" t="str">
        <f ca="1">IF(AND($AA69=1,Vorrunde!$O17&lt;&gt;"",Vorrunde!$Q17&lt;&gt;"",ABS(Vorrunde!$O17-Vorrunde!$Q17)&gt;1),Vorrunde!$Q17,"")</f>
        <v/>
      </c>
      <c r="AH69" s="40">
        <f t="shared" ca="1" si="69"/>
        <v>50</v>
      </c>
      <c r="AI69" s="35">
        <f t="shared" ca="1" si="70"/>
        <v>39</v>
      </c>
      <c r="AJ69" s="40">
        <f ca="1">IF(Vorrunde!$R17="",0,Vorrunde!$R17)</f>
        <v>2</v>
      </c>
      <c r="AK69" s="35">
        <f ca="1">IF(Vorrunde!$T17="",0,Vorrunde!$T17)</f>
        <v>0</v>
      </c>
      <c r="AL69" s="13">
        <f ca="1">IF($AA69=0,"",IF($AJ69&gt;$AK69,Einstellungen!$C$4,IF($AJ69=$AK69,1,0)))</f>
        <v>2</v>
      </c>
      <c r="AM69" s="35">
        <f ca="1">IF($AA69=0,"",IF($AJ69&lt;$AK69,Einstellungen!$C$4,IF($AJ69=$AK69,1,0)))</f>
        <v>0</v>
      </c>
      <c r="AN69" s="13"/>
      <c r="AO69" s="13"/>
      <c r="AP69" s="13"/>
      <c r="AQ69" s="13"/>
    </row>
    <row r="70" spans="2:43" s="2" customFormat="1" x14ac:dyDescent="0.2">
      <c r="P70" s="45" t="s">
        <v>17</v>
      </c>
      <c r="Q70" s="60" t="str">
        <f>IF(Planung!$C$19="","",Planung!$C$19)</f>
        <v/>
      </c>
      <c r="U70" s="65" t="s">
        <v>17</v>
      </c>
      <c r="V70" s="40" t="str">
        <f ca="1">Planung!$L12</f>
        <v>FC Barcelona</v>
      </c>
      <c r="W70" s="13" t="str">
        <f ca="1">Planung!$N12</f>
        <v>Eintracht Frankfurt</v>
      </c>
      <c r="X70" s="13">
        <f ca="1">IF(AND($AA70=1,Vorrunde!$I18&lt;&gt;"",Vorrunde!$K18&lt;&gt;"",ABS(Vorrunde!$I18-Vorrunde!$K18)&gt;1),Vorrunde!$I18,"")</f>
        <v>23</v>
      </c>
      <c r="Y70" s="35">
        <f ca="1">IF(AND($AA70=1,Vorrunde!$I18&lt;&gt;"",Vorrunde!$K18&lt;&gt;"",ABS(Vorrunde!$I18-Vorrunde!$K18)&gt;1),Vorrunde!$K18,"")</f>
        <v>25</v>
      </c>
      <c r="Z70" s="34" t="str">
        <f t="shared" ca="1" si="68"/>
        <v>FC BarcelonaEintracht Frankfurt</v>
      </c>
      <c r="AA70" s="13">
        <f ca="1">IF(AND(V70&lt;&gt;"",W70&lt;&gt;"",V70&lt;&gt;W70,Vorrunde!$R18&lt;&gt;"",Vorrunde!$T18&lt;&gt;""),1,0)</f>
        <v>1</v>
      </c>
      <c r="AB70" s="13" t="str">
        <f ca="1">IF(AA70&gt;0,AH70&amp;Sprache!$E$108&amp;AI70,"")</f>
        <v>48 : 48</v>
      </c>
      <c r="AC70" s="35" t="str">
        <f ca="1">IF(AA70&gt;0,AJ70&amp;Sprache!$E$108&amp;AK70,"")</f>
        <v>1 : 1</v>
      </c>
      <c r="AD70" s="40">
        <f ca="1">IF(AND($AA70=1,Vorrunde!$L18&lt;&gt;"",Vorrunde!$N18&lt;&gt;"",ABS(Vorrunde!$L18-Vorrunde!$N18)&gt;1),Vorrunde!$L18,"")</f>
        <v>25</v>
      </c>
      <c r="AE70" s="35">
        <f ca="1">IF(AND($AA70=1,Vorrunde!$L18&lt;&gt;"",Vorrunde!$N18&lt;&gt;"",ABS(Vorrunde!$L18-Vorrunde!$N18)&gt;1),Vorrunde!$N18,"")</f>
        <v>23</v>
      </c>
      <c r="AF70" s="40" t="str">
        <f ca="1">IF(AND($AA70=1,Vorrunde!$O18&lt;&gt;"",Vorrunde!$Q18&lt;&gt;"",ABS(Vorrunde!$O18-Vorrunde!$Q18)&gt;1),Vorrunde!$O18,"")</f>
        <v/>
      </c>
      <c r="AG70" s="35" t="str">
        <f ca="1">IF(AND($AA70=1,Vorrunde!$O18&lt;&gt;"",Vorrunde!$Q18&lt;&gt;"",ABS(Vorrunde!$O18-Vorrunde!$Q18)&gt;1),Vorrunde!$Q18,"")</f>
        <v/>
      </c>
      <c r="AH70" s="40">
        <f t="shared" ca="1" si="69"/>
        <v>48</v>
      </c>
      <c r="AI70" s="35">
        <f t="shared" ca="1" si="70"/>
        <v>48</v>
      </c>
      <c r="AJ70" s="40">
        <f ca="1">IF(Vorrunde!$R18="",0,Vorrunde!$R18)</f>
        <v>1</v>
      </c>
      <c r="AK70" s="35">
        <f ca="1">IF(Vorrunde!$T18="",0,Vorrunde!$T18)</f>
        <v>1</v>
      </c>
      <c r="AL70" s="13">
        <f ca="1">IF($AA70=0,"",IF($AJ70&gt;$AK70,Einstellungen!$C$4,IF($AJ70=$AK70,1,0)))</f>
        <v>1</v>
      </c>
      <c r="AM70" s="35">
        <f ca="1">IF($AA70=0,"",IF($AJ70&lt;$AK70,Einstellungen!$C$4,IF($AJ70=$AK70,1,0)))</f>
        <v>1</v>
      </c>
      <c r="AN70" s="4"/>
      <c r="AO70" s="13"/>
      <c r="AP70" s="13"/>
      <c r="AQ70" s="13"/>
    </row>
    <row r="71" spans="2:43" s="2" customFormat="1" x14ac:dyDescent="0.2">
      <c r="B71" s="4"/>
      <c r="C71" s="4"/>
      <c r="D71" s="4"/>
      <c r="E71" s="4"/>
      <c r="F71" s="4"/>
      <c r="G71" s="4"/>
      <c r="H71" s="4"/>
      <c r="I71" s="4"/>
      <c r="J71" s="4"/>
      <c r="K71" s="4"/>
      <c r="L71" s="4"/>
      <c r="M71" s="4"/>
      <c r="P71" s="45" t="s">
        <v>18</v>
      </c>
      <c r="Q71" s="60" t="str">
        <f>IF(Planung!$C$21="","",Planung!$C$21)</f>
        <v/>
      </c>
      <c r="U71" s="65" t="s">
        <v>18</v>
      </c>
      <c r="V71" s="40" t="str">
        <f ca="1">Planung!$L13</f>
        <v>Inter Mailand</v>
      </c>
      <c r="W71" s="13" t="str">
        <f ca="1">Planung!$N13</f>
        <v>SSV Wildbach</v>
      </c>
      <c r="X71" s="13">
        <f ca="1">IF(AND($AA71=1,Vorrunde!$I19&lt;&gt;"",Vorrunde!$K19&lt;&gt;"",ABS(Vorrunde!$I19-Vorrunde!$K19)&gt;1),Vorrunde!$I19,"")</f>
        <v>19</v>
      </c>
      <c r="Y71" s="35">
        <f ca="1">IF(AND($AA71=1,Vorrunde!$I19&lt;&gt;"",Vorrunde!$K19&lt;&gt;"",ABS(Vorrunde!$I19-Vorrunde!$K19)&gt;1),Vorrunde!$K19,"")</f>
        <v>25</v>
      </c>
      <c r="Z71" s="34" t="str">
        <f t="shared" ca="1" si="68"/>
        <v>Inter MailandSSV Wildbach</v>
      </c>
      <c r="AA71" s="13">
        <f ca="1">IF(AND(V71&lt;&gt;"",W71&lt;&gt;"",V71&lt;&gt;W71,Vorrunde!$R19&lt;&gt;"",Vorrunde!$T19&lt;&gt;""),1,0)</f>
        <v>1</v>
      </c>
      <c r="AB71" s="13" t="str">
        <f ca="1">IF(AA71&gt;0,AH71&amp;Sprache!$E$108&amp;AI71,"")</f>
        <v>44 : 37</v>
      </c>
      <c r="AC71" s="35" t="str">
        <f ca="1">IF(AA71&gt;0,AJ71&amp;Sprache!$E$108&amp;AK71,"")</f>
        <v>1 : 1</v>
      </c>
      <c r="AD71" s="40">
        <f ca="1">IF(AND($AA71=1,Vorrunde!$L19&lt;&gt;"",Vorrunde!$N19&lt;&gt;"",ABS(Vorrunde!$L19-Vorrunde!$N19)&gt;1),Vorrunde!$L19,"")</f>
        <v>25</v>
      </c>
      <c r="AE71" s="35">
        <f ca="1">IF(AND($AA71=1,Vorrunde!$L19&lt;&gt;"",Vorrunde!$N19&lt;&gt;"",ABS(Vorrunde!$L19-Vorrunde!$N19)&gt;1),Vorrunde!$N19,"")</f>
        <v>12</v>
      </c>
      <c r="AF71" s="40" t="str">
        <f ca="1">IF(AND($AA71=1,Vorrunde!$O19&lt;&gt;"",Vorrunde!$Q19&lt;&gt;"",ABS(Vorrunde!$O19-Vorrunde!$Q19)&gt;1),Vorrunde!$O19,"")</f>
        <v/>
      </c>
      <c r="AG71" s="35" t="str">
        <f ca="1">IF(AND($AA71=1,Vorrunde!$O19&lt;&gt;"",Vorrunde!$Q19&lt;&gt;"",ABS(Vorrunde!$O19-Vorrunde!$Q19)&gt;1),Vorrunde!$Q19,"")</f>
        <v/>
      </c>
      <c r="AH71" s="40">
        <f t="shared" ca="1" si="69"/>
        <v>44</v>
      </c>
      <c r="AI71" s="35">
        <f t="shared" ca="1" si="70"/>
        <v>37</v>
      </c>
      <c r="AJ71" s="40">
        <f ca="1">IF(Vorrunde!$R19="",0,Vorrunde!$R19)</f>
        <v>1</v>
      </c>
      <c r="AK71" s="35">
        <f ca="1">IF(Vorrunde!$T19="",0,Vorrunde!$T19)</f>
        <v>1</v>
      </c>
      <c r="AL71" s="13">
        <f ca="1">IF($AA71=0,"",IF($AJ71&gt;$AK71,Einstellungen!$C$4,IF($AJ71=$AK71,1,0)))</f>
        <v>1</v>
      </c>
      <c r="AM71" s="35">
        <f ca="1">IF($AA71=0,"",IF($AJ71&lt;$AK71,Einstellungen!$C$4,IF($AJ71=$AK71,1,0)))</f>
        <v>1</v>
      </c>
      <c r="AN71" s="13"/>
      <c r="AO71" s="4"/>
      <c r="AP71" s="13"/>
      <c r="AQ71" s="13"/>
    </row>
    <row r="72" spans="2:43" s="2" customFormat="1" ht="12.75" thickBot="1" x14ac:dyDescent="0.25">
      <c r="B72" s="4"/>
      <c r="C72" s="4"/>
      <c r="D72" s="4"/>
      <c r="E72" s="4"/>
      <c r="F72" s="13"/>
      <c r="G72" s="13"/>
      <c r="H72" s="13"/>
      <c r="I72" s="13"/>
      <c r="J72" s="13"/>
      <c r="K72" s="13"/>
      <c r="L72" s="13"/>
      <c r="M72" s="13"/>
      <c r="P72" s="46" t="s">
        <v>19</v>
      </c>
      <c r="Q72" s="61" t="str">
        <f>IF(Planung!$C$23="","",Planung!$C$23)</f>
        <v/>
      </c>
      <c r="U72" s="65" t="s">
        <v>19</v>
      </c>
      <c r="V72" s="40" t="str">
        <f ca="1">Planung!$L14</f>
        <v>1. FC Riedwald</v>
      </c>
      <c r="W72" s="13" t="str">
        <f ca="1">Planung!$N14</f>
        <v>Maibach 1822 eV</v>
      </c>
      <c r="X72" s="13">
        <f ca="1">IF(AND($AA72=1,Vorrunde!$I20&lt;&gt;"",Vorrunde!$K20&lt;&gt;"",ABS(Vorrunde!$I20-Vorrunde!$K20)&gt;1),Vorrunde!$I20,"")</f>
        <v>16</v>
      </c>
      <c r="Y72" s="35">
        <f ca="1">IF(AND($AA72=1,Vorrunde!$I20&lt;&gt;"",Vorrunde!$K20&lt;&gt;"",ABS(Vorrunde!$I20-Vorrunde!$K20)&gt;1),Vorrunde!$K20,"")</f>
        <v>25</v>
      </c>
      <c r="Z72" s="34" t="str">
        <f t="shared" ca="1" si="68"/>
        <v>1. FC RiedwaldMaibach 1822 eV</v>
      </c>
      <c r="AA72" s="13">
        <f ca="1">IF(AND(V72&lt;&gt;"",W72&lt;&gt;"",V72&lt;&gt;W72,Vorrunde!$R20&lt;&gt;"",Vorrunde!$T20&lt;&gt;""),1,0)</f>
        <v>1</v>
      </c>
      <c r="AB72" s="13" t="str">
        <f ca="1">IF(AA72&gt;0,AH72&amp;Sprache!$E$108&amp;AI72,"")</f>
        <v>41 : 43</v>
      </c>
      <c r="AC72" s="35" t="str">
        <f ca="1">IF(AA72&gt;0,AJ72&amp;Sprache!$E$108&amp;AK72,"")</f>
        <v>1 : 1</v>
      </c>
      <c r="AD72" s="40">
        <f ca="1">IF(AND($AA72=1,Vorrunde!$L20&lt;&gt;"",Vorrunde!$N20&lt;&gt;"",ABS(Vorrunde!$L20-Vorrunde!$N20)&gt;1),Vorrunde!$L20,"")</f>
        <v>25</v>
      </c>
      <c r="AE72" s="35">
        <f ca="1">IF(AND($AA72=1,Vorrunde!$L20&lt;&gt;"",Vorrunde!$N20&lt;&gt;"",ABS(Vorrunde!$L20-Vorrunde!$N20)&gt;1),Vorrunde!$N20,"")</f>
        <v>18</v>
      </c>
      <c r="AF72" s="40" t="str">
        <f ca="1">IF(AND($AA72=1,Vorrunde!$O20&lt;&gt;"",Vorrunde!$Q20&lt;&gt;"",ABS(Vorrunde!$O20-Vorrunde!$Q20)&gt;1),Vorrunde!$O20,"")</f>
        <v/>
      </c>
      <c r="AG72" s="35" t="str">
        <f ca="1">IF(AND($AA72=1,Vorrunde!$O20&lt;&gt;"",Vorrunde!$Q20&lt;&gt;"",ABS(Vorrunde!$O20-Vorrunde!$Q20)&gt;1),Vorrunde!$Q20,"")</f>
        <v/>
      </c>
      <c r="AH72" s="40">
        <f t="shared" ca="1" si="69"/>
        <v>41</v>
      </c>
      <c r="AI72" s="35">
        <f t="shared" ca="1" si="70"/>
        <v>43</v>
      </c>
      <c r="AJ72" s="40">
        <f ca="1">IF(Vorrunde!$R20="",0,Vorrunde!$R20)</f>
        <v>1</v>
      </c>
      <c r="AK72" s="35">
        <f ca="1">IF(Vorrunde!$T20="",0,Vorrunde!$T20)</f>
        <v>1</v>
      </c>
      <c r="AL72" s="13">
        <f ca="1">IF($AA72=0,"",IF($AJ72&gt;$AK72,Einstellungen!$C$4,IF($AJ72=$AK72,1,0)))</f>
        <v>1</v>
      </c>
      <c r="AM72" s="35">
        <f ca="1">IF($AA72=0,"",IF($AJ72&lt;$AK72,Einstellungen!$C$4,IF($AJ72=$AK72,1,0)))</f>
        <v>1</v>
      </c>
      <c r="AN72" s="13"/>
      <c r="AO72" s="13"/>
      <c r="AP72" s="4"/>
      <c r="AQ72" s="13"/>
    </row>
    <row r="73" spans="2:43" s="2" customFormat="1" ht="12.75" thickTop="1" x14ac:dyDescent="0.2">
      <c r="B73" s="4"/>
      <c r="C73" s="4"/>
      <c r="D73" s="4"/>
      <c r="E73" s="4"/>
      <c r="F73" s="13"/>
      <c r="G73" s="13"/>
      <c r="H73" s="13"/>
      <c r="I73" s="13"/>
      <c r="J73" s="13"/>
      <c r="K73" s="13"/>
      <c r="L73" s="13"/>
      <c r="M73" s="13"/>
      <c r="U73" s="65" t="s">
        <v>25</v>
      </c>
      <c r="V73" s="40" t="str">
        <f ca="1">Planung!$L15</f>
        <v>Mainz 05</v>
      </c>
      <c r="W73" s="13" t="str">
        <f ca="1">Planung!$N15</f>
        <v>Manchester City</v>
      </c>
      <c r="X73" s="13">
        <f ca="1">IF(AND($AA73=1,Vorrunde!$I21&lt;&gt;"",Vorrunde!$K21&lt;&gt;"",ABS(Vorrunde!$I21-Vorrunde!$K21)&gt;1),Vorrunde!$I21,"")</f>
        <v>14</v>
      </c>
      <c r="Y73" s="35">
        <f ca="1">IF(AND($AA73=1,Vorrunde!$I21&lt;&gt;"",Vorrunde!$K21&lt;&gt;"",ABS(Vorrunde!$I21-Vorrunde!$K21)&gt;1),Vorrunde!$K21,"")</f>
        <v>25</v>
      </c>
      <c r="Z73" s="34" t="str">
        <f t="shared" ca="1" si="68"/>
        <v>Mainz 05Manchester City</v>
      </c>
      <c r="AA73" s="13">
        <f ca="1">IF(AND(V73&lt;&gt;"",W73&lt;&gt;"",V73&lt;&gt;W73,Vorrunde!$R21&lt;&gt;"",Vorrunde!$T21&lt;&gt;""),1,0)</f>
        <v>1</v>
      </c>
      <c r="AB73" s="13" t="str">
        <f ca="1">IF(AA73&gt;0,AH73&amp;Sprache!$E$108&amp;AI73,"")</f>
        <v>39 : 44</v>
      </c>
      <c r="AC73" s="35" t="str">
        <f ca="1">IF(AA73&gt;0,AJ73&amp;Sprache!$E$108&amp;AK73,"")</f>
        <v>1 : 1</v>
      </c>
      <c r="AD73" s="40">
        <f ca="1">IF(AND($AA73=1,Vorrunde!$L21&lt;&gt;"",Vorrunde!$N21&lt;&gt;"",ABS(Vorrunde!$L21-Vorrunde!$N21)&gt;1),Vorrunde!$L21,"")</f>
        <v>25</v>
      </c>
      <c r="AE73" s="35">
        <f ca="1">IF(AND($AA73=1,Vorrunde!$L21&lt;&gt;"",Vorrunde!$N21&lt;&gt;"",ABS(Vorrunde!$L21-Vorrunde!$N21)&gt;1),Vorrunde!$N21,"")</f>
        <v>19</v>
      </c>
      <c r="AF73" s="40" t="str">
        <f ca="1">IF(AND($AA73=1,Vorrunde!$O21&lt;&gt;"",Vorrunde!$Q21&lt;&gt;"",ABS(Vorrunde!$O21-Vorrunde!$Q21)&gt;1),Vorrunde!$O21,"")</f>
        <v/>
      </c>
      <c r="AG73" s="35" t="str">
        <f ca="1">IF(AND($AA73=1,Vorrunde!$O21&lt;&gt;"",Vorrunde!$Q21&lt;&gt;"",ABS(Vorrunde!$O21-Vorrunde!$Q21)&gt;1),Vorrunde!$Q21,"")</f>
        <v/>
      </c>
      <c r="AH73" s="40">
        <f t="shared" ca="1" si="69"/>
        <v>39</v>
      </c>
      <c r="AI73" s="35">
        <f t="shared" ca="1" si="70"/>
        <v>44</v>
      </c>
      <c r="AJ73" s="40">
        <f ca="1">IF(Vorrunde!$R21="",0,Vorrunde!$R21)</f>
        <v>1</v>
      </c>
      <c r="AK73" s="35">
        <f ca="1">IF(Vorrunde!$T21="",0,Vorrunde!$T21)</f>
        <v>1</v>
      </c>
      <c r="AL73" s="13">
        <f ca="1">IF($AA73=0,"",IF($AJ73&gt;$AK73,Einstellungen!$C$4,IF($AJ73=$AK73,1,0)))</f>
        <v>1</v>
      </c>
      <c r="AM73" s="35">
        <f ca="1">IF($AA73=0,"",IF($AJ73&lt;$AK73,Einstellungen!$C$4,IF($AJ73=$AK73,1,0)))</f>
        <v>1</v>
      </c>
      <c r="AN73" s="13"/>
      <c r="AO73" s="13"/>
      <c r="AP73" s="13"/>
      <c r="AQ73" s="4"/>
    </row>
    <row r="74" spans="2:43" s="2" customFormat="1" x14ac:dyDescent="0.2">
      <c r="B74" s="4"/>
      <c r="C74" s="4"/>
      <c r="D74" s="4"/>
      <c r="E74" s="4"/>
      <c r="F74" s="13"/>
      <c r="G74" s="13"/>
      <c r="H74" s="13"/>
      <c r="I74" s="13"/>
      <c r="J74" s="13"/>
      <c r="K74" s="13"/>
      <c r="L74" s="13"/>
      <c r="M74" s="13"/>
      <c r="U74" s="65" t="s">
        <v>26</v>
      </c>
      <c r="V74" s="40" t="str">
        <f ca="1">Planung!$L16</f>
        <v>Eintracht Frankfurt</v>
      </c>
      <c r="W74" s="13" t="str">
        <f ca="1">Planung!$N16</f>
        <v>VFB Essenheim</v>
      </c>
      <c r="X74" s="13">
        <f ca="1">IF(AND($AA74=1,Vorrunde!$I22&lt;&gt;"",Vorrunde!$K22&lt;&gt;"",ABS(Vorrunde!$I22-Vorrunde!$K22)&gt;1),Vorrunde!$I22,"")</f>
        <v>22</v>
      </c>
      <c r="Y74" s="35">
        <f ca="1">IF(AND($AA74=1,Vorrunde!$I22&lt;&gt;"",Vorrunde!$K22&lt;&gt;"",ABS(Vorrunde!$I22-Vorrunde!$K22)&gt;1),Vorrunde!$K22,"")</f>
        <v>25</v>
      </c>
      <c r="Z74" s="34" t="str">
        <f t="shared" ca="1" si="68"/>
        <v>Eintracht FrankfurtVFB Essenheim</v>
      </c>
      <c r="AA74" s="13">
        <f ca="1">IF(AND(V74&lt;&gt;"",W74&lt;&gt;"",V74&lt;&gt;W74,Vorrunde!$R22&lt;&gt;"",Vorrunde!$T22&lt;&gt;""),1,0)</f>
        <v>1</v>
      </c>
      <c r="AB74" s="13" t="str">
        <f ca="1">IF(AA74&gt;0,AH74&amp;Sprache!$E$108&amp;AI74,"")</f>
        <v>47 : 45</v>
      </c>
      <c r="AC74" s="35" t="str">
        <f ca="1">IF(AA74&gt;0,AJ74&amp;Sprache!$E$108&amp;AK74,"")</f>
        <v>1 : 1</v>
      </c>
      <c r="AD74" s="40">
        <f ca="1">IF(AND($AA74=1,Vorrunde!$L22&lt;&gt;"",Vorrunde!$N22&lt;&gt;"",ABS(Vorrunde!$L22-Vorrunde!$N22)&gt;1),Vorrunde!$L22,"")</f>
        <v>25</v>
      </c>
      <c r="AE74" s="35">
        <f ca="1">IF(AND($AA74=1,Vorrunde!$L22&lt;&gt;"",Vorrunde!$N22&lt;&gt;"",ABS(Vorrunde!$L22-Vorrunde!$N22)&gt;1),Vorrunde!$N22,"")</f>
        <v>20</v>
      </c>
      <c r="AF74" s="40" t="str">
        <f ca="1">IF(AND($AA74=1,Vorrunde!$O22&lt;&gt;"",Vorrunde!$Q22&lt;&gt;"",ABS(Vorrunde!$O22-Vorrunde!$Q22)&gt;1),Vorrunde!$O22,"")</f>
        <v/>
      </c>
      <c r="AG74" s="35" t="str">
        <f ca="1">IF(AND($AA74=1,Vorrunde!$O22&lt;&gt;"",Vorrunde!$Q22&lt;&gt;"",ABS(Vorrunde!$O22-Vorrunde!$Q22)&gt;1),Vorrunde!$Q22,"")</f>
        <v/>
      </c>
      <c r="AH74" s="40">
        <f t="shared" ca="1" si="69"/>
        <v>47</v>
      </c>
      <c r="AI74" s="35">
        <f t="shared" ca="1" si="70"/>
        <v>45</v>
      </c>
      <c r="AJ74" s="40">
        <f ca="1">IF(Vorrunde!$R22="",0,Vorrunde!$R22)</f>
        <v>1</v>
      </c>
      <c r="AK74" s="35">
        <f ca="1">IF(Vorrunde!$T22="",0,Vorrunde!$T22)</f>
        <v>1</v>
      </c>
      <c r="AL74" s="13">
        <f ca="1">IF($AA74=0,"",IF($AJ74&gt;$AK74,Einstellungen!$C$4,IF($AJ74=$AK74,1,0)))</f>
        <v>1</v>
      </c>
      <c r="AM74" s="35">
        <f ca="1">IF($AA74=0,"",IF($AJ74&lt;$AK74,Einstellungen!$C$4,IF($AJ74=$AK74,1,0)))</f>
        <v>1</v>
      </c>
    </row>
    <row r="75" spans="2:43" s="2" customFormat="1" x14ac:dyDescent="0.2">
      <c r="B75" s="4"/>
      <c r="C75" s="4"/>
      <c r="D75" s="4"/>
      <c r="E75" s="4"/>
      <c r="F75" s="13"/>
      <c r="G75" s="13"/>
      <c r="H75" s="13"/>
      <c r="I75" s="13"/>
      <c r="J75" s="13"/>
      <c r="K75" s="13"/>
      <c r="L75" s="13"/>
      <c r="M75" s="13"/>
      <c r="U75" s="65" t="s">
        <v>27</v>
      </c>
      <c r="V75" s="40" t="str">
        <f ca="1">Planung!$L17</f>
        <v>SSV Wildbach</v>
      </c>
      <c r="W75" s="13" t="str">
        <f ca="1">Planung!$N17</f>
        <v>FC Grönlingen</v>
      </c>
      <c r="X75" s="13">
        <f ca="1">IF(AND($AA75=1,Vorrunde!$I23&lt;&gt;"",Vorrunde!$K23&lt;&gt;"",ABS(Vorrunde!$I23-Vorrunde!$K23)&gt;1),Vorrunde!$I23,"")</f>
        <v>19</v>
      </c>
      <c r="Y75" s="35">
        <f ca="1">IF(AND($AA75=1,Vorrunde!$I23&lt;&gt;"",Vorrunde!$K23&lt;&gt;"",ABS(Vorrunde!$I23-Vorrunde!$K23)&gt;1),Vorrunde!$K23,"")</f>
        <v>25</v>
      </c>
      <c r="Z75" s="34" t="str">
        <f t="shared" ca="1" si="68"/>
        <v>SSV WildbachFC Grönlingen</v>
      </c>
      <c r="AA75" s="13">
        <f ca="1">IF(AND(V75&lt;&gt;"",W75&lt;&gt;"",V75&lt;&gt;W75,Vorrunde!$R23&lt;&gt;"",Vorrunde!$T23&lt;&gt;""),1,0)</f>
        <v>1</v>
      </c>
      <c r="AB75" s="13" t="str">
        <f ca="1">IF(AA75&gt;0,AH75&amp;Sprache!$E$108&amp;AI75,"")</f>
        <v>44 : 44</v>
      </c>
      <c r="AC75" s="35" t="str">
        <f ca="1">IF(AA75&gt;0,AJ75&amp;Sprache!$E$108&amp;AK75,"")</f>
        <v>1 : 1</v>
      </c>
      <c r="AD75" s="40">
        <f ca="1">IF(AND($AA75=1,Vorrunde!$L23&lt;&gt;"",Vorrunde!$N23&lt;&gt;"",ABS(Vorrunde!$L23-Vorrunde!$N23)&gt;1),Vorrunde!$L23,"")</f>
        <v>25</v>
      </c>
      <c r="AE75" s="35">
        <f ca="1">IF(AND($AA75=1,Vorrunde!$L23&lt;&gt;"",Vorrunde!$N23&lt;&gt;"",ABS(Vorrunde!$L23-Vorrunde!$N23)&gt;1),Vorrunde!$N23,"")</f>
        <v>19</v>
      </c>
      <c r="AF75" s="40" t="str">
        <f ca="1">IF(AND($AA75=1,Vorrunde!$O23&lt;&gt;"",Vorrunde!$Q23&lt;&gt;"",ABS(Vorrunde!$O23-Vorrunde!$Q23)&gt;1),Vorrunde!$O23,"")</f>
        <v/>
      </c>
      <c r="AG75" s="35" t="str">
        <f ca="1">IF(AND($AA75=1,Vorrunde!$O23&lt;&gt;"",Vorrunde!$Q23&lt;&gt;"",ABS(Vorrunde!$O23-Vorrunde!$Q23)&gt;1),Vorrunde!$Q23,"")</f>
        <v/>
      </c>
      <c r="AH75" s="40">
        <f t="shared" ca="1" si="69"/>
        <v>44</v>
      </c>
      <c r="AI75" s="35">
        <f t="shared" ca="1" si="70"/>
        <v>44</v>
      </c>
      <c r="AJ75" s="40">
        <f ca="1">IF(Vorrunde!$R23="",0,Vorrunde!$R23)</f>
        <v>1</v>
      </c>
      <c r="AK75" s="35">
        <f ca="1">IF(Vorrunde!$T23="",0,Vorrunde!$T23)</f>
        <v>1</v>
      </c>
      <c r="AL75" s="13">
        <f ca="1">IF($AA75=0,"",IF($AJ75&gt;$AK75,Einstellungen!$C$4,IF($AJ75=$AK75,1,0)))</f>
        <v>1</v>
      </c>
      <c r="AM75" s="35">
        <f ca="1">IF($AA75=0,"",IF($AJ75&lt;$AK75,Einstellungen!$C$4,IF($AJ75=$AK75,1,0)))</f>
        <v>1</v>
      </c>
    </row>
    <row r="76" spans="2:43" s="2" customFormat="1" x14ac:dyDescent="0.2">
      <c r="B76" s="4"/>
      <c r="C76" s="4"/>
      <c r="D76" s="4"/>
      <c r="E76" s="4"/>
      <c r="F76" s="13"/>
      <c r="G76" s="13"/>
      <c r="H76" s="13"/>
      <c r="I76" s="13"/>
      <c r="J76" s="13"/>
      <c r="K76" s="13"/>
      <c r="L76" s="13"/>
      <c r="M76" s="13"/>
      <c r="U76" s="65" t="s">
        <v>28</v>
      </c>
      <c r="V76" s="40" t="str">
        <f ca="1">Planung!$L18</f>
        <v>FC Barcelona</v>
      </c>
      <c r="W76" s="13" t="str">
        <f ca="1">Planung!$N18</f>
        <v>Maibach 1822 eV</v>
      </c>
      <c r="X76" s="13">
        <f ca="1">IF(AND($AA76=1,Vorrunde!$I24&lt;&gt;"",Vorrunde!$K24&lt;&gt;"",ABS(Vorrunde!$I24-Vorrunde!$K24)&gt;1),Vorrunde!$I24,"")</f>
        <v>17</v>
      </c>
      <c r="Y76" s="35">
        <f ca="1">IF(AND($AA76=1,Vorrunde!$I24&lt;&gt;"",Vorrunde!$K24&lt;&gt;"",ABS(Vorrunde!$I24-Vorrunde!$K24)&gt;1),Vorrunde!$K24,"")</f>
        <v>25</v>
      </c>
      <c r="Z76" s="34" t="str">
        <f t="shared" ca="1" si="68"/>
        <v>FC BarcelonaMaibach 1822 eV</v>
      </c>
      <c r="AA76" s="13">
        <f ca="1">IF(AND(V76&lt;&gt;"",W76&lt;&gt;"",V76&lt;&gt;W76,Vorrunde!$R24&lt;&gt;"",Vorrunde!$T24&lt;&gt;""),1,0)</f>
        <v>1</v>
      </c>
      <c r="AB76" s="13" t="str">
        <f ca="1">IF(AA76&gt;0,AH76&amp;Sprache!$E$108&amp;AI76,"")</f>
        <v>29 : 50</v>
      </c>
      <c r="AC76" s="35" t="str">
        <f ca="1">IF(AA76&gt;0,AJ76&amp;Sprache!$E$108&amp;AK76,"")</f>
        <v>0 : 2</v>
      </c>
      <c r="AD76" s="40">
        <f ca="1">IF(AND($AA76=1,Vorrunde!$L24&lt;&gt;"",Vorrunde!$N24&lt;&gt;"",ABS(Vorrunde!$L24-Vorrunde!$N24)&gt;1),Vorrunde!$L24,"")</f>
        <v>12</v>
      </c>
      <c r="AE76" s="35">
        <f ca="1">IF(AND($AA76=1,Vorrunde!$L24&lt;&gt;"",Vorrunde!$N24&lt;&gt;"",ABS(Vorrunde!$L24-Vorrunde!$N24)&gt;1),Vorrunde!$N24,"")</f>
        <v>25</v>
      </c>
      <c r="AF76" s="40" t="str">
        <f ca="1">IF(AND($AA76=1,Vorrunde!$O24&lt;&gt;"",Vorrunde!$Q24&lt;&gt;"",ABS(Vorrunde!$O24-Vorrunde!$Q24)&gt;1),Vorrunde!$O24,"")</f>
        <v/>
      </c>
      <c r="AG76" s="35" t="str">
        <f ca="1">IF(AND($AA76=1,Vorrunde!$O24&lt;&gt;"",Vorrunde!$Q24&lt;&gt;"",ABS(Vorrunde!$O24-Vorrunde!$Q24)&gt;1),Vorrunde!$Q24,"")</f>
        <v/>
      </c>
      <c r="AH76" s="40">
        <f t="shared" ca="1" si="69"/>
        <v>29</v>
      </c>
      <c r="AI76" s="35">
        <f t="shared" ca="1" si="70"/>
        <v>50</v>
      </c>
      <c r="AJ76" s="40">
        <f ca="1">IF(Vorrunde!$R24="",0,Vorrunde!$R24)</f>
        <v>0</v>
      </c>
      <c r="AK76" s="35">
        <f ca="1">IF(Vorrunde!$T24="",0,Vorrunde!$T24)</f>
        <v>2</v>
      </c>
      <c r="AL76" s="13">
        <f ca="1">IF($AA76=0,"",IF($AJ76&gt;$AK76,Einstellungen!$C$4,IF($AJ76=$AK76,1,0)))</f>
        <v>0</v>
      </c>
      <c r="AM76" s="35">
        <f ca="1">IF($AA76=0,"",IF($AJ76&lt;$AK76,Einstellungen!$C$4,IF($AJ76=$AK76,1,0)))</f>
        <v>2</v>
      </c>
    </row>
    <row r="77" spans="2:43" s="2" customFormat="1" x14ac:dyDescent="0.2">
      <c r="B77" s="4"/>
      <c r="C77" s="4"/>
      <c r="D77" s="4"/>
      <c r="E77" s="4"/>
      <c r="F77" s="13"/>
      <c r="G77" s="13"/>
      <c r="H77" s="13"/>
      <c r="I77" s="13"/>
      <c r="J77" s="13"/>
      <c r="K77" s="13"/>
      <c r="L77" s="13"/>
      <c r="M77" s="13"/>
      <c r="U77" s="65" t="s">
        <v>29</v>
      </c>
      <c r="V77" s="40" t="str">
        <f ca="1">Planung!$L19</f>
        <v>Inter Mailand</v>
      </c>
      <c r="W77" s="13" t="str">
        <f ca="1">Planung!$N19</f>
        <v>Manchester City</v>
      </c>
      <c r="X77" s="13">
        <f ca="1">IF(AND($AA77=1,Vorrunde!$I25&lt;&gt;"",Vorrunde!$K25&lt;&gt;"",ABS(Vorrunde!$I25-Vorrunde!$K25)&gt;1),Vorrunde!$I25,"")</f>
        <v>14</v>
      </c>
      <c r="Y77" s="35">
        <f ca="1">IF(AND($AA77=1,Vorrunde!$I25&lt;&gt;"",Vorrunde!$K25&lt;&gt;"",ABS(Vorrunde!$I25-Vorrunde!$K25)&gt;1),Vorrunde!$K25,"")</f>
        <v>25</v>
      </c>
      <c r="Z77" s="34" t="str">
        <f t="shared" ca="1" si="68"/>
        <v>Inter MailandManchester City</v>
      </c>
      <c r="AA77" s="13">
        <f ca="1">IF(AND(V77&lt;&gt;"",W77&lt;&gt;"",V77&lt;&gt;W77,Vorrunde!$R25&lt;&gt;"",Vorrunde!$T25&lt;&gt;""),1,0)</f>
        <v>1</v>
      </c>
      <c r="AB77" s="13" t="str">
        <f ca="1">IF(AA77&gt;0,AH77&amp;Sprache!$E$108&amp;AI77,"")</f>
        <v>39 : 48</v>
      </c>
      <c r="AC77" s="35" t="str">
        <f ca="1">IF(AA77&gt;0,AJ77&amp;Sprache!$E$108&amp;AK77,"")</f>
        <v>1 : 1</v>
      </c>
      <c r="AD77" s="40">
        <f ca="1">IF(AND($AA77=1,Vorrunde!$L25&lt;&gt;"",Vorrunde!$N25&lt;&gt;"",ABS(Vorrunde!$L25-Vorrunde!$N25)&gt;1),Vorrunde!$L25,"")</f>
        <v>25</v>
      </c>
      <c r="AE77" s="35">
        <f ca="1">IF(AND($AA77=1,Vorrunde!$L25&lt;&gt;"",Vorrunde!$N25&lt;&gt;"",ABS(Vorrunde!$L25-Vorrunde!$N25)&gt;1),Vorrunde!$N25,"")</f>
        <v>23</v>
      </c>
      <c r="AF77" s="40" t="str">
        <f ca="1">IF(AND($AA77=1,Vorrunde!$O25&lt;&gt;"",Vorrunde!$Q25&lt;&gt;"",ABS(Vorrunde!$O25-Vorrunde!$Q25)&gt;1),Vorrunde!$O25,"")</f>
        <v/>
      </c>
      <c r="AG77" s="35" t="str">
        <f ca="1">IF(AND($AA77=1,Vorrunde!$O25&lt;&gt;"",Vorrunde!$Q25&lt;&gt;"",ABS(Vorrunde!$O25-Vorrunde!$Q25)&gt;1),Vorrunde!$Q25,"")</f>
        <v/>
      </c>
      <c r="AH77" s="40">
        <f t="shared" ca="1" si="69"/>
        <v>39</v>
      </c>
      <c r="AI77" s="35">
        <f t="shared" ca="1" si="70"/>
        <v>48</v>
      </c>
      <c r="AJ77" s="40">
        <f ca="1">IF(Vorrunde!$R25="",0,Vorrunde!$R25)</f>
        <v>1</v>
      </c>
      <c r="AK77" s="35">
        <f ca="1">IF(Vorrunde!$T25="",0,Vorrunde!$T25)</f>
        <v>1</v>
      </c>
      <c r="AL77" s="13">
        <f ca="1">IF($AA77=0,"",IF($AJ77&gt;$AK77,Einstellungen!$C$4,IF($AJ77=$AK77,1,0)))</f>
        <v>1</v>
      </c>
      <c r="AM77" s="35">
        <f ca="1">IF($AA77=0,"",IF($AJ77&lt;$AK77,Einstellungen!$C$4,IF($AJ77=$AK77,1,0)))</f>
        <v>1</v>
      </c>
    </row>
    <row r="78" spans="2:43" s="2" customFormat="1" x14ac:dyDescent="0.2">
      <c r="B78" s="4"/>
      <c r="C78" s="4"/>
      <c r="D78" s="4"/>
      <c r="E78" s="4"/>
      <c r="F78" s="13"/>
      <c r="G78" s="13"/>
      <c r="H78" s="13"/>
      <c r="I78" s="13"/>
      <c r="J78" s="13"/>
      <c r="K78" s="13"/>
      <c r="L78" s="13"/>
      <c r="M78" s="13"/>
      <c r="U78" s="65" t="s">
        <v>30</v>
      </c>
      <c r="V78" s="40" t="str">
        <f ca="1">Planung!$L20</f>
        <v>Eintracht Frankfurt</v>
      </c>
      <c r="W78" s="13" t="str">
        <f ca="1">Planung!$N20</f>
        <v>1. FC Riedwald</v>
      </c>
      <c r="X78" s="13">
        <f ca="1">IF(AND($AA78=1,Vorrunde!$I26&lt;&gt;"",Vorrunde!$K26&lt;&gt;"",ABS(Vorrunde!$I26-Vorrunde!$K26)&gt;1),Vorrunde!$I26,"")</f>
        <v>21</v>
      </c>
      <c r="Y78" s="35">
        <f ca="1">IF(AND($AA78=1,Vorrunde!$I26&lt;&gt;"",Vorrunde!$K26&lt;&gt;"",ABS(Vorrunde!$I26-Vorrunde!$K26)&gt;1),Vorrunde!$K26,"")</f>
        <v>25</v>
      </c>
      <c r="Z78" s="34" t="str">
        <f t="shared" ca="1" si="68"/>
        <v>Eintracht Frankfurt1. FC Riedwald</v>
      </c>
      <c r="AA78" s="13">
        <f ca="1">IF(AND(V78&lt;&gt;"",W78&lt;&gt;"",V78&lt;&gt;W78,Vorrunde!$R26&lt;&gt;"",Vorrunde!$T26&lt;&gt;""),1,0)</f>
        <v>1</v>
      </c>
      <c r="AB78" s="13" t="str">
        <f ca="1">IF(AA78&gt;0,AH78&amp;Sprache!$E$108&amp;AI78,"")</f>
        <v>46 : 42</v>
      </c>
      <c r="AC78" s="35" t="str">
        <f ca="1">IF(AA78&gt;0,AJ78&amp;Sprache!$E$108&amp;AK78,"")</f>
        <v>1 : 1</v>
      </c>
      <c r="AD78" s="40">
        <f ca="1">IF(AND($AA78=1,Vorrunde!$L26&lt;&gt;"",Vorrunde!$N26&lt;&gt;"",ABS(Vorrunde!$L26-Vorrunde!$N26)&gt;1),Vorrunde!$L26,"")</f>
        <v>25</v>
      </c>
      <c r="AE78" s="35">
        <f ca="1">IF(AND($AA78=1,Vorrunde!$L26&lt;&gt;"",Vorrunde!$N26&lt;&gt;"",ABS(Vorrunde!$L26-Vorrunde!$N26)&gt;1),Vorrunde!$N26,"")</f>
        <v>17</v>
      </c>
      <c r="AF78" s="40" t="str">
        <f ca="1">IF(AND($AA78=1,Vorrunde!$O26&lt;&gt;"",Vorrunde!$Q26&lt;&gt;"",ABS(Vorrunde!$O26-Vorrunde!$Q26)&gt;1),Vorrunde!$O26,"")</f>
        <v/>
      </c>
      <c r="AG78" s="35" t="str">
        <f ca="1">IF(AND($AA78=1,Vorrunde!$O26&lt;&gt;"",Vorrunde!$Q26&lt;&gt;"",ABS(Vorrunde!$O26-Vorrunde!$Q26)&gt;1),Vorrunde!$Q26,"")</f>
        <v/>
      </c>
      <c r="AH78" s="40">
        <f t="shared" ca="1" si="69"/>
        <v>46</v>
      </c>
      <c r="AI78" s="35">
        <f t="shared" ca="1" si="70"/>
        <v>42</v>
      </c>
      <c r="AJ78" s="40">
        <f ca="1">IF(Vorrunde!$R26="",0,Vorrunde!$R26)</f>
        <v>1</v>
      </c>
      <c r="AK78" s="35">
        <f ca="1">IF(Vorrunde!$T26="",0,Vorrunde!$T26)</f>
        <v>1</v>
      </c>
      <c r="AL78" s="13">
        <f ca="1">IF($AA78=0,"",IF($AJ78&gt;$AK78,Einstellungen!$C$4,IF($AJ78=$AK78,1,0)))</f>
        <v>1</v>
      </c>
      <c r="AM78" s="35">
        <f ca="1">IF($AA78=0,"",IF($AJ78&lt;$AK78,Einstellungen!$C$4,IF($AJ78=$AK78,1,0)))</f>
        <v>1</v>
      </c>
    </row>
    <row r="79" spans="2:43" s="2" customFormat="1" x14ac:dyDescent="0.2">
      <c r="B79" s="4"/>
      <c r="C79" s="4"/>
      <c r="D79" s="4"/>
      <c r="E79" s="4"/>
      <c r="F79" s="13"/>
      <c r="G79" s="13"/>
      <c r="H79" s="13"/>
      <c r="I79" s="13"/>
      <c r="J79" s="13"/>
      <c r="K79" s="13"/>
      <c r="L79" s="13"/>
      <c r="M79" s="13"/>
      <c r="U79" s="65" t="s">
        <v>31</v>
      </c>
      <c r="V79" s="40" t="str">
        <f ca="1">Planung!$L21</f>
        <v>SSV Wildbach</v>
      </c>
      <c r="W79" s="13" t="str">
        <f ca="1">Planung!$N21</f>
        <v>Mainz 05</v>
      </c>
      <c r="X79" s="13">
        <f ca="1">IF(AND($AA79=1,Vorrunde!$I27&lt;&gt;"",Vorrunde!$K27&lt;&gt;"",ABS(Vorrunde!$I27-Vorrunde!$K27)&gt;1),Vorrunde!$I27,"")</f>
        <v>20</v>
      </c>
      <c r="Y79" s="35">
        <f ca="1">IF(AND($AA79=1,Vorrunde!$I27&lt;&gt;"",Vorrunde!$K27&lt;&gt;"",ABS(Vorrunde!$I27-Vorrunde!$K27)&gt;1),Vorrunde!$K27,"")</f>
        <v>25</v>
      </c>
      <c r="Z79" s="34" t="str">
        <f t="shared" ca="1" si="68"/>
        <v>SSV WildbachMainz 05</v>
      </c>
      <c r="AA79" s="13">
        <f ca="1">IF(AND(V79&lt;&gt;"",W79&lt;&gt;"",V79&lt;&gt;W79,Vorrunde!$R27&lt;&gt;"",Vorrunde!$T27&lt;&gt;""),1,0)</f>
        <v>1</v>
      </c>
      <c r="AB79" s="13" t="str">
        <f ca="1">IF(AA79&gt;0,AH79&amp;Sprache!$E$108&amp;AI79,"")</f>
        <v>38 : 50</v>
      </c>
      <c r="AC79" s="35" t="str">
        <f ca="1">IF(AA79&gt;0,AJ79&amp;Sprache!$E$108&amp;AK79,"")</f>
        <v>0 : 2</v>
      </c>
      <c r="AD79" s="40">
        <f ca="1">IF(AND($AA79=1,Vorrunde!$L27&lt;&gt;"",Vorrunde!$N27&lt;&gt;"",ABS(Vorrunde!$L27-Vorrunde!$N27)&gt;1),Vorrunde!$L27,"")</f>
        <v>18</v>
      </c>
      <c r="AE79" s="35">
        <f ca="1">IF(AND($AA79=1,Vorrunde!$L27&lt;&gt;"",Vorrunde!$N27&lt;&gt;"",ABS(Vorrunde!$L27-Vorrunde!$N27)&gt;1),Vorrunde!$N27,"")</f>
        <v>25</v>
      </c>
      <c r="AF79" s="40" t="str">
        <f ca="1">IF(AND($AA79=1,Vorrunde!$O27&lt;&gt;"",Vorrunde!$Q27&lt;&gt;"",ABS(Vorrunde!$O27-Vorrunde!$Q27)&gt;1),Vorrunde!$O27,"")</f>
        <v/>
      </c>
      <c r="AG79" s="35" t="str">
        <f ca="1">IF(AND($AA79=1,Vorrunde!$O27&lt;&gt;"",Vorrunde!$Q27&lt;&gt;"",ABS(Vorrunde!$O27-Vorrunde!$Q27)&gt;1),Vorrunde!$Q27,"")</f>
        <v/>
      </c>
      <c r="AH79" s="40">
        <f t="shared" ca="1" si="69"/>
        <v>38</v>
      </c>
      <c r="AI79" s="35">
        <f t="shared" ca="1" si="70"/>
        <v>50</v>
      </c>
      <c r="AJ79" s="40">
        <f ca="1">IF(Vorrunde!$R27="",0,Vorrunde!$R27)</f>
        <v>0</v>
      </c>
      <c r="AK79" s="35">
        <f ca="1">IF(Vorrunde!$T27="",0,Vorrunde!$T27)</f>
        <v>2</v>
      </c>
      <c r="AL79" s="13">
        <f ca="1">IF($AA79=0,"",IF($AJ79&gt;$AK79,Einstellungen!$C$4,IF($AJ79=$AK79,1,0)))</f>
        <v>0</v>
      </c>
      <c r="AM79" s="35">
        <f ca="1">IF($AA79=0,"",IF($AJ79&lt;$AK79,Einstellungen!$C$4,IF($AJ79=$AK79,1,0)))</f>
        <v>2</v>
      </c>
    </row>
    <row r="80" spans="2:43" s="2" customFormat="1" x14ac:dyDescent="0.2">
      <c r="B80" s="4"/>
      <c r="C80" s="4"/>
      <c r="D80" s="4"/>
      <c r="E80" s="4"/>
      <c r="F80" s="13"/>
      <c r="G80" s="13"/>
      <c r="H80" s="13"/>
      <c r="I80" s="13"/>
      <c r="J80" s="13"/>
      <c r="K80" s="13"/>
      <c r="L80" s="13"/>
      <c r="M80" s="13"/>
      <c r="U80" s="65" t="s">
        <v>32</v>
      </c>
      <c r="V80" s="40" t="str">
        <f ca="1">Planung!$L22</f>
        <v>Maibach 1822 eV</v>
      </c>
      <c r="W80" s="13" t="str">
        <f ca="1">Planung!$N22</f>
        <v>VFB Essenheim</v>
      </c>
      <c r="X80" s="13">
        <f ca="1">IF(AND($AA80=1,Vorrunde!$I28&lt;&gt;"",Vorrunde!$K28&lt;&gt;"",ABS(Vorrunde!$I28-Vorrunde!$K28)&gt;1),Vorrunde!$I28,"")</f>
        <v>25</v>
      </c>
      <c r="Y80" s="35">
        <f ca="1">IF(AND($AA80=1,Vorrunde!$I28&lt;&gt;"",Vorrunde!$K28&lt;&gt;"",ABS(Vorrunde!$I28-Vorrunde!$K28)&gt;1),Vorrunde!$K28,"")</f>
        <v>21</v>
      </c>
      <c r="Z80" s="34" t="str">
        <f t="shared" ca="1" si="68"/>
        <v>Maibach 1822 eVVFB Essenheim</v>
      </c>
      <c r="AA80" s="13">
        <f ca="1">IF(AND(V80&lt;&gt;"",W80&lt;&gt;"",V80&lt;&gt;W80,Vorrunde!$R28&lt;&gt;"",Vorrunde!$T28&lt;&gt;""),1,0)</f>
        <v>1</v>
      </c>
      <c r="AB80" s="13" t="str">
        <f ca="1">IF(AA80&gt;0,AH80&amp;Sprache!$E$108&amp;AI80,"")</f>
        <v>50 : 40</v>
      </c>
      <c r="AC80" s="35" t="str">
        <f ca="1">IF(AA80&gt;0,AJ80&amp;Sprache!$E$108&amp;AK80,"")</f>
        <v>2 : 0</v>
      </c>
      <c r="AD80" s="40">
        <f ca="1">IF(AND($AA80=1,Vorrunde!$L28&lt;&gt;"",Vorrunde!$N28&lt;&gt;"",ABS(Vorrunde!$L28-Vorrunde!$N28)&gt;1),Vorrunde!$L28,"")</f>
        <v>25</v>
      </c>
      <c r="AE80" s="35">
        <f ca="1">IF(AND($AA80=1,Vorrunde!$L28&lt;&gt;"",Vorrunde!$N28&lt;&gt;"",ABS(Vorrunde!$L28-Vorrunde!$N28)&gt;1),Vorrunde!$N28,"")</f>
        <v>19</v>
      </c>
      <c r="AF80" s="40" t="str">
        <f ca="1">IF(AND($AA80=1,Vorrunde!$O28&lt;&gt;"",Vorrunde!$Q28&lt;&gt;"",ABS(Vorrunde!$O28-Vorrunde!$Q28)&gt;1),Vorrunde!$O28,"")</f>
        <v/>
      </c>
      <c r="AG80" s="35" t="str">
        <f ca="1">IF(AND($AA80=1,Vorrunde!$O28&lt;&gt;"",Vorrunde!$Q28&lt;&gt;"",ABS(Vorrunde!$O28-Vorrunde!$Q28)&gt;1),Vorrunde!$Q28,"")</f>
        <v/>
      </c>
      <c r="AH80" s="40">
        <f t="shared" ca="1" si="69"/>
        <v>50</v>
      </c>
      <c r="AI80" s="35">
        <f t="shared" ca="1" si="70"/>
        <v>40</v>
      </c>
      <c r="AJ80" s="40">
        <f ca="1">IF(Vorrunde!$R28="",0,Vorrunde!$R28)</f>
        <v>2</v>
      </c>
      <c r="AK80" s="35">
        <f ca="1">IF(Vorrunde!$T28="",0,Vorrunde!$T28)</f>
        <v>0</v>
      </c>
      <c r="AL80" s="13">
        <f ca="1">IF($AA80=0,"",IF($AJ80&gt;$AK80,Einstellungen!$C$4,IF($AJ80=$AK80,1,0)))</f>
        <v>2</v>
      </c>
      <c r="AM80" s="35">
        <f ca="1">IF($AA80=0,"",IF($AJ80&lt;$AK80,Einstellungen!$C$4,IF($AJ80=$AK80,1,0)))</f>
        <v>0</v>
      </c>
    </row>
    <row r="81" spans="2:39" s="2" customFormat="1" x14ac:dyDescent="0.2">
      <c r="B81" s="4"/>
      <c r="C81" s="4"/>
      <c r="D81" s="4"/>
      <c r="E81" s="4"/>
      <c r="F81" s="13"/>
      <c r="G81" s="13"/>
      <c r="H81" s="13"/>
      <c r="I81" s="13"/>
      <c r="J81" s="13"/>
      <c r="K81" s="13"/>
      <c r="L81" s="13"/>
      <c r="M81" s="13"/>
      <c r="U81" s="65" t="s">
        <v>33</v>
      </c>
      <c r="V81" s="40" t="str">
        <f ca="1">Planung!$L23</f>
        <v>Manchester City</v>
      </c>
      <c r="W81" s="13" t="str">
        <f ca="1">Planung!$N23</f>
        <v>FC Grönlingen</v>
      </c>
      <c r="X81" s="13">
        <f ca="1">IF(AND($AA81=1,Vorrunde!$I29&lt;&gt;"",Vorrunde!$K29&lt;&gt;"",ABS(Vorrunde!$I29-Vorrunde!$K29)&gt;1),Vorrunde!$I29,"")</f>
        <v>25</v>
      </c>
      <c r="Y81" s="35">
        <f ca="1">IF(AND($AA81=1,Vorrunde!$I29&lt;&gt;"",Vorrunde!$K29&lt;&gt;"",ABS(Vorrunde!$I29-Vorrunde!$K29)&gt;1),Vorrunde!$K29,"")</f>
        <v>12</v>
      </c>
      <c r="Z81" s="34" t="str">
        <f t="shared" ca="1" si="68"/>
        <v>Manchester CityFC Grönlingen</v>
      </c>
      <c r="AA81" s="13">
        <f ca="1">IF(AND(V81&lt;&gt;"",W81&lt;&gt;"",V81&lt;&gt;W81,Vorrunde!$R29&lt;&gt;"",Vorrunde!$T29&lt;&gt;""),1,0)</f>
        <v>1</v>
      </c>
      <c r="AB81" s="13" t="str">
        <f ca="1">IF(AA81&gt;0,AH81&amp;Sprache!$E$108&amp;AI81,"")</f>
        <v>50 : 32</v>
      </c>
      <c r="AC81" s="35" t="str">
        <f ca="1">IF(AA81&gt;0,AJ81&amp;Sprache!$E$108&amp;AK81,"")</f>
        <v>2 : 0</v>
      </c>
      <c r="AD81" s="40">
        <f ca="1">IF(AND($AA81=1,Vorrunde!$L29&lt;&gt;"",Vorrunde!$N29&lt;&gt;"",ABS(Vorrunde!$L29-Vorrunde!$N29)&gt;1),Vorrunde!$L29,"")</f>
        <v>25</v>
      </c>
      <c r="AE81" s="35">
        <f ca="1">IF(AND($AA81=1,Vorrunde!$L29&lt;&gt;"",Vorrunde!$N29&lt;&gt;"",ABS(Vorrunde!$L29-Vorrunde!$N29)&gt;1),Vorrunde!$N29,"")</f>
        <v>20</v>
      </c>
      <c r="AF81" s="40" t="str">
        <f ca="1">IF(AND($AA81=1,Vorrunde!$O29&lt;&gt;"",Vorrunde!$Q29&lt;&gt;"",ABS(Vorrunde!$O29-Vorrunde!$Q29)&gt;1),Vorrunde!$O29,"")</f>
        <v/>
      </c>
      <c r="AG81" s="35" t="str">
        <f ca="1">IF(AND($AA81=1,Vorrunde!$O29&lt;&gt;"",Vorrunde!$Q29&lt;&gt;"",ABS(Vorrunde!$O29-Vorrunde!$Q29)&gt;1),Vorrunde!$Q29,"")</f>
        <v/>
      </c>
      <c r="AH81" s="40">
        <f t="shared" ca="1" si="69"/>
        <v>50</v>
      </c>
      <c r="AI81" s="35">
        <f t="shared" ca="1" si="70"/>
        <v>32</v>
      </c>
      <c r="AJ81" s="40">
        <f ca="1">IF(Vorrunde!$R29="",0,Vorrunde!$R29)</f>
        <v>2</v>
      </c>
      <c r="AK81" s="35">
        <f ca="1">IF(Vorrunde!$T29="",0,Vorrunde!$T29)</f>
        <v>0</v>
      </c>
      <c r="AL81" s="13">
        <f ca="1">IF($AA81=0,"",IF($AJ81&gt;$AK81,Einstellungen!$C$4,IF($AJ81=$AK81,1,0)))</f>
        <v>2</v>
      </c>
      <c r="AM81" s="35">
        <f ca="1">IF($AA81=0,"",IF($AJ81&lt;$AK81,Einstellungen!$C$4,IF($AJ81=$AK81,1,0)))</f>
        <v>0</v>
      </c>
    </row>
    <row r="82" spans="2:39" s="2" customFormat="1" x14ac:dyDescent="0.2">
      <c r="B82" s="4"/>
      <c r="C82" s="4"/>
      <c r="D82" s="4"/>
      <c r="E82" s="4"/>
      <c r="F82" s="13"/>
      <c r="G82" s="13"/>
      <c r="H82" s="13"/>
      <c r="I82" s="13"/>
      <c r="J82" s="13"/>
      <c r="K82" s="13"/>
      <c r="L82" s="13"/>
      <c r="M82" s="13"/>
      <c r="U82" s="65" t="s">
        <v>34</v>
      </c>
      <c r="V82" s="40" t="str">
        <f ca="1">Planung!$L24</f>
        <v>1. FC Riedwald</v>
      </c>
      <c r="W82" s="13" t="str">
        <f ca="1">Planung!$N24</f>
        <v>FC Barcelona</v>
      </c>
      <c r="X82" s="13">
        <f ca="1">IF(AND($AA82=1,Vorrunde!$I30&lt;&gt;"",Vorrunde!$K30&lt;&gt;"",ABS(Vorrunde!$I30-Vorrunde!$K30)&gt;1),Vorrunde!$I30,"")</f>
        <v>25</v>
      </c>
      <c r="Y82" s="35">
        <f ca="1">IF(AND($AA82=1,Vorrunde!$I30&lt;&gt;"",Vorrunde!$K30&lt;&gt;"",ABS(Vorrunde!$I30-Vorrunde!$K30)&gt;1),Vorrunde!$K30,"")</f>
        <v>16</v>
      </c>
      <c r="Z82" s="34" t="str">
        <f t="shared" ca="1" si="68"/>
        <v>1. FC RiedwaldFC Barcelona</v>
      </c>
      <c r="AA82" s="13">
        <f ca="1">IF(AND(V82&lt;&gt;"",W82&lt;&gt;"",V82&lt;&gt;W82,Vorrunde!$R30&lt;&gt;"",Vorrunde!$T30&lt;&gt;""),1,0)</f>
        <v>1</v>
      </c>
      <c r="AB82" s="13" t="str">
        <f ca="1">IF(AA82&gt;0,AH82&amp;Sprache!$E$108&amp;AI82,"")</f>
        <v>50 : 37</v>
      </c>
      <c r="AC82" s="35" t="str">
        <f ca="1">IF(AA82&gt;0,AJ82&amp;Sprache!$E$108&amp;AK82,"")</f>
        <v>2 : 0</v>
      </c>
      <c r="AD82" s="40">
        <f ca="1">IF(AND($AA82=1,Vorrunde!$L30&lt;&gt;"",Vorrunde!$N30&lt;&gt;"",ABS(Vorrunde!$L30-Vorrunde!$N30)&gt;1),Vorrunde!$L30,"")</f>
        <v>25</v>
      </c>
      <c r="AE82" s="35">
        <f ca="1">IF(AND($AA82=1,Vorrunde!$L30&lt;&gt;"",Vorrunde!$N30&lt;&gt;"",ABS(Vorrunde!$L30-Vorrunde!$N30)&gt;1),Vorrunde!$N30,"")</f>
        <v>21</v>
      </c>
      <c r="AF82" s="40" t="str">
        <f ca="1">IF(AND($AA82=1,Vorrunde!$O30&lt;&gt;"",Vorrunde!$Q30&lt;&gt;"",ABS(Vorrunde!$O30-Vorrunde!$Q30)&gt;1),Vorrunde!$O30,"")</f>
        <v/>
      </c>
      <c r="AG82" s="35" t="str">
        <f ca="1">IF(AND($AA82=1,Vorrunde!$O30&lt;&gt;"",Vorrunde!$Q30&lt;&gt;"",ABS(Vorrunde!$O30-Vorrunde!$Q30)&gt;1),Vorrunde!$Q30,"")</f>
        <v/>
      </c>
      <c r="AH82" s="40">
        <f t="shared" ca="1" si="69"/>
        <v>50</v>
      </c>
      <c r="AI82" s="35">
        <f t="shared" ca="1" si="70"/>
        <v>37</v>
      </c>
      <c r="AJ82" s="40">
        <f ca="1">IF(Vorrunde!$R30="",0,Vorrunde!$R30)</f>
        <v>2</v>
      </c>
      <c r="AK82" s="35">
        <f ca="1">IF(Vorrunde!$T30="",0,Vorrunde!$T30)</f>
        <v>0</v>
      </c>
      <c r="AL82" s="13">
        <f ca="1">IF($AA82=0,"",IF($AJ82&gt;$AK82,Einstellungen!$C$4,IF($AJ82=$AK82,1,0)))</f>
        <v>2</v>
      </c>
      <c r="AM82" s="35">
        <f ca="1">IF($AA82=0,"",IF($AJ82&lt;$AK82,Einstellungen!$C$4,IF($AJ82=$AK82,1,0)))</f>
        <v>0</v>
      </c>
    </row>
    <row r="83" spans="2:39" s="2" customFormat="1" x14ac:dyDescent="0.2">
      <c r="B83" s="4"/>
      <c r="C83" s="4"/>
      <c r="D83" s="4"/>
      <c r="E83" s="4"/>
      <c r="F83" s="13"/>
      <c r="G83" s="13"/>
      <c r="H83" s="13"/>
      <c r="I83" s="13"/>
      <c r="J83" s="13"/>
      <c r="K83" s="13"/>
      <c r="L83" s="13"/>
      <c r="M83" s="13"/>
      <c r="U83" s="65" t="s">
        <v>35</v>
      </c>
      <c r="V83" s="40" t="str">
        <f ca="1">Planung!$L25</f>
        <v>Mainz 05</v>
      </c>
      <c r="W83" s="13" t="str">
        <f ca="1">Planung!$N25</f>
        <v>Inter Mailand</v>
      </c>
      <c r="X83" s="13">
        <f ca="1">IF(AND($AA83=1,Vorrunde!$I31&lt;&gt;"",Vorrunde!$K31&lt;&gt;"",ABS(Vorrunde!$I31-Vorrunde!$K31)&gt;1),Vorrunde!$I31,"")</f>
        <v>25</v>
      </c>
      <c r="Y83" s="35">
        <f ca="1">IF(AND($AA83=1,Vorrunde!$I31&lt;&gt;"",Vorrunde!$K31&lt;&gt;"",ABS(Vorrunde!$I31-Vorrunde!$K31)&gt;1),Vorrunde!$K31,"")</f>
        <v>2</v>
      </c>
      <c r="Z83" s="34" t="str">
        <f t="shared" ca="1" si="68"/>
        <v>Mainz 05Inter Mailand</v>
      </c>
      <c r="AA83" s="13">
        <f ca="1">IF(AND(V83&lt;&gt;"",W83&lt;&gt;"",V83&lt;&gt;W83,Vorrunde!$R31&lt;&gt;"",Vorrunde!$T31&lt;&gt;""),1,0)</f>
        <v>1</v>
      </c>
      <c r="AB83" s="13" t="str">
        <f ca="1">IF(AA83&gt;0,AH83&amp;Sprache!$E$108&amp;AI83,"")</f>
        <v>50 : 24</v>
      </c>
      <c r="AC83" s="35" t="str">
        <f ca="1">IF(AA83&gt;0,AJ83&amp;Sprache!$E$108&amp;AK83,"")</f>
        <v>2 : 0</v>
      </c>
      <c r="AD83" s="40">
        <f ca="1">IF(AND($AA83=1,Vorrunde!$L31&lt;&gt;"",Vorrunde!$N31&lt;&gt;"",ABS(Vorrunde!$L31-Vorrunde!$N31)&gt;1),Vorrunde!$L31,"")</f>
        <v>25</v>
      </c>
      <c r="AE83" s="35">
        <f ca="1">IF(AND($AA83=1,Vorrunde!$L31&lt;&gt;"",Vorrunde!$N31&lt;&gt;"",ABS(Vorrunde!$L31-Vorrunde!$N31)&gt;1),Vorrunde!$N31,"")</f>
        <v>22</v>
      </c>
      <c r="AF83" s="40" t="str">
        <f ca="1">IF(AND($AA83=1,Vorrunde!$O31&lt;&gt;"",Vorrunde!$Q31&lt;&gt;"",ABS(Vorrunde!$O31-Vorrunde!$Q31)&gt;1),Vorrunde!$O31,"")</f>
        <v/>
      </c>
      <c r="AG83" s="35" t="str">
        <f ca="1">IF(AND($AA83=1,Vorrunde!$O31&lt;&gt;"",Vorrunde!$Q31&lt;&gt;"",ABS(Vorrunde!$O31-Vorrunde!$Q31)&gt;1),Vorrunde!$Q31,"")</f>
        <v/>
      </c>
      <c r="AH83" s="40">
        <f t="shared" ca="1" si="69"/>
        <v>50</v>
      </c>
      <c r="AI83" s="35">
        <f t="shared" ca="1" si="70"/>
        <v>24</v>
      </c>
      <c r="AJ83" s="40">
        <f ca="1">IF(Vorrunde!$R31="",0,Vorrunde!$R31)</f>
        <v>2</v>
      </c>
      <c r="AK83" s="35">
        <f ca="1">IF(Vorrunde!$T31="",0,Vorrunde!$T31)</f>
        <v>0</v>
      </c>
      <c r="AL83" s="13">
        <f ca="1">IF($AA83=0,"",IF($AJ83&gt;$AK83,Einstellungen!$C$4,IF($AJ83=$AK83,1,0)))</f>
        <v>2</v>
      </c>
      <c r="AM83" s="35">
        <f ca="1">IF($AA83=0,"",IF($AJ83&lt;$AK83,Einstellungen!$C$4,IF($AJ83=$AK83,1,0)))</f>
        <v>0</v>
      </c>
    </row>
    <row r="84" spans="2:39" s="2" customFormat="1" x14ac:dyDescent="0.2">
      <c r="B84" s="4"/>
      <c r="C84" s="4"/>
      <c r="D84" s="4"/>
      <c r="E84" s="4"/>
      <c r="F84" s="13"/>
      <c r="G84" s="13"/>
      <c r="H84" s="13"/>
      <c r="I84" s="13"/>
      <c r="J84" s="13"/>
      <c r="K84" s="13"/>
      <c r="L84" s="13"/>
      <c r="M84" s="13"/>
      <c r="U84" s="65" t="s">
        <v>36</v>
      </c>
      <c r="V84" s="40" t="str">
        <f ca="1">Planung!$L26</f>
        <v/>
      </c>
      <c r="W84" s="13" t="str">
        <f ca="1">Planung!$N26</f>
        <v/>
      </c>
      <c r="X84" s="13" t="str">
        <f ca="1">IF(AND($AA84=1,Vorrunde!$I32&lt;&gt;"",Vorrunde!$K32&lt;&gt;"",ABS(Vorrunde!$I32-Vorrunde!$K32)&gt;1),Vorrunde!$I32,"")</f>
        <v/>
      </c>
      <c r="Y84" s="35" t="str">
        <f ca="1">IF(AND($AA84=1,Vorrunde!$I32&lt;&gt;"",Vorrunde!$K32&lt;&gt;"",ABS(Vorrunde!$I32-Vorrunde!$K32)&gt;1),Vorrunde!$K32,"")</f>
        <v/>
      </c>
      <c r="Z84" s="34" t="str">
        <f t="shared" ca="1" si="68"/>
        <v/>
      </c>
      <c r="AA84" s="13">
        <f ca="1">IF(AND(V84&lt;&gt;"",W84&lt;&gt;"",V84&lt;&gt;W84,Vorrunde!$R32&lt;&gt;"",Vorrunde!$T32&lt;&gt;""),1,0)</f>
        <v>0</v>
      </c>
      <c r="AB84" s="13" t="str">
        <f ca="1">IF(AA84&gt;0,AH84&amp;Sprache!$E$108&amp;AI84,"")</f>
        <v/>
      </c>
      <c r="AC84" s="35" t="str">
        <f ca="1">IF(AA84&gt;0,AJ84&amp;Sprache!$E$108&amp;AK84,"")</f>
        <v/>
      </c>
      <c r="AD84" s="40" t="str">
        <f ca="1">IF(AND($AA84=1,Vorrunde!$L32&lt;&gt;"",Vorrunde!$N32&lt;&gt;"",ABS(Vorrunde!$L32-Vorrunde!$N32)&gt;1),Vorrunde!$L32,"")</f>
        <v/>
      </c>
      <c r="AE84" s="35" t="str">
        <f ca="1">IF(AND($AA84=1,Vorrunde!$L32&lt;&gt;"",Vorrunde!$N32&lt;&gt;"",ABS(Vorrunde!$L32-Vorrunde!$N32)&gt;1),Vorrunde!$N32,"")</f>
        <v/>
      </c>
      <c r="AF84" s="40" t="str">
        <f ca="1">IF(AND($AA84=1,Vorrunde!$O32&lt;&gt;"",Vorrunde!$Q32&lt;&gt;"",ABS(Vorrunde!$O32-Vorrunde!$Q32)&gt;1),Vorrunde!$O32,"")</f>
        <v/>
      </c>
      <c r="AG84" s="35" t="str">
        <f ca="1">IF(AND($AA84=1,Vorrunde!$O32&lt;&gt;"",Vorrunde!$Q32&lt;&gt;"",ABS(Vorrunde!$O32-Vorrunde!$Q32)&gt;1),Vorrunde!$Q32,"")</f>
        <v/>
      </c>
      <c r="AH84" s="40" t="str">
        <f t="shared" ca="1" si="69"/>
        <v/>
      </c>
      <c r="AI84" s="35" t="str">
        <f t="shared" ca="1" si="70"/>
        <v/>
      </c>
      <c r="AJ84" s="40">
        <f ca="1">IF(Vorrunde!$R32="",0,Vorrunde!$R32)</f>
        <v>0</v>
      </c>
      <c r="AK84" s="35">
        <f ca="1">IF(Vorrunde!$T32="",0,Vorrunde!$T32)</f>
        <v>0</v>
      </c>
      <c r="AL84" s="13" t="str">
        <f ca="1">IF($AA84=0,"",IF($AJ84&gt;$AK84,Einstellungen!$C$4,IF($AJ84=$AK84,1,0)))</f>
        <v/>
      </c>
      <c r="AM84" s="35" t="str">
        <f ca="1">IF($AA84=0,"",IF($AJ84&lt;$AK84,Einstellungen!$C$4,IF($AJ84=$AK84,1,0)))</f>
        <v/>
      </c>
    </row>
    <row r="85" spans="2:39" s="2" customFormat="1" x14ac:dyDescent="0.2">
      <c r="B85" s="4"/>
      <c r="C85" s="4"/>
      <c r="D85" s="4"/>
      <c r="E85" s="4"/>
      <c r="F85" s="13"/>
      <c r="G85" s="13"/>
      <c r="H85" s="13"/>
      <c r="I85" s="13"/>
      <c r="J85" s="13"/>
      <c r="K85" s="13"/>
      <c r="L85" s="13"/>
      <c r="M85" s="13"/>
      <c r="U85" s="65" t="s">
        <v>37</v>
      </c>
      <c r="V85" s="40" t="str">
        <f ca="1">Planung!$L27</f>
        <v/>
      </c>
      <c r="W85" s="13" t="str">
        <f ca="1">Planung!$N27</f>
        <v/>
      </c>
      <c r="X85" s="13" t="str">
        <f ca="1">IF(AND($AA85=1,Vorrunde!$I33&lt;&gt;"",Vorrunde!$K33&lt;&gt;"",ABS(Vorrunde!$I33-Vorrunde!$K33)&gt;1),Vorrunde!$I33,"")</f>
        <v/>
      </c>
      <c r="Y85" s="35" t="str">
        <f ca="1">IF(AND($AA85=1,Vorrunde!$I33&lt;&gt;"",Vorrunde!$K33&lt;&gt;"",ABS(Vorrunde!$I33-Vorrunde!$K33)&gt;1),Vorrunde!$K33,"")</f>
        <v/>
      </c>
      <c r="Z85" s="34" t="str">
        <f t="shared" ca="1" si="68"/>
        <v/>
      </c>
      <c r="AA85" s="13">
        <f ca="1">IF(AND(V85&lt;&gt;"",W85&lt;&gt;"",V85&lt;&gt;W85,Vorrunde!$R33&lt;&gt;"",Vorrunde!$T33&lt;&gt;""),1,0)</f>
        <v>0</v>
      </c>
      <c r="AB85" s="13" t="str">
        <f ca="1">IF(AA85&gt;0,AH85&amp;Sprache!$E$108&amp;AI85,"")</f>
        <v/>
      </c>
      <c r="AC85" s="35" t="str">
        <f ca="1">IF(AA85&gt;0,AJ85&amp;Sprache!$E$108&amp;AK85,"")</f>
        <v/>
      </c>
      <c r="AD85" s="40" t="str">
        <f ca="1">IF(AND($AA85=1,Vorrunde!$L33&lt;&gt;"",Vorrunde!$N33&lt;&gt;"",ABS(Vorrunde!$L33-Vorrunde!$N33)&gt;1),Vorrunde!$L33,"")</f>
        <v/>
      </c>
      <c r="AE85" s="35" t="str">
        <f ca="1">IF(AND($AA85=1,Vorrunde!$L33&lt;&gt;"",Vorrunde!$N33&lt;&gt;"",ABS(Vorrunde!$L33-Vorrunde!$N33)&gt;1),Vorrunde!$N33,"")</f>
        <v/>
      </c>
      <c r="AF85" s="40" t="str">
        <f ca="1">IF(AND($AA85=1,Vorrunde!$O33&lt;&gt;"",Vorrunde!$Q33&lt;&gt;"",ABS(Vorrunde!$O33-Vorrunde!$Q33)&gt;1),Vorrunde!$O33,"")</f>
        <v/>
      </c>
      <c r="AG85" s="35" t="str">
        <f ca="1">IF(AND($AA85=1,Vorrunde!$O33&lt;&gt;"",Vorrunde!$Q33&lt;&gt;"",ABS(Vorrunde!$O33-Vorrunde!$Q33)&gt;1),Vorrunde!$Q33,"")</f>
        <v/>
      </c>
      <c r="AH85" s="40" t="str">
        <f t="shared" ca="1" si="69"/>
        <v/>
      </c>
      <c r="AI85" s="35" t="str">
        <f t="shared" ca="1" si="70"/>
        <v/>
      </c>
      <c r="AJ85" s="40">
        <f ca="1">IF(Vorrunde!$R33="",0,Vorrunde!$R33)</f>
        <v>0</v>
      </c>
      <c r="AK85" s="35">
        <f ca="1">IF(Vorrunde!$T33="",0,Vorrunde!$T33)</f>
        <v>0</v>
      </c>
      <c r="AL85" s="13" t="str">
        <f ca="1">IF($AA85=0,"",IF($AJ85&gt;$AK85,Einstellungen!$C$4,IF($AJ85=$AK85,1,0)))</f>
        <v/>
      </c>
      <c r="AM85" s="35" t="str">
        <f ca="1">IF($AA85=0,"",IF($AJ85&lt;$AK85,Einstellungen!$C$4,IF($AJ85=$AK85,1,0)))</f>
        <v/>
      </c>
    </row>
    <row r="86" spans="2:39" s="2" customFormat="1" x14ac:dyDescent="0.2">
      <c r="B86" s="4"/>
      <c r="C86" s="4"/>
      <c r="D86" s="4"/>
      <c r="E86" s="4"/>
      <c r="F86" s="13"/>
      <c r="G86" s="13"/>
      <c r="H86" s="13"/>
      <c r="I86" s="13"/>
      <c r="J86" s="13"/>
      <c r="K86" s="13"/>
      <c r="L86" s="13"/>
      <c r="M86" s="13"/>
      <c r="U86" s="65" t="s">
        <v>38</v>
      </c>
      <c r="V86" s="40" t="str">
        <f ca="1">Planung!$L28</f>
        <v/>
      </c>
      <c r="W86" s="13" t="str">
        <f ca="1">Planung!$N28</f>
        <v/>
      </c>
      <c r="X86" s="13" t="str">
        <f ca="1">IF(AND($AA86=1,Vorrunde!$I34&lt;&gt;"",Vorrunde!$K34&lt;&gt;"",ABS(Vorrunde!$I34-Vorrunde!$K34)&gt;1),Vorrunde!$I34,"")</f>
        <v/>
      </c>
      <c r="Y86" s="35" t="str">
        <f ca="1">IF(AND($AA86=1,Vorrunde!$I34&lt;&gt;"",Vorrunde!$K34&lt;&gt;"",ABS(Vorrunde!$I34-Vorrunde!$K34)&gt;1),Vorrunde!$K34,"")</f>
        <v/>
      </c>
      <c r="Z86" s="34" t="str">
        <f t="shared" ca="1" si="68"/>
        <v/>
      </c>
      <c r="AA86" s="13">
        <f ca="1">IF(AND(V86&lt;&gt;"",W86&lt;&gt;"",V86&lt;&gt;W86,Vorrunde!$R34&lt;&gt;"",Vorrunde!$T34&lt;&gt;""),1,0)</f>
        <v>0</v>
      </c>
      <c r="AB86" s="13" t="str">
        <f ca="1">IF(AA86&gt;0,AH86&amp;Sprache!$E$108&amp;AI86,"")</f>
        <v/>
      </c>
      <c r="AC86" s="35" t="str">
        <f ca="1">IF(AA86&gt;0,AJ86&amp;Sprache!$E$108&amp;AK86,"")</f>
        <v/>
      </c>
      <c r="AD86" s="40" t="str">
        <f ca="1">IF(AND($AA86=1,Vorrunde!$L34&lt;&gt;"",Vorrunde!$N34&lt;&gt;"",ABS(Vorrunde!$L34-Vorrunde!$N34)&gt;1),Vorrunde!$L34,"")</f>
        <v/>
      </c>
      <c r="AE86" s="35" t="str">
        <f ca="1">IF(AND($AA86=1,Vorrunde!$L34&lt;&gt;"",Vorrunde!$N34&lt;&gt;"",ABS(Vorrunde!$L34-Vorrunde!$N34)&gt;1),Vorrunde!$N34,"")</f>
        <v/>
      </c>
      <c r="AF86" s="40" t="str">
        <f ca="1">IF(AND($AA86=1,Vorrunde!$O34&lt;&gt;"",Vorrunde!$Q34&lt;&gt;"",ABS(Vorrunde!$O34-Vorrunde!$Q34)&gt;1),Vorrunde!$O34,"")</f>
        <v/>
      </c>
      <c r="AG86" s="35" t="str">
        <f ca="1">IF(AND($AA86=1,Vorrunde!$O34&lt;&gt;"",Vorrunde!$Q34&lt;&gt;"",ABS(Vorrunde!$O34-Vorrunde!$Q34)&gt;1),Vorrunde!$Q34,"")</f>
        <v/>
      </c>
      <c r="AH86" s="40" t="str">
        <f t="shared" ca="1" si="69"/>
        <v/>
      </c>
      <c r="AI86" s="35" t="str">
        <f t="shared" ca="1" si="70"/>
        <v/>
      </c>
      <c r="AJ86" s="40">
        <f ca="1">IF(Vorrunde!$R34="",0,Vorrunde!$R34)</f>
        <v>0</v>
      </c>
      <c r="AK86" s="35">
        <f ca="1">IF(Vorrunde!$T34="",0,Vorrunde!$T34)</f>
        <v>0</v>
      </c>
      <c r="AL86" s="13" t="str">
        <f ca="1">IF($AA86=0,"",IF($AJ86&gt;$AK86,Einstellungen!$C$4,IF($AJ86=$AK86,1,0)))</f>
        <v/>
      </c>
      <c r="AM86" s="35" t="str">
        <f ca="1">IF($AA86=0,"",IF($AJ86&lt;$AK86,Einstellungen!$C$4,IF($AJ86=$AK86,1,0)))</f>
        <v/>
      </c>
    </row>
    <row r="87" spans="2:39" s="2" customFormat="1" x14ac:dyDescent="0.2">
      <c r="B87" s="4"/>
      <c r="C87" s="4"/>
      <c r="D87" s="4"/>
      <c r="E87" s="4"/>
      <c r="F87" s="13"/>
      <c r="G87" s="13"/>
      <c r="H87" s="13"/>
      <c r="I87" s="13"/>
      <c r="J87" s="13"/>
      <c r="K87" s="13"/>
      <c r="L87" s="13"/>
      <c r="M87" s="13"/>
      <c r="U87" s="65" t="s">
        <v>39</v>
      </c>
      <c r="V87" s="40" t="str">
        <f ca="1">Planung!$L29</f>
        <v/>
      </c>
      <c r="W87" s="13" t="str">
        <f ca="1">Planung!$N29</f>
        <v/>
      </c>
      <c r="X87" s="13" t="str">
        <f ca="1">IF(AND($AA87=1,Vorrunde!$I35&lt;&gt;"",Vorrunde!$K35&lt;&gt;"",ABS(Vorrunde!$I35-Vorrunde!$K35)&gt;1),Vorrunde!$I35,"")</f>
        <v/>
      </c>
      <c r="Y87" s="35" t="str">
        <f ca="1">IF(AND($AA87=1,Vorrunde!$I35&lt;&gt;"",Vorrunde!$K35&lt;&gt;"",ABS(Vorrunde!$I35-Vorrunde!$K35)&gt;1),Vorrunde!$K35,"")</f>
        <v/>
      </c>
      <c r="Z87" s="34" t="str">
        <f t="shared" ca="1" si="68"/>
        <v/>
      </c>
      <c r="AA87" s="13">
        <f ca="1">IF(AND(V87&lt;&gt;"",W87&lt;&gt;"",V87&lt;&gt;W87,Vorrunde!$R35&lt;&gt;"",Vorrunde!$T35&lt;&gt;""),1,0)</f>
        <v>0</v>
      </c>
      <c r="AB87" s="13" t="str">
        <f ca="1">IF(AA87&gt;0,AH87&amp;Sprache!$E$108&amp;AI87,"")</f>
        <v/>
      </c>
      <c r="AC87" s="35" t="str">
        <f ca="1">IF(AA87&gt;0,AJ87&amp;Sprache!$E$108&amp;AK87,"")</f>
        <v/>
      </c>
      <c r="AD87" s="40" t="str">
        <f ca="1">IF(AND($AA87=1,Vorrunde!$L35&lt;&gt;"",Vorrunde!$N35&lt;&gt;"",ABS(Vorrunde!$L35-Vorrunde!$N35)&gt;1),Vorrunde!$L35,"")</f>
        <v/>
      </c>
      <c r="AE87" s="35" t="str">
        <f ca="1">IF(AND($AA87=1,Vorrunde!$L35&lt;&gt;"",Vorrunde!$N35&lt;&gt;"",ABS(Vorrunde!$L35-Vorrunde!$N35)&gt;1),Vorrunde!$N35,"")</f>
        <v/>
      </c>
      <c r="AF87" s="40" t="str">
        <f ca="1">IF(AND($AA87=1,Vorrunde!$O35&lt;&gt;"",Vorrunde!$Q35&lt;&gt;"",ABS(Vorrunde!$O35-Vorrunde!$Q35)&gt;1),Vorrunde!$O35,"")</f>
        <v/>
      </c>
      <c r="AG87" s="35" t="str">
        <f ca="1">IF(AND($AA87=1,Vorrunde!$O35&lt;&gt;"",Vorrunde!$Q35&lt;&gt;"",ABS(Vorrunde!$O35-Vorrunde!$Q35)&gt;1),Vorrunde!$Q35,"")</f>
        <v/>
      </c>
      <c r="AH87" s="40" t="str">
        <f t="shared" ca="1" si="69"/>
        <v/>
      </c>
      <c r="AI87" s="35" t="str">
        <f t="shared" ca="1" si="70"/>
        <v/>
      </c>
      <c r="AJ87" s="40">
        <f ca="1">IF(Vorrunde!$R35="",0,Vorrunde!$R35)</f>
        <v>0</v>
      </c>
      <c r="AK87" s="35">
        <f ca="1">IF(Vorrunde!$T35="",0,Vorrunde!$T35)</f>
        <v>0</v>
      </c>
      <c r="AL87" s="13" t="str">
        <f ca="1">IF($AA87=0,"",IF($AJ87&gt;$AK87,Einstellungen!$C$4,IF($AJ87=$AK87,1,0)))</f>
        <v/>
      </c>
      <c r="AM87" s="35" t="str">
        <f ca="1">IF($AA87=0,"",IF($AJ87&lt;$AK87,Einstellungen!$C$4,IF($AJ87=$AK87,1,0)))</f>
        <v/>
      </c>
    </row>
    <row r="88" spans="2:39" s="2" customFormat="1" x14ac:dyDescent="0.2">
      <c r="B88" s="4"/>
      <c r="C88" s="4"/>
      <c r="D88" s="4"/>
      <c r="E88" s="4"/>
      <c r="F88" s="13"/>
      <c r="G88" s="13"/>
      <c r="H88" s="13"/>
      <c r="I88" s="13"/>
      <c r="J88" s="13"/>
      <c r="K88" s="13"/>
      <c r="L88" s="13"/>
      <c r="M88" s="13"/>
      <c r="U88" s="65" t="s">
        <v>40</v>
      </c>
      <c r="V88" s="40" t="str">
        <f ca="1">Planung!$L30</f>
        <v/>
      </c>
      <c r="W88" s="13" t="str">
        <f ca="1">Planung!$N30</f>
        <v/>
      </c>
      <c r="X88" s="13" t="str">
        <f ca="1">IF(AND($AA88=1,Vorrunde!$I36&lt;&gt;"",Vorrunde!$K36&lt;&gt;"",ABS(Vorrunde!$I36-Vorrunde!$K36)&gt;1),Vorrunde!$I36,"")</f>
        <v/>
      </c>
      <c r="Y88" s="35" t="str">
        <f ca="1">IF(AND($AA88=1,Vorrunde!$I36&lt;&gt;"",Vorrunde!$K36&lt;&gt;"",ABS(Vorrunde!$I36-Vorrunde!$K36)&gt;1),Vorrunde!$K36,"")</f>
        <v/>
      </c>
      <c r="Z88" s="34" t="str">
        <f t="shared" ca="1" si="68"/>
        <v/>
      </c>
      <c r="AA88" s="13">
        <f ca="1">IF(AND(V88&lt;&gt;"",W88&lt;&gt;"",V88&lt;&gt;W88,Vorrunde!$R36&lt;&gt;"",Vorrunde!$T36&lt;&gt;""),1,0)</f>
        <v>0</v>
      </c>
      <c r="AB88" s="13" t="str">
        <f ca="1">IF(AA88&gt;0,AH88&amp;Sprache!$E$108&amp;AI88,"")</f>
        <v/>
      </c>
      <c r="AC88" s="35" t="str">
        <f ca="1">IF(AA88&gt;0,AJ88&amp;Sprache!$E$108&amp;AK88,"")</f>
        <v/>
      </c>
      <c r="AD88" s="40" t="str">
        <f ca="1">IF(AND($AA88=1,Vorrunde!$L36&lt;&gt;"",Vorrunde!$N36&lt;&gt;"",ABS(Vorrunde!$L36-Vorrunde!$N36)&gt;1),Vorrunde!$L36,"")</f>
        <v/>
      </c>
      <c r="AE88" s="35" t="str">
        <f ca="1">IF(AND($AA88=1,Vorrunde!$L36&lt;&gt;"",Vorrunde!$N36&lt;&gt;"",ABS(Vorrunde!$L36-Vorrunde!$N36)&gt;1),Vorrunde!$N36,"")</f>
        <v/>
      </c>
      <c r="AF88" s="40" t="str">
        <f ca="1">IF(AND($AA88=1,Vorrunde!$O36&lt;&gt;"",Vorrunde!$Q36&lt;&gt;"",ABS(Vorrunde!$O36-Vorrunde!$Q36)&gt;1),Vorrunde!$O36,"")</f>
        <v/>
      </c>
      <c r="AG88" s="35" t="str">
        <f ca="1">IF(AND($AA88=1,Vorrunde!$O36&lt;&gt;"",Vorrunde!$Q36&lt;&gt;"",ABS(Vorrunde!$O36-Vorrunde!$Q36)&gt;1),Vorrunde!$Q36,"")</f>
        <v/>
      </c>
      <c r="AH88" s="40" t="str">
        <f t="shared" ca="1" si="69"/>
        <v/>
      </c>
      <c r="AI88" s="35" t="str">
        <f t="shared" ca="1" si="70"/>
        <v/>
      </c>
      <c r="AJ88" s="40">
        <f ca="1">IF(Vorrunde!$R36="",0,Vorrunde!$R36)</f>
        <v>0</v>
      </c>
      <c r="AK88" s="35">
        <f ca="1">IF(Vorrunde!$T36="",0,Vorrunde!$T36)</f>
        <v>0</v>
      </c>
      <c r="AL88" s="13" t="str">
        <f ca="1">IF($AA88=0,"",IF($AJ88&gt;$AK88,Einstellungen!$C$4,IF($AJ88=$AK88,1,0)))</f>
        <v/>
      </c>
      <c r="AM88" s="35" t="str">
        <f ca="1">IF($AA88=0,"",IF($AJ88&lt;$AK88,Einstellungen!$C$4,IF($AJ88=$AK88,1,0)))</f>
        <v/>
      </c>
    </row>
    <row r="89" spans="2:39" s="2" customFormat="1" x14ac:dyDescent="0.2">
      <c r="B89" s="4"/>
      <c r="C89" s="4"/>
      <c r="D89" s="4"/>
      <c r="E89" s="4"/>
      <c r="F89" s="13"/>
      <c r="G89" s="13"/>
      <c r="H89" s="13"/>
      <c r="I89" s="13"/>
      <c r="J89" s="13"/>
      <c r="K89" s="13"/>
      <c r="L89" s="13"/>
      <c r="M89" s="13"/>
      <c r="U89" s="65" t="s">
        <v>41</v>
      </c>
      <c r="V89" s="40" t="str">
        <f ca="1">Planung!$L31</f>
        <v/>
      </c>
      <c r="W89" s="13" t="str">
        <f ca="1">Planung!$N31</f>
        <v/>
      </c>
      <c r="X89" s="13" t="str">
        <f ca="1">IF(AND($AA89=1,Vorrunde!$I37&lt;&gt;"",Vorrunde!$K37&lt;&gt;"",ABS(Vorrunde!$I37-Vorrunde!$K37)&gt;1),Vorrunde!$I37,"")</f>
        <v/>
      </c>
      <c r="Y89" s="35" t="str">
        <f ca="1">IF(AND($AA89=1,Vorrunde!$I37&lt;&gt;"",Vorrunde!$K37&lt;&gt;"",ABS(Vorrunde!$I37-Vorrunde!$K37)&gt;1),Vorrunde!$K37,"")</f>
        <v/>
      </c>
      <c r="Z89" s="34" t="str">
        <f t="shared" ca="1" si="68"/>
        <v/>
      </c>
      <c r="AA89" s="13">
        <f ca="1">IF(AND(V89&lt;&gt;"",W89&lt;&gt;"",V89&lt;&gt;W89,Vorrunde!$R37&lt;&gt;"",Vorrunde!$T37&lt;&gt;""),1,0)</f>
        <v>0</v>
      </c>
      <c r="AB89" s="13" t="str">
        <f ca="1">IF(AA89&gt;0,AH89&amp;Sprache!$E$108&amp;AI89,"")</f>
        <v/>
      </c>
      <c r="AC89" s="35" t="str">
        <f ca="1">IF(AA89&gt;0,AJ89&amp;Sprache!$E$108&amp;AK89,"")</f>
        <v/>
      </c>
      <c r="AD89" s="40" t="str">
        <f ca="1">IF(AND($AA89=1,Vorrunde!$L37&lt;&gt;"",Vorrunde!$N37&lt;&gt;"",ABS(Vorrunde!$L37-Vorrunde!$N37)&gt;1),Vorrunde!$L37,"")</f>
        <v/>
      </c>
      <c r="AE89" s="35" t="str">
        <f ca="1">IF(AND($AA89=1,Vorrunde!$L37&lt;&gt;"",Vorrunde!$N37&lt;&gt;"",ABS(Vorrunde!$L37-Vorrunde!$N37)&gt;1),Vorrunde!$N37,"")</f>
        <v/>
      </c>
      <c r="AF89" s="40" t="str">
        <f ca="1">IF(AND($AA89=1,Vorrunde!$O37&lt;&gt;"",Vorrunde!$Q37&lt;&gt;"",ABS(Vorrunde!$O37-Vorrunde!$Q37)&gt;1),Vorrunde!$O37,"")</f>
        <v/>
      </c>
      <c r="AG89" s="35" t="str">
        <f ca="1">IF(AND($AA89=1,Vorrunde!$O37&lt;&gt;"",Vorrunde!$Q37&lt;&gt;"",ABS(Vorrunde!$O37-Vorrunde!$Q37)&gt;1),Vorrunde!$Q37,"")</f>
        <v/>
      </c>
      <c r="AH89" s="40" t="str">
        <f t="shared" ca="1" si="69"/>
        <v/>
      </c>
      <c r="AI89" s="35" t="str">
        <f t="shared" ca="1" si="70"/>
        <v/>
      </c>
      <c r="AJ89" s="40">
        <f ca="1">IF(Vorrunde!$R37="",0,Vorrunde!$R37)</f>
        <v>0</v>
      </c>
      <c r="AK89" s="35">
        <f ca="1">IF(Vorrunde!$T37="",0,Vorrunde!$T37)</f>
        <v>0</v>
      </c>
      <c r="AL89" s="13" t="str">
        <f ca="1">IF($AA89=0,"",IF($AJ89&gt;$AK89,Einstellungen!$C$4,IF($AJ89=$AK89,1,0)))</f>
        <v/>
      </c>
      <c r="AM89" s="35" t="str">
        <f ca="1">IF($AA89=0,"",IF($AJ89&lt;$AK89,Einstellungen!$C$4,IF($AJ89=$AK89,1,0)))</f>
        <v/>
      </c>
    </row>
    <row r="90" spans="2:39" s="2" customFormat="1" x14ac:dyDescent="0.2">
      <c r="B90" s="4"/>
      <c r="C90" s="4"/>
      <c r="D90" s="4"/>
      <c r="E90" s="4"/>
      <c r="F90" s="13"/>
      <c r="G90" s="13"/>
      <c r="H90" s="13"/>
      <c r="I90" s="13"/>
      <c r="J90" s="13"/>
      <c r="K90" s="13"/>
      <c r="L90" s="13"/>
      <c r="M90" s="13"/>
      <c r="U90" s="65" t="s">
        <v>42</v>
      </c>
      <c r="V90" s="40" t="str">
        <f ca="1">Planung!$L32</f>
        <v/>
      </c>
      <c r="W90" s="13" t="str">
        <f ca="1">Planung!$N32</f>
        <v/>
      </c>
      <c r="X90" s="13" t="str">
        <f ca="1">IF(AND($AA90=1,Vorrunde!$I38&lt;&gt;"",Vorrunde!$K38&lt;&gt;"",ABS(Vorrunde!$I38-Vorrunde!$K38)&gt;1),Vorrunde!$I38,"")</f>
        <v/>
      </c>
      <c r="Y90" s="35" t="str">
        <f ca="1">IF(AND($AA90=1,Vorrunde!$I38&lt;&gt;"",Vorrunde!$K38&lt;&gt;"",ABS(Vorrunde!$I38-Vorrunde!$K38)&gt;1),Vorrunde!$K38,"")</f>
        <v/>
      </c>
      <c r="Z90" s="34" t="str">
        <f t="shared" ca="1" si="68"/>
        <v/>
      </c>
      <c r="AA90" s="13">
        <f ca="1">IF(AND(V90&lt;&gt;"",W90&lt;&gt;"",V90&lt;&gt;W90,Vorrunde!$R38&lt;&gt;"",Vorrunde!$T38&lt;&gt;""),1,0)</f>
        <v>0</v>
      </c>
      <c r="AB90" s="13" t="str">
        <f ca="1">IF(AA90&gt;0,AH90&amp;Sprache!$E$108&amp;AI90,"")</f>
        <v/>
      </c>
      <c r="AC90" s="35" t="str">
        <f ca="1">IF(AA90&gt;0,AJ90&amp;Sprache!$E$108&amp;AK90,"")</f>
        <v/>
      </c>
      <c r="AD90" s="40" t="str">
        <f ca="1">IF(AND($AA90=1,Vorrunde!$L38&lt;&gt;"",Vorrunde!$N38&lt;&gt;"",ABS(Vorrunde!$L38-Vorrunde!$N38)&gt;1),Vorrunde!$L38,"")</f>
        <v/>
      </c>
      <c r="AE90" s="35" t="str">
        <f ca="1">IF(AND($AA90=1,Vorrunde!$L38&lt;&gt;"",Vorrunde!$N38&lt;&gt;"",ABS(Vorrunde!$L38-Vorrunde!$N38)&gt;1),Vorrunde!$N38,"")</f>
        <v/>
      </c>
      <c r="AF90" s="40" t="str">
        <f ca="1">IF(AND($AA90=1,Vorrunde!$O38&lt;&gt;"",Vorrunde!$Q38&lt;&gt;"",ABS(Vorrunde!$O38-Vorrunde!$Q38)&gt;1),Vorrunde!$O38,"")</f>
        <v/>
      </c>
      <c r="AG90" s="35" t="str">
        <f ca="1">IF(AND($AA90=1,Vorrunde!$O38&lt;&gt;"",Vorrunde!$Q38&lt;&gt;"",ABS(Vorrunde!$O38-Vorrunde!$Q38)&gt;1),Vorrunde!$Q38,"")</f>
        <v/>
      </c>
      <c r="AH90" s="40" t="str">
        <f t="shared" ca="1" si="69"/>
        <v/>
      </c>
      <c r="AI90" s="35" t="str">
        <f t="shared" ca="1" si="70"/>
        <v/>
      </c>
      <c r="AJ90" s="40">
        <f ca="1">IF(Vorrunde!$R38="",0,Vorrunde!$R38)</f>
        <v>0</v>
      </c>
      <c r="AK90" s="35">
        <f ca="1">IF(Vorrunde!$T38="",0,Vorrunde!$T38)</f>
        <v>0</v>
      </c>
      <c r="AL90" s="13" t="str">
        <f ca="1">IF($AA90=0,"",IF($AJ90&gt;$AK90,Einstellungen!$C$4,IF($AJ90=$AK90,1,0)))</f>
        <v/>
      </c>
      <c r="AM90" s="35" t="str">
        <f ca="1">IF($AA90=0,"",IF($AJ90&lt;$AK90,Einstellungen!$C$4,IF($AJ90=$AK90,1,0)))</f>
        <v/>
      </c>
    </row>
    <row r="91" spans="2:39" s="2" customFormat="1" x14ac:dyDescent="0.2">
      <c r="B91" s="4"/>
      <c r="C91" s="4"/>
      <c r="D91" s="4"/>
      <c r="E91" s="4"/>
      <c r="F91" s="13"/>
      <c r="G91" s="13"/>
      <c r="H91" s="13"/>
      <c r="I91" s="13"/>
      <c r="J91" s="13"/>
      <c r="K91" s="13"/>
      <c r="L91" s="13"/>
      <c r="M91" s="13"/>
      <c r="U91" s="65" t="s">
        <v>43</v>
      </c>
      <c r="V91" s="40" t="str">
        <f ca="1">Planung!$L33</f>
        <v/>
      </c>
      <c r="W91" s="13" t="str">
        <f ca="1">Planung!$N33</f>
        <v/>
      </c>
      <c r="X91" s="13" t="str">
        <f ca="1">IF(AND($AA91=1,Vorrunde!$I39&lt;&gt;"",Vorrunde!$K39&lt;&gt;"",ABS(Vorrunde!$I39-Vorrunde!$K39)&gt;1),Vorrunde!$I39,"")</f>
        <v/>
      </c>
      <c r="Y91" s="35" t="str">
        <f ca="1">IF(AND($AA91=1,Vorrunde!$I39&lt;&gt;"",Vorrunde!$K39&lt;&gt;"",ABS(Vorrunde!$I39-Vorrunde!$K39)&gt;1),Vorrunde!$K39,"")</f>
        <v/>
      </c>
      <c r="Z91" s="34" t="str">
        <f t="shared" ca="1" si="68"/>
        <v/>
      </c>
      <c r="AA91" s="13">
        <f ca="1">IF(AND(V91&lt;&gt;"",W91&lt;&gt;"",V91&lt;&gt;W91,Vorrunde!$R39&lt;&gt;"",Vorrunde!$T39&lt;&gt;""),1,0)</f>
        <v>0</v>
      </c>
      <c r="AB91" s="13" t="str">
        <f ca="1">IF(AA91&gt;0,AH91&amp;Sprache!$E$108&amp;AI91,"")</f>
        <v/>
      </c>
      <c r="AC91" s="35" t="str">
        <f ca="1">IF(AA91&gt;0,AJ91&amp;Sprache!$E$108&amp;AK91,"")</f>
        <v/>
      </c>
      <c r="AD91" s="40" t="str">
        <f ca="1">IF(AND($AA91=1,Vorrunde!$L39&lt;&gt;"",Vorrunde!$N39&lt;&gt;"",ABS(Vorrunde!$L39-Vorrunde!$N39)&gt;1),Vorrunde!$L39,"")</f>
        <v/>
      </c>
      <c r="AE91" s="35" t="str">
        <f ca="1">IF(AND($AA91=1,Vorrunde!$L39&lt;&gt;"",Vorrunde!$N39&lt;&gt;"",ABS(Vorrunde!$L39-Vorrunde!$N39)&gt;1),Vorrunde!$N39,"")</f>
        <v/>
      </c>
      <c r="AF91" s="40" t="str">
        <f ca="1">IF(AND($AA91=1,Vorrunde!$O39&lt;&gt;"",Vorrunde!$Q39&lt;&gt;"",ABS(Vorrunde!$O39-Vorrunde!$Q39)&gt;1),Vorrunde!$O39,"")</f>
        <v/>
      </c>
      <c r="AG91" s="35" t="str">
        <f ca="1">IF(AND($AA91=1,Vorrunde!$O39&lt;&gt;"",Vorrunde!$Q39&lt;&gt;"",ABS(Vorrunde!$O39-Vorrunde!$Q39)&gt;1),Vorrunde!$Q39,"")</f>
        <v/>
      </c>
      <c r="AH91" s="40" t="str">
        <f t="shared" ca="1" si="69"/>
        <v/>
      </c>
      <c r="AI91" s="35" t="str">
        <f t="shared" ca="1" si="70"/>
        <v/>
      </c>
      <c r="AJ91" s="40">
        <f ca="1">IF(Vorrunde!$R39="",0,Vorrunde!$R39)</f>
        <v>0</v>
      </c>
      <c r="AK91" s="35">
        <f ca="1">IF(Vorrunde!$T39="",0,Vorrunde!$T39)</f>
        <v>0</v>
      </c>
      <c r="AL91" s="13" t="str">
        <f ca="1">IF($AA91=0,"",IF($AJ91&gt;$AK91,Einstellungen!$C$4,IF($AJ91=$AK91,1,0)))</f>
        <v/>
      </c>
      <c r="AM91" s="35" t="str">
        <f ca="1">IF($AA91=0,"",IF($AJ91&lt;$AK91,Einstellungen!$C$4,IF($AJ91=$AK91,1,0)))</f>
        <v/>
      </c>
    </row>
    <row r="92" spans="2:39" s="2" customFormat="1" x14ac:dyDescent="0.2">
      <c r="B92" s="4"/>
      <c r="C92" s="4"/>
      <c r="D92" s="4"/>
      <c r="E92" s="4"/>
      <c r="F92" s="13"/>
      <c r="G92" s="13"/>
      <c r="H92" s="13"/>
      <c r="I92" s="13"/>
      <c r="J92" s="13"/>
      <c r="K92" s="13"/>
      <c r="L92" s="13"/>
      <c r="M92" s="13"/>
      <c r="U92" s="65" t="s">
        <v>44</v>
      </c>
      <c r="V92" s="40" t="str">
        <f ca="1">Planung!$L34</f>
        <v/>
      </c>
      <c r="W92" s="13" t="str">
        <f ca="1">Planung!$N34</f>
        <v/>
      </c>
      <c r="X92" s="13" t="str">
        <f ca="1">IF(AND($AA92=1,Vorrunde!$I40&lt;&gt;"",Vorrunde!$K40&lt;&gt;"",ABS(Vorrunde!$I40-Vorrunde!$K40)&gt;1),Vorrunde!$I40,"")</f>
        <v/>
      </c>
      <c r="Y92" s="35" t="str">
        <f ca="1">IF(AND($AA92=1,Vorrunde!$I40&lt;&gt;"",Vorrunde!$K40&lt;&gt;"",ABS(Vorrunde!$I40-Vorrunde!$K40)&gt;1),Vorrunde!$K40,"")</f>
        <v/>
      </c>
      <c r="Z92" s="34" t="str">
        <f t="shared" ca="1" si="68"/>
        <v/>
      </c>
      <c r="AA92" s="13">
        <f ca="1">IF(AND(V92&lt;&gt;"",W92&lt;&gt;"",V92&lt;&gt;W92,Vorrunde!$R40&lt;&gt;"",Vorrunde!$T40&lt;&gt;""),1,0)</f>
        <v>0</v>
      </c>
      <c r="AB92" s="13" t="str">
        <f ca="1">IF(AA92&gt;0,AH92&amp;Sprache!$E$108&amp;AI92,"")</f>
        <v/>
      </c>
      <c r="AC92" s="35" t="str">
        <f ca="1">IF(AA92&gt;0,AJ92&amp;Sprache!$E$108&amp;AK92,"")</f>
        <v/>
      </c>
      <c r="AD92" s="40" t="str">
        <f ca="1">IF(AND($AA92=1,Vorrunde!$L40&lt;&gt;"",Vorrunde!$N40&lt;&gt;"",ABS(Vorrunde!$L40-Vorrunde!$N40)&gt;1),Vorrunde!$L40,"")</f>
        <v/>
      </c>
      <c r="AE92" s="35" t="str">
        <f ca="1">IF(AND($AA92=1,Vorrunde!$L40&lt;&gt;"",Vorrunde!$N40&lt;&gt;"",ABS(Vorrunde!$L40-Vorrunde!$N40)&gt;1),Vorrunde!$N40,"")</f>
        <v/>
      </c>
      <c r="AF92" s="40" t="str">
        <f ca="1">IF(AND($AA92=1,Vorrunde!$O40&lt;&gt;"",Vorrunde!$Q40&lt;&gt;"",ABS(Vorrunde!$O40-Vorrunde!$Q40)&gt;1),Vorrunde!$O40,"")</f>
        <v/>
      </c>
      <c r="AG92" s="35" t="str">
        <f ca="1">IF(AND($AA92=1,Vorrunde!$O40&lt;&gt;"",Vorrunde!$Q40&lt;&gt;"",ABS(Vorrunde!$O40-Vorrunde!$Q40)&gt;1),Vorrunde!$Q40,"")</f>
        <v/>
      </c>
      <c r="AH92" s="40" t="str">
        <f t="shared" ca="1" si="69"/>
        <v/>
      </c>
      <c r="AI92" s="35" t="str">
        <f t="shared" ca="1" si="70"/>
        <v/>
      </c>
      <c r="AJ92" s="40">
        <f ca="1">IF(Vorrunde!$R40="",0,Vorrunde!$R40)</f>
        <v>0</v>
      </c>
      <c r="AK92" s="35">
        <f ca="1">IF(Vorrunde!$T40="",0,Vorrunde!$T40)</f>
        <v>0</v>
      </c>
      <c r="AL92" s="13" t="str">
        <f ca="1">IF($AA92=0,"",IF($AJ92&gt;$AK92,Einstellungen!$C$4,IF($AJ92=$AK92,1,0)))</f>
        <v/>
      </c>
      <c r="AM92" s="35" t="str">
        <f ca="1">IF($AA92=0,"",IF($AJ92&lt;$AK92,Einstellungen!$C$4,IF($AJ92=$AK92,1,0)))</f>
        <v/>
      </c>
    </row>
    <row r="93" spans="2:39" s="2" customFormat="1" x14ac:dyDescent="0.2">
      <c r="B93" s="4"/>
      <c r="C93" s="4"/>
      <c r="D93" s="4"/>
      <c r="E93" s="4"/>
      <c r="F93" s="13"/>
      <c r="G93" s="13"/>
      <c r="H93" s="13"/>
      <c r="I93" s="13"/>
      <c r="J93" s="13"/>
      <c r="K93" s="13"/>
      <c r="L93" s="13"/>
      <c r="M93" s="13"/>
      <c r="U93" s="65" t="s">
        <v>45</v>
      </c>
      <c r="V93" s="40" t="str">
        <f ca="1">Planung!$L35</f>
        <v/>
      </c>
      <c r="W93" s="13" t="str">
        <f ca="1">Planung!$N35</f>
        <v/>
      </c>
      <c r="X93" s="13" t="str">
        <f ca="1">IF(AND($AA93=1,Vorrunde!$I41&lt;&gt;"",Vorrunde!$K41&lt;&gt;"",ABS(Vorrunde!$I41-Vorrunde!$K41)&gt;1),Vorrunde!$I41,"")</f>
        <v/>
      </c>
      <c r="Y93" s="35" t="str">
        <f ca="1">IF(AND($AA93=1,Vorrunde!$I41&lt;&gt;"",Vorrunde!$K41&lt;&gt;"",ABS(Vorrunde!$I41-Vorrunde!$K41)&gt;1),Vorrunde!$K41,"")</f>
        <v/>
      </c>
      <c r="Z93" s="34" t="str">
        <f t="shared" ca="1" si="68"/>
        <v/>
      </c>
      <c r="AA93" s="13">
        <f ca="1">IF(AND(V93&lt;&gt;"",W93&lt;&gt;"",V93&lt;&gt;W93,Vorrunde!$R41&lt;&gt;"",Vorrunde!$T41&lt;&gt;""),1,0)</f>
        <v>0</v>
      </c>
      <c r="AB93" s="13" t="str">
        <f ca="1">IF(AA93&gt;0,AH93&amp;Sprache!$E$108&amp;AI93,"")</f>
        <v/>
      </c>
      <c r="AC93" s="35" t="str">
        <f ca="1">IF(AA93&gt;0,AJ93&amp;Sprache!$E$108&amp;AK93,"")</f>
        <v/>
      </c>
      <c r="AD93" s="40" t="str">
        <f ca="1">IF(AND($AA93=1,Vorrunde!$L41&lt;&gt;"",Vorrunde!$N41&lt;&gt;"",ABS(Vorrunde!$L41-Vorrunde!$N41)&gt;1),Vorrunde!$L41,"")</f>
        <v/>
      </c>
      <c r="AE93" s="35" t="str">
        <f ca="1">IF(AND($AA93=1,Vorrunde!$L41&lt;&gt;"",Vorrunde!$N41&lt;&gt;"",ABS(Vorrunde!$L41-Vorrunde!$N41)&gt;1),Vorrunde!$N41,"")</f>
        <v/>
      </c>
      <c r="AF93" s="40" t="str">
        <f ca="1">IF(AND($AA93=1,Vorrunde!$O41&lt;&gt;"",Vorrunde!$Q41&lt;&gt;"",ABS(Vorrunde!$O41-Vorrunde!$Q41)&gt;1),Vorrunde!$O41,"")</f>
        <v/>
      </c>
      <c r="AG93" s="35" t="str">
        <f ca="1">IF(AND($AA93=1,Vorrunde!$O41&lt;&gt;"",Vorrunde!$Q41&lt;&gt;"",ABS(Vorrunde!$O41-Vorrunde!$Q41)&gt;1),Vorrunde!$Q41,"")</f>
        <v/>
      </c>
      <c r="AH93" s="40" t="str">
        <f t="shared" ca="1" si="69"/>
        <v/>
      </c>
      <c r="AI93" s="35" t="str">
        <f t="shared" ca="1" si="70"/>
        <v/>
      </c>
      <c r="AJ93" s="40">
        <f ca="1">IF(Vorrunde!$R41="",0,Vorrunde!$R41)</f>
        <v>0</v>
      </c>
      <c r="AK93" s="35">
        <f ca="1">IF(Vorrunde!$T41="",0,Vorrunde!$T41)</f>
        <v>0</v>
      </c>
      <c r="AL93" s="13" t="str">
        <f ca="1">IF($AA93=0,"",IF($AJ93&gt;$AK93,Einstellungen!$C$4,IF($AJ93=$AK93,1,0)))</f>
        <v/>
      </c>
      <c r="AM93" s="35" t="str">
        <f ca="1">IF($AA93=0,"",IF($AJ93&lt;$AK93,Einstellungen!$C$4,IF($AJ93=$AK93,1,0)))</f>
        <v/>
      </c>
    </row>
    <row r="94" spans="2:39" s="2" customFormat="1" x14ac:dyDescent="0.2">
      <c r="B94" s="4"/>
      <c r="C94" s="4"/>
      <c r="D94" s="4"/>
      <c r="E94" s="4"/>
      <c r="F94" s="13"/>
      <c r="G94" s="13"/>
      <c r="H94" s="13"/>
      <c r="I94" s="13"/>
      <c r="J94" s="13"/>
      <c r="K94" s="13"/>
      <c r="L94" s="13"/>
      <c r="M94" s="13"/>
      <c r="U94" s="65" t="s">
        <v>46</v>
      </c>
      <c r="V94" s="40" t="str">
        <f ca="1">Planung!$L36</f>
        <v/>
      </c>
      <c r="W94" s="13" t="str">
        <f ca="1">Planung!$N36</f>
        <v/>
      </c>
      <c r="X94" s="13" t="str">
        <f ca="1">IF(AND($AA94=1,Vorrunde!$I42&lt;&gt;"",Vorrunde!$K42&lt;&gt;"",ABS(Vorrunde!$I42-Vorrunde!$K42)&gt;1),Vorrunde!$I42,"")</f>
        <v/>
      </c>
      <c r="Y94" s="35" t="str">
        <f ca="1">IF(AND($AA94=1,Vorrunde!$I42&lt;&gt;"",Vorrunde!$K42&lt;&gt;"",ABS(Vorrunde!$I42-Vorrunde!$K42)&gt;1),Vorrunde!$K42,"")</f>
        <v/>
      </c>
      <c r="Z94" s="34" t="str">
        <f t="shared" ca="1" si="68"/>
        <v/>
      </c>
      <c r="AA94" s="13">
        <f ca="1">IF(AND(V94&lt;&gt;"",W94&lt;&gt;"",V94&lt;&gt;W94,Vorrunde!$R42&lt;&gt;"",Vorrunde!$T42&lt;&gt;""),1,0)</f>
        <v>0</v>
      </c>
      <c r="AB94" s="13" t="str">
        <f ca="1">IF(AA94&gt;0,AH94&amp;Sprache!$E$108&amp;AI94,"")</f>
        <v/>
      </c>
      <c r="AC94" s="35" t="str">
        <f ca="1">IF(AA94&gt;0,AJ94&amp;Sprache!$E$108&amp;AK94,"")</f>
        <v/>
      </c>
      <c r="AD94" s="40" t="str">
        <f ca="1">IF(AND($AA94=1,Vorrunde!$L42&lt;&gt;"",Vorrunde!$N42&lt;&gt;"",ABS(Vorrunde!$L42-Vorrunde!$N42)&gt;1),Vorrunde!$L42,"")</f>
        <v/>
      </c>
      <c r="AE94" s="35" t="str">
        <f ca="1">IF(AND($AA94=1,Vorrunde!$L42&lt;&gt;"",Vorrunde!$N42&lt;&gt;"",ABS(Vorrunde!$L42-Vorrunde!$N42)&gt;1),Vorrunde!$N42,"")</f>
        <v/>
      </c>
      <c r="AF94" s="40" t="str">
        <f ca="1">IF(AND($AA94=1,Vorrunde!$O42&lt;&gt;"",Vorrunde!$Q42&lt;&gt;"",ABS(Vorrunde!$O42-Vorrunde!$Q42)&gt;1),Vorrunde!$O42,"")</f>
        <v/>
      </c>
      <c r="AG94" s="35" t="str">
        <f ca="1">IF(AND($AA94=1,Vorrunde!$O42&lt;&gt;"",Vorrunde!$Q42&lt;&gt;"",ABS(Vorrunde!$O42-Vorrunde!$Q42)&gt;1),Vorrunde!$Q42,"")</f>
        <v/>
      </c>
      <c r="AH94" s="40" t="str">
        <f t="shared" ca="1" si="69"/>
        <v/>
      </c>
      <c r="AI94" s="35" t="str">
        <f t="shared" ca="1" si="70"/>
        <v/>
      </c>
      <c r="AJ94" s="40">
        <f ca="1">IF(Vorrunde!$R42="",0,Vorrunde!$R42)</f>
        <v>0</v>
      </c>
      <c r="AK94" s="35">
        <f ca="1">IF(Vorrunde!$T42="",0,Vorrunde!$T42)</f>
        <v>0</v>
      </c>
      <c r="AL94" s="13" t="str">
        <f ca="1">IF($AA94=0,"",IF($AJ94&gt;$AK94,Einstellungen!$C$4,IF($AJ94=$AK94,1,0)))</f>
        <v/>
      </c>
      <c r="AM94" s="35" t="str">
        <f ca="1">IF($AA94=0,"",IF($AJ94&lt;$AK94,Einstellungen!$C$4,IF($AJ94=$AK94,1,0)))</f>
        <v/>
      </c>
    </row>
    <row r="95" spans="2:39" s="2" customFormat="1" x14ac:dyDescent="0.2">
      <c r="B95" s="4"/>
      <c r="C95" s="4"/>
      <c r="D95" s="4"/>
      <c r="E95" s="4"/>
      <c r="F95" s="13"/>
      <c r="G95" s="13"/>
      <c r="H95" s="13"/>
      <c r="I95" s="13"/>
      <c r="J95" s="13"/>
      <c r="K95" s="13"/>
      <c r="L95" s="13"/>
      <c r="M95" s="13"/>
      <c r="U95" s="65" t="s">
        <v>47</v>
      </c>
      <c r="V95" s="40" t="str">
        <f ca="1">Planung!$L37</f>
        <v/>
      </c>
      <c r="W95" s="13" t="str">
        <f ca="1">Planung!$N37</f>
        <v/>
      </c>
      <c r="X95" s="13" t="str">
        <f ca="1">IF(AND($AA95=1,Vorrunde!$I43&lt;&gt;"",Vorrunde!$K43&lt;&gt;"",ABS(Vorrunde!$I43-Vorrunde!$K43)&gt;1),Vorrunde!$I43,"")</f>
        <v/>
      </c>
      <c r="Y95" s="35" t="str">
        <f ca="1">IF(AND($AA95=1,Vorrunde!$I43&lt;&gt;"",Vorrunde!$K43&lt;&gt;"",ABS(Vorrunde!$I43-Vorrunde!$K43)&gt;1),Vorrunde!$K43,"")</f>
        <v/>
      </c>
      <c r="Z95" s="34" t="str">
        <f t="shared" ca="1" si="68"/>
        <v/>
      </c>
      <c r="AA95" s="13">
        <f ca="1">IF(AND(V95&lt;&gt;"",W95&lt;&gt;"",V95&lt;&gt;W95,Vorrunde!$R43&lt;&gt;"",Vorrunde!$T43&lt;&gt;""),1,0)</f>
        <v>0</v>
      </c>
      <c r="AB95" s="13" t="str">
        <f ca="1">IF(AA95&gt;0,AH95&amp;Sprache!$E$108&amp;AI95,"")</f>
        <v/>
      </c>
      <c r="AC95" s="35" t="str">
        <f ca="1">IF(AA95&gt;0,AJ95&amp;Sprache!$E$108&amp;AK95,"")</f>
        <v/>
      </c>
      <c r="AD95" s="40" t="str">
        <f ca="1">IF(AND($AA95=1,Vorrunde!$L43&lt;&gt;"",Vorrunde!$N43&lt;&gt;"",ABS(Vorrunde!$L43-Vorrunde!$N43)&gt;1),Vorrunde!$L43,"")</f>
        <v/>
      </c>
      <c r="AE95" s="35" t="str">
        <f ca="1">IF(AND($AA95=1,Vorrunde!$L43&lt;&gt;"",Vorrunde!$N43&lt;&gt;"",ABS(Vorrunde!$L43-Vorrunde!$N43)&gt;1),Vorrunde!$N43,"")</f>
        <v/>
      </c>
      <c r="AF95" s="40" t="str">
        <f ca="1">IF(AND($AA95=1,Vorrunde!$O43&lt;&gt;"",Vorrunde!$Q43&lt;&gt;"",ABS(Vorrunde!$O43-Vorrunde!$Q43)&gt;1),Vorrunde!$O43,"")</f>
        <v/>
      </c>
      <c r="AG95" s="35" t="str">
        <f ca="1">IF(AND($AA95=1,Vorrunde!$O43&lt;&gt;"",Vorrunde!$Q43&lt;&gt;"",ABS(Vorrunde!$O43-Vorrunde!$Q43)&gt;1),Vorrunde!$Q43,"")</f>
        <v/>
      </c>
      <c r="AH95" s="40" t="str">
        <f t="shared" ca="1" si="69"/>
        <v/>
      </c>
      <c r="AI95" s="35" t="str">
        <f t="shared" ca="1" si="70"/>
        <v/>
      </c>
      <c r="AJ95" s="40">
        <f ca="1">IF(Vorrunde!$R43="",0,Vorrunde!$R43)</f>
        <v>0</v>
      </c>
      <c r="AK95" s="35">
        <f ca="1">IF(Vorrunde!$T43="",0,Vorrunde!$T43)</f>
        <v>0</v>
      </c>
      <c r="AL95" s="13" t="str">
        <f ca="1">IF($AA95=0,"",IF($AJ95&gt;$AK95,Einstellungen!$C$4,IF($AJ95=$AK95,1,0)))</f>
        <v/>
      </c>
      <c r="AM95" s="35" t="str">
        <f ca="1">IF($AA95=0,"",IF($AJ95&lt;$AK95,Einstellungen!$C$4,IF($AJ95=$AK95,1,0)))</f>
        <v/>
      </c>
    </row>
    <row r="96" spans="2:39" s="2" customFormat="1" x14ac:dyDescent="0.2">
      <c r="B96" s="4"/>
      <c r="C96" s="4"/>
      <c r="D96" s="4"/>
      <c r="E96" s="4"/>
      <c r="F96" s="13"/>
      <c r="G96" s="13"/>
      <c r="H96" s="13"/>
      <c r="I96" s="13"/>
      <c r="J96" s="13"/>
      <c r="K96" s="13"/>
      <c r="L96" s="13"/>
      <c r="M96" s="13"/>
      <c r="U96" s="65" t="s">
        <v>48</v>
      </c>
      <c r="V96" s="40" t="str">
        <f ca="1">Planung!$L38</f>
        <v/>
      </c>
      <c r="W96" s="13" t="str">
        <f ca="1">Planung!$N38</f>
        <v/>
      </c>
      <c r="X96" s="13" t="str">
        <f ca="1">IF(AND($AA96=1,Vorrunde!$I44&lt;&gt;"",Vorrunde!$K44&lt;&gt;"",ABS(Vorrunde!$I44-Vorrunde!$K44)&gt;1),Vorrunde!$I44,"")</f>
        <v/>
      </c>
      <c r="Y96" s="35" t="str">
        <f ca="1">IF(AND($AA96=1,Vorrunde!$I44&lt;&gt;"",Vorrunde!$K44&lt;&gt;"",ABS(Vorrunde!$I44-Vorrunde!$K44)&gt;1),Vorrunde!$K44,"")</f>
        <v/>
      </c>
      <c r="Z96" s="34" t="str">
        <f t="shared" ca="1" si="68"/>
        <v/>
      </c>
      <c r="AA96" s="13">
        <f ca="1">IF(AND(V96&lt;&gt;"",W96&lt;&gt;"",V96&lt;&gt;W96,Vorrunde!$R44&lt;&gt;"",Vorrunde!$T44&lt;&gt;""),1,0)</f>
        <v>0</v>
      </c>
      <c r="AB96" s="13" t="str">
        <f ca="1">IF(AA96&gt;0,AH96&amp;Sprache!$E$108&amp;AI96,"")</f>
        <v/>
      </c>
      <c r="AC96" s="35" t="str">
        <f ca="1">IF(AA96&gt;0,AJ96&amp;Sprache!$E$108&amp;AK96,"")</f>
        <v/>
      </c>
      <c r="AD96" s="40" t="str">
        <f ca="1">IF(AND($AA96=1,Vorrunde!$L44&lt;&gt;"",Vorrunde!$N44&lt;&gt;"",ABS(Vorrunde!$L44-Vorrunde!$N44)&gt;1),Vorrunde!$L44,"")</f>
        <v/>
      </c>
      <c r="AE96" s="35" t="str">
        <f ca="1">IF(AND($AA96=1,Vorrunde!$L44&lt;&gt;"",Vorrunde!$N44&lt;&gt;"",ABS(Vorrunde!$L44-Vorrunde!$N44)&gt;1),Vorrunde!$N44,"")</f>
        <v/>
      </c>
      <c r="AF96" s="40" t="str">
        <f ca="1">IF(AND($AA96=1,Vorrunde!$O44&lt;&gt;"",Vorrunde!$Q44&lt;&gt;"",ABS(Vorrunde!$O44-Vorrunde!$Q44)&gt;1),Vorrunde!$O44,"")</f>
        <v/>
      </c>
      <c r="AG96" s="35" t="str">
        <f ca="1">IF(AND($AA96=1,Vorrunde!$O44&lt;&gt;"",Vorrunde!$Q44&lt;&gt;"",ABS(Vorrunde!$O44-Vorrunde!$Q44)&gt;1),Vorrunde!$Q44,"")</f>
        <v/>
      </c>
      <c r="AH96" s="40" t="str">
        <f t="shared" ca="1" si="69"/>
        <v/>
      </c>
      <c r="AI96" s="35" t="str">
        <f t="shared" ca="1" si="70"/>
        <v/>
      </c>
      <c r="AJ96" s="40">
        <f ca="1">IF(Vorrunde!$R44="",0,Vorrunde!$R44)</f>
        <v>0</v>
      </c>
      <c r="AK96" s="35">
        <f ca="1">IF(Vorrunde!$T44="",0,Vorrunde!$T44)</f>
        <v>0</v>
      </c>
      <c r="AL96" s="13" t="str">
        <f ca="1">IF($AA96=0,"",IF($AJ96&gt;$AK96,Einstellungen!$C$4,IF($AJ96=$AK96,1,0)))</f>
        <v/>
      </c>
      <c r="AM96" s="35" t="str">
        <f ca="1">IF($AA96=0,"",IF($AJ96&lt;$AK96,Einstellungen!$C$4,IF($AJ96=$AK96,1,0)))</f>
        <v/>
      </c>
    </row>
    <row r="97" spans="2:39" s="2" customFormat="1" x14ac:dyDescent="0.2">
      <c r="B97" s="4"/>
      <c r="C97" s="4"/>
      <c r="D97" s="4"/>
      <c r="E97" s="4"/>
      <c r="F97" s="13"/>
      <c r="G97" s="13"/>
      <c r="H97" s="13"/>
      <c r="I97" s="13"/>
      <c r="J97" s="13"/>
      <c r="K97" s="13"/>
      <c r="L97" s="13"/>
      <c r="M97" s="13"/>
      <c r="U97" s="65" t="s">
        <v>49</v>
      </c>
      <c r="V97" s="40" t="str">
        <f ca="1">Planung!$L39</f>
        <v/>
      </c>
      <c r="W97" s="13" t="str">
        <f ca="1">Planung!$N39</f>
        <v/>
      </c>
      <c r="X97" s="13" t="str">
        <f ca="1">IF(AND($AA97=1,Vorrunde!$I45&lt;&gt;"",Vorrunde!$K45&lt;&gt;"",ABS(Vorrunde!$I45-Vorrunde!$K45)&gt;1),Vorrunde!$I45,"")</f>
        <v/>
      </c>
      <c r="Y97" s="35" t="str">
        <f ca="1">IF(AND($AA97=1,Vorrunde!$I45&lt;&gt;"",Vorrunde!$K45&lt;&gt;"",ABS(Vorrunde!$I45-Vorrunde!$K45)&gt;1),Vorrunde!$K45,"")</f>
        <v/>
      </c>
      <c r="Z97" s="34" t="str">
        <f t="shared" ca="1" si="68"/>
        <v/>
      </c>
      <c r="AA97" s="13">
        <f ca="1">IF(AND(V97&lt;&gt;"",W97&lt;&gt;"",V97&lt;&gt;W97,Vorrunde!$R45&lt;&gt;"",Vorrunde!$T45&lt;&gt;""),1,0)</f>
        <v>0</v>
      </c>
      <c r="AB97" s="13" t="str">
        <f ca="1">IF(AA97&gt;0,AH97&amp;Sprache!$E$108&amp;AI97,"")</f>
        <v/>
      </c>
      <c r="AC97" s="35" t="str">
        <f ca="1">IF(AA97&gt;0,AJ97&amp;Sprache!$E$108&amp;AK97,"")</f>
        <v/>
      </c>
      <c r="AD97" s="40" t="str">
        <f ca="1">IF(AND($AA97=1,Vorrunde!$L45&lt;&gt;"",Vorrunde!$N45&lt;&gt;"",ABS(Vorrunde!$L45-Vorrunde!$N45)&gt;1),Vorrunde!$L45,"")</f>
        <v/>
      </c>
      <c r="AE97" s="35" t="str">
        <f ca="1">IF(AND($AA97=1,Vorrunde!$L45&lt;&gt;"",Vorrunde!$N45&lt;&gt;"",ABS(Vorrunde!$L45-Vorrunde!$N45)&gt;1),Vorrunde!$N45,"")</f>
        <v/>
      </c>
      <c r="AF97" s="40" t="str">
        <f ca="1">IF(AND($AA97=1,Vorrunde!$O45&lt;&gt;"",Vorrunde!$Q45&lt;&gt;"",ABS(Vorrunde!$O45-Vorrunde!$Q45)&gt;1),Vorrunde!$O45,"")</f>
        <v/>
      </c>
      <c r="AG97" s="35" t="str">
        <f ca="1">IF(AND($AA97=1,Vorrunde!$O45&lt;&gt;"",Vorrunde!$Q45&lt;&gt;"",ABS(Vorrunde!$O45-Vorrunde!$Q45)&gt;1),Vorrunde!$Q45,"")</f>
        <v/>
      </c>
      <c r="AH97" s="40" t="str">
        <f t="shared" ca="1" si="69"/>
        <v/>
      </c>
      <c r="AI97" s="35" t="str">
        <f t="shared" ca="1" si="70"/>
        <v/>
      </c>
      <c r="AJ97" s="40">
        <f ca="1">IF(Vorrunde!$R45="",0,Vorrunde!$R45)</f>
        <v>0</v>
      </c>
      <c r="AK97" s="35">
        <f ca="1">IF(Vorrunde!$T45="",0,Vorrunde!$T45)</f>
        <v>0</v>
      </c>
      <c r="AL97" s="13" t="str">
        <f ca="1">IF($AA97=0,"",IF($AJ97&gt;$AK97,Einstellungen!$C$4,IF($AJ97=$AK97,1,0)))</f>
        <v/>
      </c>
      <c r="AM97" s="35" t="str">
        <f ca="1">IF($AA97=0,"",IF($AJ97&lt;$AK97,Einstellungen!$C$4,IF($AJ97=$AK97,1,0)))</f>
        <v/>
      </c>
    </row>
    <row r="98" spans="2:39" s="2" customFormat="1" x14ac:dyDescent="0.2">
      <c r="B98" s="4"/>
      <c r="C98" s="4"/>
      <c r="D98" s="4"/>
      <c r="E98" s="4"/>
      <c r="F98" s="13"/>
      <c r="G98" s="13"/>
      <c r="H98" s="13"/>
      <c r="I98" s="13"/>
      <c r="J98" s="13"/>
      <c r="K98" s="13"/>
      <c r="L98" s="13"/>
      <c r="M98" s="13"/>
      <c r="U98" s="65" t="s">
        <v>50</v>
      </c>
      <c r="V98" s="40" t="str">
        <f ca="1">Planung!$L40</f>
        <v/>
      </c>
      <c r="W98" s="13" t="str">
        <f ca="1">Planung!$N40</f>
        <v/>
      </c>
      <c r="X98" s="13" t="str">
        <f ca="1">IF(AND($AA98=1,Vorrunde!$I46&lt;&gt;"",Vorrunde!$K46&lt;&gt;"",ABS(Vorrunde!$I46-Vorrunde!$K46)&gt;1),Vorrunde!$I46,"")</f>
        <v/>
      </c>
      <c r="Y98" s="35" t="str">
        <f ca="1">IF(AND($AA98=1,Vorrunde!$I46&lt;&gt;"",Vorrunde!$K46&lt;&gt;"",ABS(Vorrunde!$I46-Vorrunde!$K46)&gt;1),Vorrunde!$K46,"")</f>
        <v/>
      </c>
      <c r="Z98" s="34" t="str">
        <f t="shared" ca="1" si="68"/>
        <v/>
      </c>
      <c r="AA98" s="13">
        <f ca="1">IF(AND(V98&lt;&gt;"",W98&lt;&gt;"",V98&lt;&gt;W98,Vorrunde!$R46&lt;&gt;"",Vorrunde!$T46&lt;&gt;""),1,0)</f>
        <v>0</v>
      </c>
      <c r="AB98" s="13" t="str">
        <f ca="1">IF(AA98&gt;0,AH98&amp;Sprache!$E$108&amp;AI98,"")</f>
        <v/>
      </c>
      <c r="AC98" s="35" t="str">
        <f ca="1">IF(AA98&gt;0,AJ98&amp;Sprache!$E$108&amp;AK98,"")</f>
        <v/>
      </c>
      <c r="AD98" s="40" t="str">
        <f ca="1">IF(AND($AA98=1,Vorrunde!$L46&lt;&gt;"",Vorrunde!$N46&lt;&gt;"",ABS(Vorrunde!$L46-Vorrunde!$N46)&gt;1),Vorrunde!$L46,"")</f>
        <v/>
      </c>
      <c r="AE98" s="35" t="str">
        <f ca="1">IF(AND($AA98=1,Vorrunde!$L46&lt;&gt;"",Vorrunde!$N46&lt;&gt;"",ABS(Vorrunde!$L46-Vorrunde!$N46)&gt;1),Vorrunde!$N46,"")</f>
        <v/>
      </c>
      <c r="AF98" s="40" t="str">
        <f ca="1">IF(AND($AA98=1,Vorrunde!$O46&lt;&gt;"",Vorrunde!$Q46&lt;&gt;"",ABS(Vorrunde!$O46-Vorrunde!$Q46)&gt;1),Vorrunde!$O46,"")</f>
        <v/>
      </c>
      <c r="AG98" s="35" t="str">
        <f ca="1">IF(AND($AA98=1,Vorrunde!$O46&lt;&gt;"",Vorrunde!$Q46&lt;&gt;"",ABS(Vorrunde!$O46-Vorrunde!$Q46)&gt;1),Vorrunde!$Q46,"")</f>
        <v/>
      </c>
      <c r="AH98" s="40" t="str">
        <f t="shared" ca="1" si="69"/>
        <v/>
      </c>
      <c r="AI98" s="35" t="str">
        <f t="shared" ca="1" si="70"/>
        <v/>
      </c>
      <c r="AJ98" s="40">
        <f ca="1">IF(Vorrunde!$R46="",0,Vorrunde!$R46)</f>
        <v>0</v>
      </c>
      <c r="AK98" s="35">
        <f ca="1">IF(Vorrunde!$T46="",0,Vorrunde!$T46)</f>
        <v>0</v>
      </c>
      <c r="AL98" s="13" t="str">
        <f ca="1">IF($AA98=0,"",IF($AJ98&gt;$AK98,Einstellungen!$C$4,IF($AJ98=$AK98,1,0)))</f>
        <v/>
      </c>
      <c r="AM98" s="35" t="str">
        <f ca="1">IF($AA98=0,"",IF($AJ98&lt;$AK98,Einstellungen!$C$4,IF($AJ98=$AK98,1,0)))</f>
        <v/>
      </c>
    </row>
    <row r="99" spans="2:39" s="2" customFormat="1" x14ac:dyDescent="0.2">
      <c r="B99" s="4"/>
      <c r="C99" s="4"/>
      <c r="D99" s="4"/>
      <c r="E99" s="4"/>
      <c r="F99" s="13"/>
      <c r="G99" s="13"/>
      <c r="H99" s="13"/>
      <c r="I99" s="13"/>
      <c r="J99" s="13"/>
      <c r="K99" s="13"/>
      <c r="L99" s="13"/>
      <c r="M99" s="13"/>
      <c r="U99" s="65" t="s">
        <v>51</v>
      </c>
      <c r="V99" s="40" t="str">
        <f ca="1">Planung!$L41</f>
        <v/>
      </c>
      <c r="W99" s="13" t="str">
        <f ca="1">Planung!$N41</f>
        <v/>
      </c>
      <c r="X99" s="13" t="str">
        <f ca="1">IF(AND($AA99=1,Vorrunde!$I47&lt;&gt;"",Vorrunde!$K47&lt;&gt;"",ABS(Vorrunde!$I47-Vorrunde!$K47)&gt;1),Vorrunde!$I47,"")</f>
        <v/>
      </c>
      <c r="Y99" s="35" t="str">
        <f ca="1">IF(AND($AA99=1,Vorrunde!$I47&lt;&gt;"",Vorrunde!$K47&lt;&gt;"",ABS(Vorrunde!$I47-Vorrunde!$K47)&gt;1),Vorrunde!$K47,"")</f>
        <v/>
      </c>
      <c r="Z99" s="34" t="str">
        <f t="shared" ca="1" si="68"/>
        <v/>
      </c>
      <c r="AA99" s="13">
        <f ca="1">IF(AND(V99&lt;&gt;"",W99&lt;&gt;"",V99&lt;&gt;W99,Vorrunde!$R47&lt;&gt;"",Vorrunde!$T47&lt;&gt;""),1,0)</f>
        <v>0</v>
      </c>
      <c r="AB99" s="13" t="str">
        <f ca="1">IF(AA99&gt;0,AH99&amp;Sprache!$E$108&amp;AI99,"")</f>
        <v/>
      </c>
      <c r="AC99" s="35" t="str">
        <f ca="1">IF(AA99&gt;0,AJ99&amp;Sprache!$E$108&amp;AK99,"")</f>
        <v/>
      </c>
      <c r="AD99" s="40" t="str">
        <f ca="1">IF(AND($AA99=1,Vorrunde!$L47&lt;&gt;"",Vorrunde!$N47&lt;&gt;"",ABS(Vorrunde!$L47-Vorrunde!$N47)&gt;1),Vorrunde!$L47,"")</f>
        <v/>
      </c>
      <c r="AE99" s="35" t="str">
        <f ca="1">IF(AND($AA99=1,Vorrunde!$L47&lt;&gt;"",Vorrunde!$N47&lt;&gt;"",ABS(Vorrunde!$L47-Vorrunde!$N47)&gt;1),Vorrunde!$N47,"")</f>
        <v/>
      </c>
      <c r="AF99" s="40" t="str">
        <f ca="1">IF(AND($AA99=1,Vorrunde!$O47&lt;&gt;"",Vorrunde!$Q47&lt;&gt;"",ABS(Vorrunde!$O47-Vorrunde!$Q47)&gt;1),Vorrunde!$O47,"")</f>
        <v/>
      </c>
      <c r="AG99" s="35" t="str">
        <f ca="1">IF(AND($AA99=1,Vorrunde!$O47&lt;&gt;"",Vorrunde!$Q47&lt;&gt;"",ABS(Vorrunde!$O47-Vorrunde!$Q47)&gt;1),Vorrunde!$Q47,"")</f>
        <v/>
      </c>
      <c r="AH99" s="40" t="str">
        <f t="shared" ca="1" si="69"/>
        <v/>
      </c>
      <c r="AI99" s="35" t="str">
        <f t="shared" ca="1" si="70"/>
        <v/>
      </c>
      <c r="AJ99" s="40">
        <f ca="1">IF(Vorrunde!$R47="",0,Vorrunde!$R47)</f>
        <v>0</v>
      </c>
      <c r="AK99" s="35">
        <f ca="1">IF(Vorrunde!$T47="",0,Vorrunde!$T47)</f>
        <v>0</v>
      </c>
      <c r="AL99" s="13" t="str">
        <f ca="1">IF($AA99=0,"",IF($AJ99&gt;$AK99,Einstellungen!$C$4,IF($AJ99=$AK99,1,0)))</f>
        <v/>
      </c>
      <c r="AM99" s="35" t="str">
        <f ca="1">IF($AA99=0,"",IF($AJ99&lt;$AK99,Einstellungen!$C$4,IF($AJ99=$AK99,1,0)))</f>
        <v/>
      </c>
    </row>
    <row r="100" spans="2:39" s="2" customFormat="1" x14ac:dyDescent="0.2">
      <c r="B100" s="4"/>
      <c r="C100" s="4"/>
      <c r="D100" s="4"/>
      <c r="E100" s="4"/>
      <c r="F100" s="13"/>
      <c r="G100" s="13"/>
      <c r="H100" s="13"/>
      <c r="I100" s="13"/>
      <c r="J100" s="13"/>
      <c r="K100" s="13"/>
      <c r="L100" s="13"/>
      <c r="M100" s="13"/>
      <c r="U100" s="65" t="s">
        <v>58</v>
      </c>
      <c r="V100" s="40" t="str">
        <f ca="1">Planung!$L42</f>
        <v/>
      </c>
      <c r="W100" s="13" t="str">
        <f ca="1">Planung!$N42</f>
        <v/>
      </c>
      <c r="X100" s="13" t="str">
        <f ca="1">IF(AND($AA100=1,Vorrunde!$I48&lt;&gt;"",Vorrunde!$K48&lt;&gt;"",ABS(Vorrunde!$I48-Vorrunde!$K48)&gt;1),Vorrunde!$I48,"")</f>
        <v/>
      </c>
      <c r="Y100" s="35" t="str">
        <f ca="1">IF(AND($AA100=1,Vorrunde!$I48&lt;&gt;"",Vorrunde!$K48&lt;&gt;"",ABS(Vorrunde!$I48-Vorrunde!$K48)&gt;1),Vorrunde!$K48,"")</f>
        <v/>
      </c>
      <c r="Z100" s="34" t="str">
        <f t="shared" ca="1" si="68"/>
        <v/>
      </c>
      <c r="AA100" s="13">
        <f ca="1">IF(AND(V100&lt;&gt;"",W100&lt;&gt;"",V100&lt;&gt;W100,Vorrunde!$R48&lt;&gt;"",Vorrunde!$T48&lt;&gt;""),1,0)</f>
        <v>0</v>
      </c>
      <c r="AB100" s="13" t="str">
        <f ca="1">IF(AA100&gt;0,AH100&amp;Sprache!$E$108&amp;AI100,"")</f>
        <v/>
      </c>
      <c r="AC100" s="35" t="str">
        <f ca="1">IF(AA100&gt;0,AJ100&amp;Sprache!$E$108&amp;AK100,"")</f>
        <v/>
      </c>
      <c r="AD100" s="40" t="str">
        <f ca="1">IF(AND($AA100=1,Vorrunde!$L48&lt;&gt;"",Vorrunde!$N48&lt;&gt;"",ABS(Vorrunde!$L48-Vorrunde!$N48)&gt;1),Vorrunde!$L48,"")</f>
        <v/>
      </c>
      <c r="AE100" s="35" t="str">
        <f ca="1">IF(AND($AA100=1,Vorrunde!$L48&lt;&gt;"",Vorrunde!$N48&lt;&gt;"",ABS(Vorrunde!$L48-Vorrunde!$N48)&gt;1),Vorrunde!$N48,"")</f>
        <v/>
      </c>
      <c r="AF100" s="40" t="str">
        <f ca="1">IF(AND($AA100=1,Vorrunde!$O48&lt;&gt;"",Vorrunde!$Q48&lt;&gt;"",ABS(Vorrunde!$O48-Vorrunde!$Q48)&gt;1),Vorrunde!$O48,"")</f>
        <v/>
      </c>
      <c r="AG100" s="35" t="str">
        <f ca="1">IF(AND($AA100=1,Vorrunde!$O48&lt;&gt;"",Vorrunde!$Q48&lt;&gt;"",ABS(Vorrunde!$O48-Vorrunde!$Q48)&gt;1),Vorrunde!$Q48,"")</f>
        <v/>
      </c>
      <c r="AH100" s="40" t="str">
        <f t="shared" ca="1" si="69"/>
        <v/>
      </c>
      <c r="AI100" s="35" t="str">
        <f t="shared" ca="1" si="70"/>
        <v/>
      </c>
      <c r="AJ100" s="40">
        <f ca="1">IF(Vorrunde!$R48="",0,Vorrunde!$R48)</f>
        <v>0</v>
      </c>
      <c r="AK100" s="35">
        <f ca="1">IF(Vorrunde!$T48="",0,Vorrunde!$T48)</f>
        <v>0</v>
      </c>
      <c r="AL100" s="13" t="str">
        <f ca="1">IF($AA100=0,"",IF($AJ100&gt;$AK100,Einstellungen!$C$4,IF($AJ100=$AK100,1,0)))</f>
        <v/>
      </c>
      <c r="AM100" s="35" t="str">
        <f ca="1">IF($AA100=0,"",IF($AJ100&lt;$AK100,Einstellungen!$C$4,IF($AJ100=$AK100,1,0)))</f>
        <v/>
      </c>
    </row>
    <row r="101" spans="2:39" s="2" customFormat="1" x14ac:dyDescent="0.2">
      <c r="B101" s="4"/>
      <c r="C101" s="4"/>
      <c r="D101" s="4"/>
      <c r="E101" s="4"/>
      <c r="F101" s="13"/>
      <c r="G101" s="13"/>
      <c r="H101" s="13"/>
      <c r="I101" s="13"/>
      <c r="J101" s="13"/>
      <c r="K101" s="13"/>
      <c r="L101" s="13"/>
      <c r="M101" s="13"/>
      <c r="U101" s="65" t="s">
        <v>59</v>
      </c>
      <c r="V101" s="40" t="str">
        <f ca="1">Planung!$L43</f>
        <v/>
      </c>
      <c r="W101" s="13" t="str">
        <f ca="1">Planung!$N43</f>
        <v/>
      </c>
      <c r="X101" s="13" t="str">
        <f ca="1">IF(AND($AA101=1,Vorrunde!$I49&lt;&gt;"",Vorrunde!$K49&lt;&gt;"",ABS(Vorrunde!$I49-Vorrunde!$K49)&gt;1),Vorrunde!$I49,"")</f>
        <v/>
      </c>
      <c r="Y101" s="35" t="str">
        <f ca="1">IF(AND($AA101=1,Vorrunde!$I49&lt;&gt;"",Vorrunde!$K49&lt;&gt;"",ABS(Vorrunde!$I49-Vorrunde!$K49)&gt;1),Vorrunde!$K49,"")</f>
        <v/>
      </c>
      <c r="Z101" s="34" t="str">
        <f t="shared" ca="1" si="68"/>
        <v/>
      </c>
      <c r="AA101" s="13">
        <f ca="1">IF(AND(V101&lt;&gt;"",W101&lt;&gt;"",V101&lt;&gt;W101,Vorrunde!$R49&lt;&gt;"",Vorrunde!$T49&lt;&gt;""),1,0)</f>
        <v>0</v>
      </c>
      <c r="AB101" s="13" t="str">
        <f ca="1">IF(AA101&gt;0,AH101&amp;Sprache!$E$108&amp;AI101,"")</f>
        <v/>
      </c>
      <c r="AC101" s="35" t="str">
        <f ca="1">IF(AA101&gt;0,AJ101&amp;Sprache!$E$108&amp;AK101,"")</f>
        <v/>
      </c>
      <c r="AD101" s="40" t="str">
        <f ca="1">IF(AND($AA101=1,Vorrunde!$L49&lt;&gt;"",Vorrunde!$N49&lt;&gt;"",ABS(Vorrunde!$L49-Vorrunde!$N49)&gt;1),Vorrunde!$L49,"")</f>
        <v/>
      </c>
      <c r="AE101" s="35" t="str">
        <f ca="1">IF(AND($AA101=1,Vorrunde!$L49&lt;&gt;"",Vorrunde!$N49&lt;&gt;"",ABS(Vorrunde!$L49-Vorrunde!$N49)&gt;1),Vorrunde!$N49,"")</f>
        <v/>
      </c>
      <c r="AF101" s="40" t="str">
        <f ca="1">IF(AND($AA101=1,Vorrunde!$O49&lt;&gt;"",Vorrunde!$Q49&lt;&gt;"",ABS(Vorrunde!$O49-Vorrunde!$Q49)&gt;1),Vorrunde!$O49,"")</f>
        <v/>
      </c>
      <c r="AG101" s="35" t="str">
        <f ca="1">IF(AND($AA101=1,Vorrunde!$O49&lt;&gt;"",Vorrunde!$Q49&lt;&gt;"",ABS(Vorrunde!$O49-Vorrunde!$Q49)&gt;1),Vorrunde!$Q49,"")</f>
        <v/>
      </c>
      <c r="AH101" s="40" t="str">
        <f t="shared" ca="1" si="69"/>
        <v/>
      </c>
      <c r="AI101" s="35" t="str">
        <f t="shared" ca="1" si="70"/>
        <v/>
      </c>
      <c r="AJ101" s="40">
        <f ca="1">IF(Vorrunde!$R49="",0,Vorrunde!$R49)</f>
        <v>0</v>
      </c>
      <c r="AK101" s="35">
        <f ca="1">IF(Vorrunde!$T49="",0,Vorrunde!$T49)</f>
        <v>0</v>
      </c>
      <c r="AL101" s="13" t="str">
        <f ca="1">IF($AA101=0,"",IF($AJ101&gt;$AK101,Einstellungen!$C$4,IF($AJ101=$AK101,1,0)))</f>
        <v/>
      </c>
      <c r="AM101" s="35" t="str">
        <f ca="1">IF($AA101=0,"",IF($AJ101&lt;$AK101,Einstellungen!$C$4,IF($AJ101=$AK101,1,0)))</f>
        <v/>
      </c>
    </row>
    <row r="102" spans="2:39" s="2" customFormat="1" x14ac:dyDescent="0.2">
      <c r="B102" s="4"/>
      <c r="C102" s="4"/>
      <c r="D102" s="4"/>
      <c r="E102" s="4"/>
      <c r="F102" s="13"/>
      <c r="G102" s="13"/>
      <c r="H102" s="13"/>
      <c r="I102" s="13"/>
      <c r="J102" s="13"/>
      <c r="K102" s="13"/>
      <c r="L102" s="13"/>
      <c r="M102" s="13"/>
      <c r="U102" s="65" t="s">
        <v>60</v>
      </c>
      <c r="V102" s="40" t="str">
        <f ca="1">Planung!$L44</f>
        <v/>
      </c>
      <c r="W102" s="13" t="str">
        <f ca="1">Planung!$N44</f>
        <v/>
      </c>
      <c r="X102" s="13" t="str">
        <f ca="1">IF(AND($AA102=1,Vorrunde!$I50&lt;&gt;"",Vorrunde!$K50&lt;&gt;"",ABS(Vorrunde!$I50-Vorrunde!$K50)&gt;1),Vorrunde!$I50,"")</f>
        <v/>
      </c>
      <c r="Y102" s="35" t="str">
        <f ca="1">IF(AND($AA102=1,Vorrunde!$I50&lt;&gt;"",Vorrunde!$K50&lt;&gt;"",ABS(Vorrunde!$I50-Vorrunde!$K50)&gt;1),Vorrunde!$K50,"")</f>
        <v/>
      </c>
      <c r="Z102" s="34" t="str">
        <f t="shared" ca="1" si="68"/>
        <v/>
      </c>
      <c r="AA102" s="13">
        <f ca="1">IF(AND(V102&lt;&gt;"",W102&lt;&gt;"",V102&lt;&gt;W102,Vorrunde!$R50&lt;&gt;"",Vorrunde!$T50&lt;&gt;""),1,0)</f>
        <v>0</v>
      </c>
      <c r="AB102" s="13" t="str">
        <f ca="1">IF(AA102&gt;0,AH102&amp;Sprache!$E$108&amp;AI102,"")</f>
        <v/>
      </c>
      <c r="AC102" s="35" t="str">
        <f ca="1">IF(AA102&gt;0,AJ102&amp;Sprache!$E$108&amp;AK102,"")</f>
        <v/>
      </c>
      <c r="AD102" s="40" t="str">
        <f ca="1">IF(AND($AA102=1,Vorrunde!$L50&lt;&gt;"",Vorrunde!$N50&lt;&gt;"",ABS(Vorrunde!$L50-Vorrunde!$N50)&gt;1),Vorrunde!$L50,"")</f>
        <v/>
      </c>
      <c r="AE102" s="35" t="str">
        <f ca="1">IF(AND($AA102=1,Vorrunde!$L50&lt;&gt;"",Vorrunde!$N50&lt;&gt;"",ABS(Vorrunde!$L50-Vorrunde!$N50)&gt;1),Vorrunde!$N50,"")</f>
        <v/>
      </c>
      <c r="AF102" s="40" t="str">
        <f ca="1">IF(AND($AA102=1,Vorrunde!$O50&lt;&gt;"",Vorrunde!$Q50&lt;&gt;"",ABS(Vorrunde!$O50-Vorrunde!$Q50)&gt;1),Vorrunde!$O50,"")</f>
        <v/>
      </c>
      <c r="AG102" s="35" t="str">
        <f ca="1">IF(AND($AA102=1,Vorrunde!$O50&lt;&gt;"",Vorrunde!$Q50&lt;&gt;"",ABS(Vorrunde!$O50-Vorrunde!$Q50)&gt;1),Vorrunde!$Q50,"")</f>
        <v/>
      </c>
      <c r="AH102" s="40" t="str">
        <f t="shared" ca="1" si="69"/>
        <v/>
      </c>
      <c r="AI102" s="35" t="str">
        <f t="shared" ca="1" si="70"/>
        <v/>
      </c>
      <c r="AJ102" s="40">
        <f ca="1">IF(Vorrunde!$R50="",0,Vorrunde!$R50)</f>
        <v>0</v>
      </c>
      <c r="AK102" s="35">
        <f ca="1">IF(Vorrunde!$T50="",0,Vorrunde!$T50)</f>
        <v>0</v>
      </c>
      <c r="AL102" s="13" t="str">
        <f ca="1">IF($AA102=0,"",IF($AJ102&gt;$AK102,Einstellungen!$C$4,IF($AJ102=$AK102,1,0)))</f>
        <v/>
      </c>
      <c r="AM102" s="35" t="str">
        <f ca="1">IF($AA102=0,"",IF($AJ102&lt;$AK102,Einstellungen!$C$4,IF($AJ102=$AK102,1,0)))</f>
        <v/>
      </c>
    </row>
    <row r="103" spans="2:39" s="2" customFormat="1" x14ac:dyDescent="0.2">
      <c r="B103" s="4"/>
      <c r="C103" s="4"/>
      <c r="D103" s="4"/>
      <c r="E103" s="4"/>
      <c r="F103" s="13"/>
      <c r="G103" s="13"/>
      <c r="H103" s="13"/>
      <c r="I103" s="13"/>
      <c r="J103" s="13"/>
      <c r="K103" s="13"/>
      <c r="L103" s="13"/>
      <c r="M103" s="13"/>
      <c r="U103" s="65" t="s">
        <v>61</v>
      </c>
      <c r="V103" s="40" t="str">
        <f ca="1">Planung!$L45</f>
        <v/>
      </c>
      <c r="W103" s="13" t="str">
        <f ca="1">Planung!$N45</f>
        <v/>
      </c>
      <c r="X103" s="13" t="str">
        <f ca="1">IF(AND($AA103=1,Vorrunde!$I51&lt;&gt;"",Vorrunde!$K51&lt;&gt;"",ABS(Vorrunde!$I51-Vorrunde!$K51)&gt;1),Vorrunde!$I51,"")</f>
        <v/>
      </c>
      <c r="Y103" s="35" t="str">
        <f ca="1">IF(AND($AA103=1,Vorrunde!$I51&lt;&gt;"",Vorrunde!$K51&lt;&gt;"",ABS(Vorrunde!$I51-Vorrunde!$K51)&gt;1),Vorrunde!$K51,"")</f>
        <v/>
      </c>
      <c r="Z103" s="34" t="str">
        <f t="shared" ca="1" si="68"/>
        <v/>
      </c>
      <c r="AA103" s="13">
        <f ca="1">IF(AND(V103&lt;&gt;"",W103&lt;&gt;"",V103&lt;&gt;W103,Vorrunde!$R51&lt;&gt;"",Vorrunde!$T51&lt;&gt;""),1,0)</f>
        <v>0</v>
      </c>
      <c r="AB103" s="13" t="str">
        <f ca="1">IF(AA103&gt;0,AH103&amp;Sprache!$E$108&amp;AI103,"")</f>
        <v/>
      </c>
      <c r="AC103" s="35" t="str">
        <f ca="1">IF(AA103&gt;0,AJ103&amp;Sprache!$E$108&amp;AK103,"")</f>
        <v/>
      </c>
      <c r="AD103" s="40" t="str">
        <f ca="1">IF(AND($AA103=1,Vorrunde!$L51&lt;&gt;"",Vorrunde!$N51&lt;&gt;"",ABS(Vorrunde!$L51-Vorrunde!$N51)&gt;1),Vorrunde!$L51,"")</f>
        <v/>
      </c>
      <c r="AE103" s="35" t="str">
        <f ca="1">IF(AND($AA103=1,Vorrunde!$L51&lt;&gt;"",Vorrunde!$N51&lt;&gt;"",ABS(Vorrunde!$L51-Vorrunde!$N51)&gt;1),Vorrunde!$N51,"")</f>
        <v/>
      </c>
      <c r="AF103" s="40" t="str">
        <f ca="1">IF(AND($AA103=1,Vorrunde!$O51&lt;&gt;"",Vorrunde!$Q51&lt;&gt;"",ABS(Vorrunde!$O51-Vorrunde!$Q51)&gt;1),Vorrunde!$O51,"")</f>
        <v/>
      </c>
      <c r="AG103" s="35" t="str">
        <f ca="1">IF(AND($AA103=1,Vorrunde!$O51&lt;&gt;"",Vorrunde!$Q51&lt;&gt;"",ABS(Vorrunde!$O51-Vorrunde!$Q51)&gt;1),Vorrunde!$Q51,"")</f>
        <v/>
      </c>
      <c r="AH103" s="40" t="str">
        <f t="shared" ca="1" si="69"/>
        <v/>
      </c>
      <c r="AI103" s="35" t="str">
        <f t="shared" ca="1" si="70"/>
        <v/>
      </c>
      <c r="AJ103" s="40">
        <f ca="1">IF(Vorrunde!$R51="",0,Vorrunde!$R51)</f>
        <v>0</v>
      </c>
      <c r="AK103" s="35">
        <f ca="1">IF(Vorrunde!$T51="",0,Vorrunde!$T51)</f>
        <v>0</v>
      </c>
      <c r="AL103" s="13" t="str">
        <f ca="1">IF($AA103=0,"",IF($AJ103&gt;$AK103,Einstellungen!$C$4,IF($AJ103=$AK103,1,0)))</f>
        <v/>
      </c>
      <c r="AM103" s="35" t="str">
        <f ca="1">IF($AA103=0,"",IF($AJ103&lt;$AK103,Einstellungen!$C$4,IF($AJ103=$AK103,1,0)))</f>
        <v/>
      </c>
    </row>
    <row r="104" spans="2:39" s="2" customFormat="1" x14ac:dyDescent="0.2">
      <c r="B104" s="4"/>
      <c r="C104" s="4"/>
      <c r="D104" s="4"/>
      <c r="E104" s="4"/>
      <c r="F104" s="13"/>
      <c r="G104" s="13"/>
      <c r="H104" s="13"/>
      <c r="I104" s="13"/>
      <c r="J104" s="13"/>
      <c r="K104" s="13"/>
      <c r="L104" s="13"/>
      <c r="M104" s="13"/>
      <c r="U104" s="65" t="s">
        <v>62</v>
      </c>
      <c r="V104" s="40" t="str">
        <f ca="1">Planung!$L46</f>
        <v/>
      </c>
      <c r="W104" s="13" t="str">
        <f ca="1">Planung!$N46</f>
        <v/>
      </c>
      <c r="X104" s="13" t="str">
        <f ca="1">IF(AND($AA104=1,Vorrunde!$I52&lt;&gt;"",Vorrunde!$K52&lt;&gt;"",ABS(Vorrunde!$I52-Vorrunde!$K52)&gt;1),Vorrunde!$I52,"")</f>
        <v/>
      </c>
      <c r="Y104" s="35" t="str">
        <f ca="1">IF(AND($AA104=1,Vorrunde!$I52&lt;&gt;"",Vorrunde!$K52&lt;&gt;"",ABS(Vorrunde!$I52-Vorrunde!$K52)&gt;1),Vorrunde!$K52,"")</f>
        <v/>
      </c>
      <c r="Z104" s="34" t="str">
        <f t="shared" ca="1" si="68"/>
        <v/>
      </c>
      <c r="AA104" s="13">
        <f ca="1">IF(AND(V104&lt;&gt;"",W104&lt;&gt;"",V104&lt;&gt;W104,Vorrunde!$R52&lt;&gt;"",Vorrunde!$T52&lt;&gt;""),1,0)</f>
        <v>0</v>
      </c>
      <c r="AB104" s="13" t="str">
        <f ca="1">IF(AA104&gt;0,AH104&amp;Sprache!$E$108&amp;AI104,"")</f>
        <v/>
      </c>
      <c r="AC104" s="35" t="str">
        <f ca="1">IF(AA104&gt;0,AJ104&amp;Sprache!$E$108&amp;AK104,"")</f>
        <v/>
      </c>
      <c r="AD104" s="40" t="str">
        <f ca="1">IF(AND($AA104=1,Vorrunde!$L52&lt;&gt;"",Vorrunde!$N52&lt;&gt;"",ABS(Vorrunde!$L52-Vorrunde!$N52)&gt;1),Vorrunde!$L52,"")</f>
        <v/>
      </c>
      <c r="AE104" s="35" t="str">
        <f ca="1">IF(AND($AA104=1,Vorrunde!$L52&lt;&gt;"",Vorrunde!$N52&lt;&gt;"",ABS(Vorrunde!$L52-Vorrunde!$N52)&gt;1),Vorrunde!$N52,"")</f>
        <v/>
      </c>
      <c r="AF104" s="40" t="str">
        <f ca="1">IF(AND($AA104=1,Vorrunde!$O52&lt;&gt;"",Vorrunde!$Q52&lt;&gt;"",ABS(Vorrunde!$O52-Vorrunde!$Q52)&gt;1),Vorrunde!$O52,"")</f>
        <v/>
      </c>
      <c r="AG104" s="35" t="str">
        <f ca="1">IF(AND($AA104=1,Vorrunde!$O52&lt;&gt;"",Vorrunde!$Q52&lt;&gt;"",ABS(Vorrunde!$O52-Vorrunde!$Q52)&gt;1),Vorrunde!$Q52,"")</f>
        <v/>
      </c>
      <c r="AH104" s="40" t="str">
        <f t="shared" ca="1" si="69"/>
        <v/>
      </c>
      <c r="AI104" s="35" t="str">
        <f t="shared" ca="1" si="70"/>
        <v/>
      </c>
      <c r="AJ104" s="40">
        <f ca="1">IF(Vorrunde!$R52="",0,Vorrunde!$R52)</f>
        <v>0</v>
      </c>
      <c r="AK104" s="35">
        <f ca="1">IF(Vorrunde!$T52="",0,Vorrunde!$T52)</f>
        <v>0</v>
      </c>
      <c r="AL104" s="13" t="str">
        <f ca="1">IF($AA104=0,"",IF($AJ104&gt;$AK104,Einstellungen!$C$4,IF($AJ104=$AK104,1,0)))</f>
        <v/>
      </c>
      <c r="AM104" s="35" t="str">
        <f ca="1">IF($AA104=0,"",IF($AJ104&lt;$AK104,Einstellungen!$C$4,IF($AJ104=$AK104,1,0)))</f>
        <v/>
      </c>
    </row>
    <row r="105" spans="2:39" s="2" customFormat="1" x14ac:dyDescent="0.2">
      <c r="B105" s="4"/>
      <c r="C105" s="4"/>
      <c r="D105" s="4"/>
      <c r="E105" s="4"/>
      <c r="F105" s="13"/>
      <c r="G105" s="13"/>
      <c r="H105" s="13"/>
      <c r="I105" s="13"/>
      <c r="J105" s="13"/>
      <c r="K105" s="13"/>
      <c r="L105" s="13"/>
      <c r="M105" s="13"/>
      <c r="U105" s="65" t="s">
        <v>63</v>
      </c>
      <c r="V105" s="40" t="str">
        <f ca="1">Planung!$L47</f>
        <v/>
      </c>
      <c r="W105" s="13" t="str">
        <f ca="1">Planung!$N47</f>
        <v/>
      </c>
      <c r="X105" s="13" t="str">
        <f ca="1">IF(AND($AA105=1,Vorrunde!$I53&lt;&gt;"",Vorrunde!$K53&lt;&gt;"",ABS(Vorrunde!$I53-Vorrunde!$K53)&gt;1),Vorrunde!$I53,"")</f>
        <v/>
      </c>
      <c r="Y105" s="35" t="str">
        <f ca="1">IF(AND($AA105=1,Vorrunde!$I53&lt;&gt;"",Vorrunde!$K53&lt;&gt;"",ABS(Vorrunde!$I53-Vorrunde!$K53)&gt;1),Vorrunde!$K53,"")</f>
        <v/>
      </c>
      <c r="Z105" s="34" t="str">
        <f t="shared" ca="1" si="68"/>
        <v/>
      </c>
      <c r="AA105" s="13">
        <f ca="1">IF(AND(V105&lt;&gt;"",W105&lt;&gt;"",V105&lt;&gt;W105,Vorrunde!$R53&lt;&gt;"",Vorrunde!$T53&lt;&gt;""),1,0)</f>
        <v>0</v>
      </c>
      <c r="AB105" s="13" t="str">
        <f ca="1">IF(AA105&gt;0,AH105&amp;Sprache!$E$108&amp;AI105,"")</f>
        <v/>
      </c>
      <c r="AC105" s="35" t="str">
        <f ca="1">IF(AA105&gt;0,AJ105&amp;Sprache!$E$108&amp;AK105,"")</f>
        <v/>
      </c>
      <c r="AD105" s="40" t="str">
        <f ca="1">IF(AND($AA105=1,Vorrunde!$L53&lt;&gt;"",Vorrunde!$N53&lt;&gt;"",ABS(Vorrunde!$L53-Vorrunde!$N53)&gt;1),Vorrunde!$L53,"")</f>
        <v/>
      </c>
      <c r="AE105" s="35" t="str">
        <f ca="1">IF(AND($AA105=1,Vorrunde!$L53&lt;&gt;"",Vorrunde!$N53&lt;&gt;"",ABS(Vorrunde!$L53-Vorrunde!$N53)&gt;1),Vorrunde!$N53,"")</f>
        <v/>
      </c>
      <c r="AF105" s="40" t="str">
        <f ca="1">IF(AND($AA105=1,Vorrunde!$O53&lt;&gt;"",Vorrunde!$Q53&lt;&gt;"",ABS(Vorrunde!$O53-Vorrunde!$Q53)&gt;1),Vorrunde!$O53,"")</f>
        <v/>
      </c>
      <c r="AG105" s="35" t="str">
        <f ca="1">IF(AND($AA105=1,Vorrunde!$O53&lt;&gt;"",Vorrunde!$Q53&lt;&gt;"",ABS(Vorrunde!$O53-Vorrunde!$Q53)&gt;1),Vorrunde!$Q53,"")</f>
        <v/>
      </c>
      <c r="AH105" s="40" t="str">
        <f t="shared" ca="1" si="69"/>
        <v/>
      </c>
      <c r="AI105" s="35" t="str">
        <f t="shared" ca="1" si="70"/>
        <v/>
      </c>
      <c r="AJ105" s="40">
        <f ca="1">IF(Vorrunde!$R53="",0,Vorrunde!$R53)</f>
        <v>0</v>
      </c>
      <c r="AK105" s="35">
        <f ca="1">IF(Vorrunde!$T53="",0,Vorrunde!$T53)</f>
        <v>0</v>
      </c>
      <c r="AL105" s="13" t="str">
        <f ca="1">IF($AA105=0,"",IF($AJ105&gt;$AK105,Einstellungen!$C$4,IF($AJ105=$AK105,1,0)))</f>
        <v/>
      </c>
      <c r="AM105" s="35" t="str">
        <f ca="1">IF($AA105=0,"",IF($AJ105&lt;$AK105,Einstellungen!$C$4,IF($AJ105=$AK105,1,0)))</f>
        <v/>
      </c>
    </row>
    <row r="106" spans="2:39" s="2" customFormat="1" x14ac:dyDescent="0.2">
      <c r="B106" s="4"/>
      <c r="C106" s="4"/>
      <c r="D106" s="4"/>
      <c r="E106" s="4"/>
      <c r="F106" s="13"/>
      <c r="G106" s="13"/>
      <c r="H106" s="13"/>
      <c r="I106" s="13"/>
      <c r="J106" s="13"/>
      <c r="K106" s="13"/>
      <c r="L106" s="13"/>
      <c r="M106" s="13"/>
      <c r="U106" s="65" t="s">
        <v>64</v>
      </c>
      <c r="V106" s="40" t="str">
        <f ca="1">Planung!$L48</f>
        <v/>
      </c>
      <c r="W106" s="13" t="str">
        <f ca="1">Planung!$N48</f>
        <v/>
      </c>
      <c r="X106" s="13" t="str">
        <f ca="1">IF(AND($AA106=1,Vorrunde!$I54&lt;&gt;"",Vorrunde!$K54&lt;&gt;"",ABS(Vorrunde!$I54-Vorrunde!$K54)&gt;1),Vorrunde!$I54,"")</f>
        <v/>
      </c>
      <c r="Y106" s="35" t="str">
        <f ca="1">IF(AND($AA106=1,Vorrunde!$I54&lt;&gt;"",Vorrunde!$K54&lt;&gt;"",ABS(Vorrunde!$I54-Vorrunde!$K54)&gt;1),Vorrunde!$K54,"")</f>
        <v/>
      </c>
      <c r="Z106" s="34" t="str">
        <f t="shared" ca="1" si="68"/>
        <v/>
      </c>
      <c r="AA106" s="13">
        <f ca="1">IF(AND(V106&lt;&gt;"",W106&lt;&gt;"",V106&lt;&gt;W106,Vorrunde!$R54&lt;&gt;"",Vorrunde!$T54&lt;&gt;""),1,0)</f>
        <v>0</v>
      </c>
      <c r="AB106" s="13" t="str">
        <f ca="1">IF(AA106&gt;0,AH106&amp;Sprache!$E$108&amp;AI106,"")</f>
        <v/>
      </c>
      <c r="AC106" s="35" t="str">
        <f ca="1">IF(AA106&gt;0,AJ106&amp;Sprache!$E$108&amp;AK106,"")</f>
        <v/>
      </c>
      <c r="AD106" s="40" t="str">
        <f ca="1">IF(AND($AA106=1,Vorrunde!$L54&lt;&gt;"",Vorrunde!$N54&lt;&gt;"",ABS(Vorrunde!$L54-Vorrunde!$N54)&gt;1),Vorrunde!$L54,"")</f>
        <v/>
      </c>
      <c r="AE106" s="35" t="str">
        <f ca="1">IF(AND($AA106=1,Vorrunde!$L54&lt;&gt;"",Vorrunde!$N54&lt;&gt;"",ABS(Vorrunde!$L54-Vorrunde!$N54)&gt;1),Vorrunde!$N54,"")</f>
        <v/>
      </c>
      <c r="AF106" s="40" t="str">
        <f ca="1">IF(AND($AA106=1,Vorrunde!$O54&lt;&gt;"",Vorrunde!$Q54&lt;&gt;"",ABS(Vorrunde!$O54-Vorrunde!$Q54)&gt;1),Vorrunde!$O54,"")</f>
        <v/>
      </c>
      <c r="AG106" s="35" t="str">
        <f ca="1">IF(AND($AA106=1,Vorrunde!$O54&lt;&gt;"",Vorrunde!$Q54&lt;&gt;"",ABS(Vorrunde!$O54-Vorrunde!$Q54)&gt;1),Vorrunde!$Q54,"")</f>
        <v/>
      </c>
      <c r="AH106" s="40" t="str">
        <f t="shared" ca="1" si="69"/>
        <v/>
      </c>
      <c r="AI106" s="35" t="str">
        <f t="shared" ca="1" si="70"/>
        <v/>
      </c>
      <c r="AJ106" s="40">
        <f ca="1">IF(Vorrunde!$R54="",0,Vorrunde!$R54)</f>
        <v>0</v>
      </c>
      <c r="AK106" s="35">
        <f ca="1">IF(Vorrunde!$T54="",0,Vorrunde!$T54)</f>
        <v>0</v>
      </c>
      <c r="AL106" s="13" t="str">
        <f ca="1">IF($AA106=0,"",IF($AJ106&gt;$AK106,Einstellungen!$C$4,IF($AJ106=$AK106,1,0)))</f>
        <v/>
      </c>
      <c r="AM106" s="35" t="str">
        <f ca="1">IF($AA106=0,"",IF($AJ106&lt;$AK106,Einstellungen!$C$4,IF($AJ106=$AK106,1,0)))</f>
        <v/>
      </c>
    </row>
    <row r="107" spans="2:39" s="2" customFormat="1" x14ac:dyDescent="0.2">
      <c r="B107" s="4"/>
      <c r="C107" s="4"/>
      <c r="D107" s="4"/>
      <c r="E107" s="4"/>
      <c r="F107" s="13"/>
      <c r="G107" s="13"/>
      <c r="H107" s="13"/>
      <c r="I107" s="13"/>
      <c r="J107" s="13"/>
      <c r="K107" s="13"/>
      <c r="L107" s="13"/>
      <c r="M107" s="13"/>
      <c r="U107" s="65" t="s">
        <v>65</v>
      </c>
      <c r="V107" s="40" t="str">
        <f ca="1">Planung!$L49</f>
        <v/>
      </c>
      <c r="W107" s="13" t="str">
        <f ca="1">Planung!$N49</f>
        <v/>
      </c>
      <c r="X107" s="13" t="str">
        <f ca="1">IF(AND($AA107=1,Vorrunde!$I55&lt;&gt;"",Vorrunde!$K55&lt;&gt;"",ABS(Vorrunde!$I55-Vorrunde!$K55)&gt;1),Vorrunde!$I55,"")</f>
        <v/>
      </c>
      <c r="Y107" s="35" t="str">
        <f ca="1">IF(AND($AA107=1,Vorrunde!$I55&lt;&gt;"",Vorrunde!$K55&lt;&gt;"",ABS(Vorrunde!$I55-Vorrunde!$K55)&gt;1),Vorrunde!$K55,"")</f>
        <v/>
      </c>
      <c r="Z107" s="34" t="str">
        <f t="shared" ca="1" si="68"/>
        <v/>
      </c>
      <c r="AA107" s="13">
        <f ca="1">IF(AND(V107&lt;&gt;"",W107&lt;&gt;"",V107&lt;&gt;W107,Vorrunde!$R55&lt;&gt;"",Vorrunde!$T55&lt;&gt;""),1,0)</f>
        <v>0</v>
      </c>
      <c r="AB107" s="13" t="str">
        <f ca="1">IF(AA107&gt;0,AH107&amp;Sprache!$E$108&amp;AI107,"")</f>
        <v/>
      </c>
      <c r="AC107" s="35" t="str">
        <f ca="1">IF(AA107&gt;0,AJ107&amp;Sprache!$E$108&amp;AK107,"")</f>
        <v/>
      </c>
      <c r="AD107" s="40" t="str">
        <f ca="1">IF(AND($AA107=1,Vorrunde!$L55&lt;&gt;"",Vorrunde!$N55&lt;&gt;"",ABS(Vorrunde!$L55-Vorrunde!$N55)&gt;1),Vorrunde!$L55,"")</f>
        <v/>
      </c>
      <c r="AE107" s="35" t="str">
        <f ca="1">IF(AND($AA107=1,Vorrunde!$L55&lt;&gt;"",Vorrunde!$N55&lt;&gt;"",ABS(Vorrunde!$L55-Vorrunde!$N55)&gt;1),Vorrunde!$N55,"")</f>
        <v/>
      </c>
      <c r="AF107" s="40" t="str">
        <f ca="1">IF(AND($AA107=1,Vorrunde!$O55&lt;&gt;"",Vorrunde!$Q55&lt;&gt;"",ABS(Vorrunde!$O55-Vorrunde!$Q55)&gt;1),Vorrunde!$O55,"")</f>
        <v/>
      </c>
      <c r="AG107" s="35" t="str">
        <f ca="1">IF(AND($AA107=1,Vorrunde!$O55&lt;&gt;"",Vorrunde!$Q55&lt;&gt;"",ABS(Vorrunde!$O55-Vorrunde!$Q55)&gt;1),Vorrunde!$Q55,"")</f>
        <v/>
      </c>
      <c r="AH107" s="40" t="str">
        <f t="shared" ca="1" si="69"/>
        <v/>
      </c>
      <c r="AI107" s="35" t="str">
        <f t="shared" ca="1" si="70"/>
        <v/>
      </c>
      <c r="AJ107" s="40">
        <f ca="1">IF(Vorrunde!$R55="",0,Vorrunde!$R55)</f>
        <v>0</v>
      </c>
      <c r="AK107" s="35">
        <f ca="1">IF(Vorrunde!$T55="",0,Vorrunde!$T55)</f>
        <v>0</v>
      </c>
      <c r="AL107" s="13" t="str">
        <f ca="1">IF($AA107=0,"",IF($AJ107&gt;$AK107,Einstellungen!$C$4,IF($AJ107=$AK107,1,0)))</f>
        <v/>
      </c>
      <c r="AM107" s="35" t="str">
        <f ca="1">IF($AA107=0,"",IF($AJ107&lt;$AK107,Einstellungen!$C$4,IF($AJ107=$AK107,1,0)))</f>
        <v/>
      </c>
    </row>
    <row r="108" spans="2:39" s="2" customFormat="1" x14ac:dyDescent="0.2">
      <c r="B108" s="4"/>
      <c r="C108" s="4"/>
      <c r="D108" s="4"/>
      <c r="E108" s="4"/>
      <c r="F108" s="13"/>
      <c r="G108" s="13"/>
      <c r="H108" s="13"/>
      <c r="I108" s="13"/>
      <c r="J108" s="13"/>
      <c r="K108" s="13"/>
      <c r="L108" s="13"/>
      <c r="M108" s="13"/>
      <c r="U108" s="65" t="s">
        <v>66</v>
      </c>
      <c r="V108" s="40" t="str">
        <f ca="1">Planung!$L50</f>
        <v/>
      </c>
      <c r="W108" s="13" t="str">
        <f ca="1">Planung!$N50</f>
        <v/>
      </c>
      <c r="X108" s="13" t="str">
        <f ca="1">IF(AND($AA108=1,Vorrunde!$I56&lt;&gt;"",Vorrunde!$K56&lt;&gt;"",ABS(Vorrunde!$I56-Vorrunde!$K56)&gt;1),Vorrunde!$I56,"")</f>
        <v/>
      </c>
      <c r="Y108" s="35" t="str">
        <f ca="1">IF(AND($AA108=1,Vorrunde!$I56&lt;&gt;"",Vorrunde!$K56&lt;&gt;"",ABS(Vorrunde!$I56-Vorrunde!$K56)&gt;1),Vorrunde!$K56,"")</f>
        <v/>
      </c>
      <c r="Z108" s="34" t="str">
        <f t="shared" ca="1" si="68"/>
        <v/>
      </c>
      <c r="AA108" s="13">
        <f ca="1">IF(AND(V108&lt;&gt;"",W108&lt;&gt;"",V108&lt;&gt;W108,Vorrunde!$R56&lt;&gt;"",Vorrunde!$T56&lt;&gt;""),1,0)</f>
        <v>0</v>
      </c>
      <c r="AB108" s="13" t="str">
        <f ca="1">IF(AA108&gt;0,AH108&amp;Sprache!$E$108&amp;AI108,"")</f>
        <v/>
      </c>
      <c r="AC108" s="35" t="str">
        <f ca="1">IF(AA108&gt;0,AJ108&amp;Sprache!$E$108&amp;AK108,"")</f>
        <v/>
      </c>
      <c r="AD108" s="40" t="str">
        <f ca="1">IF(AND($AA108=1,Vorrunde!$L56&lt;&gt;"",Vorrunde!$N56&lt;&gt;"",ABS(Vorrunde!$L56-Vorrunde!$N56)&gt;1),Vorrunde!$L56,"")</f>
        <v/>
      </c>
      <c r="AE108" s="35" t="str">
        <f ca="1">IF(AND($AA108=1,Vorrunde!$L56&lt;&gt;"",Vorrunde!$N56&lt;&gt;"",ABS(Vorrunde!$L56-Vorrunde!$N56)&gt;1),Vorrunde!$N56,"")</f>
        <v/>
      </c>
      <c r="AF108" s="40" t="str">
        <f ca="1">IF(AND($AA108=1,Vorrunde!$O56&lt;&gt;"",Vorrunde!$Q56&lt;&gt;"",ABS(Vorrunde!$O56-Vorrunde!$Q56)&gt;1),Vorrunde!$O56,"")</f>
        <v/>
      </c>
      <c r="AG108" s="35" t="str">
        <f ca="1">IF(AND($AA108=1,Vorrunde!$O56&lt;&gt;"",Vorrunde!$Q56&lt;&gt;"",ABS(Vorrunde!$O56-Vorrunde!$Q56)&gt;1),Vorrunde!$Q56,"")</f>
        <v/>
      </c>
      <c r="AH108" s="40" t="str">
        <f t="shared" ca="1" si="69"/>
        <v/>
      </c>
      <c r="AI108" s="35" t="str">
        <f t="shared" ca="1" si="70"/>
        <v/>
      </c>
      <c r="AJ108" s="40">
        <f ca="1">IF(Vorrunde!$R56="",0,Vorrunde!$R56)</f>
        <v>0</v>
      </c>
      <c r="AK108" s="35">
        <f ca="1">IF(Vorrunde!$T56="",0,Vorrunde!$T56)</f>
        <v>0</v>
      </c>
      <c r="AL108" s="13" t="str">
        <f ca="1">IF($AA108=0,"",IF($AJ108&gt;$AK108,Einstellungen!$C$4,IF($AJ108=$AK108,1,0)))</f>
        <v/>
      </c>
      <c r="AM108" s="35" t="str">
        <f ca="1">IF($AA108=0,"",IF($AJ108&lt;$AK108,Einstellungen!$C$4,IF($AJ108=$AK108,1,0)))</f>
        <v/>
      </c>
    </row>
    <row r="109" spans="2:39" s="2" customFormat="1" x14ac:dyDescent="0.2">
      <c r="B109" s="4"/>
      <c r="C109" s="4"/>
      <c r="D109" s="4"/>
      <c r="E109" s="4"/>
      <c r="F109" s="13"/>
      <c r="G109" s="13"/>
      <c r="H109" s="13"/>
      <c r="I109" s="13"/>
      <c r="J109" s="13"/>
      <c r="K109" s="13"/>
      <c r="L109" s="13"/>
      <c r="M109" s="13"/>
      <c r="U109" s="65" t="s">
        <v>67</v>
      </c>
      <c r="V109" s="40" t="str">
        <f ca="1">Planung!$L51</f>
        <v/>
      </c>
      <c r="W109" s="13" t="str">
        <f ca="1">Planung!$N51</f>
        <v/>
      </c>
      <c r="X109" s="13" t="str">
        <f ca="1">IF(AND($AA109=1,Vorrunde!$I57&lt;&gt;"",Vorrunde!$K57&lt;&gt;"",ABS(Vorrunde!$I57-Vorrunde!$K57)&gt;1),Vorrunde!$I57,"")</f>
        <v/>
      </c>
      <c r="Y109" s="35" t="str">
        <f ca="1">IF(AND($AA109=1,Vorrunde!$I57&lt;&gt;"",Vorrunde!$K57&lt;&gt;"",ABS(Vorrunde!$I57-Vorrunde!$K57)&gt;1),Vorrunde!$K57,"")</f>
        <v/>
      </c>
      <c r="Z109" s="34" t="str">
        <f t="shared" ca="1" si="68"/>
        <v/>
      </c>
      <c r="AA109" s="13">
        <f ca="1">IF(AND(V109&lt;&gt;"",W109&lt;&gt;"",V109&lt;&gt;W109,Vorrunde!$R57&lt;&gt;"",Vorrunde!$T57&lt;&gt;""),1,0)</f>
        <v>0</v>
      </c>
      <c r="AB109" s="13" t="str">
        <f ca="1">IF(AA109&gt;0,AH109&amp;Sprache!$E$108&amp;AI109,"")</f>
        <v/>
      </c>
      <c r="AC109" s="35" t="str">
        <f ca="1">IF(AA109&gt;0,AJ109&amp;Sprache!$E$108&amp;AK109,"")</f>
        <v/>
      </c>
      <c r="AD109" s="40" t="str">
        <f ca="1">IF(AND($AA109=1,Vorrunde!$L57&lt;&gt;"",Vorrunde!$N57&lt;&gt;"",ABS(Vorrunde!$L57-Vorrunde!$N57)&gt;1),Vorrunde!$L57,"")</f>
        <v/>
      </c>
      <c r="AE109" s="35" t="str">
        <f ca="1">IF(AND($AA109=1,Vorrunde!$L57&lt;&gt;"",Vorrunde!$N57&lt;&gt;"",ABS(Vorrunde!$L57-Vorrunde!$N57)&gt;1),Vorrunde!$N57,"")</f>
        <v/>
      </c>
      <c r="AF109" s="40" t="str">
        <f ca="1">IF(AND($AA109=1,Vorrunde!$O57&lt;&gt;"",Vorrunde!$Q57&lt;&gt;"",ABS(Vorrunde!$O57-Vorrunde!$Q57)&gt;1),Vorrunde!$O57,"")</f>
        <v/>
      </c>
      <c r="AG109" s="35" t="str">
        <f ca="1">IF(AND($AA109=1,Vorrunde!$O57&lt;&gt;"",Vorrunde!$Q57&lt;&gt;"",ABS(Vorrunde!$O57-Vorrunde!$Q57)&gt;1),Vorrunde!$Q57,"")</f>
        <v/>
      </c>
      <c r="AH109" s="40" t="str">
        <f t="shared" ca="1" si="69"/>
        <v/>
      </c>
      <c r="AI109" s="35" t="str">
        <f t="shared" ca="1" si="70"/>
        <v/>
      </c>
      <c r="AJ109" s="40">
        <f ca="1">IF(Vorrunde!$R57="",0,Vorrunde!$R57)</f>
        <v>0</v>
      </c>
      <c r="AK109" s="35">
        <f ca="1">IF(Vorrunde!$T57="",0,Vorrunde!$T57)</f>
        <v>0</v>
      </c>
      <c r="AL109" s="13" t="str">
        <f ca="1">IF($AA109=0,"",IF($AJ109&gt;$AK109,Einstellungen!$C$4,IF($AJ109=$AK109,1,0)))</f>
        <v/>
      </c>
      <c r="AM109" s="35" t="str">
        <f ca="1">IF($AA109=0,"",IF($AJ109&lt;$AK109,Einstellungen!$C$4,IF($AJ109=$AK109,1,0)))</f>
        <v/>
      </c>
    </row>
    <row r="110" spans="2:39" s="2" customFormat="1" x14ac:dyDescent="0.2">
      <c r="B110" s="4"/>
      <c r="C110" s="4"/>
      <c r="D110" s="4"/>
      <c r="E110" s="4"/>
      <c r="F110" s="13"/>
      <c r="G110" s="13"/>
      <c r="H110" s="13"/>
      <c r="I110" s="13"/>
      <c r="J110" s="13"/>
      <c r="K110" s="13"/>
      <c r="L110" s="13"/>
      <c r="M110" s="13"/>
      <c r="U110" s="65" t="s">
        <v>68</v>
      </c>
      <c r="V110" s="40" t="str">
        <f ca="1">Planung!$L52</f>
        <v/>
      </c>
      <c r="W110" s="13" t="str">
        <f ca="1">Planung!$N52</f>
        <v/>
      </c>
      <c r="X110" s="13" t="str">
        <f ca="1">IF(AND($AA110=1,Vorrunde!$I58&lt;&gt;"",Vorrunde!$K58&lt;&gt;"",ABS(Vorrunde!$I58-Vorrunde!$K58)&gt;1),Vorrunde!$I58,"")</f>
        <v/>
      </c>
      <c r="Y110" s="35" t="str">
        <f ca="1">IF(AND($AA110=1,Vorrunde!$I58&lt;&gt;"",Vorrunde!$K58&lt;&gt;"",ABS(Vorrunde!$I58-Vorrunde!$K58)&gt;1),Vorrunde!$K58,"")</f>
        <v/>
      </c>
      <c r="Z110" s="34" t="str">
        <f t="shared" ca="1" si="68"/>
        <v/>
      </c>
      <c r="AA110" s="13">
        <f ca="1">IF(AND(V110&lt;&gt;"",W110&lt;&gt;"",V110&lt;&gt;W110,Vorrunde!$R58&lt;&gt;"",Vorrunde!$T58&lt;&gt;""),1,0)</f>
        <v>0</v>
      </c>
      <c r="AB110" s="13" t="str">
        <f ca="1">IF(AA110&gt;0,AH110&amp;Sprache!$E$108&amp;AI110,"")</f>
        <v/>
      </c>
      <c r="AC110" s="35" t="str">
        <f ca="1">IF(AA110&gt;0,AJ110&amp;Sprache!$E$108&amp;AK110,"")</f>
        <v/>
      </c>
      <c r="AD110" s="40" t="str">
        <f ca="1">IF(AND($AA110=1,Vorrunde!$L58&lt;&gt;"",Vorrunde!$N58&lt;&gt;"",ABS(Vorrunde!$L58-Vorrunde!$N58)&gt;1),Vorrunde!$L58,"")</f>
        <v/>
      </c>
      <c r="AE110" s="35" t="str">
        <f ca="1">IF(AND($AA110=1,Vorrunde!$L58&lt;&gt;"",Vorrunde!$N58&lt;&gt;"",ABS(Vorrunde!$L58-Vorrunde!$N58)&gt;1),Vorrunde!$N58,"")</f>
        <v/>
      </c>
      <c r="AF110" s="40" t="str">
        <f ca="1">IF(AND($AA110=1,Vorrunde!$O58&lt;&gt;"",Vorrunde!$Q58&lt;&gt;"",ABS(Vorrunde!$O58-Vorrunde!$Q58)&gt;1),Vorrunde!$O58,"")</f>
        <v/>
      </c>
      <c r="AG110" s="35" t="str">
        <f ca="1">IF(AND($AA110=1,Vorrunde!$O58&lt;&gt;"",Vorrunde!$Q58&lt;&gt;"",ABS(Vorrunde!$O58-Vorrunde!$Q58)&gt;1),Vorrunde!$Q58,"")</f>
        <v/>
      </c>
      <c r="AH110" s="40" t="str">
        <f t="shared" ca="1" si="69"/>
        <v/>
      </c>
      <c r="AI110" s="35" t="str">
        <f t="shared" ca="1" si="70"/>
        <v/>
      </c>
      <c r="AJ110" s="40">
        <f ca="1">IF(Vorrunde!$R58="",0,Vorrunde!$R58)</f>
        <v>0</v>
      </c>
      <c r="AK110" s="35">
        <f ca="1">IF(Vorrunde!$T58="",0,Vorrunde!$T58)</f>
        <v>0</v>
      </c>
      <c r="AL110" s="13" t="str">
        <f ca="1">IF($AA110=0,"",IF($AJ110&gt;$AK110,Einstellungen!$C$4,IF($AJ110=$AK110,1,0)))</f>
        <v/>
      </c>
      <c r="AM110" s="35" t="str">
        <f ca="1">IF($AA110=0,"",IF($AJ110&lt;$AK110,Einstellungen!$C$4,IF($AJ110=$AK110,1,0)))</f>
        <v/>
      </c>
    </row>
    <row r="111" spans="2:39" s="2" customFormat="1" x14ac:dyDescent="0.2">
      <c r="B111" s="4"/>
      <c r="C111" s="4"/>
      <c r="D111" s="4"/>
      <c r="E111" s="4"/>
      <c r="F111" s="13"/>
      <c r="G111" s="13"/>
      <c r="H111" s="13"/>
      <c r="I111" s="13"/>
      <c r="J111" s="13"/>
      <c r="K111" s="13"/>
      <c r="L111" s="13"/>
      <c r="M111" s="13"/>
      <c r="U111" s="65" t="s">
        <v>69</v>
      </c>
      <c r="V111" s="40" t="str">
        <f ca="1">Planung!$L53</f>
        <v/>
      </c>
      <c r="W111" s="13" t="str">
        <f ca="1">Planung!$N53</f>
        <v/>
      </c>
      <c r="X111" s="13" t="str">
        <f ca="1">IF(AND($AA111=1,Vorrunde!$I59&lt;&gt;"",Vorrunde!$K59&lt;&gt;"",ABS(Vorrunde!$I59-Vorrunde!$K59)&gt;1),Vorrunde!$I59,"")</f>
        <v/>
      </c>
      <c r="Y111" s="35" t="str">
        <f ca="1">IF(AND($AA111=1,Vorrunde!$I59&lt;&gt;"",Vorrunde!$K59&lt;&gt;"",ABS(Vorrunde!$I59-Vorrunde!$K59)&gt;1),Vorrunde!$K59,"")</f>
        <v/>
      </c>
      <c r="Z111" s="34" t="str">
        <f t="shared" ca="1" si="68"/>
        <v/>
      </c>
      <c r="AA111" s="13">
        <f ca="1">IF(AND(V111&lt;&gt;"",W111&lt;&gt;"",V111&lt;&gt;W111,Vorrunde!$R59&lt;&gt;"",Vorrunde!$T59&lt;&gt;""),1,0)</f>
        <v>0</v>
      </c>
      <c r="AB111" s="13" t="str">
        <f ca="1">IF(AA111&gt;0,AH111&amp;Sprache!$E$108&amp;AI111,"")</f>
        <v/>
      </c>
      <c r="AC111" s="35" t="str">
        <f ca="1">IF(AA111&gt;0,AJ111&amp;Sprache!$E$108&amp;AK111,"")</f>
        <v/>
      </c>
      <c r="AD111" s="40" t="str">
        <f ca="1">IF(AND($AA111=1,Vorrunde!$L59&lt;&gt;"",Vorrunde!$N59&lt;&gt;"",ABS(Vorrunde!$L59-Vorrunde!$N59)&gt;1),Vorrunde!$L59,"")</f>
        <v/>
      </c>
      <c r="AE111" s="35" t="str">
        <f ca="1">IF(AND($AA111=1,Vorrunde!$L59&lt;&gt;"",Vorrunde!$N59&lt;&gt;"",ABS(Vorrunde!$L59-Vorrunde!$N59)&gt;1),Vorrunde!$N59,"")</f>
        <v/>
      </c>
      <c r="AF111" s="40" t="str">
        <f ca="1">IF(AND($AA111=1,Vorrunde!$O59&lt;&gt;"",Vorrunde!$Q59&lt;&gt;"",ABS(Vorrunde!$O59-Vorrunde!$Q59)&gt;1),Vorrunde!$O59,"")</f>
        <v/>
      </c>
      <c r="AG111" s="35" t="str">
        <f ca="1">IF(AND($AA111=1,Vorrunde!$O59&lt;&gt;"",Vorrunde!$Q59&lt;&gt;"",ABS(Vorrunde!$O59-Vorrunde!$Q59)&gt;1),Vorrunde!$Q59,"")</f>
        <v/>
      </c>
      <c r="AH111" s="40" t="str">
        <f t="shared" ca="1" si="69"/>
        <v/>
      </c>
      <c r="AI111" s="35" t="str">
        <f t="shared" ca="1" si="70"/>
        <v/>
      </c>
      <c r="AJ111" s="40">
        <f ca="1">IF(Vorrunde!$R59="",0,Vorrunde!$R59)</f>
        <v>0</v>
      </c>
      <c r="AK111" s="35">
        <f ca="1">IF(Vorrunde!$T59="",0,Vorrunde!$T59)</f>
        <v>0</v>
      </c>
      <c r="AL111" s="13" t="str">
        <f ca="1">IF($AA111=0,"",IF($AJ111&gt;$AK111,Einstellungen!$C$4,IF($AJ111=$AK111,1,0)))</f>
        <v/>
      </c>
      <c r="AM111" s="35" t="str">
        <f ca="1">IF($AA111=0,"",IF($AJ111&lt;$AK111,Einstellungen!$C$4,IF($AJ111=$AK111,1,0)))</f>
        <v/>
      </c>
    </row>
    <row r="112" spans="2:39" s="2" customFormat="1" x14ac:dyDescent="0.2">
      <c r="B112" s="4"/>
      <c r="C112" s="4"/>
      <c r="D112" s="4"/>
      <c r="E112" s="4"/>
      <c r="F112" s="13"/>
      <c r="G112" s="13"/>
      <c r="H112" s="13"/>
      <c r="I112" s="13"/>
      <c r="J112" s="13"/>
      <c r="K112" s="13"/>
      <c r="L112" s="13"/>
      <c r="M112" s="13"/>
      <c r="U112" s="65" t="s">
        <v>70</v>
      </c>
      <c r="V112" s="40" t="str">
        <f ca="1">Planung!$L54</f>
        <v/>
      </c>
      <c r="W112" s="13" t="str">
        <f ca="1">Planung!$N54</f>
        <v/>
      </c>
      <c r="X112" s="13" t="str">
        <f ca="1">IF(AND($AA112=1,Vorrunde!$I60&lt;&gt;"",Vorrunde!$K60&lt;&gt;"",ABS(Vorrunde!$I60-Vorrunde!$K60)&gt;1),Vorrunde!$I60,"")</f>
        <v/>
      </c>
      <c r="Y112" s="35" t="str">
        <f ca="1">IF(AND($AA112=1,Vorrunde!$I60&lt;&gt;"",Vorrunde!$K60&lt;&gt;"",ABS(Vorrunde!$I60-Vorrunde!$K60)&gt;1),Vorrunde!$K60,"")</f>
        <v/>
      </c>
      <c r="Z112" s="34" t="str">
        <f t="shared" ca="1" si="68"/>
        <v/>
      </c>
      <c r="AA112" s="13">
        <f ca="1">IF(AND(V112&lt;&gt;"",W112&lt;&gt;"",V112&lt;&gt;W112,Vorrunde!$R60&lt;&gt;"",Vorrunde!$T60&lt;&gt;""),1,0)</f>
        <v>0</v>
      </c>
      <c r="AB112" s="13" t="str">
        <f ca="1">IF(AA112&gt;0,AH112&amp;Sprache!$E$108&amp;AI112,"")</f>
        <v/>
      </c>
      <c r="AC112" s="35" t="str">
        <f ca="1">IF(AA112&gt;0,AJ112&amp;Sprache!$E$108&amp;AK112,"")</f>
        <v/>
      </c>
      <c r="AD112" s="40" t="str">
        <f ca="1">IF(AND($AA112=1,Vorrunde!$L60&lt;&gt;"",Vorrunde!$N60&lt;&gt;"",ABS(Vorrunde!$L60-Vorrunde!$N60)&gt;1),Vorrunde!$L60,"")</f>
        <v/>
      </c>
      <c r="AE112" s="35" t="str">
        <f ca="1">IF(AND($AA112=1,Vorrunde!$L60&lt;&gt;"",Vorrunde!$N60&lt;&gt;"",ABS(Vorrunde!$L60-Vorrunde!$N60)&gt;1),Vorrunde!$N60,"")</f>
        <v/>
      </c>
      <c r="AF112" s="40" t="str">
        <f ca="1">IF(AND($AA112=1,Vorrunde!$O60&lt;&gt;"",Vorrunde!$Q60&lt;&gt;"",ABS(Vorrunde!$O60-Vorrunde!$Q60)&gt;1),Vorrunde!$O60,"")</f>
        <v/>
      </c>
      <c r="AG112" s="35" t="str">
        <f ca="1">IF(AND($AA112=1,Vorrunde!$O60&lt;&gt;"",Vorrunde!$Q60&lt;&gt;"",ABS(Vorrunde!$O60-Vorrunde!$Q60)&gt;1),Vorrunde!$Q60,"")</f>
        <v/>
      </c>
      <c r="AH112" s="40" t="str">
        <f t="shared" ca="1" si="69"/>
        <v/>
      </c>
      <c r="AI112" s="35" t="str">
        <f t="shared" ca="1" si="70"/>
        <v/>
      </c>
      <c r="AJ112" s="40">
        <f ca="1">IF(Vorrunde!$R60="",0,Vorrunde!$R60)</f>
        <v>0</v>
      </c>
      <c r="AK112" s="35">
        <f ca="1">IF(Vorrunde!$T60="",0,Vorrunde!$T60)</f>
        <v>0</v>
      </c>
      <c r="AL112" s="13" t="str">
        <f ca="1">IF($AA112=0,"",IF($AJ112&gt;$AK112,Einstellungen!$C$4,IF($AJ112=$AK112,1,0)))</f>
        <v/>
      </c>
      <c r="AM112" s="35" t="str">
        <f ca="1">IF($AA112=0,"",IF($AJ112&lt;$AK112,Einstellungen!$C$4,IF($AJ112=$AK112,1,0)))</f>
        <v/>
      </c>
    </row>
    <row r="113" spans="2:39" s="2" customFormat="1" x14ac:dyDescent="0.2">
      <c r="B113" s="4"/>
      <c r="C113" s="4"/>
      <c r="D113" s="4"/>
      <c r="E113" s="4"/>
      <c r="F113" s="13"/>
      <c r="G113" s="13"/>
      <c r="H113" s="13"/>
      <c r="I113" s="13"/>
      <c r="J113" s="13"/>
      <c r="K113" s="13"/>
      <c r="L113" s="13"/>
      <c r="M113" s="13"/>
      <c r="U113" s="65" t="s">
        <v>71</v>
      </c>
      <c r="V113" s="40" t="str">
        <f ca="1">Planung!$L55</f>
        <v/>
      </c>
      <c r="W113" s="13" t="str">
        <f ca="1">Planung!$N55</f>
        <v/>
      </c>
      <c r="X113" s="13" t="str">
        <f ca="1">IF(AND($AA113=1,Vorrunde!$I61&lt;&gt;"",Vorrunde!$K61&lt;&gt;"",ABS(Vorrunde!$I61-Vorrunde!$K61)&gt;1),Vorrunde!$I61,"")</f>
        <v/>
      </c>
      <c r="Y113" s="35" t="str">
        <f ca="1">IF(AND($AA113=1,Vorrunde!$I61&lt;&gt;"",Vorrunde!$K61&lt;&gt;"",ABS(Vorrunde!$I61-Vorrunde!$K61)&gt;1),Vorrunde!$K61,"")</f>
        <v/>
      </c>
      <c r="Z113" s="34" t="str">
        <f t="shared" ca="1" si="68"/>
        <v/>
      </c>
      <c r="AA113" s="13">
        <f ca="1">IF(AND(V113&lt;&gt;"",W113&lt;&gt;"",V113&lt;&gt;W113,Vorrunde!$R61&lt;&gt;"",Vorrunde!$T61&lt;&gt;""),1,0)</f>
        <v>0</v>
      </c>
      <c r="AB113" s="13" t="str">
        <f ca="1">IF(AA113&gt;0,AH113&amp;Sprache!$E$108&amp;AI113,"")</f>
        <v/>
      </c>
      <c r="AC113" s="35" t="str">
        <f ca="1">IF(AA113&gt;0,AJ113&amp;Sprache!$E$108&amp;AK113,"")</f>
        <v/>
      </c>
      <c r="AD113" s="40" t="str">
        <f ca="1">IF(AND($AA113=1,Vorrunde!$L61&lt;&gt;"",Vorrunde!$N61&lt;&gt;"",ABS(Vorrunde!$L61-Vorrunde!$N61)&gt;1),Vorrunde!$L61,"")</f>
        <v/>
      </c>
      <c r="AE113" s="35" t="str">
        <f ca="1">IF(AND($AA113=1,Vorrunde!$L61&lt;&gt;"",Vorrunde!$N61&lt;&gt;"",ABS(Vorrunde!$L61-Vorrunde!$N61)&gt;1),Vorrunde!$N61,"")</f>
        <v/>
      </c>
      <c r="AF113" s="40" t="str">
        <f ca="1">IF(AND($AA113=1,Vorrunde!$O61&lt;&gt;"",Vorrunde!$Q61&lt;&gt;"",ABS(Vorrunde!$O61-Vorrunde!$Q61)&gt;1),Vorrunde!$O61,"")</f>
        <v/>
      </c>
      <c r="AG113" s="35" t="str">
        <f ca="1">IF(AND($AA113=1,Vorrunde!$O61&lt;&gt;"",Vorrunde!$Q61&lt;&gt;"",ABS(Vorrunde!$O61-Vorrunde!$Q61)&gt;1),Vorrunde!$Q61,"")</f>
        <v/>
      </c>
      <c r="AH113" s="40" t="str">
        <f t="shared" ca="1" si="69"/>
        <v/>
      </c>
      <c r="AI113" s="35" t="str">
        <f t="shared" ca="1" si="70"/>
        <v/>
      </c>
      <c r="AJ113" s="40">
        <f ca="1">IF(Vorrunde!$R61="",0,Vorrunde!$R61)</f>
        <v>0</v>
      </c>
      <c r="AK113" s="35">
        <f ca="1">IF(Vorrunde!$T61="",0,Vorrunde!$T61)</f>
        <v>0</v>
      </c>
      <c r="AL113" s="13" t="str">
        <f ca="1">IF($AA113=0,"",IF($AJ113&gt;$AK113,Einstellungen!$C$4,IF($AJ113=$AK113,1,0)))</f>
        <v/>
      </c>
      <c r="AM113" s="35" t="str">
        <f ca="1">IF($AA113=0,"",IF($AJ113&lt;$AK113,Einstellungen!$C$4,IF($AJ113=$AK113,1,0)))</f>
        <v/>
      </c>
    </row>
    <row r="114" spans="2:39" s="2" customFormat="1" x14ac:dyDescent="0.2">
      <c r="B114" s="4"/>
      <c r="C114" s="4"/>
      <c r="D114" s="4"/>
      <c r="E114" s="4"/>
      <c r="F114" s="13"/>
      <c r="G114" s="13"/>
      <c r="H114" s="13"/>
      <c r="I114" s="13"/>
      <c r="J114" s="13"/>
      <c r="K114" s="13"/>
      <c r="L114" s="13"/>
      <c r="M114" s="13"/>
      <c r="U114" s="65" t="s">
        <v>72</v>
      </c>
      <c r="V114" s="40" t="str">
        <f ca="1">Planung!$L56</f>
        <v/>
      </c>
      <c r="W114" s="13" t="str">
        <f ca="1">Planung!$N56</f>
        <v/>
      </c>
      <c r="X114" s="13" t="str">
        <f ca="1">IF(AND($AA114=1,Vorrunde!$I62&lt;&gt;"",Vorrunde!$K62&lt;&gt;"",ABS(Vorrunde!$I62-Vorrunde!$K62)&gt;1),Vorrunde!$I62,"")</f>
        <v/>
      </c>
      <c r="Y114" s="35" t="str">
        <f ca="1">IF(AND($AA114=1,Vorrunde!$I62&lt;&gt;"",Vorrunde!$K62&lt;&gt;"",ABS(Vorrunde!$I62-Vorrunde!$K62)&gt;1),Vorrunde!$K62,"")</f>
        <v/>
      </c>
      <c r="Z114" s="34" t="str">
        <f t="shared" ca="1" si="68"/>
        <v/>
      </c>
      <c r="AA114" s="13">
        <f ca="1">IF(AND(V114&lt;&gt;"",W114&lt;&gt;"",V114&lt;&gt;W114,Vorrunde!$R62&lt;&gt;"",Vorrunde!$T62&lt;&gt;""),1,0)</f>
        <v>0</v>
      </c>
      <c r="AB114" s="13" t="str">
        <f ca="1">IF(AA114&gt;0,AH114&amp;Sprache!$E$108&amp;AI114,"")</f>
        <v/>
      </c>
      <c r="AC114" s="35" t="str">
        <f ca="1">IF(AA114&gt;0,AJ114&amp;Sprache!$E$108&amp;AK114,"")</f>
        <v/>
      </c>
      <c r="AD114" s="40" t="str">
        <f ca="1">IF(AND($AA114=1,Vorrunde!$L62&lt;&gt;"",Vorrunde!$N62&lt;&gt;"",ABS(Vorrunde!$L62-Vorrunde!$N62)&gt;1),Vorrunde!$L62,"")</f>
        <v/>
      </c>
      <c r="AE114" s="35" t="str">
        <f ca="1">IF(AND($AA114=1,Vorrunde!$L62&lt;&gt;"",Vorrunde!$N62&lt;&gt;"",ABS(Vorrunde!$L62-Vorrunde!$N62)&gt;1),Vorrunde!$N62,"")</f>
        <v/>
      </c>
      <c r="AF114" s="40" t="str">
        <f ca="1">IF(AND($AA114=1,Vorrunde!$O62&lt;&gt;"",Vorrunde!$Q62&lt;&gt;"",ABS(Vorrunde!$O62-Vorrunde!$Q62)&gt;1),Vorrunde!$O62,"")</f>
        <v/>
      </c>
      <c r="AG114" s="35" t="str">
        <f ca="1">IF(AND($AA114=1,Vorrunde!$O62&lt;&gt;"",Vorrunde!$Q62&lt;&gt;"",ABS(Vorrunde!$O62-Vorrunde!$Q62)&gt;1),Vorrunde!$Q62,"")</f>
        <v/>
      </c>
      <c r="AH114" s="40" t="str">
        <f t="shared" ca="1" si="69"/>
        <v/>
      </c>
      <c r="AI114" s="35" t="str">
        <f t="shared" ca="1" si="70"/>
        <v/>
      </c>
      <c r="AJ114" s="40">
        <f ca="1">IF(Vorrunde!$R62="",0,Vorrunde!$R62)</f>
        <v>0</v>
      </c>
      <c r="AK114" s="35">
        <f ca="1">IF(Vorrunde!$T62="",0,Vorrunde!$T62)</f>
        <v>0</v>
      </c>
      <c r="AL114" s="13" t="str">
        <f ca="1">IF($AA114=0,"",IF($AJ114&gt;$AK114,Einstellungen!$C$4,IF($AJ114=$AK114,1,0)))</f>
        <v/>
      </c>
      <c r="AM114" s="35" t="str">
        <f ca="1">IF($AA114=0,"",IF($AJ114&lt;$AK114,Einstellungen!$C$4,IF($AJ114=$AK114,1,0)))</f>
        <v/>
      </c>
    </row>
    <row r="115" spans="2:39" s="2" customFormat="1" x14ac:dyDescent="0.2">
      <c r="B115" s="4"/>
      <c r="C115" s="4"/>
      <c r="D115" s="4"/>
      <c r="E115" s="4"/>
      <c r="F115" s="13"/>
      <c r="G115" s="13"/>
      <c r="H115" s="13"/>
      <c r="I115" s="13"/>
      <c r="J115" s="13"/>
      <c r="K115" s="13"/>
      <c r="L115" s="13"/>
      <c r="M115" s="13"/>
      <c r="U115" s="65" t="s">
        <v>73</v>
      </c>
      <c r="V115" s="40" t="str">
        <f ca="1">Planung!$L57</f>
        <v/>
      </c>
      <c r="W115" s="13" t="str">
        <f ca="1">Planung!$N57</f>
        <v/>
      </c>
      <c r="X115" s="13" t="str">
        <f ca="1">IF(AND($AA115=1,Vorrunde!$I63&lt;&gt;"",Vorrunde!$K63&lt;&gt;"",ABS(Vorrunde!$I63-Vorrunde!$K63)&gt;1),Vorrunde!$I63,"")</f>
        <v/>
      </c>
      <c r="Y115" s="35" t="str">
        <f ca="1">IF(AND($AA115=1,Vorrunde!$I63&lt;&gt;"",Vorrunde!$K63&lt;&gt;"",ABS(Vorrunde!$I63-Vorrunde!$K63)&gt;1),Vorrunde!$K63,"")</f>
        <v/>
      </c>
      <c r="Z115" s="34" t="str">
        <f t="shared" ca="1" si="68"/>
        <v/>
      </c>
      <c r="AA115" s="13">
        <f ca="1">IF(AND(V115&lt;&gt;"",W115&lt;&gt;"",V115&lt;&gt;W115,Vorrunde!$R63&lt;&gt;"",Vorrunde!$T63&lt;&gt;""),1,0)</f>
        <v>0</v>
      </c>
      <c r="AB115" s="13" t="str">
        <f ca="1">IF(AA115&gt;0,AH115&amp;Sprache!$E$108&amp;AI115,"")</f>
        <v/>
      </c>
      <c r="AC115" s="35" t="str">
        <f ca="1">IF(AA115&gt;0,AJ115&amp;Sprache!$E$108&amp;AK115,"")</f>
        <v/>
      </c>
      <c r="AD115" s="40" t="str">
        <f ca="1">IF(AND($AA115=1,Vorrunde!$L63&lt;&gt;"",Vorrunde!$N63&lt;&gt;"",ABS(Vorrunde!$L63-Vorrunde!$N63)&gt;1),Vorrunde!$L63,"")</f>
        <v/>
      </c>
      <c r="AE115" s="35" t="str">
        <f ca="1">IF(AND($AA115=1,Vorrunde!$L63&lt;&gt;"",Vorrunde!$N63&lt;&gt;"",ABS(Vorrunde!$L63-Vorrunde!$N63)&gt;1),Vorrunde!$N63,"")</f>
        <v/>
      </c>
      <c r="AF115" s="40" t="str">
        <f ca="1">IF(AND($AA115=1,Vorrunde!$O63&lt;&gt;"",Vorrunde!$Q63&lt;&gt;"",ABS(Vorrunde!$O63-Vorrunde!$Q63)&gt;1),Vorrunde!$O63,"")</f>
        <v/>
      </c>
      <c r="AG115" s="35" t="str">
        <f ca="1">IF(AND($AA115=1,Vorrunde!$O63&lt;&gt;"",Vorrunde!$Q63&lt;&gt;"",ABS(Vorrunde!$O63-Vorrunde!$Q63)&gt;1),Vorrunde!$Q63,"")</f>
        <v/>
      </c>
      <c r="AH115" s="40" t="str">
        <f t="shared" ca="1" si="69"/>
        <v/>
      </c>
      <c r="AI115" s="35" t="str">
        <f t="shared" ca="1" si="70"/>
        <v/>
      </c>
      <c r="AJ115" s="40">
        <f ca="1">IF(Vorrunde!$R63="",0,Vorrunde!$R63)</f>
        <v>0</v>
      </c>
      <c r="AK115" s="35">
        <f ca="1">IF(Vorrunde!$T63="",0,Vorrunde!$T63)</f>
        <v>0</v>
      </c>
      <c r="AL115" s="13" t="str">
        <f ca="1">IF($AA115=0,"",IF($AJ115&gt;$AK115,Einstellungen!$C$4,IF($AJ115=$AK115,1,0)))</f>
        <v/>
      </c>
      <c r="AM115" s="35" t="str">
        <f ca="1">IF($AA115=0,"",IF($AJ115&lt;$AK115,Einstellungen!$C$4,IF($AJ115=$AK115,1,0)))</f>
        <v/>
      </c>
    </row>
    <row r="116" spans="2:39" s="2" customFormat="1" x14ac:dyDescent="0.2">
      <c r="B116" s="4"/>
      <c r="C116" s="4"/>
      <c r="D116" s="4"/>
      <c r="E116" s="4"/>
      <c r="F116" s="13"/>
      <c r="G116" s="13"/>
      <c r="H116" s="13"/>
      <c r="I116" s="13"/>
      <c r="J116" s="13"/>
      <c r="K116" s="13"/>
      <c r="L116" s="13"/>
      <c r="M116" s="13"/>
      <c r="U116" s="65" t="s">
        <v>74</v>
      </c>
      <c r="V116" s="40" t="str">
        <f ca="1">Planung!$L58</f>
        <v/>
      </c>
      <c r="W116" s="13" t="str">
        <f ca="1">Planung!$N58</f>
        <v/>
      </c>
      <c r="X116" s="13" t="str">
        <f ca="1">IF(AND($AA116=1,Vorrunde!$I64&lt;&gt;"",Vorrunde!$K64&lt;&gt;"",ABS(Vorrunde!$I64-Vorrunde!$K64)&gt;1),Vorrunde!$I64,"")</f>
        <v/>
      </c>
      <c r="Y116" s="35" t="str">
        <f ca="1">IF(AND($AA116=1,Vorrunde!$I64&lt;&gt;"",Vorrunde!$K64&lt;&gt;"",ABS(Vorrunde!$I64-Vorrunde!$K64)&gt;1),Vorrunde!$K64,"")</f>
        <v/>
      </c>
      <c r="Z116" s="34" t="str">
        <f t="shared" ca="1" si="68"/>
        <v/>
      </c>
      <c r="AA116" s="13">
        <f ca="1">IF(AND(V116&lt;&gt;"",W116&lt;&gt;"",V116&lt;&gt;W116,Vorrunde!$R64&lt;&gt;"",Vorrunde!$T64&lt;&gt;""),1,0)</f>
        <v>0</v>
      </c>
      <c r="AB116" s="13" t="str">
        <f ca="1">IF(AA116&gt;0,AH116&amp;Sprache!$E$108&amp;AI116,"")</f>
        <v/>
      </c>
      <c r="AC116" s="35" t="str">
        <f ca="1">IF(AA116&gt;0,AJ116&amp;Sprache!$E$108&amp;AK116,"")</f>
        <v/>
      </c>
      <c r="AD116" s="40" t="str">
        <f ca="1">IF(AND($AA116=1,Vorrunde!$L64&lt;&gt;"",Vorrunde!$N64&lt;&gt;"",ABS(Vorrunde!$L64-Vorrunde!$N64)&gt;1),Vorrunde!$L64,"")</f>
        <v/>
      </c>
      <c r="AE116" s="35" t="str">
        <f ca="1">IF(AND($AA116=1,Vorrunde!$L64&lt;&gt;"",Vorrunde!$N64&lt;&gt;"",ABS(Vorrunde!$L64-Vorrunde!$N64)&gt;1),Vorrunde!$N64,"")</f>
        <v/>
      </c>
      <c r="AF116" s="40" t="str">
        <f ca="1">IF(AND($AA116=1,Vorrunde!$O64&lt;&gt;"",Vorrunde!$Q64&lt;&gt;"",ABS(Vorrunde!$O64-Vorrunde!$Q64)&gt;1),Vorrunde!$O64,"")</f>
        <v/>
      </c>
      <c r="AG116" s="35" t="str">
        <f ca="1">IF(AND($AA116=1,Vorrunde!$O64&lt;&gt;"",Vorrunde!$Q64&lt;&gt;"",ABS(Vorrunde!$O64-Vorrunde!$Q64)&gt;1),Vorrunde!$Q64,"")</f>
        <v/>
      </c>
      <c r="AH116" s="40" t="str">
        <f t="shared" ca="1" si="69"/>
        <v/>
      </c>
      <c r="AI116" s="35" t="str">
        <f t="shared" ca="1" si="70"/>
        <v/>
      </c>
      <c r="AJ116" s="40">
        <f ca="1">IF(Vorrunde!$R64="",0,Vorrunde!$R64)</f>
        <v>0</v>
      </c>
      <c r="AK116" s="35">
        <f ca="1">IF(Vorrunde!$T64="",0,Vorrunde!$T64)</f>
        <v>0</v>
      </c>
      <c r="AL116" s="13" t="str">
        <f ca="1">IF($AA116=0,"",IF($AJ116&gt;$AK116,Einstellungen!$C$4,IF($AJ116=$AK116,1,0)))</f>
        <v/>
      </c>
      <c r="AM116" s="35" t="str">
        <f ca="1">IF($AA116=0,"",IF($AJ116&lt;$AK116,Einstellungen!$C$4,IF($AJ116=$AK116,1,0)))</f>
        <v/>
      </c>
    </row>
    <row r="117" spans="2:39" s="2" customFormat="1" x14ac:dyDescent="0.2">
      <c r="B117" s="4"/>
      <c r="C117" s="4"/>
      <c r="D117" s="4"/>
      <c r="E117" s="4"/>
      <c r="F117" s="13"/>
      <c r="G117" s="13"/>
      <c r="H117" s="13"/>
      <c r="I117" s="13"/>
      <c r="J117" s="13"/>
      <c r="K117" s="13"/>
      <c r="L117" s="13"/>
      <c r="M117" s="13"/>
      <c r="U117" s="65" t="s">
        <v>75</v>
      </c>
      <c r="V117" s="40" t="str">
        <f ca="1">Planung!$L59</f>
        <v/>
      </c>
      <c r="W117" s="13" t="str">
        <f ca="1">Planung!$N59</f>
        <v/>
      </c>
      <c r="X117" s="13" t="str">
        <f ca="1">IF(AND($AA117=1,Vorrunde!$I65&lt;&gt;"",Vorrunde!$K65&lt;&gt;"",ABS(Vorrunde!$I65-Vorrunde!$K65)&gt;1),Vorrunde!$I65,"")</f>
        <v/>
      </c>
      <c r="Y117" s="35" t="str">
        <f ca="1">IF(AND($AA117=1,Vorrunde!$I65&lt;&gt;"",Vorrunde!$K65&lt;&gt;"",ABS(Vorrunde!$I65-Vorrunde!$K65)&gt;1),Vorrunde!$K65,"")</f>
        <v/>
      </c>
      <c r="Z117" s="34" t="str">
        <f t="shared" ca="1" si="68"/>
        <v/>
      </c>
      <c r="AA117" s="13">
        <f ca="1">IF(AND(V117&lt;&gt;"",W117&lt;&gt;"",V117&lt;&gt;W117,Vorrunde!$R65&lt;&gt;"",Vorrunde!$T65&lt;&gt;""),1,0)</f>
        <v>0</v>
      </c>
      <c r="AB117" s="13" t="str">
        <f ca="1">IF(AA117&gt;0,AH117&amp;Sprache!$E$108&amp;AI117,"")</f>
        <v/>
      </c>
      <c r="AC117" s="35" t="str">
        <f ca="1">IF(AA117&gt;0,AJ117&amp;Sprache!$E$108&amp;AK117,"")</f>
        <v/>
      </c>
      <c r="AD117" s="40" t="str">
        <f ca="1">IF(AND($AA117=1,Vorrunde!$L65&lt;&gt;"",Vorrunde!$N65&lt;&gt;"",ABS(Vorrunde!$L65-Vorrunde!$N65)&gt;1),Vorrunde!$L65,"")</f>
        <v/>
      </c>
      <c r="AE117" s="35" t="str">
        <f ca="1">IF(AND($AA117=1,Vorrunde!$L65&lt;&gt;"",Vorrunde!$N65&lt;&gt;"",ABS(Vorrunde!$L65-Vorrunde!$N65)&gt;1),Vorrunde!$N65,"")</f>
        <v/>
      </c>
      <c r="AF117" s="40" t="str">
        <f ca="1">IF(AND($AA117=1,Vorrunde!$O65&lt;&gt;"",Vorrunde!$Q65&lt;&gt;"",ABS(Vorrunde!$O65-Vorrunde!$Q65)&gt;1),Vorrunde!$O65,"")</f>
        <v/>
      </c>
      <c r="AG117" s="35" t="str">
        <f ca="1">IF(AND($AA117=1,Vorrunde!$O65&lt;&gt;"",Vorrunde!$Q65&lt;&gt;"",ABS(Vorrunde!$O65-Vorrunde!$Q65)&gt;1),Vorrunde!$Q65,"")</f>
        <v/>
      </c>
      <c r="AH117" s="40" t="str">
        <f t="shared" ca="1" si="69"/>
        <v/>
      </c>
      <c r="AI117" s="35" t="str">
        <f t="shared" ca="1" si="70"/>
        <v/>
      </c>
      <c r="AJ117" s="40">
        <f ca="1">IF(Vorrunde!$R65="",0,Vorrunde!$R65)</f>
        <v>0</v>
      </c>
      <c r="AK117" s="35">
        <f ca="1">IF(Vorrunde!$T65="",0,Vorrunde!$T65)</f>
        <v>0</v>
      </c>
      <c r="AL117" s="13" t="str">
        <f ca="1">IF($AA117=0,"",IF($AJ117&gt;$AK117,Einstellungen!$C$4,IF($AJ117=$AK117,1,0)))</f>
        <v/>
      </c>
      <c r="AM117" s="35" t="str">
        <f ca="1">IF($AA117=0,"",IF($AJ117&lt;$AK117,Einstellungen!$C$4,IF($AJ117=$AK117,1,0)))</f>
        <v/>
      </c>
    </row>
    <row r="118" spans="2:39" s="2" customFormat="1" x14ac:dyDescent="0.2">
      <c r="B118" s="4"/>
      <c r="C118" s="4"/>
      <c r="D118" s="4"/>
      <c r="E118" s="4"/>
      <c r="F118" s="13"/>
      <c r="G118" s="13"/>
      <c r="H118" s="13"/>
      <c r="I118" s="13"/>
      <c r="J118" s="13"/>
      <c r="K118" s="13"/>
      <c r="L118" s="13"/>
      <c r="M118" s="13"/>
      <c r="U118" s="65" t="s">
        <v>76</v>
      </c>
      <c r="V118" s="40" t="str">
        <f ca="1">Planung!$L60</f>
        <v/>
      </c>
      <c r="W118" s="13" t="str">
        <f ca="1">Planung!$N60</f>
        <v/>
      </c>
      <c r="X118" s="13" t="str">
        <f ca="1">IF(AND($AA118=1,Vorrunde!$I66&lt;&gt;"",Vorrunde!$K66&lt;&gt;"",ABS(Vorrunde!$I66-Vorrunde!$K66)&gt;1),Vorrunde!$I66,"")</f>
        <v/>
      </c>
      <c r="Y118" s="35" t="str">
        <f ca="1">IF(AND($AA118=1,Vorrunde!$I66&lt;&gt;"",Vorrunde!$K66&lt;&gt;"",ABS(Vorrunde!$I66-Vorrunde!$K66)&gt;1),Vorrunde!$K66,"")</f>
        <v/>
      </c>
      <c r="Z118" s="34" t="str">
        <f t="shared" ca="1" si="68"/>
        <v/>
      </c>
      <c r="AA118" s="13">
        <f ca="1">IF(AND(V118&lt;&gt;"",W118&lt;&gt;"",V118&lt;&gt;W118,Vorrunde!$R66&lt;&gt;"",Vorrunde!$T66&lt;&gt;""),1,0)</f>
        <v>0</v>
      </c>
      <c r="AB118" s="13" t="str">
        <f ca="1">IF(AA118&gt;0,AH118&amp;Sprache!$E$108&amp;AI118,"")</f>
        <v/>
      </c>
      <c r="AC118" s="35" t="str">
        <f ca="1">IF(AA118&gt;0,AJ118&amp;Sprache!$E$108&amp;AK118,"")</f>
        <v/>
      </c>
      <c r="AD118" s="40" t="str">
        <f ca="1">IF(AND($AA118=1,Vorrunde!$L66&lt;&gt;"",Vorrunde!$N66&lt;&gt;"",ABS(Vorrunde!$L66-Vorrunde!$N66)&gt;1),Vorrunde!$L66,"")</f>
        <v/>
      </c>
      <c r="AE118" s="35" t="str">
        <f ca="1">IF(AND($AA118=1,Vorrunde!$L66&lt;&gt;"",Vorrunde!$N66&lt;&gt;"",ABS(Vorrunde!$L66-Vorrunde!$N66)&gt;1),Vorrunde!$N66,"")</f>
        <v/>
      </c>
      <c r="AF118" s="40" t="str">
        <f ca="1">IF(AND($AA118=1,Vorrunde!$O66&lt;&gt;"",Vorrunde!$Q66&lt;&gt;"",ABS(Vorrunde!$O66-Vorrunde!$Q66)&gt;1),Vorrunde!$O66,"")</f>
        <v/>
      </c>
      <c r="AG118" s="35" t="str">
        <f ca="1">IF(AND($AA118=1,Vorrunde!$O66&lt;&gt;"",Vorrunde!$Q66&lt;&gt;"",ABS(Vorrunde!$O66-Vorrunde!$Q66)&gt;1),Vorrunde!$Q66,"")</f>
        <v/>
      </c>
      <c r="AH118" s="40" t="str">
        <f t="shared" ca="1" si="69"/>
        <v/>
      </c>
      <c r="AI118" s="35" t="str">
        <f t="shared" ca="1" si="70"/>
        <v/>
      </c>
      <c r="AJ118" s="40">
        <f ca="1">IF(Vorrunde!$R66="",0,Vorrunde!$R66)</f>
        <v>0</v>
      </c>
      <c r="AK118" s="35">
        <f ca="1">IF(Vorrunde!$T66="",0,Vorrunde!$T66)</f>
        <v>0</v>
      </c>
      <c r="AL118" s="13" t="str">
        <f ca="1">IF($AA118=0,"",IF($AJ118&gt;$AK118,Einstellungen!$C$4,IF($AJ118=$AK118,1,0)))</f>
        <v/>
      </c>
      <c r="AM118" s="35" t="str">
        <f ca="1">IF($AA118=0,"",IF($AJ118&lt;$AK118,Einstellungen!$C$4,IF($AJ118=$AK118,1,0)))</f>
        <v/>
      </c>
    </row>
    <row r="119" spans="2:39" s="2" customFormat="1" x14ac:dyDescent="0.2">
      <c r="B119" s="4"/>
      <c r="C119" s="4"/>
      <c r="D119" s="4"/>
      <c r="E119" s="4"/>
      <c r="F119" s="13"/>
      <c r="G119" s="13"/>
      <c r="H119" s="13"/>
      <c r="I119" s="13"/>
      <c r="J119" s="13"/>
      <c r="K119" s="13"/>
      <c r="L119" s="13"/>
      <c r="M119" s="13"/>
      <c r="U119" s="65" t="s">
        <v>77</v>
      </c>
      <c r="V119" s="40" t="str">
        <f ca="1">Planung!$L61</f>
        <v/>
      </c>
      <c r="W119" s="13" t="str">
        <f ca="1">Planung!$N61</f>
        <v/>
      </c>
      <c r="X119" s="13" t="str">
        <f ca="1">IF(AND($AA119=1,Vorrunde!$I67&lt;&gt;"",Vorrunde!$K67&lt;&gt;"",ABS(Vorrunde!$I67-Vorrunde!$K67)&gt;1),Vorrunde!$I67,"")</f>
        <v/>
      </c>
      <c r="Y119" s="35" t="str">
        <f ca="1">IF(AND($AA119=1,Vorrunde!$I67&lt;&gt;"",Vorrunde!$K67&lt;&gt;"",ABS(Vorrunde!$I67-Vorrunde!$K67)&gt;1),Vorrunde!$K67,"")</f>
        <v/>
      </c>
      <c r="Z119" s="34" t="str">
        <f t="shared" ca="1" si="68"/>
        <v/>
      </c>
      <c r="AA119" s="13">
        <f ca="1">IF(AND(V119&lt;&gt;"",W119&lt;&gt;"",V119&lt;&gt;W119,Vorrunde!$R67&lt;&gt;"",Vorrunde!$T67&lt;&gt;""),1,0)</f>
        <v>0</v>
      </c>
      <c r="AB119" s="13" t="str">
        <f ca="1">IF(AA119&gt;0,AH119&amp;Sprache!$E$108&amp;AI119,"")</f>
        <v/>
      </c>
      <c r="AC119" s="35" t="str">
        <f ca="1">IF(AA119&gt;0,AJ119&amp;Sprache!$E$108&amp;AK119,"")</f>
        <v/>
      </c>
      <c r="AD119" s="40" t="str">
        <f ca="1">IF(AND($AA119=1,Vorrunde!$L67&lt;&gt;"",Vorrunde!$N67&lt;&gt;"",ABS(Vorrunde!$L67-Vorrunde!$N67)&gt;1),Vorrunde!$L67,"")</f>
        <v/>
      </c>
      <c r="AE119" s="35" t="str">
        <f ca="1">IF(AND($AA119=1,Vorrunde!$L67&lt;&gt;"",Vorrunde!$N67&lt;&gt;"",ABS(Vorrunde!$L67-Vorrunde!$N67)&gt;1),Vorrunde!$N67,"")</f>
        <v/>
      </c>
      <c r="AF119" s="40" t="str">
        <f ca="1">IF(AND($AA119=1,Vorrunde!$O67&lt;&gt;"",Vorrunde!$Q67&lt;&gt;"",ABS(Vorrunde!$O67-Vorrunde!$Q67)&gt;1),Vorrunde!$O67,"")</f>
        <v/>
      </c>
      <c r="AG119" s="35" t="str">
        <f ca="1">IF(AND($AA119=1,Vorrunde!$O67&lt;&gt;"",Vorrunde!$Q67&lt;&gt;"",ABS(Vorrunde!$O67-Vorrunde!$Q67)&gt;1),Vorrunde!$Q67,"")</f>
        <v/>
      </c>
      <c r="AH119" s="40" t="str">
        <f t="shared" ca="1" si="69"/>
        <v/>
      </c>
      <c r="AI119" s="35" t="str">
        <f t="shared" ca="1" si="70"/>
        <v/>
      </c>
      <c r="AJ119" s="40">
        <f ca="1">IF(Vorrunde!$R67="",0,Vorrunde!$R67)</f>
        <v>0</v>
      </c>
      <c r="AK119" s="35">
        <f ca="1">IF(Vorrunde!$T67="",0,Vorrunde!$T67)</f>
        <v>0</v>
      </c>
      <c r="AL119" s="13" t="str">
        <f ca="1">IF($AA119=0,"",IF($AJ119&gt;$AK119,Einstellungen!$C$4,IF($AJ119=$AK119,1,0)))</f>
        <v/>
      </c>
      <c r="AM119" s="35" t="str">
        <f ca="1">IF($AA119=0,"",IF($AJ119&lt;$AK119,Einstellungen!$C$4,IF($AJ119=$AK119,1,0)))</f>
        <v/>
      </c>
    </row>
    <row r="120" spans="2:39" s="2" customFormat="1" x14ac:dyDescent="0.2">
      <c r="B120" s="4"/>
      <c r="C120" s="4"/>
      <c r="D120" s="4"/>
      <c r="E120" s="4"/>
      <c r="F120" s="13"/>
      <c r="G120" s="13"/>
      <c r="H120" s="13"/>
      <c r="I120" s="13"/>
      <c r="J120" s="13"/>
      <c r="K120" s="13"/>
      <c r="L120" s="13"/>
      <c r="M120" s="13"/>
      <c r="U120" s="65" t="s">
        <v>78</v>
      </c>
      <c r="V120" s="40" t="str">
        <f ca="1">Planung!$L62</f>
        <v/>
      </c>
      <c r="W120" s="13" t="str">
        <f ca="1">Planung!$N62</f>
        <v/>
      </c>
      <c r="X120" s="13" t="str">
        <f ca="1">IF(AND($AA120=1,Vorrunde!$I68&lt;&gt;"",Vorrunde!$K68&lt;&gt;"",ABS(Vorrunde!$I68-Vorrunde!$K68)&gt;1),Vorrunde!$I68,"")</f>
        <v/>
      </c>
      <c r="Y120" s="35" t="str">
        <f ca="1">IF(AND($AA120=1,Vorrunde!$I68&lt;&gt;"",Vorrunde!$K68&lt;&gt;"",ABS(Vorrunde!$I68-Vorrunde!$K68)&gt;1),Vorrunde!$K68,"")</f>
        <v/>
      </c>
      <c r="Z120" s="34" t="str">
        <f t="shared" ca="1" si="68"/>
        <v/>
      </c>
      <c r="AA120" s="13">
        <f ca="1">IF(AND(V120&lt;&gt;"",W120&lt;&gt;"",V120&lt;&gt;W120,Vorrunde!$R68&lt;&gt;"",Vorrunde!$T68&lt;&gt;""),1,0)</f>
        <v>0</v>
      </c>
      <c r="AB120" s="13" t="str">
        <f ca="1">IF(AA120&gt;0,AH120&amp;Sprache!$E$108&amp;AI120,"")</f>
        <v/>
      </c>
      <c r="AC120" s="35" t="str">
        <f ca="1">IF(AA120&gt;0,AJ120&amp;Sprache!$E$108&amp;AK120,"")</f>
        <v/>
      </c>
      <c r="AD120" s="40" t="str">
        <f ca="1">IF(AND($AA120=1,Vorrunde!$L68&lt;&gt;"",Vorrunde!$N68&lt;&gt;"",ABS(Vorrunde!$L68-Vorrunde!$N68)&gt;1),Vorrunde!$L68,"")</f>
        <v/>
      </c>
      <c r="AE120" s="35" t="str">
        <f ca="1">IF(AND($AA120=1,Vorrunde!$L68&lt;&gt;"",Vorrunde!$N68&lt;&gt;"",ABS(Vorrunde!$L68-Vorrunde!$N68)&gt;1),Vorrunde!$N68,"")</f>
        <v/>
      </c>
      <c r="AF120" s="40" t="str">
        <f ca="1">IF(AND($AA120=1,Vorrunde!$O68&lt;&gt;"",Vorrunde!$Q68&lt;&gt;"",ABS(Vorrunde!$O68-Vorrunde!$Q68)&gt;1),Vorrunde!$O68,"")</f>
        <v/>
      </c>
      <c r="AG120" s="35" t="str">
        <f ca="1">IF(AND($AA120=1,Vorrunde!$O68&lt;&gt;"",Vorrunde!$Q68&lt;&gt;"",ABS(Vorrunde!$O68-Vorrunde!$Q68)&gt;1),Vorrunde!$Q68,"")</f>
        <v/>
      </c>
      <c r="AH120" s="40" t="str">
        <f t="shared" ca="1" si="69"/>
        <v/>
      </c>
      <c r="AI120" s="35" t="str">
        <f t="shared" ca="1" si="70"/>
        <v/>
      </c>
      <c r="AJ120" s="40">
        <f ca="1">IF(Vorrunde!$R68="",0,Vorrunde!$R68)</f>
        <v>0</v>
      </c>
      <c r="AK120" s="35">
        <f ca="1">IF(Vorrunde!$T68="",0,Vorrunde!$T68)</f>
        <v>0</v>
      </c>
      <c r="AL120" s="13" t="str">
        <f ca="1">IF($AA120=0,"",IF($AJ120&gt;$AK120,Einstellungen!$C$4,IF($AJ120=$AK120,1,0)))</f>
        <v/>
      </c>
      <c r="AM120" s="35" t="str">
        <f ca="1">IF($AA120=0,"",IF($AJ120&lt;$AK120,Einstellungen!$C$4,IF($AJ120=$AK120,1,0)))</f>
        <v/>
      </c>
    </row>
    <row r="121" spans="2:39" s="2" customFormat="1" x14ac:dyDescent="0.2">
      <c r="B121" s="4"/>
      <c r="C121" s="4"/>
      <c r="D121" s="4"/>
      <c r="E121" s="4"/>
      <c r="F121" s="13"/>
      <c r="G121" s="13"/>
      <c r="H121" s="13"/>
      <c r="I121" s="13"/>
      <c r="J121" s="13"/>
      <c r="K121" s="13"/>
      <c r="L121" s="13"/>
      <c r="M121" s="13"/>
      <c r="U121" s="65" t="s">
        <v>79</v>
      </c>
      <c r="V121" s="40" t="str">
        <f ca="1">Planung!$L63</f>
        <v/>
      </c>
      <c r="W121" s="13" t="str">
        <f ca="1">Planung!$N63</f>
        <v/>
      </c>
      <c r="X121" s="13" t="str">
        <f ca="1">IF(AND($AA121=1,Vorrunde!$I69&lt;&gt;"",Vorrunde!$K69&lt;&gt;"",ABS(Vorrunde!$I69-Vorrunde!$K69)&gt;1),Vorrunde!$I69,"")</f>
        <v/>
      </c>
      <c r="Y121" s="35" t="str">
        <f ca="1">IF(AND($AA121=1,Vorrunde!$I69&lt;&gt;"",Vorrunde!$K69&lt;&gt;"",ABS(Vorrunde!$I69-Vorrunde!$K69)&gt;1),Vorrunde!$K69,"")</f>
        <v/>
      </c>
      <c r="Z121" s="34" t="str">
        <f t="shared" ca="1" si="68"/>
        <v/>
      </c>
      <c r="AA121" s="13">
        <f ca="1">IF(AND(V121&lt;&gt;"",W121&lt;&gt;"",V121&lt;&gt;W121,Vorrunde!$R69&lt;&gt;"",Vorrunde!$T69&lt;&gt;""),1,0)</f>
        <v>0</v>
      </c>
      <c r="AB121" s="13" t="str">
        <f ca="1">IF(AA121&gt;0,AH121&amp;Sprache!$E$108&amp;AI121,"")</f>
        <v/>
      </c>
      <c r="AC121" s="35" t="str">
        <f ca="1">IF(AA121&gt;0,AJ121&amp;Sprache!$E$108&amp;AK121,"")</f>
        <v/>
      </c>
      <c r="AD121" s="40" t="str">
        <f ca="1">IF(AND($AA121=1,Vorrunde!$L69&lt;&gt;"",Vorrunde!$N69&lt;&gt;"",ABS(Vorrunde!$L69-Vorrunde!$N69)&gt;1),Vorrunde!$L69,"")</f>
        <v/>
      </c>
      <c r="AE121" s="35" t="str">
        <f ca="1">IF(AND($AA121=1,Vorrunde!$L69&lt;&gt;"",Vorrunde!$N69&lt;&gt;"",ABS(Vorrunde!$L69-Vorrunde!$N69)&gt;1),Vorrunde!$N69,"")</f>
        <v/>
      </c>
      <c r="AF121" s="40" t="str">
        <f ca="1">IF(AND($AA121=1,Vorrunde!$O69&lt;&gt;"",Vorrunde!$Q69&lt;&gt;"",ABS(Vorrunde!$O69-Vorrunde!$Q69)&gt;1),Vorrunde!$O69,"")</f>
        <v/>
      </c>
      <c r="AG121" s="35" t="str">
        <f ca="1">IF(AND($AA121=1,Vorrunde!$O69&lt;&gt;"",Vorrunde!$Q69&lt;&gt;"",ABS(Vorrunde!$O69-Vorrunde!$Q69)&gt;1),Vorrunde!$Q69,"")</f>
        <v/>
      </c>
      <c r="AH121" s="40" t="str">
        <f t="shared" ca="1" si="69"/>
        <v/>
      </c>
      <c r="AI121" s="35" t="str">
        <f t="shared" ca="1" si="70"/>
        <v/>
      </c>
      <c r="AJ121" s="40">
        <f ca="1">IF(Vorrunde!$R69="",0,Vorrunde!$R69)</f>
        <v>0</v>
      </c>
      <c r="AK121" s="35">
        <f ca="1">IF(Vorrunde!$T69="",0,Vorrunde!$T69)</f>
        <v>0</v>
      </c>
      <c r="AL121" s="13" t="str">
        <f ca="1">IF($AA121=0,"",IF($AJ121&gt;$AK121,Einstellungen!$C$4,IF($AJ121=$AK121,1,0)))</f>
        <v/>
      </c>
      <c r="AM121" s="35" t="str">
        <f ca="1">IF($AA121=0,"",IF($AJ121&lt;$AK121,Einstellungen!$C$4,IF($AJ121=$AK121,1,0)))</f>
        <v/>
      </c>
    </row>
    <row r="122" spans="2:39" s="2" customFormat="1" x14ac:dyDescent="0.2">
      <c r="B122" s="4"/>
      <c r="C122" s="4"/>
      <c r="D122" s="4"/>
      <c r="E122" s="4"/>
      <c r="F122" s="13"/>
      <c r="G122" s="13"/>
      <c r="H122" s="13"/>
      <c r="I122" s="13"/>
      <c r="J122" s="13"/>
      <c r="K122" s="13"/>
      <c r="L122" s="13"/>
      <c r="M122" s="13"/>
      <c r="U122" s="65" t="s">
        <v>80</v>
      </c>
      <c r="V122" s="40" t="str">
        <f ca="1">Planung!$L64</f>
        <v/>
      </c>
      <c r="W122" s="13" t="str">
        <f ca="1">Planung!$N64</f>
        <v/>
      </c>
      <c r="X122" s="13" t="str">
        <f ca="1">IF(AND($AA122=1,Vorrunde!$I70&lt;&gt;"",Vorrunde!$K70&lt;&gt;"",ABS(Vorrunde!$I70-Vorrunde!$K70)&gt;1),Vorrunde!$I70,"")</f>
        <v/>
      </c>
      <c r="Y122" s="35" t="str">
        <f ca="1">IF(AND($AA122=1,Vorrunde!$I70&lt;&gt;"",Vorrunde!$K70&lt;&gt;"",ABS(Vorrunde!$I70-Vorrunde!$K70)&gt;1),Vorrunde!$K70,"")</f>
        <v/>
      </c>
      <c r="Z122" s="34" t="str">
        <f t="shared" ca="1" si="68"/>
        <v/>
      </c>
      <c r="AA122" s="13">
        <f ca="1">IF(AND(V122&lt;&gt;"",W122&lt;&gt;"",V122&lt;&gt;W122,Vorrunde!$R70&lt;&gt;"",Vorrunde!$T70&lt;&gt;""),1,0)</f>
        <v>0</v>
      </c>
      <c r="AB122" s="13" t="str">
        <f ca="1">IF(AA122&gt;0,AH122&amp;Sprache!$E$108&amp;AI122,"")</f>
        <v/>
      </c>
      <c r="AC122" s="35" t="str">
        <f ca="1">IF(AA122&gt;0,AJ122&amp;Sprache!$E$108&amp;AK122,"")</f>
        <v/>
      </c>
      <c r="AD122" s="40" t="str">
        <f ca="1">IF(AND($AA122=1,Vorrunde!$L70&lt;&gt;"",Vorrunde!$N70&lt;&gt;"",ABS(Vorrunde!$L70-Vorrunde!$N70)&gt;1),Vorrunde!$L70,"")</f>
        <v/>
      </c>
      <c r="AE122" s="35" t="str">
        <f ca="1">IF(AND($AA122=1,Vorrunde!$L70&lt;&gt;"",Vorrunde!$N70&lt;&gt;"",ABS(Vorrunde!$L70-Vorrunde!$N70)&gt;1),Vorrunde!$N70,"")</f>
        <v/>
      </c>
      <c r="AF122" s="40" t="str">
        <f ca="1">IF(AND($AA122=1,Vorrunde!$O70&lt;&gt;"",Vorrunde!$Q70&lt;&gt;"",ABS(Vorrunde!$O70-Vorrunde!$Q70)&gt;1),Vorrunde!$O70,"")</f>
        <v/>
      </c>
      <c r="AG122" s="35" t="str">
        <f ca="1">IF(AND($AA122=1,Vorrunde!$O70&lt;&gt;"",Vorrunde!$Q70&lt;&gt;"",ABS(Vorrunde!$O70-Vorrunde!$Q70)&gt;1),Vorrunde!$Q70,"")</f>
        <v/>
      </c>
      <c r="AH122" s="40" t="str">
        <f t="shared" ca="1" si="69"/>
        <v/>
      </c>
      <c r="AI122" s="35" t="str">
        <f t="shared" ca="1" si="70"/>
        <v/>
      </c>
      <c r="AJ122" s="40">
        <f ca="1">IF(Vorrunde!$R70="",0,Vorrunde!$R70)</f>
        <v>0</v>
      </c>
      <c r="AK122" s="35">
        <f ca="1">IF(Vorrunde!$T70="",0,Vorrunde!$T70)</f>
        <v>0</v>
      </c>
      <c r="AL122" s="13" t="str">
        <f ca="1">IF($AA122=0,"",IF($AJ122&gt;$AK122,Einstellungen!$C$4,IF($AJ122=$AK122,1,0)))</f>
        <v/>
      </c>
      <c r="AM122" s="35" t="str">
        <f ca="1">IF($AA122=0,"",IF($AJ122&lt;$AK122,Einstellungen!$C$4,IF($AJ122=$AK122,1,0)))</f>
        <v/>
      </c>
    </row>
    <row r="123" spans="2:39" s="2" customFormat="1" x14ac:dyDescent="0.2">
      <c r="B123" s="4"/>
      <c r="C123" s="4"/>
      <c r="D123" s="4"/>
      <c r="E123" s="4"/>
      <c r="F123" s="13"/>
      <c r="G123" s="13"/>
      <c r="H123" s="13"/>
      <c r="I123" s="13"/>
      <c r="J123" s="13"/>
      <c r="K123" s="13"/>
      <c r="L123" s="13"/>
      <c r="M123" s="13"/>
      <c r="U123" s="65" t="s">
        <v>81</v>
      </c>
      <c r="V123" s="40" t="str">
        <f ca="1">Planung!$L65</f>
        <v/>
      </c>
      <c r="W123" s="13" t="str">
        <f ca="1">Planung!$N65</f>
        <v/>
      </c>
      <c r="X123" s="13" t="str">
        <f ca="1">IF(AND($AA123=1,Vorrunde!$I71&lt;&gt;"",Vorrunde!$K71&lt;&gt;"",ABS(Vorrunde!$I71-Vorrunde!$K71)&gt;1),Vorrunde!$I71,"")</f>
        <v/>
      </c>
      <c r="Y123" s="35" t="str">
        <f ca="1">IF(AND($AA123=1,Vorrunde!$I71&lt;&gt;"",Vorrunde!$K71&lt;&gt;"",ABS(Vorrunde!$I71-Vorrunde!$K71)&gt;1),Vorrunde!$K71,"")</f>
        <v/>
      </c>
      <c r="Z123" s="34" t="str">
        <f t="shared" ca="1" si="68"/>
        <v/>
      </c>
      <c r="AA123" s="13">
        <f ca="1">IF(AND(V123&lt;&gt;"",W123&lt;&gt;"",V123&lt;&gt;W123,Vorrunde!$R71&lt;&gt;"",Vorrunde!$T71&lt;&gt;""),1,0)</f>
        <v>0</v>
      </c>
      <c r="AB123" s="13" t="str">
        <f ca="1">IF(AA123&gt;0,AH123&amp;Sprache!$E$108&amp;AI123,"")</f>
        <v/>
      </c>
      <c r="AC123" s="35" t="str">
        <f ca="1">IF(AA123&gt;0,AJ123&amp;Sprache!$E$108&amp;AK123,"")</f>
        <v/>
      </c>
      <c r="AD123" s="40" t="str">
        <f ca="1">IF(AND($AA123=1,Vorrunde!$L71&lt;&gt;"",Vorrunde!$N71&lt;&gt;"",ABS(Vorrunde!$L71-Vorrunde!$N71)&gt;1),Vorrunde!$L71,"")</f>
        <v/>
      </c>
      <c r="AE123" s="35" t="str">
        <f ca="1">IF(AND($AA123=1,Vorrunde!$L71&lt;&gt;"",Vorrunde!$N71&lt;&gt;"",ABS(Vorrunde!$L71-Vorrunde!$N71)&gt;1),Vorrunde!$N71,"")</f>
        <v/>
      </c>
      <c r="AF123" s="40" t="str">
        <f ca="1">IF(AND($AA123=1,Vorrunde!$O71&lt;&gt;"",Vorrunde!$Q71&lt;&gt;"",ABS(Vorrunde!$O71-Vorrunde!$Q71)&gt;1),Vorrunde!$O71,"")</f>
        <v/>
      </c>
      <c r="AG123" s="35" t="str">
        <f ca="1">IF(AND($AA123=1,Vorrunde!$O71&lt;&gt;"",Vorrunde!$Q71&lt;&gt;"",ABS(Vorrunde!$O71-Vorrunde!$Q71)&gt;1),Vorrunde!$Q71,"")</f>
        <v/>
      </c>
      <c r="AH123" s="40" t="str">
        <f t="shared" ca="1" si="69"/>
        <v/>
      </c>
      <c r="AI123" s="35" t="str">
        <f t="shared" ca="1" si="70"/>
        <v/>
      </c>
      <c r="AJ123" s="40">
        <f ca="1">IF(Vorrunde!$R71="",0,Vorrunde!$R71)</f>
        <v>0</v>
      </c>
      <c r="AK123" s="35">
        <f ca="1">IF(Vorrunde!$T71="",0,Vorrunde!$T71)</f>
        <v>0</v>
      </c>
      <c r="AL123" s="13" t="str">
        <f ca="1">IF($AA123=0,"",IF($AJ123&gt;$AK123,Einstellungen!$C$4,IF($AJ123=$AK123,1,0)))</f>
        <v/>
      </c>
      <c r="AM123" s="35" t="str">
        <f ca="1">IF($AA123=0,"",IF($AJ123&lt;$AK123,Einstellungen!$C$4,IF($AJ123=$AK123,1,0)))</f>
        <v/>
      </c>
    </row>
    <row r="124" spans="2:39" s="2" customFormat="1" x14ac:dyDescent="0.2">
      <c r="B124" s="4"/>
      <c r="C124" s="4"/>
      <c r="D124" s="4"/>
      <c r="E124" s="4"/>
      <c r="F124" s="13"/>
      <c r="G124" s="13"/>
      <c r="H124" s="13"/>
      <c r="I124" s="13"/>
      <c r="J124" s="13"/>
      <c r="K124" s="13"/>
      <c r="L124" s="13"/>
      <c r="M124" s="13"/>
      <c r="U124" s="65" t="s">
        <v>82</v>
      </c>
      <c r="V124" s="40" t="str">
        <f ca="1">Planung!$L66</f>
        <v/>
      </c>
      <c r="W124" s="13" t="str">
        <f ca="1">Planung!$N66</f>
        <v/>
      </c>
      <c r="X124" s="13" t="str">
        <f ca="1">IF(AND($AA124=1,Vorrunde!$I72&lt;&gt;"",Vorrunde!$K72&lt;&gt;"",ABS(Vorrunde!$I72-Vorrunde!$K72)&gt;1),Vorrunde!$I72,"")</f>
        <v/>
      </c>
      <c r="Y124" s="35" t="str">
        <f ca="1">IF(AND($AA124=1,Vorrunde!$I72&lt;&gt;"",Vorrunde!$K72&lt;&gt;"",ABS(Vorrunde!$I72-Vorrunde!$K72)&gt;1),Vorrunde!$K72,"")</f>
        <v/>
      </c>
      <c r="Z124" s="34" t="str">
        <f t="shared" ca="1" si="68"/>
        <v/>
      </c>
      <c r="AA124" s="13">
        <f ca="1">IF(AND(V124&lt;&gt;"",W124&lt;&gt;"",V124&lt;&gt;W124,Vorrunde!$R72&lt;&gt;"",Vorrunde!$T72&lt;&gt;""),1,0)</f>
        <v>0</v>
      </c>
      <c r="AB124" s="13" t="str">
        <f ca="1">IF(AA124&gt;0,AH124&amp;Sprache!$E$108&amp;AI124,"")</f>
        <v/>
      </c>
      <c r="AC124" s="35" t="str">
        <f ca="1">IF(AA124&gt;0,AJ124&amp;Sprache!$E$108&amp;AK124,"")</f>
        <v/>
      </c>
      <c r="AD124" s="40" t="str">
        <f ca="1">IF(AND($AA124=1,Vorrunde!$L72&lt;&gt;"",Vorrunde!$N72&lt;&gt;"",ABS(Vorrunde!$L72-Vorrunde!$N72)&gt;1),Vorrunde!$L72,"")</f>
        <v/>
      </c>
      <c r="AE124" s="35" t="str">
        <f ca="1">IF(AND($AA124=1,Vorrunde!$L72&lt;&gt;"",Vorrunde!$N72&lt;&gt;"",ABS(Vorrunde!$L72-Vorrunde!$N72)&gt;1),Vorrunde!$N72,"")</f>
        <v/>
      </c>
      <c r="AF124" s="40" t="str">
        <f ca="1">IF(AND($AA124=1,Vorrunde!$O72&lt;&gt;"",Vorrunde!$Q72&lt;&gt;"",ABS(Vorrunde!$O72-Vorrunde!$Q72)&gt;1),Vorrunde!$O72,"")</f>
        <v/>
      </c>
      <c r="AG124" s="35" t="str">
        <f ca="1">IF(AND($AA124=1,Vorrunde!$O72&lt;&gt;"",Vorrunde!$Q72&lt;&gt;"",ABS(Vorrunde!$O72-Vorrunde!$Q72)&gt;1),Vorrunde!$Q72,"")</f>
        <v/>
      </c>
      <c r="AH124" s="40" t="str">
        <f t="shared" ca="1" si="69"/>
        <v/>
      </c>
      <c r="AI124" s="35" t="str">
        <f t="shared" ca="1" si="70"/>
        <v/>
      </c>
      <c r="AJ124" s="40">
        <f ca="1">IF(Vorrunde!$R72="",0,Vorrunde!$R72)</f>
        <v>0</v>
      </c>
      <c r="AK124" s="35">
        <f ca="1">IF(Vorrunde!$T72="",0,Vorrunde!$T72)</f>
        <v>0</v>
      </c>
      <c r="AL124" s="13" t="str">
        <f ca="1">IF($AA124=0,"",IF($AJ124&gt;$AK124,Einstellungen!$C$4,IF($AJ124=$AK124,1,0)))</f>
        <v/>
      </c>
      <c r="AM124" s="35" t="str">
        <f ca="1">IF($AA124=0,"",IF($AJ124&lt;$AK124,Einstellungen!$C$4,IF($AJ124=$AK124,1,0)))</f>
        <v/>
      </c>
    </row>
    <row r="125" spans="2:39" s="2" customFormat="1" x14ac:dyDescent="0.2">
      <c r="B125" s="4"/>
      <c r="C125" s="4"/>
      <c r="D125" s="4"/>
      <c r="E125" s="4"/>
      <c r="F125" s="13"/>
      <c r="G125" s="13"/>
      <c r="H125" s="13"/>
      <c r="I125" s="13"/>
      <c r="J125" s="13"/>
      <c r="K125" s="13"/>
      <c r="L125" s="13"/>
      <c r="M125" s="13"/>
      <c r="U125" s="65" t="s">
        <v>83</v>
      </c>
      <c r="V125" s="40" t="str">
        <f ca="1">Planung!$L67</f>
        <v/>
      </c>
      <c r="W125" s="13" t="str">
        <f ca="1">Planung!$N67</f>
        <v/>
      </c>
      <c r="X125" s="13" t="str">
        <f ca="1">IF(AND($AA125=1,Vorrunde!$I73&lt;&gt;"",Vorrunde!$K73&lt;&gt;"",ABS(Vorrunde!$I73-Vorrunde!$K73)&gt;1),Vorrunde!$I73,"")</f>
        <v/>
      </c>
      <c r="Y125" s="35" t="str">
        <f ca="1">IF(AND($AA125=1,Vorrunde!$I73&lt;&gt;"",Vorrunde!$K73&lt;&gt;"",ABS(Vorrunde!$I73-Vorrunde!$K73)&gt;1),Vorrunde!$K73,"")</f>
        <v/>
      </c>
      <c r="Z125" s="34" t="str">
        <f t="shared" ca="1" si="68"/>
        <v/>
      </c>
      <c r="AA125" s="13">
        <f ca="1">IF(AND(V125&lt;&gt;"",W125&lt;&gt;"",V125&lt;&gt;W125,Vorrunde!$R73&lt;&gt;"",Vorrunde!$T73&lt;&gt;""),1,0)</f>
        <v>0</v>
      </c>
      <c r="AB125" s="13" t="str">
        <f ca="1">IF(AA125&gt;0,AH125&amp;Sprache!$E$108&amp;AI125,"")</f>
        <v/>
      </c>
      <c r="AC125" s="35" t="str">
        <f ca="1">IF(AA125&gt;0,AJ125&amp;Sprache!$E$108&amp;AK125,"")</f>
        <v/>
      </c>
      <c r="AD125" s="40" t="str">
        <f ca="1">IF(AND($AA125=1,Vorrunde!$L73&lt;&gt;"",Vorrunde!$N73&lt;&gt;"",ABS(Vorrunde!$L73-Vorrunde!$N73)&gt;1),Vorrunde!$L73,"")</f>
        <v/>
      </c>
      <c r="AE125" s="35" t="str">
        <f ca="1">IF(AND($AA125=1,Vorrunde!$L73&lt;&gt;"",Vorrunde!$N73&lt;&gt;"",ABS(Vorrunde!$L73-Vorrunde!$N73)&gt;1),Vorrunde!$N73,"")</f>
        <v/>
      </c>
      <c r="AF125" s="40" t="str">
        <f ca="1">IF(AND($AA125=1,Vorrunde!$O73&lt;&gt;"",Vorrunde!$Q73&lt;&gt;"",ABS(Vorrunde!$O73-Vorrunde!$Q73)&gt;1),Vorrunde!$O73,"")</f>
        <v/>
      </c>
      <c r="AG125" s="35" t="str">
        <f ca="1">IF(AND($AA125=1,Vorrunde!$O73&lt;&gt;"",Vorrunde!$Q73&lt;&gt;"",ABS(Vorrunde!$O73-Vorrunde!$Q73)&gt;1),Vorrunde!$Q73,"")</f>
        <v/>
      </c>
      <c r="AH125" s="40" t="str">
        <f t="shared" ca="1" si="69"/>
        <v/>
      </c>
      <c r="AI125" s="35" t="str">
        <f t="shared" ca="1" si="70"/>
        <v/>
      </c>
      <c r="AJ125" s="40">
        <f ca="1">IF(Vorrunde!$R73="",0,Vorrunde!$R73)</f>
        <v>0</v>
      </c>
      <c r="AK125" s="35">
        <f ca="1">IF(Vorrunde!$T73="",0,Vorrunde!$T73)</f>
        <v>0</v>
      </c>
      <c r="AL125" s="13" t="str">
        <f ca="1">IF($AA125=0,"",IF($AJ125&gt;$AK125,Einstellungen!$C$4,IF($AJ125=$AK125,1,0)))</f>
        <v/>
      </c>
      <c r="AM125" s="35" t="str">
        <f ca="1">IF($AA125=0,"",IF($AJ125&lt;$AK125,Einstellungen!$C$4,IF($AJ125=$AK125,1,0)))</f>
        <v/>
      </c>
    </row>
    <row r="126" spans="2:39" s="2" customFormat="1" x14ac:dyDescent="0.2">
      <c r="B126" s="4"/>
      <c r="C126" s="4"/>
      <c r="D126" s="4"/>
      <c r="E126" s="4"/>
      <c r="F126" s="13"/>
      <c r="G126" s="13"/>
      <c r="H126" s="13"/>
      <c r="I126" s="13"/>
      <c r="J126" s="13"/>
      <c r="K126" s="13"/>
      <c r="L126" s="13"/>
      <c r="M126" s="13"/>
      <c r="U126" s="65" t="s">
        <v>84</v>
      </c>
      <c r="V126" s="40" t="str">
        <f ca="1">Planung!$L68</f>
        <v/>
      </c>
      <c r="W126" s="13" t="str">
        <f ca="1">Planung!$N68</f>
        <v/>
      </c>
      <c r="X126" s="13" t="str">
        <f ca="1">IF(AND($AA126=1,Vorrunde!$I74&lt;&gt;"",Vorrunde!$K74&lt;&gt;"",ABS(Vorrunde!$I74-Vorrunde!$K74)&gt;1),Vorrunde!$I74,"")</f>
        <v/>
      </c>
      <c r="Y126" s="35" t="str">
        <f ca="1">IF(AND($AA126=1,Vorrunde!$I74&lt;&gt;"",Vorrunde!$K74&lt;&gt;"",ABS(Vorrunde!$I74-Vorrunde!$K74)&gt;1),Vorrunde!$K74,"")</f>
        <v/>
      </c>
      <c r="Z126" s="34" t="str">
        <f t="shared" ca="1" si="68"/>
        <v/>
      </c>
      <c r="AA126" s="13">
        <f ca="1">IF(AND(V126&lt;&gt;"",W126&lt;&gt;"",V126&lt;&gt;W126,Vorrunde!$R74&lt;&gt;"",Vorrunde!$T74&lt;&gt;""),1,0)</f>
        <v>0</v>
      </c>
      <c r="AB126" s="13" t="str">
        <f ca="1">IF(AA126&gt;0,AH126&amp;Sprache!$E$108&amp;AI126,"")</f>
        <v/>
      </c>
      <c r="AC126" s="35" t="str">
        <f ca="1">IF(AA126&gt;0,AJ126&amp;Sprache!$E$108&amp;AK126,"")</f>
        <v/>
      </c>
      <c r="AD126" s="40" t="str">
        <f ca="1">IF(AND($AA126=1,Vorrunde!$L74&lt;&gt;"",Vorrunde!$N74&lt;&gt;"",ABS(Vorrunde!$L74-Vorrunde!$N74)&gt;1),Vorrunde!$L74,"")</f>
        <v/>
      </c>
      <c r="AE126" s="35" t="str">
        <f ca="1">IF(AND($AA126=1,Vorrunde!$L74&lt;&gt;"",Vorrunde!$N74&lt;&gt;"",ABS(Vorrunde!$L74-Vorrunde!$N74)&gt;1),Vorrunde!$N74,"")</f>
        <v/>
      </c>
      <c r="AF126" s="40" t="str">
        <f ca="1">IF(AND($AA126=1,Vorrunde!$O74&lt;&gt;"",Vorrunde!$Q74&lt;&gt;"",ABS(Vorrunde!$O74-Vorrunde!$Q74)&gt;1),Vorrunde!$O74,"")</f>
        <v/>
      </c>
      <c r="AG126" s="35" t="str">
        <f ca="1">IF(AND($AA126=1,Vorrunde!$O74&lt;&gt;"",Vorrunde!$Q74&lt;&gt;"",ABS(Vorrunde!$O74-Vorrunde!$Q74)&gt;1),Vorrunde!$Q74,"")</f>
        <v/>
      </c>
      <c r="AH126" s="40" t="str">
        <f t="shared" ca="1" si="69"/>
        <v/>
      </c>
      <c r="AI126" s="35" t="str">
        <f t="shared" ca="1" si="70"/>
        <v/>
      </c>
      <c r="AJ126" s="40">
        <f ca="1">IF(Vorrunde!$R74="",0,Vorrunde!$R74)</f>
        <v>0</v>
      </c>
      <c r="AK126" s="35">
        <f ca="1">IF(Vorrunde!$T74="",0,Vorrunde!$T74)</f>
        <v>0</v>
      </c>
      <c r="AL126" s="13" t="str">
        <f ca="1">IF($AA126=0,"",IF($AJ126&gt;$AK126,Einstellungen!$C$4,IF($AJ126=$AK126,1,0)))</f>
        <v/>
      </c>
      <c r="AM126" s="35" t="str">
        <f ca="1">IF($AA126=0,"",IF($AJ126&lt;$AK126,Einstellungen!$C$4,IF($AJ126=$AK126,1,0)))</f>
        <v/>
      </c>
    </row>
    <row r="127" spans="2:39" s="2" customFormat="1" x14ac:dyDescent="0.2">
      <c r="B127" s="4"/>
      <c r="C127" s="4"/>
      <c r="D127" s="4"/>
      <c r="E127" s="4"/>
      <c r="F127" s="13"/>
      <c r="G127" s="13"/>
      <c r="H127" s="13"/>
      <c r="I127" s="13"/>
      <c r="J127" s="13"/>
      <c r="K127" s="13"/>
      <c r="L127" s="13"/>
      <c r="M127" s="13"/>
      <c r="U127" s="65" t="s">
        <v>85</v>
      </c>
      <c r="V127" s="40" t="str">
        <f ca="1">Planung!$L69</f>
        <v/>
      </c>
      <c r="W127" s="13" t="str">
        <f ca="1">Planung!$N69</f>
        <v/>
      </c>
      <c r="X127" s="13" t="str">
        <f ca="1">IF(AND($AA127=1,Vorrunde!$I75&lt;&gt;"",Vorrunde!$K75&lt;&gt;"",ABS(Vorrunde!$I75-Vorrunde!$K75)&gt;1),Vorrunde!$I75,"")</f>
        <v/>
      </c>
      <c r="Y127" s="35" t="str">
        <f ca="1">IF(AND($AA127=1,Vorrunde!$I75&lt;&gt;"",Vorrunde!$K75&lt;&gt;"",ABS(Vorrunde!$I75-Vorrunde!$K75)&gt;1),Vorrunde!$K75,"")</f>
        <v/>
      </c>
      <c r="Z127" s="34" t="str">
        <f t="shared" ca="1" si="68"/>
        <v/>
      </c>
      <c r="AA127" s="13">
        <f ca="1">IF(AND(V127&lt;&gt;"",W127&lt;&gt;"",V127&lt;&gt;W127,Vorrunde!$R75&lt;&gt;"",Vorrunde!$T75&lt;&gt;""),1,0)</f>
        <v>0</v>
      </c>
      <c r="AB127" s="13" t="str">
        <f ca="1">IF(AA127&gt;0,AH127&amp;Sprache!$E$108&amp;AI127,"")</f>
        <v/>
      </c>
      <c r="AC127" s="35" t="str">
        <f ca="1">IF(AA127&gt;0,AJ127&amp;Sprache!$E$108&amp;AK127,"")</f>
        <v/>
      </c>
      <c r="AD127" s="40" t="str">
        <f ca="1">IF(AND($AA127=1,Vorrunde!$L75&lt;&gt;"",Vorrunde!$N75&lt;&gt;"",ABS(Vorrunde!$L75-Vorrunde!$N75)&gt;1),Vorrunde!$L75,"")</f>
        <v/>
      </c>
      <c r="AE127" s="35" t="str">
        <f ca="1">IF(AND($AA127=1,Vorrunde!$L75&lt;&gt;"",Vorrunde!$N75&lt;&gt;"",ABS(Vorrunde!$L75-Vorrunde!$N75)&gt;1),Vorrunde!$N75,"")</f>
        <v/>
      </c>
      <c r="AF127" s="40" t="str">
        <f ca="1">IF(AND($AA127=1,Vorrunde!$O75&lt;&gt;"",Vorrunde!$Q75&lt;&gt;"",ABS(Vorrunde!$O75-Vorrunde!$Q75)&gt;1),Vorrunde!$O75,"")</f>
        <v/>
      </c>
      <c r="AG127" s="35" t="str">
        <f ca="1">IF(AND($AA127=1,Vorrunde!$O75&lt;&gt;"",Vorrunde!$Q75&lt;&gt;"",ABS(Vorrunde!$O75-Vorrunde!$Q75)&gt;1),Vorrunde!$Q75,"")</f>
        <v/>
      </c>
      <c r="AH127" s="40" t="str">
        <f t="shared" ca="1" si="69"/>
        <v/>
      </c>
      <c r="AI127" s="35" t="str">
        <f t="shared" ca="1" si="70"/>
        <v/>
      </c>
      <c r="AJ127" s="40">
        <f ca="1">IF(Vorrunde!$R75="",0,Vorrunde!$R75)</f>
        <v>0</v>
      </c>
      <c r="AK127" s="35">
        <f ca="1">IF(Vorrunde!$T75="",0,Vorrunde!$T75)</f>
        <v>0</v>
      </c>
      <c r="AL127" s="13" t="str">
        <f ca="1">IF($AA127=0,"",IF($AJ127&gt;$AK127,Einstellungen!$C$4,IF($AJ127=$AK127,1,0)))</f>
        <v/>
      </c>
      <c r="AM127" s="35" t="str">
        <f ca="1">IF($AA127=0,"",IF($AJ127&lt;$AK127,Einstellungen!$C$4,IF($AJ127=$AK127,1,0)))</f>
        <v/>
      </c>
    </row>
    <row r="128" spans="2:39" s="2" customFormat="1" x14ac:dyDescent="0.2">
      <c r="B128" s="4"/>
      <c r="C128" s="4"/>
      <c r="D128" s="4"/>
      <c r="E128" s="4"/>
      <c r="F128" s="13"/>
      <c r="G128" s="13"/>
      <c r="H128" s="13"/>
      <c r="I128" s="13"/>
      <c r="J128" s="13"/>
      <c r="K128" s="13"/>
      <c r="L128" s="13"/>
      <c r="M128" s="13"/>
      <c r="U128" s="65" t="s">
        <v>86</v>
      </c>
      <c r="V128" s="40" t="str">
        <f ca="1">Planung!$L70</f>
        <v/>
      </c>
      <c r="W128" s="13" t="str">
        <f ca="1">Planung!$N70</f>
        <v/>
      </c>
      <c r="X128" s="13" t="str">
        <f ca="1">IF(AND($AA128=1,Vorrunde!$I76&lt;&gt;"",Vorrunde!$K76&lt;&gt;"",ABS(Vorrunde!$I76-Vorrunde!$K76)&gt;1),Vorrunde!$I76,"")</f>
        <v/>
      </c>
      <c r="Y128" s="35" t="str">
        <f ca="1">IF(AND($AA128=1,Vorrunde!$I76&lt;&gt;"",Vorrunde!$K76&lt;&gt;"",ABS(Vorrunde!$I76-Vorrunde!$K76)&gt;1),Vorrunde!$K76,"")</f>
        <v/>
      </c>
      <c r="Z128" s="34" t="str">
        <f t="shared" ca="1" si="68"/>
        <v/>
      </c>
      <c r="AA128" s="13">
        <f ca="1">IF(AND(V128&lt;&gt;"",W128&lt;&gt;"",V128&lt;&gt;W128,Vorrunde!$R76&lt;&gt;"",Vorrunde!$T76&lt;&gt;""),1,0)</f>
        <v>0</v>
      </c>
      <c r="AB128" s="13" t="str">
        <f ca="1">IF(AA128&gt;0,AH128&amp;Sprache!$E$108&amp;AI128,"")</f>
        <v/>
      </c>
      <c r="AC128" s="35" t="str">
        <f ca="1">IF(AA128&gt;0,AJ128&amp;Sprache!$E$108&amp;AK128,"")</f>
        <v/>
      </c>
      <c r="AD128" s="40" t="str">
        <f ca="1">IF(AND($AA128=1,Vorrunde!$L76&lt;&gt;"",Vorrunde!$N76&lt;&gt;"",ABS(Vorrunde!$L76-Vorrunde!$N76)&gt;1),Vorrunde!$L76,"")</f>
        <v/>
      </c>
      <c r="AE128" s="35" t="str">
        <f ca="1">IF(AND($AA128=1,Vorrunde!$L76&lt;&gt;"",Vorrunde!$N76&lt;&gt;"",ABS(Vorrunde!$L76-Vorrunde!$N76)&gt;1),Vorrunde!$N76,"")</f>
        <v/>
      </c>
      <c r="AF128" s="40" t="str">
        <f ca="1">IF(AND($AA128=1,Vorrunde!$O76&lt;&gt;"",Vorrunde!$Q76&lt;&gt;"",ABS(Vorrunde!$O76-Vorrunde!$Q76)&gt;1),Vorrunde!$O76,"")</f>
        <v/>
      </c>
      <c r="AG128" s="35" t="str">
        <f ca="1">IF(AND($AA128=1,Vorrunde!$O76&lt;&gt;"",Vorrunde!$Q76&lt;&gt;"",ABS(Vorrunde!$O76-Vorrunde!$Q76)&gt;1),Vorrunde!$Q76,"")</f>
        <v/>
      </c>
      <c r="AH128" s="40" t="str">
        <f t="shared" ca="1" si="69"/>
        <v/>
      </c>
      <c r="AI128" s="35" t="str">
        <f t="shared" ca="1" si="70"/>
        <v/>
      </c>
      <c r="AJ128" s="40">
        <f ca="1">IF(Vorrunde!$R76="",0,Vorrunde!$R76)</f>
        <v>0</v>
      </c>
      <c r="AK128" s="35">
        <f ca="1">IF(Vorrunde!$T76="",0,Vorrunde!$T76)</f>
        <v>0</v>
      </c>
      <c r="AL128" s="13" t="str">
        <f ca="1">IF($AA128=0,"",IF($AJ128&gt;$AK128,Einstellungen!$C$4,IF($AJ128=$AK128,1,0)))</f>
        <v/>
      </c>
      <c r="AM128" s="35" t="str">
        <f ca="1">IF($AA128=0,"",IF($AJ128&lt;$AK128,Einstellungen!$C$4,IF($AJ128=$AK128,1,0)))</f>
        <v/>
      </c>
    </row>
    <row r="129" spans="2:39" s="2" customFormat="1" x14ac:dyDescent="0.2">
      <c r="B129" s="4"/>
      <c r="C129" s="4"/>
      <c r="D129" s="4"/>
      <c r="E129" s="4"/>
      <c r="F129" s="13"/>
      <c r="G129" s="13"/>
      <c r="H129" s="13"/>
      <c r="I129" s="13"/>
      <c r="J129" s="13"/>
      <c r="K129" s="13"/>
      <c r="L129" s="13"/>
      <c r="M129" s="13"/>
      <c r="U129" s="65" t="s">
        <v>87</v>
      </c>
      <c r="V129" s="40" t="str">
        <f ca="1">Planung!$L71</f>
        <v/>
      </c>
      <c r="W129" s="13" t="str">
        <f ca="1">Planung!$N71</f>
        <v/>
      </c>
      <c r="X129" s="13" t="str">
        <f ca="1">IF(AND($AA129=1,Vorrunde!$I77&lt;&gt;"",Vorrunde!$K77&lt;&gt;"",ABS(Vorrunde!$I77-Vorrunde!$K77)&gt;1),Vorrunde!$I77,"")</f>
        <v/>
      </c>
      <c r="Y129" s="35" t="str">
        <f ca="1">IF(AND($AA129=1,Vorrunde!$I77&lt;&gt;"",Vorrunde!$K77&lt;&gt;"",ABS(Vorrunde!$I77-Vorrunde!$K77)&gt;1),Vorrunde!$K77,"")</f>
        <v/>
      </c>
      <c r="Z129" s="34" t="str">
        <f t="shared" ref="Z129:Z135" ca="1" si="71">V129&amp;W129</f>
        <v/>
      </c>
      <c r="AA129" s="13">
        <f ca="1">IF(AND(V129&lt;&gt;"",W129&lt;&gt;"",V129&lt;&gt;W129,Vorrunde!$R77&lt;&gt;"",Vorrunde!$T77&lt;&gt;""),1,0)</f>
        <v>0</v>
      </c>
      <c r="AB129" s="13" t="str">
        <f ca="1">IF(AA129&gt;0,AH129&amp;Sprache!$E$108&amp;AI129,"")</f>
        <v/>
      </c>
      <c r="AC129" s="35" t="str">
        <f ca="1">IF(AA129&gt;0,AJ129&amp;Sprache!$E$108&amp;AK129,"")</f>
        <v/>
      </c>
      <c r="AD129" s="40" t="str">
        <f ca="1">IF(AND($AA129=1,Vorrunde!$L77&lt;&gt;"",Vorrunde!$N77&lt;&gt;"",ABS(Vorrunde!$L77-Vorrunde!$N77)&gt;1),Vorrunde!$L77,"")</f>
        <v/>
      </c>
      <c r="AE129" s="35" t="str">
        <f ca="1">IF(AND($AA129=1,Vorrunde!$L77&lt;&gt;"",Vorrunde!$N77&lt;&gt;"",ABS(Vorrunde!$L77-Vorrunde!$N77)&gt;1),Vorrunde!$N77,"")</f>
        <v/>
      </c>
      <c r="AF129" s="40" t="str">
        <f ca="1">IF(AND($AA129=1,Vorrunde!$O77&lt;&gt;"",Vorrunde!$Q77&lt;&gt;"",ABS(Vorrunde!$O77-Vorrunde!$Q77)&gt;1),Vorrunde!$O77,"")</f>
        <v/>
      </c>
      <c r="AG129" s="35" t="str">
        <f ca="1">IF(AND($AA129=1,Vorrunde!$O77&lt;&gt;"",Vorrunde!$Q77&lt;&gt;"",ABS(Vorrunde!$O77-Vorrunde!$Q77)&gt;1),Vorrunde!$Q77,"")</f>
        <v/>
      </c>
      <c r="AH129" s="40" t="str">
        <f t="shared" ref="AH129:AH135" ca="1" si="72">IF(AA129&gt;0,SUM(X129,AD129,AF129),"")</f>
        <v/>
      </c>
      <c r="AI129" s="35" t="str">
        <f t="shared" ref="AI129:AI135" ca="1" si="73">IF(AA129&gt;0,SUM(Y129,AE129,AG129),"")</f>
        <v/>
      </c>
      <c r="AJ129" s="40">
        <f ca="1">IF(Vorrunde!$R77="",0,Vorrunde!$R77)</f>
        <v>0</v>
      </c>
      <c r="AK129" s="35">
        <f ca="1">IF(Vorrunde!$T77="",0,Vorrunde!$T77)</f>
        <v>0</v>
      </c>
      <c r="AL129" s="13" t="str">
        <f ca="1">IF($AA129=0,"",IF($AJ129&gt;$AK129,Einstellungen!$C$4,IF($AJ129=$AK129,1,0)))</f>
        <v/>
      </c>
      <c r="AM129" s="35" t="str">
        <f ca="1">IF($AA129=0,"",IF($AJ129&lt;$AK129,Einstellungen!$C$4,IF($AJ129=$AK129,1,0)))</f>
        <v/>
      </c>
    </row>
    <row r="130" spans="2:39" s="2" customFormat="1" x14ac:dyDescent="0.2">
      <c r="B130" s="4"/>
      <c r="C130" s="4"/>
      <c r="D130" s="4"/>
      <c r="E130" s="4"/>
      <c r="F130" s="13"/>
      <c r="G130" s="13"/>
      <c r="H130" s="13"/>
      <c r="I130" s="13"/>
      <c r="J130" s="13"/>
      <c r="K130" s="13"/>
      <c r="L130" s="13"/>
      <c r="M130" s="13"/>
      <c r="U130" s="65" t="s">
        <v>88</v>
      </c>
      <c r="V130" s="40" t="str">
        <f ca="1">Planung!$L72</f>
        <v/>
      </c>
      <c r="W130" s="13" t="str">
        <f ca="1">Planung!$N72</f>
        <v/>
      </c>
      <c r="X130" s="13" t="str">
        <f ca="1">IF(AND($AA130=1,Vorrunde!$I78&lt;&gt;"",Vorrunde!$K78&lt;&gt;"",ABS(Vorrunde!$I78-Vorrunde!$K78)&gt;1),Vorrunde!$I78,"")</f>
        <v/>
      </c>
      <c r="Y130" s="35" t="str">
        <f ca="1">IF(AND($AA130=1,Vorrunde!$I78&lt;&gt;"",Vorrunde!$K78&lt;&gt;"",ABS(Vorrunde!$I78-Vorrunde!$K78)&gt;1),Vorrunde!$K78,"")</f>
        <v/>
      </c>
      <c r="Z130" s="34" t="str">
        <f t="shared" ca="1" si="71"/>
        <v/>
      </c>
      <c r="AA130" s="13">
        <f ca="1">IF(AND(V130&lt;&gt;"",W130&lt;&gt;"",V130&lt;&gt;W130,Vorrunde!$R78&lt;&gt;"",Vorrunde!$T78&lt;&gt;""),1,0)</f>
        <v>0</v>
      </c>
      <c r="AB130" s="13" t="str">
        <f ca="1">IF(AA130&gt;0,AH130&amp;Sprache!$E$108&amp;AI130,"")</f>
        <v/>
      </c>
      <c r="AC130" s="35" t="str">
        <f ca="1">IF(AA130&gt;0,AJ130&amp;Sprache!$E$108&amp;AK130,"")</f>
        <v/>
      </c>
      <c r="AD130" s="40" t="str">
        <f ca="1">IF(AND($AA130=1,Vorrunde!$L78&lt;&gt;"",Vorrunde!$N78&lt;&gt;"",ABS(Vorrunde!$L78-Vorrunde!$N78)&gt;1),Vorrunde!$L78,"")</f>
        <v/>
      </c>
      <c r="AE130" s="35" t="str">
        <f ca="1">IF(AND($AA130=1,Vorrunde!$L78&lt;&gt;"",Vorrunde!$N78&lt;&gt;"",ABS(Vorrunde!$L78-Vorrunde!$N78)&gt;1),Vorrunde!$N78,"")</f>
        <v/>
      </c>
      <c r="AF130" s="40" t="str">
        <f ca="1">IF(AND($AA130=1,Vorrunde!$O78&lt;&gt;"",Vorrunde!$Q78&lt;&gt;"",ABS(Vorrunde!$O78-Vorrunde!$Q78)&gt;1),Vorrunde!$O78,"")</f>
        <v/>
      </c>
      <c r="AG130" s="35" t="str">
        <f ca="1">IF(AND($AA130=1,Vorrunde!$O78&lt;&gt;"",Vorrunde!$Q78&lt;&gt;"",ABS(Vorrunde!$O78-Vorrunde!$Q78)&gt;1),Vorrunde!$Q78,"")</f>
        <v/>
      </c>
      <c r="AH130" s="40" t="str">
        <f t="shared" ca="1" si="72"/>
        <v/>
      </c>
      <c r="AI130" s="35" t="str">
        <f t="shared" ca="1" si="73"/>
        <v/>
      </c>
      <c r="AJ130" s="40">
        <f ca="1">IF(Vorrunde!$R78="",0,Vorrunde!$R78)</f>
        <v>0</v>
      </c>
      <c r="AK130" s="35">
        <f ca="1">IF(Vorrunde!$T78="",0,Vorrunde!$T78)</f>
        <v>0</v>
      </c>
      <c r="AL130" s="13" t="str">
        <f ca="1">IF($AA130=0,"",IF($AJ130&gt;$AK130,Einstellungen!$C$4,IF($AJ130=$AK130,1,0)))</f>
        <v/>
      </c>
      <c r="AM130" s="35" t="str">
        <f ca="1">IF($AA130=0,"",IF($AJ130&lt;$AK130,Einstellungen!$C$4,IF($AJ130=$AK130,1,0)))</f>
        <v/>
      </c>
    </row>
    <row r="131" spans="2:39" s="2" customFormat="1" x14ac:dyDescent="0.2">
      <c r="B131" s="4"/>
      <c r="C131" s="4"/>
      <c r="D131" s="4"/>
      <c r="E131" s="4"/>
      <c r="F131" s="13"/>
      <c r="G131" s="13"/>
      <c r="H131" s="13"/>
      <c r="I131" s="13"/>
      <c r="J131" s="13"/>
      <c r="K131" s="13"/>
      <c r="L131" s="13"/>
      <c r="M131" s="13"/>
      <c r="U131" s="65" t="s">
        <v>89</v>
      </c>
      <c r="V131" s="40" t="str">
        <f ca="1">Planung!$L73</f>
        <v/>
      </c>
      <c r="W131" s="13" t="str">
        <f ca="1">Planung!$N73</f>
        <v/>
      </c>
      <c r="X131" s="13" t="str">
        <f ca="1">IF(AND($AA131=1,Vorrunde!$I79&lt;&gt;"",Vorrunde!$K79&lt;&gt;"",ABS(Vorrunde!$I79-Vorrunde!$K79)&gt;1),Vorrunde!$I79,"")</f>
        <v/>
      </c>
      <c r="Y131" s="35" t="str">
        <f ca="1">IF(AND($AA131=1,Vorrunde!$I79&lt;&gt;"",Vorrunde!$K79&lt;&gt;"",ABS(Vorrunde!$I79-Vorrunde!$K79)&gt;1),Vorrunde!$K79,"")</f>
        <v/>
      </c>
      <c r="Z131" s="34" t="str">
        <f t="shared" ca="1" si="71"/>
        <v/>
      </c>
      <c r="AA131" s="13">
        <f ca="1">IF(AND(V131&lt;&gt;"",W131&lt;&gt;"",V131&lt;&gt;W131,Vorrunde!$R79&lt;&gt;"",Vorrunde!$T79&lt;&gt;""),1,0)</f>
        <v>0</v>
      </c>
      <c r="AB131" s="13" t="str">
        <f ca="1">IF(AA131&gt;0,AH131&amp;Sprache!$E$108&amp;AI131,"")</f>
        <v/>
      </c>
      <c r="AC131" s="35" t="str">
        <f ca="1">IF(AA131&gt;0,AJ131&amp;Sprache!$E$108&amp;AK131,"")</f>
        <v/>
      </c>
      <c r="AD131" s="40" t="str">
        <f ca="1">IF(AND($AA131=1,Vorrunde!$L79&lt;&gt;"",Vorrunde!$N79&lt;&gt;"",ABS(Vorrunde!$L79-Vorrunde!$N79)&gt;1),Vorrunde!$L79,"")</f>
        <v/>
      </c>
      <c r="AE131" s="35" t="str">
        <f ca="1">IF(AND($AA131=1,Vorrunde!$L79&lt;&gt;"",Vorrunde!$N79&lt;&gt;"",ABS(Vorrunde!$L79-Vorrunde!$N79)&gt;1),Vorrunde!$N79,"")</f>
        <v/>
      </c>
      <c r="AF131" s="40" t="str">
        <f ca="1">IF(AND($AA131=1,Vorrunde!$O79&lt;&gt;"",Vorrunde!$Q79&lt;&gt;"",ABS(Vorrunde!$O79-Vorrunde!$Q79)&gt;1),Vorrunde!$O79,"")</f>
        <v/>
      </c>
      <c r="AG131" s="35" t="str">
        <f ca="1">IF(AND($AA131=1,Vorrunde!$O79&lt;&gt;"",Vorrunde!$Q79&lt;&gt;"",ABS(Vorrunde!$O79-Vorrunde!$Q79)&gt;1),Vorrunde!$Q79,"")</f>
        <v/>
      </c>
      <c r="AH131" s="40" t="str">
        <f t="shared" ca="1" si="72"/>
        <v/>
      </c>
      <c r="AI131" s="35" t="str">
        <f t="shared" ca="1" si="73"/>
        <v/>
      </c>
      <c r="AJ131" s="40">
        <f ca="1">IF(Vorrunde!$R79="",0,Vorrunde!$R79)</f>
        <v>0</v>
      </c>
      <c r="AK131" s="35">
        <f ca="1">IF(Vorrunde!$T79="",0,Vorrunde!$T79)</f>
        <v>0</v>
      </c>
      <c r="AL131" s="13" t="str">
        <f ca="1">IF($AA131=0,"",IF($AJ131&gt;$AK131,Einstellungen!$C$4,IF($AJ131=$AK131,1,0)))</f>
        <v/>
      </c>
      <c r="AM131" s="35" t="str">
        <f ca="1">IF($AA131=0,"",IF($AJ131&lt;$AK131,Einstellungen!$C$4,IF($AJ131=$AK131,1,0)))</f>
        <v/>
      </c>
    </row>
    <row r="132" spans="2:39" s="2" customFormat="1" x14ac:dyDescent="0.2">
      <c r="B132" s="4"/>
      <c r="C132" s="4"/>
      <c r="D132" s="4"/>
      <c r="E132" s="4"/>
      <c r="F132" s="13"/>
      <c r="G132" s="13"/>
      <c r="H132" s="13"/>
      <c r="I132" s="13"/>
      <c r="J132" s="13"/>
      <c r="K132" s="13"/>
      <c r="L132" s="13"/>
      <c r="M132" s="13"/>
      <c r="U132" s="65" t="s">
        <v>90</v>
      </c>
      <c r="V132" s="40" t="str">
        <f ca="1">Planung!$L74</f>
        <v/>
      </c>
      <c r="W132" s="13" t="str">
        <f ca="1">Planung!$N74</f>
        <v/>
      </c>
      <c r="X132" s="13" t="str">
        <f ca="1">IF(AND($AA132=1,Vorrunde!$I80&lt;&gt;"",Vorrunde!$K80&lt;&gt;"",ABS(Vorrunde!$I80-Vorrunde!$K80)&gt;1),Vorrunde!$I80,"")</f>
        <v/>
      </c>
      <c r="Y132" s="35" t="str">
        <f ca="1">IF(AND($AA132=1,Vorrunde!$I80&lt;&gt;"",Vorrunde!$K80&lt;&gt;"",ABS(Vorrunde!$I80-Vorrunde!$K80)&gt;1),Vorrunde!$K80,"")</f>
        <v/>
      </c>
      <c r="Z132" s="34" t="str">
        <f t="shared" ca="1" si="71"/>
        <v/>
      </c>
      <c r="AA132" s="13">
        <f ca="1">IF(AND(V132&lt;&gt;"",W132&lt;&gt;"",V132&lt;&gt;W132,Vorrunde!$R80&lt;&gt;"",Vorrunde!$T80&lt;&gt;""),1,0)</f>
        <v>0</v>
      </c>
      <c r="AB132" s="13" t="str">
        <f ca="1">IF(AA132&gt;0,AH132&amp;Sprache!$E$108&amp;AI132,"")</f>
        <v/>
      </c>
      <c r="AC132" s="35" t="str">
        <f ca="1">IF(AA132&gt;0,AJ132&amp;Sprache!$E$108&amp;AK132,"")</f>
        <v/>
      </c>
      <c r="AD132" s="40" t="str">
        <f ca="1">IF(AND($AA132=1,Vorrunde!$L80&lt;&gt;"",Vorrunde!$N80&lt;&gt;"",ABS(Vorrunde!$L80-Vorrunde!$N80)&gt;1),Vorrunde!$L80,"")</f>
        <v/>
      </c>
      <c r="AE132" s="35" t="str">
        <f ca="1">IF(AND($AA132=1,Vorrunde!$L80&lt;&gt;"",Vorrunde!$N80&lt;&gt;"",ABS(Vorrunde!$L80-Vorrunde!$N80)&gt;1),Vorrunde!$N80,"")</f>
        <v/>
      </c>
      <c r="AF132" s="40" t="str">
        <f ca="1">IF(AND($AA132=1,Vorrunde!$O80&lt;&gt;"",Vorrunde!$Q80&lt;&gt;"",ABS(Vorrunde!$O80-Vorrunde!$Q80)&gt;1),Vorrunde!$O80,"")</f>
        <v/>
      </c>
      <c r="AG132" s="35" t="str">
        <f ca="1">IF(AND($AA132=1,Vorrunde!$O80&lt;&gt;"",Vorrunde!$Q80&lt;&gt;"",ABS(Vorrunde!$O80-Vorrunde!$Q80)&gt;1),Vorrunde!$Q80,"")</f>
        <v/>
      </c>
      <c r="AH132" s="40" t="str">
        <f t="shared" ca="1" si="72"/>
        <v/>
      </c>
      <c r="AI132" s="35" t="str">
        <f t="shared" ca="1" si="73"/>
        <v/>
      </c>
      <c r="AJ132" s="40">
        <f ca="1">IF(Vorrunde!$R80="",0,Vorrunde!$R80)</f>
        <v>0</v>
      </c>
      <c r="AK132" s="35">
        <f ca="1">IF(Vorrunde!$T80="",0,Vorrunde!$T80)</f>
        <v>0</v>
      </c>
      <c r="AL132" s="13" t="str">
        <f ca="1">IF($AA132=0,"",IF($AJ132&gt;$AK132,Einstellungen!$C$4,IF($AJ132=$AK132,1,0)))</f>
        <v/>
      </c>
      <c r="AM132" s="35" t="str">
        <f ca="1">IF($AA132=0,"",IF($AJ132&lt;$AK132,Einstellungen!$C$4,IF($AJ132=$AK132,1,0)))</f>
        <v/>
      </c>
    </row>
    <row r="133" spans="2:39" s="2" customFormat="1" x14ac:dyDescent="0.2">
      <c r="B133" s="4"/>
      <c r="C133" s="4"/>
      <c r="D133" s="4"/>
      <c r="E133" s="4"/>
      <c r="F133" s="13"/>
      <c r="G133" s="13"/>
      <c r="H133" s="13"/>
      <c r="I133" s="13"/>
      <c r="J133" s="13"/>
      <c r="K133" s="13"/>
      <c r="L133" s="13"/>
      <c r="M133" s="13"/>
      <c r="U133" s="65" t="s">
        <v>91</v>
      </c>
      <c r="V133" s="40" t="str">
        <f ca="1">Planung!$L75</f>
        <v/>
      </c>
      <c r="W133" s="13" t="str">
        <f ca="1">Planung!$N75</f>
        <v/>
      </c>
      <c r="X133" s="13" t="str">
        <f ca="1">IF(AND($AA133=1,Vorrunde!$I81&lt;&gt;"",Vorrunde!$K81&lt;&gt;"",ABS(Vorrunde!$I81-Vorrunde!$K81)&gt;1),Vorrunde!$I81,"")</f>
        <v/>
      </c>
      <c r="Y133" s="35" t="str">
        <f ca="1">IF(AND($AA133=1,Vorrunde!$I81&lt;&gt;"",Vorrunde!$K81&lt;&gt;"",ABS(Vorrunde!$I81-Vorrunde!$K81)&gt;1),Vorrunde!$K81,"")</f>
        <v/>
      </c>
      <c r="Z133" s="34" t="str">
        <f t="shared" ca="1" si="71"/>
        <v/>
      </c>
      <c r="AA133" s="13">
        <f ca="1">IF(AND(V133&lt;&gt;"",W133&lt;&gt;"",V133&lt;&gt;W133,Vorrunde!$R81&lt;&gt;"",Vorrunde!$T81&lt;&gt;""),1,0)</f>
        <v>0</v>
      </c>
      <c r="AB133" s="13" t="str">
        <f ca="1">IF(AA133&gt;0,AH133&amp;Sprache!$E$108&amp;AI133,"")</f>
        <v/>
      </c>
      <c r="AC133" s="35" t="str">
        <f ca="1">IF(AA133&gt;0,AJ133&amp;Sprache!$E$108&amp;AK133,"")</f>
        <v/>
      </c>
      <c r="AD133" s="40" t="str">
        <f ca="1">IF(AND($AA133=1,Vorrunde!$L81&lt;&gt;"",Vorrunde!$N81&lt;&gt;"",ABS(Vorrunde!$L81-Vorrunde!$N81)&gt;1),Vorrunde!$L81,"")</f>
        <v/>
      </c>
      <c r="AE133" s="35" t="str">
        <f ca="1">IF(AND($AA133=1,Vorrunde!$L81&lt;&gt;"",Vorrunde!$N81&lt;&gt;"",ABS(Vorrunde!$L81-Vorrunde!$N81)&gt;1),Vorrunde!$N81,"")</f>
        <v/>
      </c>
      <c r="AF133" s="40" t="str">
        <f ca="1">IF(AND($AA133=1,Vorrunde!$O81&lt;&gt;"",Vorrunde!$Q81&lt;&gt;"",ABS(Vorrunde!$O81-Vorrunde!$Q81)&gt;1),Vorrunde!$O81,"")</f>
        <v/>
      </c>
      <c r="AG133" s="35" t="str">
        <f ca="1">IF(AND($AA133=1,Vorrunde!$O81&lt;&gt;"",Vorrunde!$Q81&lt;&gt;"",ABS(Vorrunde!$O81-Vorrunde!$Q81)&gt;1),Vorrunde!$Q81,"")</f>
        <v/>
      </c>
      <c r="AH133" s="40" t="str">
        <f t="shared" ca="1" si="72"/>
        <v/>
      </c>
      <c r="AI133" s="35" t="str">
        <f t="shared" ca="1" si="73"/>
        <v/>
      </c>
      <c r="AJ133" s="40">
        <f ca="1">IF(Vorrunde!$R81="",0,Vorrunde!$R81)</f>
        <v>0</v>
      </c>
      <c r="AK133" s="35">
        <f ca="1">IF(Vorrunde!$T81="",0,Vorrunde!$T81)</f>
        <v>0</v>
      </c>
      <c r="AL133" s="13" t="str">
        <f ca="1">IF($AA133=0,"",IF($AJ133&gt;$AK133,Einstellungen!$C$4,IF($AJ133=$AK133,1,0)))</f>
        <v/>
      </c>
      <c r="AM133" s="35" t="str">
        <f ca="1">IF($AA133=0,"",IF($AJ133&lt;$AK133,Einstellungen!$C$4,IF($AJ133=$AK133,1,0)))</f>
        <v/>
      </c>
    </row>
    <row r="134" spans="2:39" s="2" customFormat="1" x14ac:dyDescent="0.2">
      <c r="B134" s="4"/>
      <c r="C134" s="4"/>
      <c r="D134" s="4"/>
      <c r="E134" s="4"/>
      <c r="F134" s="13"/>
      <c r="G134" s="13"/>
      <c r="H134" s="13"/>
      <c r="I134" s="13"/>
      <c r="J134" s="13"/>
      <c r="K134" s="13"/>
      <c r="L134" s="13"/>
      <c r="M134" s="13"/>
      <c r="U134" s="65" t="s">
        <v>92</v>
      </c>
      <c r="V134" s="40" t="str">
        <f ca="1">Planung!$L76</f>
        <v/>
      </c>
      <c r="W134" s="13" t="str">
        <f ca="1">Planung!$N76</f>
        <v/>
      </c>
      <c r="X134" s="13" t="str">
        <f ca="1">IF(AND($AA134=1,Vorrunde!$I82&lt;&gt;"",Vorrunde!$K82&lt;&gt;"",ABS(Vorrunde!$I82-Vorrunde!$K82)&gt;1),Vorrunde!$I82,"")</f>
        <v/>
      </c>
      <c r="Y134" s="35" t="str">
        <f ca="1">IF(AND($AA134=1,Vorrunde!$I82&lt;&gt;"",Vorrunde!$K82&lt;&gt;"",ABS(Vorrunde!$I82-Vorrunde!$K82)&gt;1),Vorrunde!$K82,"")</f>
        <v/>
      </c>
      <c r="Z134" s="34" t="str">
        <f t="shared" ca="1" si="71"/>
        <v/>
      </c>
      <c r="AA134" s="13">
        <f ca="1">IF(AND(V134&lt;&gt;"",W134&lt;&gt;"",V134&lt;&gt;W134,Vorrunde!$R82&lt;&gt;"",Vorrunde!$T82&lt;&gt;""),1,0)</f>
        <v>0</v>
      </c>
      <c r="AB134" s="13" t="str">
        <f ca="1">IF(AA134&gt;0,AH134&amp;Sprache!$E$108&amp;AI134,"")</f>
        <v/>
      </c>
      <c r="AC134" s="35" t="str">
        <f ca="1">IF(AA134&gt;0,AJ134&amp;Sprache!$E$108&amp;AK134,"")</f>
        <v/>
      </c>
      <c r="AD134" s="40" t="str">
        <f ca="1">IF(AND($AA134=1,Vorrunde!$L82&lt;&gt;"",Vorrunde!$N82&lt;&gt;"",ABS(Vorrunde!$L82-Vorrunde!$N82)&gt;1),Vorrunde!$L82,"")</f>
        <v/>
      </c>
      <c r="AE134" s="35" t="str">
        <f ca="1">IF(AND($AA134=1,Vorrunde!$L82&lt;&gt;"",Vorrunde!$N82&lt;&gt;"",ABS(Vorrunde!$L82-Vorrunde!$N82)&gt;1),Vorrunde!$N82,"")</f>
        <v/>
      </c>
      <c r="AF134" s="40" t="str">
        <f ca="1">IF(AND($AA134=1,Vorrunde!$O82&lt;&gt;"",Vorrunde!$Q82&lt;&gt;"",ABS(Vorrunde!$O82-Vorrunde!$Q82)&gt;1),Vorrunde!$O82,"")</f>
        <v/>
      </c>
      <c r="AG134" s="35" t="str">
        <f ca="1">IF(AND($AA134=1,Vorrunde!$O82&lt;&gt;"",Vorrunde!$Q82&lt;&gt;"",ABS(Vorrunde!$O82-Vorrunde!$Q82)&gt;1),Vorrunde!$Q82,"")</f>
        <v/>
      </c>
      <c r="AH134" s="40" t="str">
        <f t="shared" ca="1" si="72"/>
        <v/>
      </c>
      <c r="AI134" s="35" t="str">
        <f t="shared" ca="1" si="73"/>
        <v/>
      </c>
      <c r="AJ134" s="40">
        <f ca="1">IF(Vorrunde!$R82="",0,Vorrunde!$R82)</f>
        <v>0</v>
      </c>
      <c r="AK134" s="35">
        <f ca="1">IF(Vorrunde!$T82="",0,Vorrunde!$T82)</f>
        <v>0</v>
      </c>
      <c r="AL134" s="13" t="str">
        <f ca="1">IF($AA134=0,"",IF($AJ134&gt;$AK134,Einstellungen!$C$4,IF($AJ134=$AK134,1,0)))</f>
        <v/>
      </c>
      <c r="AM134" s="35" t="str">
        <f ca="1">IF($AA134=0,"",IF($AJ134&lt;$AK134,Einstellungen!$C$4,IF($AJ134=$AK134,1,0)))</f>
        <v/>
      </c>
    </row>
    <row r="135" spans="2:39" s="2" customFormat="1" ht="12.75" thickBot="1" x14ac:dyDescent="0.25">
      <c r="B135" s="4"/>
      <c r="C135" s="4"/>
      <c r="D135" s="4"/>
      <c r="E135" s="4"/>
      <c r="F135" s="13"/>
      <c r="G135" s="13"/>
      <c r="H135" s="13"/>
      <c r="I135" s="13"/>
      <c r="J135" s="13"/>
      <c r="K135" s="13"/>
      <c r="L135" s="13"/>
      <c r="M135" s="13"/>
      <c r="U135" s="66" t="s">
        <v>93</v>
      </c>
      <c r="V135" s="41" t="str">
        <f ca="1">Planung!$L77</f>
        <v/>
      </c>
      <c r="W135" s="37" t="str">
        <f ca="1">Planung!$N77</f>
        <v/>
      </c>
      <c r="X135" s="37" t="str">
        <f ca="1">IF(AND($AA135=1,Vorrunde!$I83&lt;&gt;"",Vorrunde!$K83&lt;&gt;"",ABS(Vorrunde!$I83-Vorrunde!$K83)&gt;1),Vorrunde!$I83,"")</f>
        <v/>
      </c>
      <c r="Y135" s="38" t="str">
        <f ca="1">IF(AND($AA135=1,Vorrunde!$I83&lt;&gt;"",Vorrunde!$K83&lt;&gt;"",ABS(Vorrunde!$I83-Vorrunde!$K83)&gt;1),Vorrunde!$K83,"")</f>
        <v/>
      </c>
      <c r="Z135" s="36" t="str">
        <f t="shared" ca="1" si="71"/>
        <v/>
      </c>
      <c r="AA135" s="37">
        <f ca="1">IF(AND(V135&lt;&gt;"",W135&lt;&gt;"",V135&lt;&gt;W135,Vorrunde!$R83&lt;&gt;"",Vorrunde!$T83&lt;&gt;""),1,0)</f>
        <v>0</v>
      </c>
      <c r="AB135" s="37" t="str">
        <f ca="1">IF(AA135&gt;0,AH135&amp;Sprache!$E$108&amp;AI135,"")</f>
        <v/>
      </c>
      <c r="AC135" s="38" t="str">
        <f ca="1">IF(AA135&gt;0,AJ135&amp;Sprache!$E$108&amp;AK135,"")</f>
        <v/>
      </c>
      <c r="AD135" s="41" t="str">
        <f ca="1">IF(AND($AA135=1,Vorrunde!$L83&lt;&gt;"",Vorrunde!$N83&lt;&gt;"",ABS(Vorrunde!$L83-Vorrunde!$N83)&gt;1),Vorrunde!$L83,"")</f>
        <v/>
      </c>
      <c r="AE135" s="38" t="str">
        <f ca="1">IF(AND($AA135=1,Vorrunde!$L83&lt;&gt;"",Vorrunde!$N83&lt;&gt;"",ABS(Vorrunde!$L83-Vorrunde!$N83)&gt;1),Vorrunde!$N83,"")</f>
        <v/>
      </c>
      <c r="AF135" s="41" t="str">
        <f ca="1">IF(AND($AA135=1,Vorrunde!$O83&lt;&gt;"",Vorrunde!$Q83&lt;&gt;"",ABS(Vorrunde!$O83-Vorrunde!$Q83)&gt;1),Vorrunde!$O83,"")</f>
        <v/>
      </c>
      <c r="AG135" s="38" t="str">
        <f ca="1">IF(AND($AA135=1,Vorrunde!$O83&lt;&gt;"",Vorrunde!$Q83&lt;&gt;"",ABS(Vorrunde!$O83-Vorrunde!$Q83)&gt;1),Vorrunde!$Q83,"")</f>
        <v/>
      </c>
      <c r="AH135" s="41" t="str">
        <f t="shared" ca="1" si="72"/>
        <v/>
      </c>
      <c r="AI135" s="38" t="str">
        <f t="shared" ca="1" si="73"/>
        <v/>
      </c>
      <c r="AJ135" s="41">
        <f ca="1">IF(Vorrunde!$R83="",0,Vorrunde!$R83)</f>
        <v>0</v>
      </c>
      <c r="AK135" s="38">
        <f ca="1">IF(Vorrunde!$T83="",0,Vorrunde!$T83)</f>
        <v>0</v>
      </c>
      <c r="AL135" s="37" t="str">
        <f ca="1">IF($AA135=0,"",IF($AJ135&gt;$AK135,Einstellungen!$C$4,IF($AJ135=$AK135,1,0)))</f>
        <v/>
      </c>
      <c r="AM135" s="38" t="str">
        <f ca="1">IF($AA135=0,"",IF($AJ135&lt;$AK135,Einstellungen!$C$4,IF($AJ135=$AK135,1,0)))</f>
        <v/>
      </c>
    </row>
    <row r="136" spans="2:39" s="2" customFormat="1" ht="12.75" thickTop="1" x14ac:dyDescent="0.2">
      <c r="B136" s="4"/>
      <c r="C136" s="4"/>
      <c r="D136" s="4"/>
      <c r="E136" s="4"/>
      <c r="F136" s="13"/>
      <c r="G136" s="13"/>
      <c r="H136" s="13"/>
      <c r="I136" s="13"/>
      <c r="J136" s="13"/>
      <c r="K136" s="13"/>
      <c r="L136" s="13"/>
      <c r="M136" s="13"/>
      <c r="Y136" s="65" t="s">
        <v>7</v>
      </c>
      <c r="Z136" s="31" t="str">
        <f ca="1">W64&amp;V64</f>
        <v>FC BarcelonaVFB Essenheim</v>
      </c>
      <c r="AA136" s="32">
        <f ca="1">AA64</f>
        <v>1</v>
      </c>
      <c r="AB136" s="32" t="str">
        <f ca="1">IF(AA64&gt;0,AI64&amp;Sprache!$E$108&amp;AH64,"")</f>
        <v>65 : 63</v>
      </c>
      <c r="AC136" s="593" t="str">
        <f ca="1">IF(AA64&gt;0,AK64&amp;Sprache!$E$108&amp;AJ64,"")</f>
        <v>1 : 2</v>
      </c>
      <c r="AD136" s="32"/>
    </row>
    <row r="137" spans="2:39" x14ac:dyDescent="0.2">
      <c r="Y137" s="65" t="s">
        <v>8</v>
      </c>
      <c r="Z137" s="34" t="str">
        <f ca="1">W65&amp;V65</f>
        <v>Inter MailandFC Grönlingen</v>
      </c>
      <c r="AA137" s="13">
        <f t="shared" ref="AA137:AA200" ca="1" si="74">AA65</f>
        <v>1</v>
      </c>
      <c r="AB137" s="13" t="str">
        <f ca="1">IF(AA65&gt;0,AI65&amp;Sprache!$E$108&amp;AH65,"")</f>
        <v>45 : 48</v>
      </c>
      <c r="AC137" s="594" t="str">
        <f ca="1">IF(AA65&gt;0,AK65&amp;Sprache!$E$108&amp;AJ65,"")</f>
        <v>1 : 1</v>
      </c>
      <c r="AD137" s="13"/>
    </row>
    <row r="138" spans="2:39" x14ac:dyDescent="0.2">
      <c r="Y138" s="65" t="s">
        <v>9</v>
      </c>
      <c r="Z138" s="34" t="str">
        <f t="shared" ref="Z138:Z201" ca="1" si="75">W66&amp;V66</f>
        <v>Maibach 1822 eVEintracht Frankfurt</v>
      </c>
      <c r="AA138" s="13">
        <f t="shared" ca="1" si="74"/>
        <v>1</v>
      </c>
      <c r="AB138" s="13" t="str">
        <f ca="1">IF(AA66&gt;0,AI66&amp;Sprache!$E$108&amp;AH66,"")</f>
        <v>36 : 50</v>
      </c>
      <c r="AC138" s="594" t="str">
        <f ca="1">IF(AA66&gt;0,AK66&amp;Sprache!$E$108&amp;AJ66,"")</f>
        <v>0 : 2</v>
      </c>
      <c r="AD138" s="13"/>
    </row>
    <row r="139" spans="2:39" x14ac:dyDescent="0.2">
      <c r="Y139" s="65" t="s">
        <v>10</v>
      </c>
      <c r="Z139" s="34" t="str">
        <f t="shared" ca="1" si="75"/>
        <v>Manchester CitySSV Wildbach</v>
      </c>
      <c r="AA139" s="13">
        <f t="shared" ca="1" si="74"/>
        <v>1</v>
      </c>
      <c r="AB139" s="13" t="str">
        <f ca="1">IF(AA67&gt;0,AI67&amp;Sprache!$E$108&amp;AH67,"")</f>
        <v>42 : 50</v>
      </c>
      <c r="AC139" s="594" t="str">
        <f ca="1">IF(AA67&gt;0,AK67&amp;Sprache!$E$108&amp;AJ67,"")</f>
        <v>0 : 2</v>
      </c>
      <c r="AD139" s="13"/>
    </row>
    <row r="140" spans="2:39" x14ac:dyDescent="0.2">
      <c r="Y140" s="65" t="s">
        <v>11</v>
      </c>
      <c r="Z140" s="34" t="str">
        <f t="shared" ca="1" si="75"/>
        <v>1. FC RiedwaldVFB Essenheim</v>
      </c>
      <c r="AA140" s="13">
        <f t="shared" ca="1" si="74"/>
        <v>1</v>
      </c>
      <c r="AB140" s="13" t="str">
        <f ca="1">IF(AA68&gt;0,AI68&amp;Sprache!$E$108&amp;AH68,"")</f>
        <v>44 : 50</v>
      </c>
      <c r="AC140" s="594" t="str">
        <f ca="1">IF(AA68&gt;0,AK68&amp;Sprache!$E$108&amp;AJ68,"")</f>
        <v>0 : 2</v>
      </c>
      <c r="AD140" s="13"/>
    </row>
    <row r="141" spans="2:39" x14ac:dyDescent="0.2">
      <c r="Y141" s="65" t="s">
        <v>12</v>
      </c>
      <c r="Z141" s="34" t="str">
        <f t="shared" ca="1" si="75"/>
        <v>Mainz 05FC Grönlingen</v>
      </c>
      <c r="AA141" s="13">
        <f t="shared" ca="1" si="74"/>
        <v>1</v>
      </c>
      <c r="AB141" s="13" t="str">
        <f ca="1">IF(AA69&gt;0,AI69&amp;Sprache!$E$108&amp;AH69,"")</f>
        <v>39 : 50</v>
      </c>
      <c r="AC141" s="594" t="str">
        <f ca="1">IF(AA69&gt;0,AK69&amp;Sprache!$E$108&amp;AJ69,"")</f>
        <v>0 : 2</v>
      </c>
      <c r="AD141" s="13"/>
    </row>
    <row r="142" spans="2:39" x14ac:dyDescent="0.2">
      <c r="Y142" s="65" t="s">
        <v>17</v>
      </c>
      <c r="Z142" s="34" t="str">
        <f t="shared" ca="1" si="75"/>
        <v>Eintracht FrankfurtFC Barcelona</v>
      </c>
      <c r="AA142" s="13">
        <f t="shared" ca="1" si="74"/>
        <v>1</v>
      </c>
      <c r="AB142" s="13" t="str">
        <f ca="1">IF(AA70&gt;0,AI70&amp;Sprache!$E$108&amp;AH70,"")</f>
        <v>48 : 48</v>
      </c>
      <c r="AC142" s="594" t="str">
        <f ca="1">IF(AA70&gt;0,AK70&amp;Sprache!$E$108&amp;AJ70,"")</f>
        <v>1 : 1</v>
      </c>
      <c r="AD142" s="13"/>
    </row>
    <row r="143" spans="2:39" x14ac:dyDescent="0.2">
      <c r="Y143" s="65" t="s">
        <v>18</v>
      </c>
      <c r="Z143" s="34" t="str">
        <f t="shared" ca="1" si="75"/>
        <v>SSV WildbachInter Mailand</v>
      </c>
      <c r="AA143" s="13">
        <f t="shared" ca="1" si="74"/>
        <v>1</v>
      </c>
      <c r="AB143" s="13" t="str">
        <f ca="1">IF(AA71&gt;0,AI71&amp;Sprache!$E$108&amp;AH71,"")</f>
        <v>37 : 44</v>
      </c>
      <c r="AC143" s="594" t="str">
        <f ca="1">IF(AA71&gt;0,AK71&amp;Sprache!$E$108&amp;AJ71,"")</f>
        <v>1 : 1</v>
      </c>
      <c r="AD143" s="13"/>
    </row>
    <row r="144" spans="2:39" x14ac:dyDescent="0.2">
      <c r="Y144" s="65" t="s">
        <v>19</v>
      </c>
      <c r="Z144" s="34" t="str">
        <f t="shared" ca="1" si="75"/>
        <v>Maibach 1822 eV1. FC Riedwald</v>
      </c>
      <c r="AA144" s="13">
        <f t="shared" ca="1" si="74"/>
        <v>1</v>
      </c>
      <c r="AB144" s="13" t="str">
        <f ca="1">IF(AA72&gt;0,AI72&amp;Sprache!$E$108&amp;AH72,"")</f>
        <v>43 : 41</v>
      </c>
      <c r="AC144" s="594" t="str">
        <f ca="1">IF(AA72&gt;0,AK72&amp;Sprache!$E$108&amp;AJ72,"")</f>
        <v>1 : 1</v>
      </c>
      <c r="AD144" s="13"/>
    </row>
    <row r="145" spans="25:30" x14ac:dyDescent="0.2">
      <c r="Y145" s="65" t="s">
        <v>25</v>
      </c>
      <c r="Z145" s="34" t="str">
        <f t="shared" ca="1" si="75"/>
        <v>Manchester CityMainz 05</v>
      </c>
      <c r="AA145" s="13">
        <f t="shared" ca="1" si="74"/>
        <v>1</v>
      </c>
      <c r="AB145" s="13" t="str">
        <f ca="1">IF(AA73&gt;0,AI73&amp;Sprache!$E$108&amp;AH73,"")</f>
        <v>44 : 39</v>
      </c>
      <c r="AC145" s="594" t="str">
        <f ca="1">IF(AA73&gt;0,AK73&amp;Sprache!$E$108&amp;AJ73,"")</f>
        <v>1 : 1</v>
      </c>
      <c r="AD145" s="13"/>
    </row>
    <row r="146" spans="25:30" x14ac:dyDescent="0.2">
      <c r="Y146" s="65" t="s">
        <v>26</v>
      </c>
      <c r="Z146" s="34" t="str">
        <f t="shared" ca="1" si="75"/>
        <v>VFB EssenheimEintracht Frankfurt</v>
      </c>
      <c r="AA146" s="13">
        <f t="shared" ca="1" si="74"/>
        <v>1</v>
      </c>
      <c r="AB146" s="13" t="str">
        <f ca="1">IF(AA74&gt;0,AI74&amp;Sprache!$E$108&amp;AH74,"")</f>
        <v>45 : 47</v>
      </c>
      <c r="AC146" s="594" t="str">
        <f ca="1">IF(AA74&gt;0,AK74&amp;Sprache!$E$108&amp;AJ74,"")</f>
        <v>1 : 1</v>
      </c>
      <c r="AD146" s="13"/>
    </row>
    <row r="147" spans="25:30" x14ac:dyDescent="0.2">
      <c r="Y147" s="65" t="s">
        <v>27</v>
      </c>
      <c r="Z147" s="34" t="str">
        <f t="shared" ca="1" si="75"/>
        <v>FC GrönlingenSSV Wildbach</v>
      </c>
      <c r="AA147" s="13">
        <f t="shared" ca="1" si="74"/>
        <v>1</v>
      </c>
      <c r="AB147" s="13" t="str">
        <f ca="1">IF(AA75&gt;0,AI75&amp;Sprache!$E$108&amp;AH75,"")</f>
        <v>44 : 44</v>
      </c>
      <c r="AC147" s="594" t="str">
        <f ca="1">IF(AA75&gt;0,AK75&amp;Sprache!$E$108&amp;AJ75,"")</f>
        <v>1 : 1</v>
      </c>
      <c r="AD147" s="13"/>
    </row>
    <row r="148" spans="25:30" x14ac:dyDescent="0.2">
      <c r="Y148" s="65" t="s">
        <v>28</v>
      </c>
      <c r="Z148" s="34" t="str">
        <f t="shared" ca="1" si="75"/>
        <v>Maibach 1822 eVFC Barcelona</v>
      </c>
      <c r="AA148" s="13">
        <f t="shared" ca="1" si="74"/>
        <v>1</v>
      </c>
      <c r="AB148" s="13" t="str">
        <f ca="1">IF(AA76&gt;0,AI76&amp;Sprache!$E$108&amp;AH76,"")</f>
        <v>50 : 29</v>
      </c>
      <c r="AC148" s="594" t="str">
        <f ca="1">IF(AA76&gt;0,AK76&amp;Sprache!$E$108&amp;AJ76,"")</f>
        <v>2 : 0</v>
      </c>
      <c r="AD148" s="13"/>
    </row>
    <row r="149" spans="25:30" x14ac:dyDescent="0.2">
      <c r="Y149" s="65" t="s">
        <v>29</v>
      </c>
      <c r="Z149" s="34" t="str">
        <f t="shared" ca="1" si="75"/>
        <v>Manchester CityInter Mailand</v>
      </c>
      <c r="AA149" s="13">
        <f t="shared" ca="1" si="74"/>
        <v>1</v>
      </c>
      <c r="AB149" s="13" t="str">
        <f ca="1">IF(AA77&gt;0,AI77&amp;Sprache!$E$108&amp;AH77,"")</f>
        <v>48 : 39</v>
      </c>
      <c r="AC149" s="594" t="str">
        <f ca="1">IF(AA77&gt;0,AK77&amp;Sprache!$E$108&amp;AJ77,"")</f>
        <v>1 : 1</v>
      </c>
      <c r="AD149" s="13"/>
    </row>
    <row r="150" spans="25:30" x14ac:dyDescent="0.2">
      <c r="Y150" s="65" t="s">
        <v>30</v>
      </c>
      <c r="Z150" s="34" t="str">
        <f t="shared" ca="1" si="75"/>
        <v>1. FC RiedwaldEintracht Frankfurt</v>
      </c>
      <c r="AA150" s="13">
        <f t="shared" ca="1" si="74"/>
        <v>1</v>
      </c>
      <c r="AB150" s="13" t="str">
        <f ca="1">IF(AA78&gt;0,AI78&amp;Sprache!$E$108&amp;AH78,"")</f>
        <v>42 : 46</v>
      </c>
      <c r="AC150" s="594" t="str">
        <f ca="1">IF(AA78&gt;0,AK78&amp;Sprache!$E$108&amp;AJ78,"")</f>
        <v>1 : 1</v>
      </c>
      <c r="AD150" s="13"/>
    </row>
    <row r="151" spans="25:30" x14ac:dyDescent="0.2">
      <c r="Y151" s="65" t="s">
        <v>31</v>
      </c>
      <c r="Z151" s="34" t="str">
        <f t="shared" ca="1" si="75"/>
        <v>Mainz 05SSV Wildbach</v>
      </c>
      <c r="AA151" s="13">
        <f t="shared" ca="1" si="74"/>
        <v>1</v>
      </c>
      <c r="AB151" s="13" t="str">
        <f ca="1">IF(AA79&gt;0,AI79&amp;Sprache!$E$108&amp;AH79,"")</f>
        <v>50 : 38</v>
      </c>
      <c r="AC151" s="594" t="str">
        <f ca="1">IF(AA79&gt;0,AK79&amp;Sprache!$E$108&amp;AJ79,"")</f>
        <v>2 : 0</v>
      </c>
      <c r="AD151" s="13"/>
    </row>
    <row r="152" spans="25:30" x14ac:dyDescent="0.2">
      <c r="Y152" s="65" t="s">
        <v>32</v>
      </c>
      <c r="Z152" s="34" t="str">
        <f t="shared" ca="1" si="75"/>
        <v>VFB EssenheimMaibach 1822 eV</v>
      </c>
      <c r="AA152" s="13">
        <f t="shared" ca="1" si="74"/>
        <v>1</v>
      </c>
      <c r="AB152" s="13" t="str">
        <f ca="1">IF(AA80&gt;0,AI80&amp;Sprache!$E$108&amp;AH80,"")</f>
        <v>40 : 50</v>
      </c>
      <c r="AC152" s="594" t="str">
        <f ca="1">IF(AA80&gt;0,AK80&amp;Sprache!$E$108&amp;AJ80,"")</f>
        <v>0 : 2</v>
      </c>
      <c r="AD152" s="13"/>
    </row>
    <row r="153" spans="25:30" x14ac:dyDescent="0.2">
      <c r="Y153" s="65" t="s">
        <v>33</v>
      </c>
      <c r="Z153" s="34" t="str">
        <f t="shared" ca="1" si="75"/>
        <v>FC GrönlingenManchester City</v>
      </c>
      <c r="AA153" s="13">
        <f t="shared" ca="1" si="74"/>
        <v>1</v>
      </c>
      <c r="AB153" s="13" t="str">
        <f ca="1">IF(AA81&gt;0,AI81&amp;Sprache!$E$108&amp;AH81,"")</f>
        <v>32 : 50</v>
      </c>
      <c r="AC153" s="594" t="str">
        <f ca="1">IF(AA81&gt;0,AK81&amp;Sprache!$E$108&amp;AJ81,"")</f>
        <v>0 : 2</v>
      </c>
      <c r="AD153" s="13"/>
    </row>
    <row r="154" spans="25:30" x14ac:dyDescent="0.2">
      <c r="Y154" s="65" t="s">
        <v>34</v>
      </c>
      <c r="Z154" s="34" t="str">
        <f t="shared" ca="1" si="75"/>
        <v>FC Barcelona1. FC Riedwald</v>
      </c>
      <c r="AA154" s="13">
        <f t="shared" ca="1" si="74"/>
        <v>1</v>
      </c>
      <c r="AB154" s="13" t="str">
        <f ca="1">IF(AA82&gt;0,AI82&amp;Sprache!$E$108&amp;AH82,"")</f>
        <v>37 : 50</v>
      </c>
      <c r="AC154" s="594" t="str">
        <f ca="1">IF(AA82&gt;0,AK82&amp;Sprache!$E$108&amp;AJ82,"")</f>
        <v>0 : 2</v>
      </c>
      <c r="AD154" s="13"/>
    </row>
    <row r="155" spans="25:30" x14ac:dyDescent="0.2">
      <c r="Y155" s="65" t="s">
        <v>35</v>
      </c>
      <c r="Z155" s="34" t="str">
        <f t="shared" ca="1" si="75"/>
        <v>Inter MailandMainz 05</v>
      </c>
      <c r="AA155" s="13">
        <f t="shared" ca="1" si="74"/>
        <v>1</v>
      </c>
      <c r="AB155" s="13" t="str">
        <f ca="1">IF(AA83&gt;0,AI83&amp;Sprache!$E$108&amp;AH83,"")</f>
        <v>24 : 50</v>
      </c>
      <c r="AC155" s="594" t="str">
        <f ca="1">IF(AA83&gt;0,AK83&amp;Sprache!$E$108&amp;AJ83,"")</f>
        <v>0 : 2</v>
      </c>
      <c r="AD155" s="13"/>
    </row>
    <row r="156" spans="25:30" x14ac:dyDescent="0.2">
      <c r="Y156" s="65" t="s">
        <v>36</v>
      </c>
      <c r="Z156" s="34" t="str">
        <f t="shared" ca="1" si="75"/>
        <v/>
      </c>
      <c r="AA156" s="13">
        <f t="shared" ca="1" si="74"/>
        <v>0</v>
      </c>
      <c r="AB156" s="13" t="str">
        <f ca="1">IF(AA84&gt;0,AI84&amp;Sprache!$E$108&amp;AH84,"")</f>
        <v/>
      </c>
      <c r="AC156" s="594" t="str">
        <f ca="1">IF(AA84&gt;0,AK84&amp;Sprache!$E$108&amp;AJ84,"")</f>
        <v/>
      </c>
      <c r="AD156" s="13"/>
    </row>
    <row r="157" spans="25:30" x14ac:dyDescent="0.2">
      <c r="Y157" s="65" t="s">
        <v>37</v>
      </c>
      <c r="Z157" s="34" t="str">
        <f t="shared" ca="1" si="75"/>
        <v/>
      </c>
      <c r="AA157" s="13">
        <f t="shared" ca="1" si="74"/>
        <v>0</v>
      </c>
      <c r="AB157" s="13" t="str">
        <f ca="1">IF(AA85&gt;0,AI85&amp;Sprache!$E$108&amp;AH85,"")</f>
        <v/>
      </c>
      <c r="AC157" s="594" t="str">
        <f ca="1">IF(AA85&gt;0,AK85&amp;Sprache!$E$108&amp;AJ85,"")</f>
        <v/>
      </c>
      <c r="AD157" s="13"/>
    </row>
    <row r="158" spans="25:30" x14ac:dyDescent="0.2">
      <c r="Y158" s="65" t="s">
        <v>38</v>
      </c>
      <c r="Z158" s="34" t="str">
        <f t="shared" ca="1" si="75"/>
        <v/>
      </c>
      <c r="AA158" s="13">
        <f t="shared" ca="1" si="74"/>
        <v>0</v>
      </c>
      <c r="AB158" s="13" t="str">
        <f ca="1">IF(AA86&gt;0,AI86&amp;Sprache!$E$108&amp;AH86,"")</f>
        <v/>
      </c>
      <c r="AC158" s="594" t="str">
        <f ca="1">IF(AA86&gt;0,AK86&amp;Sprache!$E$108&amp;AJ86,"")</f>
        <v/>
      </c>
      <c r="AD158" s="13"/>
    </row>
    <row r="159" spans="25:30" x14ac:dyDescent="0.2">
      <c r="Y159" s="65" t="s">
        <v>39</v>
      </c>
      <c r="Z159" s="34" t="str">
        <f t="shared" ca="1" si="75"/>
        <v/>
      </c>
      <c r="AA159" s="13">
        <f t="shared" ca="1" si="74"/>
        <v>0</v>
      </c>
      <c r="AB159" s="13" t="str">
        <f ca="1">IF(AA87&gt;0,AI87&amp;Sprache!$E$108&amp;AH87,"")</f>
        <v/>
      </c>
      <c r="AC159" s="594" t="str">
        <f ca="1">IF(AA87&gt;0,AK87&amp;Sprache!$E$108&amp;AJ87,"")</f>
        <v/>
      </c>
      <c r="AD159" s="13"/>
    </row>
    <row r="160" spans="25:30" x14ac:dyDescent="0.2">
      <c r="Y160" s="65" t="s">
        <v>40</v>
      </c>
      <c r="Z160" s="34" t="str">
        <f t="shared" ca="1" si="75"/>
        <v/>
      </c>
      <c r="AA160" s="13">
        <f t="shared" ca="1" si="74"/>
        <v>0</v>
      </c>
      <c r="AB160" s="13" t="str">
        <f ca="1">IF(AA88&gt;0,AI88&amp;Sprache!$E$108&amp;AH88,"")</f>
        <v/>
      </c>
      <c r="AC160" s="594" t="str">
        <f ca="1">IF(AA88&gt;0,AK88&amp;Sprache!$E$108&amp;AJ88,"")</f>
        <v/>
      </c>
      <c r="AD160" s="13"/>
    </row>
    <row r="161" spans="25:30" x14ac:dyDescent="0.2">
      <c r="Y161" s="65" t="s">
        <v>41</v>
      </c>
      <c r="Z161" s="34" t="str">
        <f t="shared" ca="1" si="75"/>
        <v/>
      </c>
      <c r="AA161" s="13">
        <f t="shared" ca="1" si="74"/>
        <v>0</v>
      </c>
      <c r="AB161" s="13" t="str">
        <f ca="1">IF(AA89&gt;0,AI89&amp;Sprache!$E$108&amp;AH89,"")</f>
        <v/>
      </c>
      <c r="AC161" s="594" t="str">
        <f ca="1">IF(AA89&gt;0,AK89&amp;Sprache!$E$108&amp;AJ89,"")</f>
        <v/>
      </c>
      <c r="AD161" s="13"/>
    </row>
    <row r="162" spans="25:30" x14ac:dyDescent="0.2">
      <c r="Y162" s="65" t="s">
        <v>42</v>
      </c>
      <c r="Z162" s="34" t="str">
        <f t="shared" ca="1" si="75"/>
        <v/>
      </c>
      <c r="AA162" s="13">
        <f t="shared" ca="1" si="74"/>
        <v>0</v>
      </c>
      <c r="AB162" s="13" t="str">
        <f ca="1">IF(AA90&gt;0,AI90&amp;Sprache!$E$108&amp;AH90,"")</f>
        <v/>
      </c>
      <c r="AC162" s="594" t="str">
        <f ca="1">IF(AA90&gt;0,AK90&amp;Sprache!$E$108&amp;AJ90,"")</f>
        <v/>
      </c>
      <c r="AD162" s="13"/>
    </row>
    <row r="163" spans="25:30" x14ac:dyDescent="0.2">
      <c r="Y163" s="65" t="s">
        <v>43</v>
      </c>
      <c r="Z163" s="34" t="str">
        <f t="shared" ca="1" si="75"/>
        <v/>
      </c>
      <c r="AA163" s="13">
        <f t="shared" ca="1" si="74"/>
        <v>0</v>
      </c>
      <c r="AB163" s="13" t="str">
        <f ca="1">IF(AA91&gt;0,AI91&amp;Sprache!$E$108&amp;AH91,"")</f>
        <v/>
      </c>
      <c r="AC163" s="594" t="str">
        <f ca="1">IF(AA91&gt;0,AK91&amp;Sprache!$E$108&amp;AJ91,"")</f>
        <v/>
      </c>
      <c r="AD163" s="13"/>
    </row>
    <row r="164" spans="25:30" x14ac:dyDescent="0.2">
      <c r="Y164" s="65" t="s">
        <v>44</v>
      </c>
      <c r="Z164" s="34" t="str">
        <f t="shared" ca="1" si="75"/>
        <v/>
      </c>
      <c r="AA164" s="13">
        <f t="shared" ca="1" si="74"/>
        <v>0</v>
      </c>
      <c r="AB164" s="13" t="str">
        <f ca="1">IF(AA92&gt;0,AI92&amp;Sprache!$E$108&amp;AH92,"")</f>
        <v/>
      </c>
      <c r="AC164" s="594" t="str">
        <f ca="1">IF(AA92&gt;0,AK92&amp;Sprache!$E$108&amp;AJ92,"")</f>
        <v/>
      </c>
      <c r="AD164" s="13"/>
    </row>
    <row r="165" spans="25:30" x14ac:dyDescent="0.2">
      <c r="Y165" s="65" t="s">
        <v>45</v>
      </c>
      <c r="Z165" s="34" t="str">
        <f t="shared" ca="1" si="75"/>
        <v/>
      </c>
      <c r="AA165" s="13">
        <f t="shared" ca="1" si="74"/>
        <v>0</v>
      </c>
      <c r="AB165" s="13" t="str">
        <f ca="1">IF(AA93&gt;0,AI93&amp;Sprache!$E$108&amp;AH93,"")</f>
        <v/>
      </c>
      <c r="AC165" s="594" t="str">
        <f ca="1">IF(AA93&gt;0,AK93&amp;Sprache!$E$108&amp;AJ93,"")</f>
        <v/>
      </c>
      <c r="AD165" s="13"/>
    </row>
    <row r="166" spans="25:30" x14ac:dyDescent="0.2">
      <c r="Y166" s="65" t="s">
        <v>46</v>
      </c>
      <c r="Z166" s="34" t="str">
        <f t="shared" ca="1" si="75"/>
        <v/>
      </c>
      <c r="AA166" s="13">
        <f t="shared" ca="1" si="74"/>
        <v>0</v>
      </c>
      <c r="AB166" s="13" t="str">
        <f ca="1">IF(AA94&gt;0,AI94&amp;Sprache!$E$108&amp;AH94,"")</f>
        <v/>
      </c>
      <c r="AC166" s="594" t="str">
        <f ca="1">IF(AA94&gt;0,AK94&amp;Sprache!$E$108&amp;AJ94,"")</f>
        <v/>
      </c>
      <c r="AD166" s="13"/>
    </row>
    <row r="167" spans="25:30" x14ac:dyDescent="0.2">
      <c r="Y167" s="65" t="s">
        <v>47</v>
      </c>
      <c r="Z167" s="34" t="str">
        <f t="shared" ca="1" si="75"/>
        <v/>
      </c>
      <c r="AA167" s="13">
        <f t="shared" ca="1" si="74"/>
        <v>0</v>
      </c>
      <c r="AB167" s="13" t="str">
        <f ca="1">IF(AA95&gt;0,AI95&amp;Sprache!$E$108&amp;AH95,"")</f>
        <v/>
      </c>
      <c r="AC167" s="594" t="str">
        <f ca="1">IF(AA95&gt;0,AK95&amp;Sprache!$E$108&amp;AJ95,"")</f>
        <v/>
      </c>
      <c r="AD167" s="13"/>
    </row>
    <row r="168" spans="25:30" x14ac:dyDescent="0.2">
      <c r="Y168" s="65" t="s">
        <v>48</v>
      </c>
      <c r="Z168" s="34" t="str">
        <f t="shared" ca="1" si="75"/>
        <v/>
      </c>
      <c r="AA168" s="13">
        <f t="shared" ca="1" si="74"/>
        <v>0</v>
      </c>
      <c r="AB168" s="13" t="str">
        <f ca="1">IF(AA96&gt;0,AI96&amp;Sprache!$E$108&amp;AH96,"")</f>
        <v/>
      </c>
      <c r="AC168" s="594" t="str">
        <f ca="1">IF(AA96&gt;0,AK96&amp;Sprache!$E$108&amp;AJ96,"")</f>
        <v/>
      </c>
      <c r="AD168" s="13"/>
    </row>
    <row r="169" spans="25:30" x14ac:dyDescent="0.2">
      <c r="Y169" s="65" t="s">
        <v>49</v>
      </c>
      <c r="Z169" s="34" t="str">
        <f t="shared" ca="1" si="75"/>
        <v/>
      </c>
      <c r="AA169" s="13">
        <f t="shared" ca="1" si="74"/>
        <v>0</v>
      </c>
      <c r="AB169" s="13" t="str">
        <f ca="1">IF(AA97&gt;0,AI97&amp;Sprache!$E$108&amp;AH97,"")</f>
        <v/>
      </c>
      <c r="AC169" s="594" t="str">
        <f ca="1">IF(AA97&gt;0,AK97&amp;Sprache!$E$108&amp;AJ97,"")</f>
        <v/>
      </c>
      <c r="AD169" s="13"/>
    </row>
    <row r="170" spans="25:30" x14ac:dyDescent="0.2">
      <c r="Y170" s="65" t="s">
        <v>50</v>
      </c>
      <c r="Z170" s="34" t="str">
        <f t="shared" ca="1" si="75"/>
        <v/>
      </c>
      <c r="AA170" s="13">
        <f t="shared" ca="1" si="74"/>
        <v>0</v>
      </c>
      <c r="AB170" s="13" t="str">
        <f ca="1">IF(AA98&gt;0,AI98&amp;Sprache!$E$108&amp;AH98,"")</f>
        <v/>
      </c>
      <c r="AC170" s="594" t="str">
        <f ca="1">IF(AA98&gt;0,AK98&amp;Sprache!$E$108&amp;AJ98,"")</f>
        <v/>
      </c>
      <c r="AD170" s="13"/>
    </row>
    <row r="171" spans="25:30" x14ac:dyDescent="0.2">
      <c r="Y171" s="65" t="s">
        <v>51</v>
      </c>
      <c r="Z171" s="34" t="str">
        <f t="shared" ca="1" si="75"/>
        <v/>
      </c>
      <c r="AA171" s="13">
        <f t="shared" ca="1" si="74"/>
        <v>0</v>
      </c>
      <c r="AB171" s="13" t="str">
        <f ca="1">IF(AA99&gt;0,AI99&amp;Sprache!$E$108&amp;AH99,"")</f>
        <v/>
      </c>
      <c r="AC171" s="594" t="str">
        <f ca="1">IF(AA99&gt;0,AK99&amp;Sprache!$E$108&amp;AJ99,"")</f>
        <v/>
      </c>
      <c r="AD171" s="13"/>
    </row>
    <row r="172" spans="25:30" x14ac:dyDescent="0.2">
      <c r="Y172" s="65" t="s">
        <v>58</v>
      </c>
      <c r="Z172" s="34" t="str">
        <f t="shared" ca="1" si="75"/>
        <v/>
      </c>
      <c r="AA172" s="13">
        <f t="shared" ca="1" si="74"/>
        <v>0</v>
      </c>
      <c r="AB172" s="13" t="str">
        <f ca="1">IF(AA100&gt;0,AI100&amp;Sprache!$E$108&amp;AH100,"")</f>
        <v/>
      </c>
      <c r="AC172" s="594" t="str">
        <f ca="1">IF(AA100&gt;0,AK100&amp;Sprache!$E$108&amp;AJ100,"")</f>
        <v/>
      </c>
      <c r="AD172" s="13"/>
    </row>
    <row r="173" spans="25:30" x14ac:dyDescent="0.2">
      <c r="Y173" s="65" t="s">
        <v>59</v>
      </c>
      <c r="Z173" s="34" t="str">
        <f t="shared" ca="1" si="75"/>
        <v/>
      </c>
      <c r="AA173" s="13">
        <f t="shared" ca="1" si="74"/>
        <v>0</v>
      </c>
      <c r="AB173" s="13" t="str">
        <f ca="1">IF(AA101&gt;0,AI101&amp;Sprache!$E$108&amp;AH101,"")</f>
        <v/>
      </c>
      <c r="AC173" s="594" t="str">
        <f ca="1">IF(AA101&gt;0,AK101&amp;Sprache!$E$108&amp;AJ101,"")</f>
        <v/>
      </c>
      <c r="AD173" s="13"/>
    </row>
    <row r="174" spans="25:30" x14ac:dyDescent="0.2">
      <c r="Y174" s="65" t="s">
        <v>60</v>
      </c>
      <c r="Z174" s="34" t="str">
        <f t="shared" ca="1" si="75"/>
        <v/>
      </c>
      <c r="AA174" s="13">
        <f t="shared" ca="1" si="74"/>
        <v>0</v>
      </c>
      <c r="AB174" s="13" t="str">
        <f ca="1">IF(AA102&gt;0,AI102&amp;Sprache!$E$108&amp;AH102,"")</f>
        <v/>
      </c>
      <c r="AC174" s="594" t="str">
        <f ca="1">IF(AA102&gt;0,AK102&amp;Sprache!$E$108&amp;AJ102,"")</f>
        <v/>
      </c>
      <c r="AD174" s="13"/>
    </row>
    <row r="175" spans="25:30" x14ac:dyDescent="0.2">
      <c r="Y175" s="65" t="s">
        <v>61</v>
      </c>
      <c r="Z175" s="34" t="str">
        <f t="shared" ca="1" si="75"/>
        <v/>
      </c>
      <c r="AA175" s="13">
        <f t="shared" ca="1" si="74"/>
        <v>0</v>
      </c>
      <c r="AB175" s="13" t="str">
        <f ca="1">IF(AA103&gt;0,AI103&amp;Sprache!$E$108&amp;AH103,"")</f>
        <v/>
      </c>
      <c r="AC175" s="594" t="str">
        <f ca="1">IF(AA103&gt;0,AK103&amp;Sprache!$E$108&amp;AJ103,"")</f>
        <v/>
      </c>
      <c r="AD175" s="13"/>
    </row>
    <row r="176" spans="25:30" x14ac:dyDescent="0.2">
      <c r="Y176" s="65" t="s">
        <v>62</v>
      </c>
      <c r="Z176" s="34" t="str">
        <f t="shared" ca="1" si="75"/>
        <v/>
      </c>
      <c r="AA176" s="13">
        <f t="shared" ca="1" si="74"/>
        <v>0</v>
      </c>
      <c r="AB176" s="13" t="str">
        <f ca="1">IF(AA104&gt;0,AI104&amp;Sprache!$E$108&amp;AH104,"")</f>
        <v/>
      </c>
      <c r="AC176" s="594" t="str">
        <f ca="1">IF(AA104&gt;0,AK104&amp;Sprache!$E$108&amp;AJ104,"")</f>
        <v/>
      </c>
      <c r="AD176" s="13"/>
    </row>
    <row r="177" spans="25:30" x14ac:dyDescent="0.2">
      <c r="Y177" s="65" t="s">
        <v>63</v>
      </c>
      <c r="Z177" s="34" t="str">
        <f t="shared" ca="1" si="75"/>
        <v/>
      </c>
      <c r="AA177" s="13">
        <f t="shared" ca="1" si="74"/>
        <v>0</v>
      </c>
      <c r="AB177" s="13" t="str">
        <f ca="1">IF(AA105&gt;0,AI105&amp;Sprache!$E$108&amp;AH105,"")</f>
        <v/>
      </c>
      <c r="AC177" s="594" t="str">
        <f ca="1">IF(AA105&gt;0,AK105&amp;Sprache!$E$108&amp;AJ105,"")</f>
        <v/>
      </c>
      <c r="AD177" s="13"/>
    </row>
    <row r="178" spans="25:30" x14ac:dyDescent="0.2">
      <c r="Y178" s="65" t="s">
        <v>64</v>
      </c>
      <c r="Z178" s="34" t="str">
        <f t="shared" ca="1" si="75"/>
        <v/>
      </c>
      <c r="AA178" s="13">
        <f t="shared" ca="1" si="74"/>
        <v>0</v>
      </c>
      <c r="AB178" s="13" t="str">
        <f ca="1">IF(AA106&gt;0,AI106&amp;Sprache!$E$108&amp;AH106,"")</f>
        <v/>
      </c>
      <c r="AC178" s="594" t="str">
        <f ca="1">IF(AA106&gt;0,AK106&amp;Sprache!$E$108&amp;AJ106,"")</f>
        <v/>
      </c>
      <c r="AD178" s="13"/>
    </row>
    <row r="179" spans="25:30" x14ac:dyDescent="0.2">
      <c r="Y179" s="65" t="s">
        <v>65</v>
      </c>
      <c r="Z179" s="34" t="str">
        <f t="shared" ca="1" si="75"/>
        <v/>
      </c>
      <c r="AA179" s="13">
        <f t="shared" ca="1" si="74"/>
        <v>0</v>
      </c>
      <c r="AB179" s="13" t="str">
        <f ca="1">IF(AA107&gt;0,AI107&amp;Sprache!$E$108&amp;AH107,"")</f>
        <v/>
      </c>
      <c r="AC179" s="594" t="str">
        <f ca="1">IF(AA107&gt;0,AK107&amp;Sprache!$E$108&amp;AJ107,"")</f>
        <v/>
      </c>
      <c r="AD179" s="13"/>
    </row>
    <row r="180" spans="25:30" x14ac:dyDescent="0.2">
      <c r="Y180" s="65" t="s">
        <v>66</v>
      </c>
      <c r="Z180" s="34" t="str">
        <f t="shared" ca="1" si="75"/>
        <v/>
      </c>
      <c r="AA180" s="13">
        <f t="shared" ca="1" si="74"/>
        <v>0</v>
      </c>
      <c r="AB180" s="13" t="str">
        <f ca="1">IF(AA108&gt;0,AI108&amp;Sprache!$E$108&amp;AH108,"")</f>
        <v/>
      </c>
      <c r="AC180" s="594" t="str">
        <f ca="1">IF(AA108&gt;0,AK108&amp;Sprache!$E$108&amp;AJ108,"")</f>
        <v/>
      </c>
      <c r="AD180" s="13"/>
    </row>
    <row r="181" spans="25:30" x14ac:dyDescent="0.2">
      <c r="Y181" s="65" t="s">
        <v>67</v>
      </c>
      <c r="Z181" s="34" t="str">
        <f t="shared" ca="1" si="75"/>
        <v/>
      </c>
      <c r="AA181" s="13">
        <f t="shared" ca="1" si="74"/>
        <v>0</v>
      </c>
      <c r="AB181" s="13" t="str">
        <f ca="1">IF(AA109&gt;0,AI109&amp;Sprache!$E$108&amp;AH109,"")</f>
        <v/>
      </c>
      <c r="AC181" s="594" t="str">
        <f ca="1">IF(AA109&gt;0,AK109&amp;Sprache!$E$108&amp;AJ109,"")</f>
        <v/>
      </c>
      <c r="AD181" s="13"/>
    </row>
    <row r="182" spans="25:30" x14ac:dyDescent="0.2">
      <c r="Y182" s="65" t="s">
        <v>68</v>
      </c>
      <c r="Z182" s="34" t="str">
        <f t="shared" ca="1" si="75"/>
        <v/>
      </c>
      <c r="AA182" s="13">
        <f t="shared" ca="1" si="74"/>
        <v>0</v>
      </c>
      <c r="AB182" s="13" t="str">
        <f ca="1">IF(AA110&gt;0,AI110&amp;Sprache!$E$108&amp;AH110,"")</f>
        <v/>
      </c>
      <c r="AC182" s="594" t="str">
        <f ca="1">IF(AA110&gt;0,AK110&amp;Sprache!$E$108&amp;AJ110,"")</f>
        <v/>
      </c>
      <c r="AD182" s="13"/>
    </row>
    <row r="183" spans="25:30" x14ac:dyDescent="0.2">
      <c r="Y183" s="65" t="s">
        <v>69</v>
      </c>
      <c r="Z183" s="34" t="str">
        <f t="shared" ca="1" si="75"/>
        <v/>
      </c>
      <c r="AA183" s="13">
        <f t="shared" ca="1" si="74"/>
        <v>0</v>
      </c>
      <c r="AB183" s="13" t="str">
        <f ca="1">IF(AA111&gt;0,AI111&amp;Sprache!$E$108&amp;AH111,"")</f>
        <v/>
      </c>
      <c r="AC183" s="594" t="str">
        <f ca="1">IF(AA111&gt;0,AK111&amp;Sprache!$E$108&amp;AJ111,"")</f>
        <v/>
      </c>
      <c r="AD183" s="13"/>
    </row>
    <row r="184" spans="25:30" x14ac:dyDescent="0.2">
      <c r="Y184" s="65" t="s">
        <v>70</v>
      </c>
      <c r="Z184" s="34" t="str">
        <f t="shared" ca="1" si="75"/>
        <v/>
      </c>
      <c r="AA184" s="13">
        <f t="shared" ca="1" si="74"/>
        <v>0</v>
      </c>
      <c r="AB184" s="13" t="str">
        <f ca="1">IF(AA112&gt;0,AI112&amp;Sprache!$E$108&amp;AH112,"")</f>
        <v/>
      </c>
      <c r="AC184" s="594" t="str">
        <f ca="1">IF(AA112&gt;0,AK112&amp;Sprache!$E$108&amp;AJ112,"")</f>
        <v/>
      </c>
      <c r="AD184" s="13"/>
    </row>
    <row r="185" spans="25:30" x14ac:dyDescent="0.2">
      <c r="Y185" s="65" t="s">
        <v>71</v>
      </c>
      <c r="Z185" s="34" t="str">
        <f t="shared" ca="1" si="75"/>
        <v/>
      </c>
      <c r="AA185" s="13">
        <f t="shared" ca="1" si="74"/>
        <v>0</v>
      </c>
      <c r="AB185" s="13" t="str">
        <f ca="1">IF(AA113&gt;0,AI113&amp;Sprache!$E$108&amp;AH113,"")</f>
        <v/>
      </c>
      <c r="AC185" s="594" t="str">
        <f ca="1">IF(AA113&gt;0,AK113&amp;Sprache!$E$108&amp;AJ113,"")</f>
        <v/>
      </c>
      <c r="AD185" s="13"/>
    </row>
    <row r="186" spans="25:30" x14ac:dyDescent="0.2">
      <c r="Y186" s="65" t="s">
        <v>72</v>
      </c>
      <c r="Z186" s="34" t="str">
        <f t="shared" ca="1" si="75"/>
        <v/>
      </c>
      <c r="AA186" s="13">
        <f t="shared" ca="1" si="74"/>
        <v>0</v>
      </c>
      <c r="AB186" s="13" t="str">
        <f ca="1">IF(AA114&gt;0,AI114&amp;Sprache!$E$108&amp;AH114,"")</f>
        <v/>
      </c>
      <c r="AC186" s="594" t="str">
        <f ca="1">IF(AA114&gt;0,AK114&amp;Sprache!$E$108&amp;AJ114,"")</f>
        <v/>
      </c>
      <c r="AD186" s="13"/>
    </row>
    <row r="187" spans="25:30" x14ac:dyDescent="0.2">
      <c r="Y187" s="65" t="s">
        <v>73</v>
      </c>
      <c r="Z187" s="34" t="str">
        <f t="shared" ca="1" si="75"/>
        <v/>
      </c>
      <c r="AA187" s="13">
        <f t="shared" ca="1" si="74"/>
        <v>0</v>
      </c>
      <c r="AB187" s="13" t="str">
        <f ca="1">IF(AA115&gt;0,AI115&amp;Sprache!$E$108&amp;AH115,"")</f>
        <v/>
      </c>
      <c r="AC187" s="594" t="str">
        <f ca="1">IF(AA115&gt;0,AK115&amp;Sprache!$E$108&amp;AJ115,"")</f>
        <v/>
      </c>
      <c r="AD187" s="13"/>
    </row>
    <row r="188" spans="25:30" x14ac:dyDescent="0.2">
      <c r="Y188" s="65" t="s">
        <v>74</v>
      </c>
      <c r="Z188" s="34" t="str">
        <f t="shared" ca="1" si="75"/>
        <v/>
      </c>
      <c r="AA188" s="13">
        <f t="shared" ca="1" si="74"/>
        <v>0</v>
      </c>
      <c r="AB188" s="13" t="str">
        <f ca="1">IF(AA116&gt;0,AI116&amp;Sprache!$E$108&amp;AH116,"")</f>
        <v/>
      </c>
      <c r="AC188" s="594" t="str">
        <f ca="1">IF(AA116&gt;0,AK116&amp;Sprache!$E$108&amp;AJ116,"")</f>
        <v/>
      </c>
      <c r="AD188" s="13"/>
    </row>
    <row r="189" spans="25:30" x14ac:dyDescent="0.2">
      <c r="Y189" s="65" t="s">
        <v>75</v>
      </c>
      <c r="Z189" s="34" t="str">
        <f t="shared" ca="1" si="75"/>
        <v/>
      </c>
      <c r="AA189" s="13">
        <f t="shared" ca="1" si="74"/>
        <v>0</v>
      </c>
      <c r="AB189" s="13" t="str">
        <f ca="1">IF(AA117&gt;0,AI117&amp;Sprache!$E$108&amp;AH117,"")</f>
        <v/>
      </c>
      <c r="AC189" s="594" t="str">
        <f ca="1">IF(AA117&gt;0,AK117&amp;Sprache!$E$108&amp;AJ117,"")</f>
        <v/>
      </c>
      <c r="AD189" s="13"/>
    </row>
    <row r="190" spans="25:30" x14ac:dyDescent="0.2">
      <c r="Y190" s="65" t="s">
        <v>76</v>
      </c>
      <c r="Z190" s="34" t="str">
        <f t="shared" ca="1" si="75"/>
        <v/>
      </c>
      <c r="AA190" s="13">
        <f t="shared" ca="1" si="74"/>
        <v>0</v>
      </c>
      <c r="AB190" s="13" t="str">
        <f ca="1">IF(AA118&gt;0,AI118&amp;Sprache!$E$108&amp;AH118,"")</f>
        <v/>
      </c>
      <c r="AC190" s="594" t="str">
        <f ca="1">IF(AA118&gt;0,AK118&amp;Sprache!$E$108&amp;AJ118,"")</f>
        <v/>
      </c>
      <c r="AD190" s="13"/>
    </row>
    <row r="191" spans="25:30" x14ac:dyDescent="0.2">
      <c r="Y191" s="65" t="s">
        <v>77</v>
      </c>
      <c r="Z191" s="34" t="str">
        <f t="shared" ca="1" si="75"/>
        <v/>
      </c>
      <c r="AA191" s="13">
        <f t="shared" ca="1" si="74"/>
        <v>0</v>
      </c>
      <c r="AB191" s="13" t="str">
        <f ca="1">IF(AA119&gt;0,AI119&amp;Sprache!$E$108&amp;AH119,"")</f>
        <v/>
      </c>
      <c r="AC191" s="594" t="str">
        <f ca="1">IF(AA119&gt;0,AK119&amp;Sprache!$E$108&amp;AJ119,"")</f>
        <v/>
      </c>
      <c r="AD191" s="13"/>
    </row>
    <row r="192" spans="25:30" x14ac:dyDescent="0.2">
      <c r="Y192" s="65" t="s">
        <v>78</v>
      </c>
      <c r="Z192" s="34" t="str">
        <f t="shared" ca="1" si="75"/>
        <v/>
      </c>
      <c r="AA192" s="13">
        <f t="shared" ca="1" si="74"/>
        <v>0</v>
      </c>
      <c r="AB192" s="13" t="str">
        <f ca="1">IF(AA120&gt;0,AI120&amp;Sprache!$E$108&amp;AH120,"")</f>
        <v/>
      </c>
      <c r="AC192" s="594" t="str">
        <f ca="1">IF(AA120&gt;0,AK120&amp;Sprache!$E$108&amp;AJ120,"")</f>
        <v/>
      </c>
      <c r="AD192" s="13"/>
    </row>
    <row r="193" spans="25:30" x14ac:dyDescent="0.2">
      <c r="Y193" s="65" t="s">
        <v>79</v>
      </c>
      <c r="Z193" s="34" t="str">
        <f t="shared" ca="1" si="75"/>
        <v/>
      </c>
      <c r="AA193" s="13">
        <f t="shared" ca="1" si="74"/>
        <v>0</v>
      </c>
      <c r="AB193" s="13" t="str">
        <f ca="1">IF(AA121&gt;0,AI121&amp;Sprache!$E$108&amp;AH121,"")</f>
        <v/>
      </c>
      <c r="AC193" s="594" t="str">
        <f ca="1">IF(AA121&gt;0,AK121&amp;Sprache!$E$108&amp;AJ121,"")</f>
        <v/>
      </c>
      <c r="AD193" s="13"/>
    </row>
    <row r="194" spans="25:30" x14ac:dyDescent="0.2">
      <c r="Y194" s="65" t="s">
        <v>80</v>
      </c>
      <c r="Z194" s="34" t="str">
        <f t="shared" ca="1" si="75"/>
        <v/>
      </c>
      <c r="AA194" s="13">
        <f t="shared" ca="1" si="74"/>
        <v>0</v>
      </c>
      <c r="AB194" s="13" t="str">
        <f ca="1">IF(AA122&gt;0,AI122&amp;Sprache!$E$108&amp;AH122,"")</f>
        <v/>
      </c>
      <c r="AC194" s="594" t="str">
        <f ca="1">IF(AA122&gt;0,AK122&amp;Sprache!$E$108&amp;AJ122,"")</f>
        <v/>
      </c>
      <c r="AD194" s="13"/>
    </row>
    <row r="195" spans="25:30" x14ac:dyDescent="0.2">
      <c r="Y195" s="65" t="s">
        <v>81</v>
      </c>
      <c r="Z195" s="34" t="str">
        <f t="shared" ca="1" si="75"/>
        <v/>
      </c>
      <c r="AA195" s="13">
        <f t="shared" ca="1" si="74"/>
        <v>0</v>
      </c>
      <c r="AB195" s="13" t="str">
        <f ca="1">IF(AA123&gt;0,AI123&amp;Sprache!$E$108&amp;AH123,"")</f>
        <v/>
      </c>
      <c r="AC195" s="594" t="str">
        <f ca="1">IF(AA123&gt;0,AK123&amp;Sprache!$E$108&amp;AJ123,"")</f>
        <v/>
      </c>
      <c r="AD195" s="13"/>
    </row>
    <row r="196" spans="25:30" x14ac:dyDescent="0.2">
      <c r="Y196" s="65" t="s">
        <v>82</v>
      </c>
      <c r="Z196" s="34" t="str">
        <f t="shared" ca="1" si="75"/>
        <v/>
      </c>
      <c r="AA196" s="13">
        <f t="shared" ca="1" si="74"/>
        <v>0</v>
      </c>
      <c r="AB196" s="13" t="str">
        <f ca="1">IF(AA124&gt;0,AI124&amp;Sprache!$E$108&amp;AH124,"")</f>
        <v/>
      </c>
      <c r="AC196" s="594" t="str">
        <f ca="1">IF(AA124&gt;0,AK124&amp;Sprache!$E$108&amp;AJ124,"")</f>
        <v/>
      </c>
      <c r="AD196" s="13"/>
    </row>
    <row r="197" spans="25:30" x14ac:dyDescent="0.2">
      <c r="Y197" s="65" t="s">
        <v>83</v>
      </c>
      <c r="Z197" s="34" t="str">
        <f t="shared" ca="1" si="75"/>
        <v/>
      </c>
      <c r="AA197" s="13">
        <f t="shared" ca="1" si="74"/>
        <v>0</v>
      </c>
      <c r="AB197" s="13" t="str">
        <f ca="1">IF(AA125&gt;0,AI125&amp;Sprache!$E$108&amp;AH125,"")</f>
        <v/>
      </c>
      <c r="AC197" s="594" t="str">
        <f ca="1">IF(AA125&gt;0,AK125&amp;Sprache!$E$108&amp;AJ125,"")</f>
        <v/>
      </c>
      <c r="AD197" s="13"/>
    </row>
    <row r="198" spans="25:30" x14ac:dyDescent="0.2">
      <c r="Y198" s="65" t="s">
        <v>84</v>
      </c>
      <c r="Z198" s="34" t="str">
        <f t="shared" ca="1" si="75"/>
        <v/>
      </c>
      <c r="AA198" s="13">
        <f t="shared" ca="1" si="74"/>
        <v>0</v>
      </c>
      <c r="AB198" s="13" t="str">
        <f ca="1">IF(AA126&gt;0,AI126&amp;Sprache!$E$108&amp;AH126,"")</f>
        <v/>
      </c>
      <c r="AC198" s="594" t="str">
        <f ca="1">IF(AA126&gt;0,AK126&amp;Sprache!$E$108&amp;AJ126,"")</f>
        <v/>
      </c>
      <c r="AD198" s="13"/>
    </row>
    <row r="199" spans="25:30" x14ac:dyDescent="0.2">
      <c r="Y199" s="65" t="s">
        <v>85</v>
      </c>
      <c r="Z199" s="34" t="str">
        <f t="shared" ca="1" si="75"/>
        <v/>
      </c>
      <c r="AA199" s="13">
        <f t="shared" ca="1" si="74"/>
        <v>0</v>
      </c>
      <c r="AB199" s="13" t="str">
        <f ca="1">IF(AA127&gt;0,AI127&amp;Sprache!$E$108&amp;AH127,"")</f>
        <v/>
      </c>
      <c r="AC199" s="594" t="str">
        <f ca="1">IF(AA127&gt;0,AK127&amp;Sprache!$E$108&amp;AJ127,"")</f>
        <v/>
      </c>
      <c r="AD199" s="13"/>
    </row>
    <row r="200" spans="25:30" x14ac:dyDescent="0.2">
      <c r="Y200" s="65" t="s">
        <v>86</v>
      </c>
      <c r="Z200" s="34" t="str">
        <f t="shared" ca="1" si="75"/>
        <v/>
      </c>
      <c r="AA200" s="13">
        <f t="shared" ca="1" si="74"/>
        <v>0</v>
      </c>
      <c r="AB200" s="13" t="str">
        <f ca="1">IF(AA128&gt;0,AI128&amp;Sprache!$E$108&amp;AH128,"")</f>
        <v/>
      </c>
      <c r="AC200" s="594" t="str">
        <f ca="1">IF(AA128&gt;0,AK128&amp;Sprache!$E$108&amp;AJ128,"")</f>
        <v/>
      </c>
      <c r="AD200" s="13"/>
    </row>
    <row r="201" spans="25:30" x14ac:dyDescent="0.2">
      <c r="Y201" s="65" t="s">
        <v>87</v>
      </c>
      <c r="Z201" s="34" t="str">
        <f t="shared" ca="1" si="75"/>
        <v/>
      </c>
      <c r="AA201" s="13">
        <f t="shared" ref="AA201:AA207" ca="1" si="76">AA129</f>
        <v>0</v>
      </c>
      <c r="AB201" s="13" t="str">
        <f ca="1">IF(AA129&gt;0,AI129&amp;Sprache!$E$108&amp;AH129,"")</f>
        <v/>
      </c>
      <c r="AC201" s="594" t="str">
        <f ca="1">IF(AA129&gt;0,AK129&amp;Sprache!$E$108&amp;AJ129,"")</f>
        <v/>
      </c>
      <c r="AD201" s="13"/>
    </row>
    <row r="202" spans="25:30" x14ac:dyDescent="0.2">
      <c r="Y202" s="65" t="s">
        <v>88</v>
      </c>
      <c r="Z202" s="34" t="str">
        <f t="shared" ref="Z202:Z206" ca="1" si="77">W130&amp;V130</f>
        <v/>
      </c>
      <c r="AA202" s="13">
        <f t="shared" ca="1" si="76"/>
        <v>0</v>
      </c>
      <c r="AB202" s="13" t="str">
        <f ca="1">IF(AA130&gt;0,AI130&amp;Sprache!$E$108&amp;AH130,"")</f>
        <v/>
      </c>
      <c r="AC202" s="594" t="str">
        <f ca="1">IF(AA130&gt;0,AK130&amp;Sprache!$E$108&amp;AJ130,"")</f>
        <v/>
      </c>
      <c r="AD202" s="13"/>
    </row>
    <row r="203" spans="25:30" x14ac:dyDescent="0.2">
      <c r="Y203" s="65" t="s">
        <v>89</v>
      </c>
      <c r="Z203" s="34" t="str">
        <f t="shared" ca="1" si="77"/>
        <v/>
      </c>
      <c r="AA203" s="13">
        <f t="shared" ca="1" si="76"/>
        <v>0</v>
      </c>
      <c r="AB203" s="13" t="str">
        <f ca="1">IF(AA131&gt;0,AI131&amp;Sprache!$E$108&amp;AH131,"")</f>
        <v/>
      </c>
      <c r="AC203" s="594" t="str">
        <f ca="1">IF(AA131&gt;0,AK131&amp;Sprache!$E$108&amp;AJ131,"")</f>
        <v/>
      </c>
      <c r="AD203" s="13"/>
    </row>
    <row r="204" spans="25:30" x14ac:dyDescent="0.2">
      <c r="Y204" s="65" t="s">
        <v>90</v>
      </c>
      <c r="Z204" s="34" t="str">
        <f t="shared" ca="1" si="77"/>
        <v/>
      </c>
      <c r="AA204" s="13">
        <f t="shared" ca="1" si="76"/>
        <v>0</v>
      </c>
      <c r="AB204" s="13" t="str">
        <f ca="1">IF(AA132&gt;0,AI132&amp;Sprache!$E$108&amp;AH132,"")</f>
        <v/>
      </c>
      <c r="AC204" s="594" t="str">
        <f ca="1">IF(AA132&gt;0,AK132&amp;Sprache!$E$108&amp;AJ132,"")</f>
        <v/>
      </c>
      <c r="AD204" s="13"/>
    </row>
    <row r="205" spans="25:30" x14ac:dyDescent="0.2">
      <c r="Y205" s="65" t="s">
        <v>91</v>
      </c>
      <c r="Z205" s="34" t="str">
        <f t="shared" ca="1" si="77"/>
        <v/>
      </c>
      <c r="AA205" s="13">
        <f t="shared" ca="1" si="76"/>
        <v>0</v>
      </c>
      <c r="AB205" s="13" t="str">
        <f ca="1">IF(AA133&gt;0,AI133&amp;Sprache!$E$108&amp;AH133,"")</f>
        <v/>
      </c>
      <c r="AC205" s="594" t="str">
        <f ca="1">IF(AA133&gt;0,AK133&amp;Sprache!$E$108&amp;AJ133,"")</f>
        <v/>
      </c>
      <c r="AD205" s="13"/>
    </row>
    <row r="206" spans="25:30" x14ac:dyDescent="0.2">
      <c r="Y206" s="65" t="s">
        <v>92</v>
      </c>
      <c r="Z206" s="34" t="str">
        <f t="shared" ca="1" si="77"/>
        <v/>
      </c>
      <c r="AA206" s="13">
        <f t="shared" ca="1" si="76"/>
        <v>0</v>
      </c>
      <c r="AB206" s="13" t="str">
        <f ca="1">IF(AA134&gt;0,AI134&amp;Sprache!$E$108&amp;AH134,"")</f>
        <v/>
      </c>
      <c r="AC206" s="594" t="str">
        <f ca="1">IF(AA134&gt;0,AK134&amp;Sprache!$E$108&amp;AJ134,"")</f>
        <v/>
      </c>
      <c r="AD206" s="13"/>
    </row>
    <row r="207" spans="25:30" ht="12.75" thickBot="1" x14ac:dyDescent="0.25">
      <c r="Y207" s="66" t="s">
        <v>93</v>
      </c>
      <c r="Z207" s="36" t="str">
        <f ca="1">W135&amp;V135</f>
        <v/>
      </c>
      <c r="AA207" s="37">
        <f t="shared" ca="1" si="76"/>
        <v>0</v>
      </c>
      <c r="AB207" s="37" t="str">
        <f ca="1">IF(AA135&gt;0,AI135&amp;Sprache!$E$108&amp;AH135,"")</f>
        <v/>
      </c>
      <c r="AC207" s="595" t="str">
        <f ca="1">IF(AA135&gt;0,AK135&amp;Sprache!$E$108&amp;AJ135,"")</f>
        <v/>
      </c>
      <c r="AD207" s="40"/>
    </row>
    <row r="208" spans="25:30" ht="12.75" thickTop="1" x14ac:dyDescent="0.2"/>
  </sheetData>
  <mergeCells count="18">
    <mergeCell ref="BI29:BP29"/>
    <mergeCell ref="AS29:AZ29"/>
    <mergeCell ref="BA29:BH29"/>
    <mergeCell ref="E29:L29"/>
    <mergeCell ref="M29:T29"/>
    <mergeCell ref="U29:AB29"/>
    <mergeCell ref="AC29:AJ29"/>
    <mergeCell ref="AK29:AR29"/>
    <mergeCell ref="W3:AA3"/>
    <mergeCell ref="AB3:AF3"/>
    <mergeCell ref="AG3:AK3"/>
    <mergeCell ref="AL3:AP3"/>
    <mergeCell ref="AL63:AM63"/>
    <mergeCell ref="X63:Y63"/>
    <mergeCell ref="AD63:AE63"/>
    <mergeCell ref="AF63:AG63"/>
    <mergeCell ref="AH63:AI63"/>
    <mergeCell ref="AJ63:AK63"/>
  </mergeCells>
  <phoneticPr fontId="3" type="noConversion"/>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C923E-DE65-4562-9D16-4BB3B2FB7E1B}">
  <dimension ref="A1:CB208"/>
  <sheetViews>
    <sheetView zoomScaleNormal="100" workbookViewId="0">
      <selection activeCell="Y25" sqref="Y25"/>
    </sheetView>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8.85546875" style="10" customWidth="1"/>
    <col min="8" max="8" width="6.42578125" style="10" customWidth="1"/>
    <col min="9" max="9" width="9.140625" style="10" customWidth="1"/>
    <col min="10" max="10" width="8.28515625" style="10" customWidth="1"/>
    <col min="11" max="11" width="12.1406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10"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50" s="2" customFormat="1" x14ac:dyDescent="0.2">
      <c r="Z1" s="1"/>
    </row>
    <row r="2" spans="1:50" s="2" customFormat="1" x14ac:dyDescent="0.2">
      <c r="B2" s="13"/>
      <c r="C2" s="13"/>
      <c r="D2" s="13"/>
      <c r="E2" s="13"/>
      <c r="F2" s="1"/>
      <c r="G2" s="1"/>
      <c r="H2" s="1"/>
      <c r="I2" s="1"/>
      <c r="J2" s="1"/>
      <c r="K2" s="1"/>
      <c r="L2" s="1"/>
      <c r="M2" s="1"/>
      <c r="N2" s="13"/>
      <c r="O2" s="1"/>
      <c r="P2" s="1"/>
      <c r="Q2" s="1"/>
      <c r="W2" s="2" t="s">
        <v>148</v>
      </c>
      <c r="AV2" s="2" t="s">
        <v>385</v>
      </c>
    </row>
    <row r="3" spans="1:50" s="2" customFormat="1" ht="13.5" customHeight="1" thickBot="1" x14ac:dyDescent="0.25">
      <c r="B3" s="1"/>
      <c r="C3" s="13"/>
      <c r="D3" s="13"/>
      <c r="E3" s="13"/>
      <c r="F3" s="13"/>
      <c r="G3" s="68" t="s">
        <v>107</v>
      </c>
      <c r="H3" s="68" t="s">
        <v>108</v>
      </c>
      <c r="I3" s="602" t="s">
        <v>381</v>
      </c>
      <c r="J3" s="602" t="s">
        <v>110</v>
      </c>
      <c r="K3" s="602" t="s">
        <v>103</v>
      </c>
      <c r="L3" s="28" t="s">
        <v>104</v>
      </c>
      <c r="M3" s="28" t="s">
        <v>105</v>
      </c>
      <c r="N3" s="28" t="s">
        <v>106</v>
      </c>
      <c r="O3" s="107">
        <f t="shared" ref="O3:V3" ca="1" si="0">IF(9-COUNTIF(O$17:O$25,"")&gt;1,O$16,99999)</f>
        <v>99999</v>
      </c>
      <c r="P3" s="108">
        <f t="shared" ca="1" si="0"/>
        <v>99999</v>
      </c>
      <c r="Q3" s="108">
        <f t="shared" ca="1" si="0"/>
        <v>99999</v>
      </c>
      <c r="R3" s="108">
        <f t="shared" ca="1" si="0"/>
        <v>99999</v>
      </c>
      <c r="S3" s="108">
        <f t="shared" ca="1" si="0"/>
        <v>99999</v>
      </c>
      <c r="T3" s="108">
        <f t="shared" ca="1" si="0"/>
        <v>99999</v>
      </c>
      <c r="U3" s="108">
        <f t="shared" ca="1" si="0"/>
        <v>99999</v>
      </c>
      <c r="V3" s="108">
        <f t="shared" ca="1" si="0"/>
        <v>99999</v>
      </c>
      <c r="W3" s="976">
        <f ca="1">IF($O$4&lt;10,$O$4,0)</f>
        <v>0</v>
      </c>
      <c r="X3" s="977"/>
      <c r="Y3" s="977"/>
      <c r="Z3" s="977"/>
      <c r="AA3" s="977"/>
      <c r="AB3" s="976">
        <f ca="1">IF($P$4&lt;10,$P$4,0)</f>
        <v>0</v>
      </c>
      <c r="AC3" s="977"/>
      <c r="AD3" s="977"/>
      <c r="AE3" s="977"/>
      <c r="AF3" s="977"/>
      <c r="AG3" s="976">
        <f ca="1">IF($Q$4&lt;10,$Q$4,0)</f>
        <v>0</v>
      </c>
      <c r="AH3" s="977"/>
      <c r="AI3" s="977"/>
      <c r="AJ3" s="977"/>
      <c r="AK3" s="977"/>
      <c r="AL3" s="976">
        <f ca="1">IF($R$4&lt;10,$R$4,0)</f>
        <v>0</v>
      </c>
      <c r="AM3" s="977"/>
      <c r="AN3" s="977"/>
      <c r="AO3" s="977"/>
      <c r="AP3" s="977"/>
      <c r="AS3" s="5" t="s">
        <v>386</v>
      </c>
      <c r="AT3" s="5" t="s">
        <v>387</v>
      </c>
      <c r="AU3" s="5" t="s">
        <v>388</v>
      </c>
      <c r="AV3" s="5" t="s">
        <v>389</v>
      </c>
      <c r="AW3" s="5"/>
      <c r="AX3" s="5" t="s">
        <v>390</v>
      </c>
    </row>
    <row r="4" spans="1:50" s="2" customFormat="1" ht="12.75" thickTop="1" x14ac:dyDescent="0.2">
      <c r="A4" s="214"/>
      <c r="B4" s="1">
        <v>1</v>
      </c>
      <c r="C4" s="21">
        <f ca="1">RANK(D4,$D$4:$D$12,1)</f>
        <v>1</v>
      </c>
      <c r="D4" s="13">
        <f ca="1">E4+ROW()/1000+(F4="")*10</f>
        <v>1.004</v>
      </c>
      <c r="E4" s="219">
        <f ca="1">IF($AI$15,RANK(AH17,AH$17:AH$25,1),RANK(X17,X$17:X$25,1))</f>
        <v>1</v>
      </c>
      <c r="F4" s="1" t="str">
        <f>$Q64</f>
        <v>Mainz 05</v>
      </c>
      <c r="G4" s="1">
        <f ca="1">SUMIFS($AH$64:$AH$135,$V$64:$V$135,$F4)+SUMIFS($AI$64:$AI$135,$W$64:$W$135,$F4)</f>
        <v>178</v>
      </c>
      <c r="H4" s="1">
        <f ca="1">SUMIFS($AI$64:$AI$135,$V$64:$V$135,$F4)+SUMIFS($AH$64:$AH$135,$W$64:$W$135,$F4)</f>
        <v>156</v>
      </c>
      <c r="I4" s="13">
        <f ca="1">IF(Einstellungen!$G$24,G4-H4,IF(H4=0,IF(G4=0,0,Einstellungen!$F$24),G4/H4))</f>
        <v>22</v>
      </c>
      <c r="J4" s="1">
        <f ca="1">$L4*Einstellungen!$C$4+$M4</f>
        <v>5</v>
      </c>
      <c r="K4" s="1">
        <f ca="1">SUMPRODUCT(($V$64:$V$135=F4)*($AJ$64:$AJ$135&lt;&gt;"")*$AA$64:$AA$135)+SUMPRODUCT(($W$64:$W$135=F4)*($AK$64:$AK$135&lt;&gt;"")*$AA$64:$AA$135)</f>
        <v>4</v>
      </c>
      <c r="L4" s="1">
        <f ca="1">SUMPRODUCT(($V$64:$V$135=F4)*($AJ$64:$AJ$135&gt;$AK$64:$AK$135)*$AA$64:$AA$135)+SUMPRODUCT(($W$64:$W$135=F4)*($AJ$64:$AJ$135&lt;$AK$64:$AK$135)*$AA$64:$AA$135)</f>
        <v>2</v>
      </c>
      <c r="M4" s="1">
        <f ca="1">SUMPRODUCT(($V$64:$W$135=F4)*($AJ$64:$AJ$135=$AK$64:$AK$135)*$AA$64:$AA$135)</f>
        <v>1</v>
      </c>
      <c r="N4" s="1">
        <f ca="1">K4-L4-M4</f>
        <v>1</v>
      </c>
      <c r="O4" s="116">
        <f ca="1">SMALL($O$3:$V$3,1)</f>
        <v>99999</v>
      </c>
      <c r="P4" s="116">
        <f ca="1">SMALL($O$3:$V$3,2)</f>
        <v>99999</v>
      </c>
      <c r="Q4" s="116">
        <f ca="1">SMALL($O$3:$V$3,3)</f>
        <v>99999</v>
      </c>
      <c r="R4" s="116">
        <f ca="1">SMALL($O$3:$V$3,4)</f>
        <v>99999</v>
      </c>
      <c r="V4" s="1"/>
      <c r="W4" s="456" t="str">
        <f ca="1">IFERROR(INDEX($O$17:$V$25,ROW(A1),$W$3),"")</f>
        <v/>
      </c>
      <c r="X4" s="457" t="str">
        <f ca="1">INDEX($W$4:$W$12,MATCH(ROW(A1),$AA$4:$AA$12,0))</f>
        <v/>
      </c>
      <c r="Y4" s="458">
        <f ca="1">IF($W4="",99999,VLOOKUP($W4,$C$17:$Z$25,24,0))</f>
        <v>99999</v>
      </c>
      <c r="Z4" s="458">
        <f ca="1">RANK(Y4,Y$4:Y$12,1)+IFERROR(INDEX($E$4:$E$12,MATCH(W4,$F$4:$F$12,0)),0)/100+ROW()/10000</f>
        <v>1.0604</v>
      </c>
      <c r="AA4" s="460">
        <f ca="1">RANK($Z4,$Z$4:$Z$12,1)</f>
        <v>1</v>
      </c>
      <c r="AB4" s="456" t="str">
        <f t="shared" ref="AB4:AB12" ca="1" si="1">IFERROR(INDEX($O$17:$V$25,ROW(A1),$AB$3),"")</f>
        <v/>
      </c>
      <c r="AC4" s="457" t="str">
        <f ca="1">INDEX($AB$4:$AB$12,MATCH(ROW(A1),$AF$4:$AF$12,0))</f>
        <v/>
      </c>
      <c r="AD4" s="479">
        <f ca="1">IF($AB4="",99999,VLOOKUP($AB4,$C$17:$Z$25,24,0))</f>
        <v>99999</v>
      </c>
      <c r="AE4" s="458">
        <f ca="1">RANK(AD4,AD$4:AD$12,1)+IFERROR(INDEX($E$4:$E$12,MATCH(AB4,$F$4:$F$12,0)),0)/100+ROW()/10000</f>
        <v>1.0604</v>
      </c>
      <c r="AF4" s="458">
        <f ca="1">RANK($AE4,$AE$4:$AE$12,1)</f>
        <v>1</v>
      </c>
      <c r="AG4" s="456" t="str">
        <f t="shared" ref="AG4:AG12" ca="1" si="2">IFERROR(INDEX($O$17:$V$25,ROW(C1),$AG$3),"")</f>
        <v/>
      </c>
      <c r="AH4" s="457" t="str">
        <f ca="1">INDEX($AG$4:$AG$12,MATCH(ROW(A1),$AK$4:$AK$12,0))</f>
        <v/>
      </c>
      <c r="AI4" s="479">
        <f ca="1">IF($AG4="",99999,VLOOKUP($AG4,$C$17:$Z$25,24,0))</f>
        <v>99999</v>
      </c>
      <c r="AJ4" s="458">
        <f ca="1">RANK(AI4,AI$4:AI$12,1)+IFERROR(INDEX($E$4:$E$12,MATCH(AG4,$F$4:$F$12,0)),0)/100+ROW()/10000</f>
        <v>1.0604</v>
      </c>
      <c r="AK4" s="460">
        <f ca="1">RANK($AJ4,$AJ$4:$AJ$12,1)</f>
        <v>1</v>
      </c>
      <c r="AL4" s="457" t="str">
        <f t="shared" ref="AL4:AL12" ca="1" si="3">IFERROR(INDEX($O$17:$V$25,ROW(E1),$AL$3),"")</f>
        <v/>
      </c>
      <c r="AM4" s="457" t="str">
        <f ca="1">INDEX($AL$4:$AL$12,MATCH(ROW(A1),$AP$4:$AP$12,0))</f>
        <v/>
      </c>
      <c r="AN4" s="479">
        <f ca="1">IF($AL4="",99999,VLOOKUP($AL4,$C$17:$Z$25,24,0))</f>
        <v>99999</v>
      </c>
      <c r="AO4" s="458">
        <f ca="1">RANK(AN4,AN$4:AN$12,1)+IFERROR(INDEX($E$4:$E$12,MATCH(AL4,$F$4:$F$12,0)),0)/100+ROW()/10000</f>
        <v>1.0604</v>
      </c>
      <c r="AP4" s="460">
        <f ca="1">RANK($AO4,$AO$4:$AO$12,1)</f>
        <v>1</v>
      </c>
      <c r="AS4" s="1">
        <f ca="1">SUMPRODUCT(($V$64:$V$135=F4)*$AK$64:$AK$135)+SUMPRODUCT(($W$64:$W$135=F4)*$AJ$64:$AJ$135)</f>
        <v>3</v>
      </c>
      <c r="AT4" s="1">
        <f ca="1">SUMPRODUCT(($V$64:$V$135=F4)*$AJ$64:$AJ$135)+SUMPRODUCT(($W$64:$W$135=F4)*$AK$64:$AK$135)</f>
        <v>5</v>
      </c>
      <c r="AU4" s="1">
        <f ca="1">AT4-AS4</f>
        <v>2</v>
      </c>
      <c r="AV4" s="1">
        <f ca="1">IF(Einstellungen!$G$24,$I4,ROUND($I4,Einstellungen!$H$24))</f>
        <v>22</v>
      </c>
      <c r="AW4" s="1">
        <f ca="1">I4-(F4="")*10000</f>
        <v>22</v>
      </c>
      <c r="AX4" s="1">
        <f ca="1" xml:space="preserve"> RANK(AW4,$AW$4:$AW$12,1)</f>
        <v>8</v>
      </c>
    </row>
    <row r="5" spans="1:50" s="2" customFormat="1" x14ac:dyDescent="0.2">
      <c r="A5" s="214"/>
      <c r="B5" s="1">
        <v>2</v>
      </c>
      <c r="C5" s="22">
        <f t="shared" ref="C5:C12" ca="1" si="4">RANK(D5,$D$4:$D$12,1)</f>
        <v>5</v>
      </c>
      <c r="D5" s="13">
        <f t="shared" ref="D5:D12" ca="1" si="5">E5+ROW()/1000+(F5="")*10</f>
        <v>5.0049999999999999</v>
      </c>
      <c r="E5" s="219">
        <f t="shared" ref="E5:E12" ca="1" si="6">IF($AI$15,RANK(AH18,AH$17:AH$25,1),RANK(X18,X$17:X$25,1))</f>
        <v>5</v>
      </c>
      <c r="F5" s="1" t="str">
        <f t="shared" ref="F5:F12" si="7">$Q65</f>
        <v>Inter Mailand</v>
      </c>
      <c r="G5" s="1">
        <f t="shared" ref="G5:G12" ca="1" si="8">SUMIFS($AH$64:$AH$135,$V$64:$V$135,$F5)+SUMIFS($AI$64:$AI$135,$W$64:$W$135,$F5)</f>
        <v>152</v>
      </c>
      <c r="H5" s="1">
        <f t="shared" ref="H5:H12" ca="1" si="9">SUMIFS($AI$64:$AI$135,$V$64:$V$135,$F5)+SUMIFS($AH$64:$AH$135,$W$64:$W$135,$F5)</f>
        <v>183</v>
      </c>
      <c r="I5" s="13">
        <f ca="1">IF(Einstellungen!$G$24,G5-H5,IF(H5=0,IF(G5=0,0,Einstellungen!$F$24),G5/H5))</f>
        <v>-31</v>
      </c>
      <c r="J5" s="1">
        <f ca="1">$L5*Einstellungen!$C$4+$M5</f>
        <v>3</v>
      </c>
      <c r="K5" s="1">
        <f t="shared" ref="K5:K12" ca="1" si="10">SUMPRODUCT(($V$64:$V$135=F5)*($AJ$64:$AJ$135&lt;&gt;"")*$AA$64:$AA$135)+SUMPRODUCT(($W$64:$W$135=F5)*($AK$64:$AK$135&lt;&gt;"")*$AA$64:$AA$135)</f>
        <v>4</v>
      </c>
      <c r="L5" s="1">
        <f t="shared" ref="L5:L12" ca="1" si="11">SUMPRODUCT(($V$64:$V$135=F5)*($AJ$64:$AJ$135&gt;$AK$64:$AK$135)*$AA$64:$AA$135)+SUMPRODUCT(($W$64:$W$135=F5)*($AJ$64:$AJ$135&lt;$AK$64:$AK$135)*$AA$64:$AA$135)</f>
        <v>0</v>
      </c>
      <c r="M5" s="1">
        <f t="shared" ref="M5:M12" ca="1" si="12">SUMPRODUCT(($V$64:$W$135=F5)*($AJ$64:$AJ$135=$AK$64:$AK$135)*$AA$64:$AA$135)</f>
        <v>3</v>
      </c>
      <c r="N5" s="1">
        <f t="shared" ref="N5:N12" ca="1" si="13">K5-L5-M5</f>
        <v>1</v>
      </c>
      <c r="O5" s="24"/>
      <c r="P5" s="25"/>
      <c r="V5" s="1"/>
      <c r="W5" s="461" t="str">
        <f t="shared" ref="W5:W12" ca="1" si="14">IFERROR(INDEX($O$17:$V$25,ROW(A2),$W$3),"")</f>
        <v/>
      </c>
      <c r="X5" s="462" t="str">
        <f t="shared" ref="X5:X12" ca="1" si="15">INDEX($W$4:$W$12,MATCH(ROW(A2),$AA$4:$AA$12,0))</f>
        <v/>
      </c>
      <c r="Y5" s="459">
        <f t="shared" ref="Y5:Y12" ca="1" si="16">IF($W5="",99999,VLOOKUP($W5,$C$17:$Z$25,24,0))</f>
        <v>99999</v>
      </c>
      <c r="Z5" s="459">
        <f t="shared" ref="Z5:Z12" ca="1" si="17">RANK(Y5,Y$4:Y$12,1)+IFERROR(INDEX($E$4:$E$12,MATCH(W5,$F$4:$F$12,0)),0)/100+ROW()/10000</f>
        <v>1.0605</v>
      </c>
      <c r="AA5" s="464">
        <f t="shared" ref="AA5:AA12" ca="1" si="18">RANK($Z5,$Z$4:$Z$12,1)</f>
        <v>2</v>
      </c>
      <c r="AB5" s="461" t="str">
        <f t="shared" ca="1" si="1"/>
        <v/>
      </c>
      <c r="AC5" s="462" t="str">
        <f t="shared" ref="AC5:AC12" ca="1" si="19">INDEX($AB$4:$AB$12,MATCH(ROW(A2),$AF$4:$AF$12,0))</f>
        <v/>
      </c>
      <c r="AD5" s="463">
        <f t="shared" ref="AD5:AD12" ca="1" si="20">IF($AB5="",99999,VLOOKUP($AB5,$C$17:$Z$25,24,0))</f>
        <v>99999</v>
      </c>
      <c r="AE5" s="459">
        <f t="shared" ref="AE5:AE12" ca="1" si="21">RANK(AD5,AD$4:AD$12,1)+IFERROR(INDEX($E$4:$E$12,MATCH(AB5,$F$4:$F$12,0)),0)/100+ROW()/10000</f>
        <v>1.0605</v>
      </c>
      <c r="AF5" s="459">
        <f t="shared" ref="AF5:AF12" ca="1" si="22">RANK($AE5,$AE$4:$AE$12,1)</f>
        <v>2</v>
      </c>
      <c r="AG5" s="461" t="str">
        <f t="shared" ca="1" si="2"/>
        <v/>
      </c>
      <c r="AH5" s="462" t="str">
        <f t="shared" ref="AH5:AH12" ca="1" si="23">INDEX($AG$4:$AG$12,MATCH(ROW(A2),$AK$4:$AK$12,0))</f>
        <v/>
      </c>
      <c r="AI5" s="463">
        <f t="shared" ref="AI5:AI12" ca="1" si="24">IF($AG5="",99999,VLOOKUP($AG5,$C$17:$Z$25,24,0))</f>
        <v>99999</v>
      </c>
      <c r="AJ5" s="459">
        <f t="shared" ref="AJ5:AJ12" ca="1" si="25">RANK(AI5,AI$4:AI$12,1)+IFERROR(INDEX($E$4:$E$12,MATCH(AG5,$F$4:$F$12,0)),0)/100+ROW()/10000</f>
        <v>1.0605</v>
      </c>
      <c r="AK5" s="464">
        <f t="shared" ref="AK5:AK12" ca="1" si="26">RANK($AJ5,$AJ$4:$AJ$12,1)</f>
        <v>2</v>
      </c>
      <c r="AL5" s="462" t="str">
        <f t="shared" ca="1" si="3"/>
        <v/>
      </c>
      <c r="AM5" s="462" t="str">
        <f t="shared" ref="AM5:AM12" ca="1" si="27">INDEX($AL$4:$AL$12,MATCH(ROW(A2),$AP$4:$AP$12,0))</f>
        <v/>
      </c>
      <c r="AN5" s="463">
        <f t="shared" ref="AN5:AN12" ca="1" si="28">IF($AL5="",99999,VLOOKUP($AL5,$C$17:$Z$25,24,0))</f>
        <v>99999</v>
      </c>
      <c r="AO5" s="459">
        <f t="shared" ref="AO5:AO12" ca="1" si="29">RANK(AN5,AN$4:AN$12,1)+IFERROR(INDEX($E$4:$E$12,MATCH(AL5,$F$4:$F$12,0)),0)/100+ROW()/10000</f>
        <v>1.0605</v>
      </c>
      <c r="AP5" s="464">
        <f t="shared" ref="AP5:AP12" ca="1" si="30">RANK($AO5,$AO$4:$AO$12,1)</f>
        <v>2</v>
      </c>
      <c r="AS5" s="1">
        <f t="shared" ref="AS5:AS12" ca="1" si="31">SUMPRODUCT(($V$64:$V$135=F5)*$AK$64:$AK$135)+SUMPRODUCT(($W$64:$W$135=F5)*$AJ$64:$AJ$135)</f>
        <v>5</v>
      </c>
      <c r="AT5" s="1">
        <f t="shared" ref="AT5:AT12" ca="1" si="32">SUMPRODUCT(($V$64:$V$135=F5)*$AJ$64:$AJ$135)+SUMPRODUCT(($W$64:$W$135=F5)*$AK$64:$AK$135)</f>
        <v>3</v>
      </c>
      <c r="AU5" s="1">
        <f t="shared" ref="AU5:AU12" ca="1" si="33">AT5-AS5</f>
        <v>-2</v>
      </c>
      <c r="AV5" s="1">
        <f ca="1">IF(Einstellungen!$G$24,$I5,ROUND($I5,Einstellungen!$H$24))</f>
        <v>-31</v>
      </c>
      <c r="AW5" s="1">
        <f t="shared" ref="AW5:AW12" ca="1" si="34">I5-(F5="")*10000</f>
        <v>-31</v>
      </c>
      <c r="AX5" s="1">
        <f t="shared" ref="AX5:AX12" ca="1" si="35" xml:space="preserve"> RANK(AW5,$AW$4:$AW$12,1)</f>
        <v>5</v>
      </c>
    </row>
    <row r="6" spans="1:50" s="2" customFormat="1" x14ac:dyDescent="0.2">
      <c r="A6" s="214"/>
      <c r="B6" s="1">
        <v>3</v>
      </c>
      <c r="C6" s="22">
        <f t="shared" ca="1" si="4"/>
        <v>4</v>
      </c>
      <c r="D6" s="13">
        <f t="shared" ca="1" si="5"/>
        <v>4.0060000000000002</v>
      </c>
      <c r="E6" s="219">
        <f t="shared" ca="1" si="6"/>
        <v>4</v>
      </c>
      <c r="F6" s="1" t="str">
        <f t="shared" si="7"/>
        <v>SSV Wildbach</v>
      </c>
      <c r="G6" s="1">
        <f t="shared" ca="1" si="8"/>
        <v>169</v>
      </c>
      <c r="H6" s="1">
        <f t="shared" ca="1" si="9"/>
        <v>180</v>
      </c>
      <c r="I6" s="13">
        <f ca="1">IF(Einstellungen!$G$24,G6-H6,IF(H6=0,IF(G6=0,0,Einstellungen!$F$24),G6/H6))</f>
        <v>-11</v>
      </c>
      <c r="J6" s="1">
        <f ca="1">$L6*Einstellungen!$C$4+$M6</f>
        <v>4</v>
      </c>
      <c r="K6" s="1">
        <f t="shared" ca="1" si="10"/>
        <v>4</v>
      </c>
      <c r="L6" s="1">
        <f t="shared" ca="1" si="11"/>
        <v>1</v>
      </c>
      <c r="M6" s="1">
        <f t="shared" ca="1" si="12"/>
        <v>2</v>
      </c>
      <c r="N6" s="1">
        <f t="shared" ca="1" si="13"/>
        <v>1</v>
      </c>
      <c r="O6" s="24"/>
      <c r="P6" s="25"/>
      <c r="V6" s="1"/>
      <c r="W6" s="461" t="str">
        <f t="shared" ca="1" si="14"/>
        <v/>
      </c>
      <c r="X6" s="462" t="str">
        <f t="shared" ca="1" si="15"/>
        <v/>
      </c>
      <c r="Y6" s="459">
        <f t="shared" ca="1" si="16"/>
        <v>99999</v>
      </c>
      <c r="Z6" s="459">
        <f t="shared" ca="1" si="17"/>
        <v>1.0606</v>
      </c>
      <c r="AA6" s="464">
        <f t="shared" ca="1" si="18"/>
        <v>3</v>
      </c>
      <c r="AB6" s="461" t="str">
        <f t="shared" ca="1" si="1"/>
        <v/>
      </c>
      <c r="AC6" s="462" t="str">
        <f t="shared" ca="1" si="19"/>
        <v/>
      </c>
      <c r="AD6" s="463">
        <f t="shared" ca="1" si="20"/>
        <v>99999</v>
      </c>
      <c r="AE6" s="459">
        <f t="shared" ca="1" si="21"/>
        <v>1.0606</v>
      </c>
      <c r="AF6" s="459">
        <f t="shared" ca="1" si="22"/>
        <v>3</v>
      </c>
      <c r="AG6" s="461" t="str">
        <f t="shared" ca="1" si="2"/>
        <v/>
      </c>
      <c r="AH6" s="462" t="str">
        <f t="shared" ca="1" si="23"/>
        <v/>
      </c>
      <c r="AI6" s="463">
        <f t="shared" ca="1" si="24"/>
        <v>99999</v>
      </c>
      <c r="AJ6" s="459">
        <f t="shared" ca="1" si="25"/>
        <v>1.0606</v>
      </c>
      <c r="AK6" s="464">
        <f t="shared" ca="1" si="26"/>
        <v>3</v>
      </c>
      <c r="AL6" s="462" t="str">
        <f t="shared" ca="1" si="3"/>
        <v/>
      </c>
      <c r="AM6" s="462" t="str">
        <f t="shared" ca="1" si="27"/>
        <v/>
      </c>
      <c r="AN6" s="463">
        <f t="shared" ca="1" si="28"/>
        <v>99999</v>
      </c>
      <c r="AO6" s="459">
        <f t="shared" ca="1" si="29"/>
        <v>1.0606</v>
      </c>
      <c r="AP6" s="464">
        <f t="shared" ca="1" si="30"/>
        <v>3</v>
      </c>
      <c r="AS6" s="1">
        <f t="shared" ca="1" si="31"/>
        <v>4</v>
      </c>
      <c r="AT6" s="1">
        <f t="shared" ca="1" si="32"/>
        <v>4</v>
      </c>
      <c r="AU6" s="1">
        <f t="shared" ca="1" si="33"/>
        <v>0</v>
      </c>
      <c r="AV6" s="1">
        <f ca="1">IF(Einstellungen!$G$24,$I6,ROUND($I6,Einstellungen!$H$24))</f>
        <v>-11</v>
      </c>
      <c r="AW6" s="1">
        <f t="shared" ca="1" si="34"/>
        <v>-11</v>
      </c>
      <c r="AX6" s="1">
        <f t="shared" ca="1" si="35"/>
        <v>6</v>
      </c>
    </row>
    <row r="7" spans="1:50" s="2" customFormat="1" x14ac:dyDescent="0.2">
      <c r="A7" s="214"/>
      <c r="B7" s="1">
        <v>4</v>
      </c>
      <c r="C7" s="22">
        <f t="shared" ca="1" si="4"/>
        <v>2</v>
      </c>
      <c r="D7" s="13">
        <f t="shared" ca="1" si="5"/>
        <v>2.0070000000000001</v>
      </c>
      <c r="E7" s="219">
        <f t="shared" ca="1" si="6"/>
        <v>2</v>
      </c>
      <c r="F7" s="1" t="str">
        <f t="shared" si="7"/>
        <v>Manchester City</v>
      </c>
      <c r="G7" s="1">
        <f t="shared" ca="1" si="8"/>
        <v>184</v>
      </c>
      <c r="H7" s="1">
        <f t="shared" ca="1" si="9"/>
        <v>160</v>
      </c>
      <c r="I7" s="13">
        <f ca="1">IF(Einstellungen!$G$24,G7-H7,IF(H7=0,IF(G7=0,0,Einstellungen!$F$24),G7/H7))</f>
        <v>24</v>
      </c>
      <c r="J7" s="1">
        <f ca="1">$L7*Einstellungen!$C$4+$M7</f>
        <v>4</v>
      </c>
      <c r="K7" s="1">
        <f t="shared" ca="1" si="10"/>
        <v>4</v>
      </c>
      <c r="L7" s="1">
        <f t="shared" ca="1" si="11"/>
        <v>1</v>
      </c>
      <c r="M7" s="1">
        <f t="shared" ca="1" si="12"/>
        <v>2</v>
      </c>
      <c r="N7" s="1">
        <f t="shared" ca="1" si="13"/>
        <v>1</v>
      </c>
      <c r="O7" s="24"/>
      <c r="P7" s="25"/>
      <c r="V7" s="1"/>
      <c r="W7" s="461" t="str">
        <f t="shared" ca="1" si="14"/>
        <v/>
      </c>
      <c r="X7" s="462" t="str">
        <f t="shared" ca="1" si="15"/>
        <v/>
      </c>
      <c r="Y7" s="459">
        <f t="shared" ca="1" si="16"/>
        <v>99999</v>
      </c>
      <c r="Z7" s="459">
        <f t="shared" ca="1" si="17"/>
        <v>1.0607</v>
      </c>
      <c r="AA7" s="464">
        <f t="shared" ca="1" si="18"/>
        <v>4</v>
      </c>
      <c r="AB7" s="461" t="str">
        <f t="shared" ca="1" si="1"/>
        <v/>
      </c>
      <c r="AC7" s="462" t="str">
        <f t="shared" ca="1" si="19"/>
        <v/>
      </c>
      <c r="AD7" s="463">
        <f t="shared" ca="1" si="20"/>
        <v>99999</v>
      </c>
      <c r="AE7" s="459">
        <f t="shared" ca="1" si="21"/>
        <v>1.0607</v>
      </c>
      <c r="AF7" s="459">
        <f t="shared" ca="1" si="22"/>
        <v>4</v>
      </c>
      <c r="AG7" s="461" t="str">
        <f t="shared" ca="1" si="2"/>
        <v/>
      </c>
      <c r="AH7" s="462" t="str">
        <f t="shared" ca="1" si="23"/>
        <v/>
      </c>
      <c r="AI7" s="463">
        <f t="shared" ca="1" si="24"/>
        <v>99999</v>
      </c>
      <c r="AJ7" s="459">
        <f t="shared" ca="1" si="25"/>
        <v>1.0607</v>
      </c>
      <c r="AK7" s="464">
        <f t="shared" ca="1" si="26"/>
        <v>4</v>
      </c>
      <c r="AL7" s="462" t="str">
        <f t="shared" ca="1" si="3"/>
        <v/>
      </c>
      <c r="AM7" s="462" t="str">
        <f t="shared" ca="1" si="27"/>
        <v/>
      </c>
      <c r="AN7" s="463">
        <f t="shared" ca="1" si="28"/>
        <v>99999</v>
      </c>
      <c r="AO7" s="459">
        <f t="shared" ca="1" si="29"/>
        <v>1.0607</v>
      </c>
      <c r="AP7" s="464">
        <f t="shared" ca="1" si="30"/>
        <v>4</v>
      </c>
      <c r="AS7" s="1">
        <f t="shared" ca="1" si="31"/>
        <v>4</v>
      </c>
      <c r="AT7" s="1">
        <f t="shared" ca="1" si="32"/>
        <v>4</v>
      </c>
      <c r="AU7" s="1">
        <f t="shared" ca="1" si="33"/>
        <v>0</v>
      </c>
      <c r="AV7" s="1">
        <f ca="1">IF(Einstellungen!$G$24,$I7,ROUND($I7,Einstellungen!$H$24))</f>
        <v>24</v>
      </c>
      <c r="AW7" s="1">
        <f t="shared" ca="1" si="34"/>
        <v>24</v>
      </c>
      <c r="AX7" s="1">
        <f t="shared" ca="1" si="35"/>
        <v>9</v>
      </c>
    </row>
    <row r="8" spans="1:50" s="2" customFormat="1" x14ac:dyDescent="0.2">
      <c r="A8" s="214"/>
      <c r="B8" s="1">
        <v>5</v>
      </c>
      <c r="C8" s="22">
        <f t="shared" ca="1" si="4"/>
        <v>3</v>
      </c>
      <c r="D8" s="13">
        <f t="shared" ca="1" si="5"/>
        <v>3.008</v>
      </c>
      <c r="E8" s="219">
        <f t="shared" ca="1" si="6"/>
        <v>3</v>
      </c>
      <c r="F8" s="1" t="str">
        <f t="shared" si="7"/>
        <v>FC Grönlingen</v>
      </c>
      <c r="G8" s="1">
        <f t="shared" ca="1" si="8"/>
        <v>174</v>
      </c>
      <c r="H8" s="1">
        <f t="shared" ca="1" si="9"/>
        <v>178</v>
      </c>
      <c r="I8" s="13">
        <f ca="1">IF(Einstellungen!$G$24,G8-H8,IF(H8=0,IF(G8=0,0,Einstellungen!$F$24),G8/H8))</f>
        <v>-4</v>
      </c>
      <c r="J8" s="1">
        <f ca="1">$L8*Einstellungen!$C$4+$M8</f>
        <v>4</v>
      </c>
      <c r="K8" s="1">
        <f t="shared" ca="1" si="10"/>
        <v>4</v>
      </c>
      <c r="L8" s="1">
        <f t="shared" ca="1" si="11"/>
        <v>1</v>
      </c>
      <c r="M8" s="1">
        <f t="shared" ca="1" si="12"/>
        <v>2</v>
      </c>
      <c r="N8" s="1">
        <f t="shared" ca="1" si="13"/>
        <v>1</v>
      </c>
      <c r="P8" s="25"/>
      <c r="W8" s="461" t="str">
        <f t="shared" ca="1" si="14"/>
        <v/>
      </c>
      <c r="X8" s="462" t="str">
        <f t="shared" ca="1" si="15"/>
        <v/>
      </c>
      <c r="Y8" s="459">
        <f t="shared" ca="1" si="16"/>
        <v>99999</v>
      </c>
      <c r="Z8" s="459">
        <f t="shared" ca="1" si="17"/>
        <v>1.0608</v>
      </c>
      <c r="AA8" s="464">
        <f t="shared" ca="1" si="18"/>
        <v>5</v>
      </c>
      <c r="AB8" s="461" t="str">
        <f t="shared" ca="1" si="1"/>
        <v/>
      </c>
      <c r="AC8" s="462" t="str">
        <f t="shared" ca="1" si="19"/>
        <v/>
      </c>
      <c r="AD8" s="463">
        <f t="shared" ca="1" si="20"/>
        <v>99999</v>
      </c>
      <c r="AE8" s="459">
        <f t="shared" ca="1" si="21"/>
        <v>1.0608</v>
      </c>
      <c r="AF8" s="459">
        <f t="shared" ca="1" si="22"/>
        <v>5</v>
      </c>
      <c r="AG8" s="461" t="str">
        <f t="shared" ca="1" si="2"/>
        <v/>
      </c>
      <c r="AH8" s="462" t="str">
        <f t="shared" ca="1" si="23"/>
        <v/>
      </c>
      <c r="AI8" s="463">
        <f t="shared" ca="1" si="24"/>
        <v>99999</v>
      </c>
      <c r="AJ8" s="459">
        <f t="shared" ca="1" si="25"/>
        <v>1.0608</v>
      </c>
      <c r="AK8" s="464">
        <f t="shared" ca="1" si="26"/>
        <v>5</v>
      </c>
      <c r="AL8" s="462" t="str">
        <f t="shared" ca="1" si="3"/>
        <v/>
      </c>
      <c r="AM8" s="462" t="str">
        <f t="shared" ca="1" si="27"/>
        <v/>
      </c>
      <c r="AN8" s="463">
        <f t="shared" ca="1" si="28"/>
        <v>99999</v>
      </c>
      <c r="AO8" s="459">
        <f t="shared" ca="1" si="29"/>
        <v>1.0608</v>
      </c>
      <c r="AP8" s="464">
        <f t="shared" ca="1" si="30"/>
        <v>5</v>
      </c>
      <c r="AS8" s="1">
        <f t="shared" ca="1" si="31"/>
        <v>4</v>
      </c>
      <c r="AT8" s="1">
        <f t="shared" ca="1" si="32"/>
        <v>4</v>
      </c>
      <c r="AU8" s="1">
        <f t="shared" ca="1" si="33"/>
        <v>0</v>
      </c>
      <c r="AV8" s="1">
        <f ca="1">IF(Einstellungen!$G$24,$I8,ROUND($I8,Einstellungen!$H$24))</f>
        <v>-4</v>
      </c>
      <c r="AW8" s="1">
        <f t="shared" ca="1" si="34"/>
        <v>-4</v>
      </c>
      <c r="AX8" s="1">
        <f t="shared" ca="1" si="35"/>
        <v>7</v>
      </c>
    </row>
    <row r="9" spans="1:50" s="2" customFormat="1" x14ac:dyDescent="0.2">
      <c r="A9" s="214"/>
      <c r="B9" s="1">
        <v>6</v>
      </c>
      <c r="C9" s="22">
        <f t="shared" ca="1" si="4"/>
        <v>6</v>
      </c>
      <c r="D9" s="13">
        <f t="shared" ca="1" si="5"/>
        <v>16.009</v>
      </c>
      <c r="E9" s="219">
        <f t="shared" ca="1" si="6"/>
        <v>6</v>
      </c>
      <c r="F9" s="1" t="str">
        <f t="shared" si="7"/>
        <v/>
      </c>
      <c r="G9" s="1">
        <f t="shared" ca="1" si="8"/>
        <v>0</v>
      </c>
      <c r="H9" s="1">
        <f t="shared" ca="1" si="9"/>
        <v>0</v>
      </c>
      <c r="I9" s="13">
        <f ca="1">IF(Einstellungen!$G$24,G9-H9,IF(H9=0,IF(G9=0,0,Einstellungen!$F$24),G9/H9))</f>
        <v>0</v>
      </c>
      <c r="J9" s="1">
        <f ca="1">$L9*Einstellungen!$C$4+$M9</f>
        <v>0</v>
      </c>
      <c r="K9" s="1">
        <f t="shared" ca="1" si="10"/>
        <v>0</v>
      </c>
      <c r="L9" s="1">
        <f t="shared" ca="1" si="11"/>
        <v>0</v>
      </c>
      <c r="M9" s="1">
        <f t="shared" ca="1" si="12"/>
        <v>0</v>
      </c>
      <c r="N9" s="1">
        <f t="shared" ca="1" si="13"/>
        <v>0</v>
      </c>
      <c r="P9" s="25"/>
      <c r="W9" s="461" t="str">
        <f t="shared" ca="1" si="14"/>
        <v/>
      </c>
      <c r="X9" s="462" t="str">
        <f t="shared" ca="1" si="15"/>
        <v/>
      </c>
      <c r="Y9" s="459">
        <f t="shared" ca="1" si="16"/>
        <v>99999</v>
      </c>
      <c r="Z9" s="459">
        <f t="shared" ca="1" si="17"/>
        <v>1.0609</v>
      </c>
      <c r="AA9" s="464">
        <f t="shared" ca="1" si="18"/>
        <v>6</v>
      </c>
      <c r="AB9" s="461" t="str">
        <f t="shared" ca="1" si="1"/>
        <v/>
      </c>
      <c r="AC9" s="462" t="str">
        <f t="shared" ca="1" si="19"/>
        <v/>
      </c>
      <c r="AD9" s="463">
        <f t="shared" ca="1" si="20"/>
        <v>99999</v>
      </c>
      <c r="AE9" s="459">
        <f t="shared" ca="1" si="21"/>
        <v>1.0609</v>
      </c>
      <c r="AF9" s="459">
        <f t="shared" ca="1" si="22"/>
        <v>6</v>
      </c>
      <c r="AG9" s="461" t="str">
        <f t="shared" ca="1" si="2"/>
        <v/>
      </c>
      <c r="AH9" s="462" t="str">
        <f t="shared" ca="1" si="23"/>
        <v/>
      </c>
      <c r="AI9" s="463">
        <f t="shared" ca="1" si="24"/>
        <v>99999</v>
      </c>
      <c r="AJ9" s="459">
        <f t="shared" ca="1" si="25"/>
        <v>1.0609</v>
      </c>
      <c r="AK9" s="464">
        <f t="shared" ca="1" si="26"/>
        <v>6</v>
      </c>
      <c r="AL9" s="462" t="str">
        <f t="shared" ca="1" si="3"/>
        <v/>
      </c>
      <c r="AM9" s="462" t="str">
        <f t="shared" ca="1" si="27"/>
        <v/>
      </c>
      <c r="AN9" s="463">
        <f t="shared" ca="1" si="28"/>
        <v>99999</v>
      </c>
      <c r="AO9" s="459">
        <f t="shared" ca="1" si="29"/>
        <v>1.0609</v>
      </c>
      <c r="AP9" s="464">
        <f t="shared" ca="1" si="30"/>
        <v>6</v>
      </c>
      <c r="AS9" s="1">
        <f t="shared" ca="1" si="31"/>
        <v>0</v>
      </c>
      <c r="AT9" s="1">
        <f t="shared" ca="1" si="32"/>
        <v>0</v>
      </c>
      <c r="AU9" s="1">
        <f t="shared" ca="1" si="33"/>
        <v>0</v>
      </c>
      <c r="AV9" s="1">
        <f ca="1">IF(Einstellungen!$G$24,$I9,ROUND($I9,Einstellungen!$H$24))</f>
        <v>0</v>
      </c>
      <c r="AW9" s="1">
        <f t="shared" ca="1" si="34"/>
        <v>-10000</v>
      </c>
      <c r="AX9" s="1">
        <f t="shared" ca="1" si="35"/>
        <v>1</v>
      </c>
    </row>
    <row r="10" spans="1:50" s="2" customFormat="1" x14ac:dyDescent="0.2">
      <c r="A10" s="214"/>
      <c r="B10" s="1">
        <v>7</v>
      </c>
      <c r="C10" s="22">
        <f t="shared" ca="1" si="4"/>
        <v>7</v>
      </c>
      <c r="D10" s="13">
        <f t="shared" ca="1" si="5"/>
        <v>16.009999999999998</v>
      </c>
      <c r="E10" s="219">
        <f t="shared" ca="1" si="6"/>
        <v>6</v>
      </c>
      <c r="F10" s="1" t="str">
        <f t="shared" si="7"/>
        <v/>
      </c>
      <c r="G10" s="1">
        <f t="shared" ca="1" si="8"/>
        <v>0</v>
      </c>
      <c r="H10" s="1">
        <f t="shared" ca="1" si="9"/>
        <v>0</v>
      </c>
      <c r="I10" s="13">
        <f ca="1">IF(Einstellungen!$G$24,G10-H10,IF(H10=0,IF(G10=0,0,Einstellungen!$F$24),G10/H10))</f>
        <v>0</v>
      </c>
      <c r="J10" s="1">
        <f ca="1">$L10*Einstellungen!$C$4+$M10</f>
        <v>0</v>
      </c>
      <c r="K10" s="1">
        <f t="shared" ca="1" si="10"/>
        <v>0</v>
      </c>
      <c r="L10" s="1">
        <f t="shared" ca="1" si="11"/>
        <v>0</v>
      </c>
      <c r="M10" s="1">
        <f t="shared" ca="1" si="12"/>
        <v>0</v>
      </c>
      <c r="N10" s="1">
        <f t="shared" ca="1" si="13"/>
        <v>0</v>
      </c>
      <c r="P10" s="25"/>
      <c r="W10" s="461" t="str">
        <f t="shared" ca="1" si="14"/>
        <v/>
      </c>
      <c r="X10" s="462" t="str">
        <f t="shared" ca="1" si="15"/>
        <v/>
      </c>
      <c r="Y10" s="459">
        <f t="shared" ca="1" si="16"/>
        <v>99999</v>
      </c>
      <c r="Z10" s="459">
        <f t="shared" ca="1" si="17"/>
        <v>1.0609999999999999</v>
      </c>
      <c r="AA10" s="464">
        <f t="shared" ca="1" si="18"/>
        <v>7</v>
      </c>
      <c r="AB10" s="461" t="str">
        <f t="shared" ca="1" si="1"/>
        <v/>
      </c>
      <c r="AC10" s="462" t="str">
        <f t="shared" ca="1" si="19"/>
        <v/>
      </c>
      <c r="AD10" s="463">
        <f t="shared" ca="1" si="20"/>
        <v>99999</v>
      </c>
      <c r="AE10" s="459">
        <f t="shared" ca="1" si="21"/>
        <v>1.0609999999999999</v>
      </c>
      <c r="AF10" s="459">
        <f t="shared" ca="1" si="22"/>
        <v>7</v>
      </c>
      <c r="AG10" s="461" t="str">
        <f t="shared" ca="1" si="2"/>
        <v/>
      </c>
      <c r="AH10" s="462" t="str">
        <f t="shared" ca="1" si="23"/>
        <v/>
      </c>
      <c r="AI10" s="463">
        <f t="shared" ca="1" si="24"/>
        <v>99999</v>
      </c>
      <c r="AJ10" s="459">
        <f t="shared" ca="1" si="25"/>
        <v>1.0609999999999999</v>
      </c>
      <c r="AK10" s="464">
        <f t="shared" ca="1" si="26"/>
        <v>7</v>
      </c>
      <c r="AL10" s="462" t="str">
        <f t="shared" ca="1" si="3"/>
        <v/>
      </c>
      <c r="AM10" s="462" t="str">
        <f t="shared" ca="1" si="27"/>
        <v/>
      </c>
      <c r="AN10" s="463">
        <f t="shared" ca="1" si="28"/>
        <v>99999</v>
      </c>
      <c r="AO10" s="459">
        <f t="shared" ca="1" si="29"/>
        <v>1.0609999999999999</v>
      </c>
      <c r="AP10" s="464">
        <f t="shared" ca="1" si="30"/>
        <v>7</v>
      </c>
      <c r="AS10" s="1">
        <f t="shared" ca="1" si="31"/>
        <v>0</v>
      </c>
      <c r="AT10" s="1">
        <f t="shared" ca="1" si="32"/>
        <v>0</v>
      </c>
      <c r="AU10" s="1">
        <f t="shared" ca="1" si="33"/>
        <v>0</v>
      </c>
      <c r="AV10" s="1">
        <f ca="1">IF(Einstellungen!$G$24,$I10,ROUND($I10,Einstellungen!$H$24))</f>
        <v>0</v>
      </c>
      <c r="AW10" s="1">
        <f t="shared" ca="1" si="34"/>
        <v>-10000</v>
      </c>
      <c r="AX10" s="1">
        <f t="shared" ca="1" si="35"/>
        <v>1</v>
      </c>
    </row>
    <row r="11" spans="1:50" s="2" customFormat="1" x14ac:dyDescent="0.2">
      <c r="A11" s="214"/>
      <c r="B11" s="1">
        <v>8</v>
      </c>
      <c r="C11" s="22">
        <f t="shared" ca="1" si="4"/>
        <v>8</v>
      </c>
      <c r="D11" s="13">
        <f t="shared" ca="1" si="5"/>
        <v>16.010999999999999</v>
      </c>
      <c r="E11" s="219">
        <f t="shared" ca="1" si="6"/>
        <v>6</v>
      </c>
      <c r="F11" s="1" t="str">
        <f t="shared" si="7"/>
        <v/>
      </c>
      <c r="G11" s="1">
        <f t="shared" ca="1" si="8"/>
        <v>0</v>
      </c>
      <c r="H11" s="1">
        <f t="shared" ca="1" si="9"/>
        <v>0</v>
      </c>
      <c r="I11" s="13">
        <f ca="1">IF(Einstellungen!$G$24,G11-H11,IF(H11=0,IF(G11=0,0,Einstellungen!$F$24),G11/H11))</f>
        <v>0</v>
      </c>
      <c r="J11" s="1">
        <f ca="1">$L11*Einstellungen!$C$4+$M11</f>
        <v>0</v>
      </c>
      <c r="K11" s="1">
        <f t="shared" ca="1" si="10"/>
        <v>0</v>
      </c>
      <c r="L11" s="1">
        <f t="shared" ca="1" si="11"/>
        <v>0</v>
      </c>
      <c r="M11" s="1">
        <f t="shared" ca="1" si="12"/>
        <v>0</v>
      </c>
      <c r="N11" s="1">
        <f t="shared" ca="1" si="13"/>
        <v>0</v>
      </c>
      <c r="O11" s="13"/>
      <c r="P11" s="13"/>
      <c r="Q11" s="13"/>
      <c r="R11" s="13"/>
      <c r="S11" s="13"/>
      <c r="T11" s="13"/>
      <c r="U11" s="13"/>
      <c r="V11" s="13"/>
      <c r="W11" s="461" t="str">
        <f t="shared" ca="1" si="14"/>
        <v/>
      </c>
      <c r="X11" s="462" t="str">
        <f t="shared" ca="1" si="15"/>
        <v/>
      </c>
      <c r="Y11" s="459">
        <f t="shared" ca="1" si="16"/>
        <v>99999</v>
      </c>
      <c r="Z11" s="459">
        <f t="shared" ca="1" si="17"/>
        <v>1.0611000000000002</v>
      </c>
      <c r="AA11" s="464">
        <f t="shared" ca="1" si="18"/>
        <v>8</v>
      </c>
      <c r="AB11" s="461" t="str">
        <f t="shared" ca="1" si="1"/>
        <v/>
      </c>
      <c r="AC11" s="462" t="str">
        <f t="shared" ca="1" si="19"/>
        <v/>
      </c>
      <c r="AD11" s="463">
        <f t="shared" ca="1" si="20"/>
        <v>99999</v>
      </c>
      <c r="AE11" s="459">
        <f t="shared" ca="1" si="21"/>
        <v>1.0611000000000002</v>
      </c>
      <c r="AF11" s="459">
        <f t="shared" ca="1" si="22"/>
        <v>8</v>
      </c>
      <c r="AG11" s="461" t="str">
        <f t="shared" ca="1" si="2"/>
        <v/>
      </c>
      <c r="AH11" s="462" t="str">
        <f t="shared" ca="1" si="23"/>
        <v/>
      </c>
      <c r="AI11" s="463">
        <f t="shared" ca="1" si="24"/>
        <v>99999</v>
      </c>
      <c r="AJ11" s="459">
        <f t="shared" ca="1" si="25"/>
        <v>1.0611000000000002</v>
      </c>
      <c r="AK11" s="464">
        <f t="shared" ca="1" si="26"/>
        <v>8</v>
      </c>
      <c r="AL11" s="462" t="str">
        <f t="shared" ca="1" si="3"/>
        <v/>
      </c>
      <c r="AM11" s="462" t="str">
        <f t="shared" ca="1" si="27"/>
        <v/>
      </c>
      <c r="AN11" s="463">
        <f t="shared" ca="1" si="28"/>
        <v>99999</v>
      </c>
      <c r="AO11" s="459">
        <f t="shared" ca="1" si="29"/>
        <v>1.0611000000000002</v>
      </c>
      <c r="AP11" s="464">
        <f t="shared" ca="1" si="30"/>
        <v>8</v>
      </c>
      <c r="AS11" s="1">
        <f t="shared" ca="1" si="31"/>
        <v>0</v>
      </c>
      <c r="AT11" s="1">
        <f t="shared" ca="1" si="32"/>
        <v>0</v>
      </c>
      <c r="AU11" s="1">
        <f t="shared" ca="1" si="33"/>
        <v>0</v>
      </c>
      <c r="AV11" s="1">
        <f ca="1">IF(Einstellungen!$G$24,$I11,ROUND($I11,Einstellungen!$H$24))</f>
        <v>0</v>
      </c>
      <c r="AW11" s="1">
        <f t="shared" ca="1" si="34"/>
        <v>-10000</v>
      </c>
      <c r="AX11" s="1">
        <f t="shared" ca="1" si="35"/>
        <v>1</v>
      </c>
    </row>
    <row r="12" spans="1:50" s="2" customFormat="1" ht="12.75" thickBot="1" x14ac:dyDescent="0.25">
      <c r="A12" s="214"/>
      <c r="B12" s="1">
        <v>9</v>
      </c>
      <c r="C12" s="23">
        <f t="shared" ca="1" si="4"/>
        <v>9</v>
      </c>
      <c r="D12" s="13">
        <f t="shared" ca="1" si="5"/>
        <v>16.012</v>
      </c>
      <c r="E12" s="219">
        <f t="shared" ca="1" si="6"/>
        <v>6</v>
      </c>
      <c r="F12" s="1" t="str">
        <f t="shared" si="7"/>
        <v/>
      </c>
      <c r="G12" s="1">
        <f t="shared" ca="1" si="8"/>
        <v>0</v>
      </c>
      <c r="H12" s="1">
        <f t="shared" ca="1" si="9"/>
        <v>0</v>
      </c>
      <c r="I12" s="13">
        <f ca="1">IF(Einstellungen!$G$24,G12-H12,IF(H12=0,IF(G12=0,0,Einstellungen!$F$24),G12/H12))</f>
        <v>0</v>
      </c>
      <c r="J12" s="1">
        <f ca="1">$L12*Einstellungen!$C$4+$M12</f>
        <v>0</v>
      </c>
      <c r="K12" s="29">
        <f t="shared" ca="1" si="10"/>
        <v>0</v>
      </c>
      <c r="L12" s="1">
        <f t="shared" ca="1" si="11"/>
        <v>0</v>
      </c>
      <c r="M12" s="1">
        <f t="shared" ca="1" si="12"/>
        <v>0</v>
      </c>
      <c r="N12" s="1">
        <f t="shared" ca="1" si="13"/>
        <v>0</v>
      </c>
      <c r="O12" s="1"/>
      <c r="P12" s="1"/>
      <c r="Q12" s="1"/>
      <c r="R12" s="1"/>
      <c r="S12" s="1"/>
      <c r="T12" s="1"/>
      <c r="U12" s="1"/>
      <c r="V12" s="1"/>
      <c r="W12" s="465" t="str">
        <f t="shared" ca="1" si="14"/>
        <v/>
      </c>
      <c r="X12" s="466" t="str">
        <f t="shared" ca="1" si="15"/>
        <v/>
      </c>
      <c r="Y12" s="467">
        <f t="shared" ca="1" si="16"/>
        <v>99999</v>
      </c>
      <c r="Z12" s="467">
        <f t="shared" ca="1" si="17"/>
        <v>1.0612000000000001</v>
      </c>
      <c r="AA12" s="468">
        <f t="shared" ca="1" si="18"/>
        <v>9</v>
      </c>
      <c r="AB12" s="465" t="str">
        <f t="shared" ca="1" si="1"/>
        <v/>
      </c>
      <c r="AC12" s="466" t="str">
        <f t="shared" ca="1" si="19"/>
        <v/>
      </c>
      <c r="AD12" s="469">
        <f t="shared" ca="1" si="20"/>
        <v>99999</v>
      </c>
      <c r="AE12" s="467">
        <f t="shared" ca="1" si="21"/>
        <v>1.0612000000000001</v>
      </c>
      <c r="AF12" s="467">
        <f t="shared" ca="1" si="22"/>
        <v>9</v>
      </c>
      <c r="AG12" s="465" t="str">
        <f t="shared" ca="1" si="2"/>
        <v/>
      </c>
      <c r="AH12" s="466" t="str">
        <f t="shared" ca="1" si="23"/>
        <v/>
      </c>
      <c r="AI12" s="469">
        <f t="shared" ca="1" si="24"/>
        <v>99999</v>
      </c>
      <c r="AJ12" s="467">
        <f t="shared" ca="1" si="25"/>
        <v>1.0612000000000001</v>
      </c>
      <c r="AK12" s="468">
        <f t="shared" ca="1" si="26"/>
        <v>9</v>
      </c>
      <c r="AL12" s="466" t="str">
        <f t="shared" ca="1" si="3"/>
        <v/>
      </c>
      <c r="AM12" s="466" t="str">
        <f t="shared" ca="1" si="27"/>
        <v/>
      </c>
      <c r="AN12" s="469">
        <f t="shared" ca="1" si="28"/>
        <v>99999</v>
      </c>
      <c r="AO12" s="467">
        <f t="shared" ca="1" si="29"/>
        <v>1.0612000000000001</v>
      </c>
      <c r="AP12" s="468">
        <f t="shared" ca="1" si="30"/>
        <v>9</v>
      </c>
      <c r="AS12" s="1">
        <f t="shared" ca="1" si="31"/>
        <v>0</v>
      </c>
      <c r="AT12" s="1">
        <f t="shared" ca="1" si="32"/>
        <v>0</v>
      </c>
      <c r="AU12" s="1">
        <f t="shared" ca="1" si="33"/>
        <v>0</v>
      </c>
      <c r="AV12" s="1">
        <f ca="1">IF(Einstellungen!$G$24,$I12,ROUND($I12,Einstellungen!$H$24))</f>
        <v>0</v>
      </c>
      <c r="AW12" s="1">
        <f t="shared" ca="1" si="34"/>
        <v>-10000</v>
      </c>
      <c r="AX12" s="1">
        <f t="shared" ca="1" si="35"/>
        <v>1</v>
      </c>
    </row>
    <row r="13" spans="1:50" s="2" customFormat="1" ht="12.75" thickTop="1" x14ac:dyDescent="0.2">
      <c r="B13" s="13">
        <f>$F$13*($F$13-1)</f>
        <v>20</v>
      </c>
      <c r="C13" s="13"/>
      <c r="D13" s="13"/>
      <c r="E13" s="13"/>
      <c r="F13" s="13">
        <f>9-COUNTBLANK($F$4:$F$12)</f>
        <v>5</v>
      </c>
      <c r="G13" s="13"/>
      <c r="H13" s="13"/>
      <c r="I13" s="13"/>
      <c r="J13" s="13"/>
      <c r="K13" s="28">
        <f ca="1">QUOTIENT(SUM(K4:K12),2)</f>
        <v>10</v>
      </c>
      <c r="L13" s="1"/>
      <c r="M13" s="1"/>
      <c r="N13" s="1"/>
      <c r="O13" s="1"/>
      <c r="P13" s="1"/>
      <c r="Q13" s="1"/>
      <c r="R13" s="1"/>
      <c r="S13" s="1"/>
      <c r="T13" s="1"/>
      <c r="U13" s="1"/>
      <c r="V13" s="1"/>
      <c r="Y13" s="1"/>
      <c r="Z13" s="1"/>
    </row>
    <row r="14" spans="1:50" s="2" customFormat="1" x14ac:dyDescent="0.2">
      <c r="B14" s="14">
        <f>MAX($B$13,Calc2!$B$13)</f>
        <v>20</v>
      </c>
      <c r="D14" s="1" t="s">
        <v>209</v>
      </c>
      <c r="F14" s="14">
        <f>MAX($F$13,Calc2!$F$13)</f>
        <v>5</v>
      </c>
      <c r="O14" s="1"/>
      <c r="P14" s="1"/>
      <c r="Q14" s="1"/>
      <c r="R14" s="1"/>
      <c r="S14" s="1"/>
      <c r="T14" s="1"/>
      <c r="U14" s="1"/>
      <c r="V14" s="1"/>
      <c r="W14" s="1"/>
      <c r="Y14" s="1"/>
      <c r="Z14" s="1"/>
    </row>
    <row r="15" spans="1:50" s="2" customFormat="1" x14ac:dyDescent="0.2">
      <c r="O15" s="12"/>
      <c r="AD15" s="611"/>
      <c r="AE15" s="611"/>
      <c r="AF15" s="611"/>
      <c r="AG15" s="611"/>
      <c r="AH15" s="611"/>
      <c r="AI15" s="612"/>
      <c r="AK15" s="214"/>
    </row>
    <row r="16" spans="1:50" s="2" customFormat="1" ht="15.75" thickBot="1" x14ac:dyDescent="0.25">
      <c r="B16" s="13" t="s">
        <v>6</v>
      </c>
      <c r="C16" s="602" t="s">
        <v>97</v>
      </c>
      <c r="D16" s="602" t="s">
        <v>103</v>
      </c>
      <c r="E16" s="602" t="s">
        <v>104</v>
      </c>
      <c r="F16" s="602" t="s">
        <v>105</v>
      </c>
      <c r="G16" s="602" t="s">
        <v>106</v>
      </c>
      <c r="H16" s="602" t="s">
        <v>107</v>
      </c>
      <c r="I16" s="602" t="s">
        <v>108</v>
      </c>
      <c r="J16" s="602" t="s">
        <v>109</v>
      </c>
      <c r="K16" s="602" t="s">
        <v>382</v>
      </c>
      <c r="L16" s="11" t="s">
        <v>383</v>
      </c>
      <c r="M16" s="68" t="s">
        <v>96</v>
      </c>
      <c r="N16" s="68" t="s">
        <v>15</v>
      </c>
      <c r="O16" s="30">
        <v>1</v>
      </c>
      <c r="P16" s="1">
        <v>2</v>
      </c>
      <c r="Q16" s="1">
        <v>3</v>
      </c>
      <c r="R16" s="1">
        <v>4</v>
      </c>
      <c r="S16" s="1">
        <v>5</v>
      </c>
      <c r="T16" s="1">
        <v>6</v>
      </c>
      <c r="U16" s="1">
        <v>7</v>
      </c>
      <c r="V16" s="1">
        <v>8</v>
      </c>
      <c r="W16" s="11" t="s">
        <v>98</v>
      </c>
      <c r="X16" s="173" t="s">
        <v>166</v>
      </c>
      <c r="Y16" s="11" t="s">
        <v>454</v>
      </c>
      <c r="Z16" s="173" t="s">
        <v>210</v>
      </c>
      <c r="AA16" s="1" t="s">
        <v>387</v>
      </c>
      <c r="AB16" s="1" t="s">
        <v>109</v>
      </c>
      <c r="AC16" s="1" t="s">
        <v>107</v>
      </c>
      <c r="AD16" s="617" t="s">
        <v>428</v>
      </c>
      <c r="AE16" s="610"/>
      <c r="AF16" s="613"/>
      <c r="AG16" s="613"/>
      <c r="AH16" s="614"/>
      <c r="AI16" s="612"/>
    </row>
    <row r="17" spans="2:80" s="2" customFormat="1" ht="12.75" thickTop="1" x14ac:dyDescent="0.2">
      <c r="C17" s="2" t="str">
        <f>$Q64</f>
        <v>Mainz 05</v>
      </c>
      <c r="D17" s="1">
        <f t="shared" ref="D17:G25" ca="1" si="36">K4</f>
        <v>4</v>
      </c>
      <c r="E17" s="1">
        <f t="shared" ca="1" si="36"/>
        <v>2</v>
      </c>
      <c r="F17" s="1">
        <f t="shared" ca="1" si="36"/>
        <v>1</v>
      </c>
      <c r="G17" s="1">
        <f t="shared" ca="1" si="36"/>
        <v>1</v>
      </c>
      <c r="H17" s="1">
        <f t="shared" ref="H17:J25" ca="1" si="37">G4</f>
        <v>178</v>
      </c>
      <c r="I17" s="1">
        <f t="shared" ca="1" si="37"/>
        <v>156</v>
      </c>
      <c r="J17" s="13">
        <f t="shared" ca="1" si="37"/>
        <v>22</v>
      </c>
      <c r="K17" s="1">
        <f ca="1">IF(Einstellungen!$G$9,J4,$AT4)</f>
        <v>5</v>
      </c>
      <c r="L17" s="694">
        <f ca="1">K17*$F$64+(AU4+$H$65)*$F$65*Einstellungen!$G$14+AT4*$F$66*Einstellungen!$G$19+AX4*$F$67</f>
        <v>5000000.0080000004</v>
      </c>
      <c r="M17" s="14">
        <f ca="1">IF($AI$15,COUNTIF($K$17:$K$25,K17),COUNTIF($L$17:$L$25,L17))</f>
        <v>1</v>
      </c>
      <c r="N17" s="14">
        <f t="array" aca="1" ref="N17" ca="1">IF($AI$15,SUM(($K$17:$K$25&gt;=K17)/COUNTIF($K$17:$K$25,$K$17:$K$25)),SUM(($L$17:$L$25&gt;=L17)/COUNTIF($L$17:$L$25,$L$17:$L$25)))</f>
        <v>1</v>
      </c>
      <c r="O17" s="52" t="str">
        <f t="shared" ref="O17:O25" ca="1" si="38">IF(AND(M17&gt;1,N17=1),C17,"")</f>
        <v/>
      </c>
      <c r="P17" s="53" t="str">
        <f t="shared" ref="P17:P25" ca="1" si="39">IF(AND(M17&gt;1,N17=2),C17,"")</f>
        <v/>
      </c>
      <c r="Q17" s="53" t="str">
        <f t="shared" ref="Q17:Q25" ca="1" si="40">IF(AND(M17&gt;1,N17=3),C17,"")</f>
        <v/>
      </c>
      <c r="R17" s="53" t="str">
        <f t="shared" ref="R17:R25" ca="1" si="41">IF(AND(M17&gt;1,N17=4),C17,"")</f>
        <v/>
      </c>
      <c r="S17" s="53" t="str">
        <f t="shared" ref="S17:S25" ca="1" si="42">IF(AND(M17&gt;1,N17=5),C17,"")</f>
        <v/>
      </c>
      <c r="T17" s="53" t="str">
        <f t="shared" ref="T17:T25" ca="1" si="43">IF(AND($M17&gt;1,$N17=6),$C17,"")</f>
        <v/>
      </c>
      <c r="U17" s="53" t="str">
        <f t="shared" ref="U17:U25" ca="1" si="44">IF(AND($M17&gt;1,$N17=7),$C17,"")</f>
        <v/>
      </c>
      <c r="V17" s="54" t="str">
        <f t="shared" ref="V17:V25" ca="1" si="45">IF(AND($M17&gt;1,$N17=8),$C17,"")</f>
        <v/>
      </c>
      <c r="W17" s="62">
        <f ca="1">AA17*$F$64+(AB17+$H$65)*$F$65</f>
        <v>500000</v>
      </c>
      <c r="X17" s="21">
        <f ca="1">RANK($L17,$L$17:$L$25)+RANK($W17,$W$17:$W$25)/100+(9-$Y17)/10000+($C17="")*100</f>
        <v>1.0108999999999999</v>
      </c>
      <c r="Y17" s="13">
        <f>Vorrunde!$AZ25+$AD17</f>
        <v>0</v>
      </c>
      <c r="Z17" s="1">
        <f ca="1">RANK($W17,$W$17:$W$25)+(9-$Y17)/10</f>
        <v>1.9</v>
      </c>
      <c r="AA17" s="1">
        <f ca="1">SUM(E30:BP30)</f>
        <v>0</v>
      </c>
      <c r="AB17" s="1">
        <f ca="1">SUM(E41:BP41)</f>
        <v>0</v>
      </c>
      <c r="AC17" s="1">
        <f ca="1">SUM(E52:BP52)</f>
        <v>0</v>
      </c>
      <c r="AD17" s="613">
        <f>IF($C17="",0,COUNTIF(Playoffs!$U$12:$U$17,$C17))</f>
        <v>0</v>
      </c>
      <c r="AE17" s="615"/>
      <c r="AF17" s="613"/>
      <c r="AG17" s="613"/>
      <c r="AH17" s="616"/>
      <c r="AI17" s="613"/>
    </row>
    <row r="18" spans="2:80" s="2" customFormat="1" x14ac:dyDescent="0.2">
      <c r="C18" s="2" t="str">
        <f t="shared" ref="C18:C25" si="46">$Q65</f>
        <v>Inter Mailand</v>
      </c>
      <c r="D18" s="1">
        <f t="shared" ca="1" si="36"/>
        <v>4</v>
      </c>
      <c r="E18" s="1">
        <f t="shared" ca="1" si="36"/>
        <v>0</v>
      </c>
      <c r="F18" s="1">
        <f t="shared" ca="1" si="36"/>
        <v>3</v>
      </c>
      <c r="G18" s="1">
        <f t="shared" ca="1" si="36"/>
        <v>1</v>
      </c>
      <c r="H18" s="1">
        <f t="shared" ca="1" si="37"/>
        <v>152</v>
      </c>
      <c r="I18" s="1">
        <f t="shared" ca="1" si="37"/>
        <v>183</v>
      </c>
      <c r="J18" s="13">
        <f t="shared" ca="1" si="37"/>
        <v>-31</v>
      </c>
      <c r="K18" s="1">
        <f ca="1">IF(Einstellungen!$G$9,J5,$AT5)</f>
        <v>3</v>
      </c>
      <c r="L18" s="694">
        <f ca="1">K18*$F$64+(AU5+$H$65)*$F$65*Einstellungen!$G$14+AT5*$F$66*Einstellungen!$G$19+AX5*$F$67</f>
        <v>3000000.0049999999</v>
      </c>
      <c r="M18" s="14">
        <f t="shared" ref="M18:M25" ca="1" si="47">IF($AI$15,COUNTIF($K$17:$K$25,K18),COUNTIF($L$17:$L$25,L18))</f>
        <v>1</v>
      </c>
      <c r="N18" s="14">
        <f t="array" aca="1" ref="N18" ca="1">IF($AI$15,SUM(($K$17:$K$25&gt;=K18)/COUNTIF($K$17:$K$25,$K$17:$K$25)),SUM(($L$17:$L$25&gt;=L18)/COUNTIF($L$17:$L$25,$L$17:$L$25)))</f>
        <v>5</v>
      </c>
      <c r="O18" s="6" t="str">
        <f t="shared" ca="1" si="38"/>
        <v/>
      </c>
      <c r="P18" s="4" t="str">
        <f t="shared" ca="1" si="39"/>
        <v/>
      </c>
      <c r="Q18" s="4" t="str">
        <f t="shared" ca="1" si="40"/>
        <v/>
      </c>
      <c r="R18" s="4" t="str">
        <f t="shared" ca="1" si="41"/>
        <v/>
      </c>
      <c r="S18" s="4" t="str">
        <f t="shared" ca="1" si="42"/>
        <v/>
      </c>
      <c r="T18" s="4" t="str">
        <f t="shared" ca="1" si="43"/>
        <v/>
      </c>
      <c r="U18" s="4" t="str">
        <f t="shared" ca="1" si="44"/>
        <v/>
      </c>
      <c r="V18" s="55" t="str">
        <f t="shared" ca="1" si="45"/>
        <v/>
      </c>
      <c r="W18" s="62">
        <f t="shared" ref="W18:W25" ca="1" si="48">AA18*$F$64+(AB18+$H$65)*$F$65</f>
        <v>500000</v>
      </c>
      <c r="X18" s="22">
        <f ca="1">RANK($L18,$L$17:$L$25)+RANK($W18,$W$17:$W$25)/100+(9-$Y18)/10000+($C18="")*100</f>
        <v>5.0108999999999995</v>
      </c>
      <c r="Y18" s="13">
        <f>Vorrunde!$AZ26+$AD18</f>
        <v>0</v>
      </c>
      <c r="Z18" s="1">
        <f t="shared" ref="Z18:Z25" ca="1" si="49">RANK($W18,$W$17:$W$25)+(9-$Y18)/10</f>
        <v>1.9</v>
      </c>
      <c r="AA18" s="1">
        <f t="shared" ref="AA18:AA25" ca="1" si="50">SUM(E31:BP31)</f>
        <v>0</v>
      </c>
      <c r="AB18" s="1">
        <f t="shared" ref="AB18:AB25" ca="1" si="51">SUM(E42:BP42)</f>
        <v>0</v>
      </c>
      <c r="AC18" s="1">
        <f t="shared" ref="AC18:AC25" ca="1" si="52">SUM(E53:BP53)</f>
        <v>0</v>
      </c>
      <c r="AD18" s="613">
        <f>IF($C18="",0,COUNTIF(Playoffs!$U$12:$U$17,$C18))</f>
        <v>0</v>
      </c>
      <c r="AE18" s="615"/>
      <c r="AF18" s="613"/>
      <c r="AG18" s="613"/>
      <c r="AH18" s="616"/>
      <c r="AI18" s="613"/>
    </row>
    <row r="19" spans="2:80" s="2" customFormat="1" x14ac:dyDescent="0.2">
      <c r="C19" s="2" t="str">
        <f t="shared" si="46"/>
        <v>SSV Wildbach</v>
      </c>
      <c r="D19" s="1">
        <f t="shared" ca="1" si="36"/>
        <v>4</v>
      </c>
      <c r="E19" s="1">
        <f t="shared" ca="1" si="36"/>
        <v>1</v>
      </c>
      <c r="F19" s="1">
        <f t="shared" ca="1" si="36"/>
        <v>2</v>
      </c>
      <c r="G19" s="1">
        <f t="shared" ca="1" si="36"/>
        <v>1</v>
      </c>
      <c r="H19" s="1">
        <f t="shared" ca="1" si="37"/>
        <v>169</v>
      </c>
      <c r="I19" s="1">
        <f t="shared" ca="1" si="37"/>
        <v>180</v>
      </c>
      <c r="J19" s="13">
        <f t="shared" ca="1" si="37"/>
        <v>-11</v>
      </c>
      <c r="K19" s="1">
        <f ca="1">IF(Einstellungen!$G$9,J6,$AT6)</f>
        <v>4</v>
      </c>
      <c r="L19" s="694">
        <f ca="1">K19*$F$64+(AU6+$H$65)*$F$65*Einstellungen!$G$14+AT6*$F$66*Einstellungen!$G$19+AX6*$F$67</f>
        <v>4000000.0060000001</v>
      </c>
      <c r="M19" s="14">
        <f t="shared" ca="1" si="47"/>
        <v>1</v>
      </c>
      <c r="N19" s="14">
        <f t="array" aca="1" ref="N19" ca="1">IF($AI$15,SUM(($K$17:$K$25&gt;=K19)/COUNTIF($K$17:$K$25,$K$17:$K$25)),SUM(($L$17:$L$25&gt;=L19)/COUNTIF($L$17:$L$25,$L$17:$L$25)))</f>
        <v>4</v>
      </c>
      <c r="O19" s="6" t="str">
        <f t="shared" ca="1" si="38"/>
        <v/>
      </c>
      <c r="P19" s="4" t="str">
        <f t="shared" ca="1" si="39"/>
        <v/>
      </c>
      <c r="Q19" s="4" t="str">
        <f t="shared" ca="1" si="40"/>
        <v/>
      </c>
      <c r="R19" s="4" t="str">
        <f t="shared" ca="1" si="41"/>
        <v/>
      </c>
      <c r="S19" s="4" t="str">
        <f t="shared" ca="1" si="42"/>
        <v/>
      </c>
      <c r="T19" s="4" t="str">
        <f t="shared" ca="1" si="43"/>
        <v/>
      </c>
      <c r="U19" s="4" t="str">
        <f t="shared" ca="1" si="44"/>
        <v/>
      </c>
      <c r="V19" s="55" t="str">
        <f t="shared" ca="1" si="45"/>
        <v/>
      </c>
      <c r="W19" s="62">
        <f t="shared" ca="1" si="48"/>
        <v>500000</v>
      </c>
      <c r="X19" s="22">
        <f t="shared" ref="X19:X25" ca="1" si="53">RANK($L19,$L$17:$L$25)+RANK($W19,$W$17:$W$25)/100+(9-$Y19)/10000+($C19="")*100</f>
        <v>4.0108999999999995</v>
      </c>
      <c r="Y19" s="13">
        <f>Vorrunde!$AZ27+$AD19</f>
        <v>0</v>
      </c>
      <c r="Z19" s="1">
        <f t="shared" ca="1" si="49"/>
        <v>1.9</v>
      </c>
      <c r="AA19" s="1">
        <f t="shared" ca="1" si="50"/>
        <v>0</v>
      </c>
      <c r="AB19" s="1">
        <f t="shared" ca="1" si="51"/>
        <v>0</v>
      </c>
      <c r="AC19" s="1">
        <f t="shared" ca="1" si="52"/>
        <v>0</v>
      </c>
      <c r="AD19" s="613">
        <f>IF($C19="",0,COUNTIF(Playoffs!$U$12:$U$17,$C19))</f>
        <v>0</v>
      </c>
      <c r="AE19" s="615"/>
      <c r="AF19" s="613"/>
      <c r="AG19" s="613"/>
      <c r="AH19" s="616"/>
      <c r="AI19" s="613"/>
    </row>
    <row r="20" spans="2:80" s="2" customFormat="1" x14ac:dyDescent="0.2">
      <c r="C20" s="2" t="str">
        <f t="shared" si="46"/>
        <v>Manchester City</v>
      </c>
      <c r="D20" s="1">
        <f t="shared" ca="1" si="36"/>
        <v>4</v>
      </c>
      <c r="E20" s="1">
        <f t="shared" ca="1" si="36"/>
        <v>1</v>
      </c>
      <c r="F20" s="1">
        <f t="shared" ca="1" si="36"/>
        <v>2</v>
      </c>
      <c r="G20" s="1">
        <f t="shared" ca="1" si="36"/>
        <v>1</v>
      </c>
      <c r="H20" s="1">
        <f t="shared" ca="1" si="37"/>
        <v>184</v>
      </c>
      <c r="I20" s="1">
        <f t="shared" ca="1" si="37"/>
        <v>160</v>
      </c>
      <c r="J20" s="13">
        <f t="shared" ca="1" si="37"/>
        <v>24</v>
      </c>
      <c r="K20" s="1">
        <f ca="1">IF(Einstellungen!$G$9,J7,$AT7)</f>
        <v>4</v>
      </c>
      <c r="L20" s="694">
        <f ca="1">K20*$F$64+(AU7+$H$65)*$F$65*Einstellungen!$G$14+AT7*$F$66*Einstellungen!$G$19+AX7*$F$67</f>
        <v>4000000.0090000001</v>
      </c>
      <c r="M20" s="14">
        <f t="shared" ca="1" si="47"/>
        <v>1</v>
      </c>
      <c r="N20" s="14">
        <f t="array" aca="1" ref="N20" ca="1">IF($AI$15,SUM(($K$17:$K$25&gt;=K20)/COUNTIF($K$17:$K$25,$K$17:$K$25)),SUM(($L$17:$L$25&gt;=L20)/COUNTIF($L$17:$L$25,$L$17:$L$25)))</f>
        <v>2</v>
      </c>
      <c r="O20" s="6" t="str">
        <f t="shared" ca="1" si="38"/>
        <v/>
      </c>
      <c r="P20" s="4" t="str">
        <f t="shared" ca="1" si="39"/>
        <v/>
      </c>
      <c r="Q20" s="4" t="str">
        <f t="shared" ca="1" si="40"/>
        <v/>
      </c>
      <c r="R20" s="4" t="str">
        <f t="shared" ca="1" si="41"/>
        <v/>
      </c>
      <c r="S20" s="4" t="str">
        <f t="shared" ca="1" si="42"/>
        <v/>
      </c>
      <c r="T20" s="4" t="str">
        <f t="shared" ca="1" si="43"/>
        <v/>
      </c>
      <c r="U20" s="4" t="str">
        <f t="shared" ca="1" si="44"/>
        <v/>
      </c>
      <c r="V20" s="55" t="str">
        <f t="shared" ca="1" si="45"/>
        <v/>
      </c>
      <c r="W20" s="62">
        <f t="shared" ca="1" si="48"/>
        <v>500000</v>
      </c>
      <c r="X20" s="22">
        <f t="shared" ca="1" si="53"/>
        <v>2.0108999999999999</v>
      </c>
      <c r="Y20" s="13">
        <f>Vorrunde!$AZ28+$AD20</f>
        <v>0</v>
      </c>
      <c r="Z20" s="1">
        <f t="shared" ca="1" si="49"/>
        <v>1.9</v>
      </c>
      <c r="AA20" s="1">
        <f t="shared" ca="1" si="50"/>
        <v>0</v>
      </c>
      <c r="AB20" s="1">
        <f t="shared" ca="1" si="51"/>
        <v>0</v>
      </c>
      <c r="AC20" s="1">
        <f t="shared" ca="1" si="52"/>
        <v>0</v>
      </c>
      <c r="AD20" s="613">
        <f>IF($C20="",0,COUNTIF(Playoffs!$U$12:$U$17,$C20))</f>
        <v>0</v>
      </c>
      <c r="AE20" s="615"/>
      <c r="AF20" s="613"/>
      <c r="AG20" s="613"/>
      <c r="AH20" s="616"/>
      <c r="AI20" s="613"/>
    </row>
    <row r="21" spans="2:80" s="2" customFormat="1" x14ac:dyDescent="0.2">
      <c r="C21" s="2" t="str">
        <f t="shared" si="46"/>
        <v>FC Grönlingen</v>
      </c>
      <c r="D21" s="1">
        <f t="shared" ca="1" si="36"/>
        <v>4</v>
      </c>
      <c r="E21" s="1">
        <f t="shared" ca="1" si="36"/>
        <v>1</v>
      </c>
      <c r="F21" s="1">
        <f t="shared" ca="1" si="36"/>
        <v>2</v>
      </c>
      <c r="G21" s="1">
        <f t="shared" ca="1" si="36"/>
        <v>1</v>
      </c>
      <c r="H21" s="1">
        <f t="shared" ca="1" si="37"/>
        <v>174</v>
      </c>
      <c r="I21" s="1">
        <f t="shared" ca="1" si="37"/>
        <v>178</v>
      </c>
      <c r="J21" s="13">
        <f t="shared" ca="1" si="37"/>
        <v>-4</v>
      </c>
      <c r="K21" s="1">
        <f ca="1">IF(Einstellungen!$G$9,J8,$AT8)</f>
        <v>4</v>
      </c>
      <c r="L21" s="694">
        <f ca="1">K21*$F$64+(AU8+$H$65)*$F$65*Einstellungen!$G$14+AT8*$F$66*Einstellungen!$G$19+AX8*$F$67</f>
        <v>4000000.0070000002</v>
      </c>
      <c r="M21" s="14">
        <f t="shared" ca="1" si="47"/>
        <v>1</v>
      </c>
      <c r="N21" s="14">
        <f t="array" aca="1" ref="N21" ca="1">IF($AI$15,SUM(($K$17:$K$25&gt;=K21)/COUNTIF($K$17:$K$25,$K$17:$K$25)),SUM(($L$17:$L$25&gt;=L21)/COUNTIF($L$17:$L$25,$L$17:$L$25)))</f>
        <v>3</v>
      </c>
      <c r="O21" s="6" t="str">
        <f t="shared" ca="1" si="38"/>
        <v/>
      </c>
      <c r="P21" s="4" t="str">
        <f t="shared" ca="1" si="39"/>
        <v/>
      </c>
      <c r="Q21" s="4" t="str">
        <f t="shared" ca="1" si="40"/>
        <v/>
      </c>
      <c r="R21" s="4" t="str">
        <f t="shared" ca="1" si="41"/>
        <v/>
      </c>
      <c r="S21" s="4" t="str">
        <f t="shared" ca="1" si="42"/>
        <v/>
      </c>
      <c r="T21" s="4" t="str">
        <f t="shared" ca="1" si="43"/>
        <v/>
      </c>
      <c r="U21" s="4" t="str">
        <f t="shared" ca="1" si="44"/>
        <v/>
      </c>
      <c r="V21" s="55" t="str">
        <f t="shared" ca="1" si="45"/>
        <v/>
      </c>
      <c r="W21" s="62">
        <f t="shared" ca="1" si="48"/>
        <v>500000</v>
      </c>
      <c r="X21" s="22">
        <f t="shared" ca="1" si="53"/>
        <v>3.0108999999999999</v>
      </c>
      <c r="Y21" s="13">
        <f>Vorrunde!$AZ29+$AD21</f>
        <v>0</v>
      </c>
      <c r="Z21" s="1">
        <f t="shared" ca="1" si="49"/>
        <v>1.9</v>
      </c>
      <c r="AA21" s="1">
        <f t="shared" ca="1" si="50"/>
        <v>0</v>
      </c>
      <c r="AB21" s="1">
        <f t="shared" ca="1" si="51"/>
        <v>0</v>
      </c>
      <c r="AC21" s="1">
        <f t="shared" ca="1" si="52"/>
        <v>0</v>
      </c>
      <c r="AD21" s="613">
        <f>IF($C21="",0,COUNTIF(Playoffs!$U$12:$U$17,$C21))</f>
        <v>0</v>
      </c>
      <c r="AE21" s="615"/>
      <c r="AF21" s="613"/>
      <c r="AG21" s="613"/>
      <c r="AH21" s="616"/>
      <c r="AI21" s="613"/>
    </row>
    <row r="22" spans="2:80" s="2" customFormat="1" x14ac:dyDescent="0.2">
      <c r="C22" s="2" t="str">
        <f t="shared" si="46"/>
        <v/>
      </c>
      <c r="D22" s="1">
        <f t="shared" ca="1" si="36"/>
        <v>0</v>
      </c>
      <c r="E22" s="1">
        <f t="shared" ca="1" si="36"/>
        <v>0</v>
      </c>
      <c r="F22" s="1">
        <f t="shared" ca="1" si="36"/>
        <v>0</v>
      </c>
      <c r="G22" s="1">
        <f t="shared" ca="1" si="36"/>
        <v>0</v>
      </c>
      <c r="H22" s="1">
        <f t="shared" ca="1" si="37"/>
        <v>0</v>
      </c>
      <c r="I22" s="1">
        <f t="shared" ca="1" si="37"/>
        <v>0</v>
      </c>
      <c r="J22" s="13">
        <f t="shared" ca="1" si="37"/>
        <v>0</v>
      </c>
      <c r="K22" s="1">
        <f ca="1">IF(Einstellungen!$G$9,J9,$AT9)</f>
        <v>0</v>
      </c>
      <c r="L22" s="694">
        <f ca="1">K22*$F$64+(AU9+$H$65)*$F$65*Einstellungen!$G$14+AT9*$F$66*Einstellungen!$G$19+AX9*$F$67</f>
        <v>1E-3</v>
      </c>
      <c r="M22" s="14">
        <f t="shared" ca="1" si="47"/>
        <v>4</v>
      </c>
      <c r="N22" s="14">
        <f t="array" aca="1" ref="N22" ca="1">IF($AI$15,SUM(($K$17:$K$25&gt;=K22)/COUNTIF($K$17:$K$25,$K$17:$K$25)),SUM(($L$17:$L$25&gt;=L22)/COUNTIF($L$17:$L$25,$L$17:$L$25)))</f>
        <v>6</v>
      </c>
      <c r="O22" s="6" t="str">
        <f t="shared" ca="1" si="38"/>
        <v/>
      </c>
      <c r="P22" s="4" t="str">
        <f t="shared" ca="1" si="39"/>
        <v/>
      </c>
      <c r="Q22" s="4" t="str">
        <f t="shared" ca="1" si="40"/>
        <v/>
      </c>
      <c r="R22" s="4" t="str">
        <f t="shared" ca="1" si="41"/>
        <v/>
      </c>
      <c r="S22" s="4" t="str">
        <f t="shared" ca="1" si="42"/>
        <v/>
      </c>
      <c r="T22" s="4" t="str">
        <f t="shared" ca="1" si="43"/>
        <v/>
      </c>
      <c r="U22" s="4" t="str">
        <f t="shared" ca="1" si="44"/>
        <v/>
      </c>
      <c r="V22" s="55" t="str">
        <f t="shared" ca="1" si="45"/>
        <v/>
      </c>
      <c r="W22" s="62">
        <f t="shared" ca="1" si="48"/>
        <v>500000</v>
      </c>
      <c r="X22" s="22">
        <f t="shared" ca="1" si="53"/>
        <v>106.01089999999999</v>
      </c>
      <c r="Y22" s="13">
        <f>Vorrunde!$AZ30+$AD22</f>
        <v>0</v>
      </c>
      <c r="Z22" s="1">
        <f t="shared" ca="1" si="49"/>
        <v>1.9</v>
      </c>
      <c r="AA22" s="1">
        <f t="shared" ca="1" si="50"/>
        <v>0</v>
      </c>
      <c r="AB22" s="1">
        <f t="shared" ca="1" si="51"/>
        <v>0</v>
      </c>
      <c r="AC22" s="1">
        <f t="shared" ca="1" si="52"/>
        <v>0</v>
      </c>
      <c r="AD22" s="613">
        <f>IF($C22="",0,COUNTIF(Playoffs!$U$12:$U$17,$C22))</f>
        <v>0</v>
      </c>
      <c r="AE22" s="615"/>
      <c r="AF22" s="613"/>
      <c r="AG22" s="613"/>
      <c r="AH22" s="616"/>
      <c r="AI22" s="613"/>
    </row>
    <row r="23" spans="2:80" s="2" customFormat="1" x14ac:dyDescent="0.2">
      <c r="C23" s="2" t="str">
        <f t="shared" si="46"/>
        <v/>
      </c>
      <c r="D23" s="1">
        <f t="shared" ca="1" si="36"/>
        <v>0</v>
      </c>
      <c r="E23" s="1">
        <f t="shared" ca="1" si="36"/>
        <v>0</v>
      </c>
      <c r="F23" s="1">
        <f t="shared" ca="1" si="36"/>
        <v>0</v>
      </c>
      <c r="G23" s="1">
        <f t="shared" ca="1" si="36"/>
        <v>0</v>
      </c>
      <c r="H23" s="1">
        <f t="shared" ca="1" si="37"/>
        <v>0</v>
      </c>
      <c r="I23" s="1">
        <f t="shared" ca="1" si="37"/>
        <v>0</v>
      </c>
      <c r="J23" s="13">
        <f t="shared" ca="1" si="37"/>
        <v>0</v>
      </c>
      <c r="K23" s="1">
        <f ca="1">IF(Einstellungen!$G$9,J10,$AT10)</f>
        <v>0</v>
      </c>
      <c r="L23" s="694">
        <f ca="1">K23*$F$64+(AU10+$H$65)*$F$65*Einstellungen!$G$14+AT10*$F$66*Einstellungen!$G$19+AX10*$F$67</f>
        <v>1E-3</v>
      </c>
      <c r="M23" s="14">
        <f t="shared" ca="1" si="47"/>
        <v>4</v>
      </c>
      <c r="N23" s="14">
        <f t="array" aca="1" ref="N23" ca="1">IF($AI$15,SUM(($K$17:$K$25&gt;=K23)/COUNTIF($K$17:$K$25,$K$17:$K$25)),SUM(($L$17:$L$25&gt;=L23)/COUNTIF($L$17:$L$25,$L$17:$L$25)))</f>
        <v>6</v>
      </c>
      <c r="O23" s="6" t="str">
        <f t="shared" ca="1" si="38"/>
        <v/>
      </c>
      <c r="P23" s="4" t="str">
        <f t="shared" ca="1" si="39"/>
        <v/>
      </c>
      <c r="Q23" s="4" t="str">
        <f t="shared" ca="1" si="40"/>
        <v/>
      </c>
      <c r="R23" s="4" t="str">
        <f t="shared" ca="1" si="41"/>
        <v/>
      </c>
      <c r="S23" s="4" t="str">
        <f t="shared" ca="1" si="42"/>
        <v/>
      </c>
      <c r="T23" s="4" t="str">
        <f t="shared" ca="1" si="43"/>
        <v/>
      </c>
      <c r="U23" s="4" t="str">
        <f t="shared" ca="1" si="44"/>
        <v/>
      </c>
      <c r="V23" s="55" t="str">
        <f t="shared" ca="1" si="45"/>
        <v/>
      </c>
      <c r="W23" s="62">
        <f t="shared" ca="1" si="48"/>
        <v>500000</v>
      </c>
      <c r="X23" s="22">
        <f t="shared" ca="1" si="53"/>
        <v>106.01089999999999</v>
      </c>
      <c r="Y23" s="13">
        <f>Vorrunde!$AZ31+$AD23</f>
        <v>0</v>
      </c>
      <c r="Z23" s="1">
        <f t="shared" ca="1" si="49"/>
        <v>1.9</v>
      </c>
      <c r="AA23" s="1">
        <f t="shared" ca="1" si="50"/>
        <v>0</v>
      </c>
      <c r="AB23" s="1">
        <f t="shared" ca="1" si="51"/>
        <v>0</v>
      </c>
      <c r="AC23" s="1">
        <f t="shared" ca="1" si="52"/>
        <v>0</v>
      </c>
      <c r="AD23" s="613">
        <f>IF($C23="",0,COUNTIF(Playoffs!$U$12:$U$17,$C23))</f>
        <v>0</v>
      </c>
      <c r="AE23" s="615"/>
      <c r="AF23" s="613"/>
      <c r="AG23" s="613"/>
      <c r="AH23" s="616"/>
      <c r="AI23" s="613"/>
    </row>
    <row r="24" spans="2:80" s="2" customFormat="1" x14ac:dyDescent="0.2">
      <c r="C24" s="2" t="str">
        <f t="shared" si="46"/>
        <v/>
      </c>
      <c r="D24" s="1">
        <f t="shared" ca="1" si="36"/>
        <v>0</v>
      </c>
      <c r="E24" s="1">
        <f t="shared" ca="1" si="36"/>
        <v>0</v>
      </c>
      <c r="F24" s="1">
        <f t="shared" ca="1" si="36"/>
        <v>0</v>
      </c>
      <c r="G24" s="1">
        <f t="shared" ca="1" si="36"/>
        <v>0</v>
      </c>
      <c r="H24" s="1">
        <f t="shared" ca="1" si="37"/>
        <v>0</v>
      </c>
      <c r="I24" s="1">
        <f t="shared" ca="1" si="37"/>
        <v>0</v>
      </c>
      <c r="J24" s="13">
        <f t="shared" ca="1" si="37"/>
        <v>0</v>
      </c>
      <c r="K24" s="1">
        <f ca="1">IF(Einstellungen!$G$9,J11,$AT11)</f>
        <v>0</v>
      </c>
      <c r="L24" s="694">
        <f ca="1">K24*$F$64+(AU11+$H$65)*$F$65*Einstellungen!$G$14+AT11*$F$66*Einstellungen!$G$19+AX11*$F$67</f>
        <v>1E-3</v>
      </c>
      <c r="M24" s="14">
        <f t="shared" ca="1" si="47"/>
        <v>4</v>
      </c>
      <c r="N24" s="14">
        <f t="array" aca="1" ref="N24" ca="1">IF($AI$15,SUM(($K$17:$K$25&gt;=K24)/COUNTIF($K$17:$K$25,$K$17:$K$25)),SUM(($L$17:$L$25&gt;=L24)/COUNTIF($L$17:$L$25,$L$17:$L$25)))</f>
        <v>6</v>
      </c>
      <c r="O24" s="6" t="str">
        <f t="shared" ca="1" si="38"/>
        <v/>
      </c>
      <c r="P24" s="4" t="str">
        <f t="shared" ca="1" si="39"/>
        <v/>
      </c>
      <c r="Q24" s="4" t="str">
        <f t="shared" ca="1" si="40"/>
        <v/>
      </c>
      <c r="R24" s="4" t="str">
        <f t="shared" ca="1" si="41"/>
        <v/>
      </c>
      <c r="S24" s="4" t="str">
        <f t="shared" ca="1" si="42"/>
        <v/>
      </c>
      <c r="T24" s="4" t="str">
        <f t="shared" ca="1" si="43"/>
        <v/>
      </c>
      <c r="U24" s="4" t="str">
        <f t="shared" ca="1" si="44"/>
        <v/>
      </c>
      <c r="V24" s="55" t="str">
        <f t="shared" ca="1" si="45"/>
        <v/>
      </c>
      <c r="W24" s="62">
        <f t="shared" ca="1" si="48"/>
        <v>500000</v>
      </c>
      <c r="X24" s="22">
        <f t="shared" ca="1" si="53"/>
        <v>106.01089999999999</v>
      </c>
      <c r="Y24" s="13">
        <f>Vorrunde!$AZ32+$AD24</f>
        <v>0</v>
      </c>
      <c r="Z24" s="1">
        <f t="shared" ca="1" si="49"/>
        <v>1.9</v>
      </c>
      <c r="AA24" s="1">
        <f t="shared" ca="1" si="50"/>
        <v>0</v>
      </c>
      <c r="AB24" s="1">
        <f t="shared" ca="1" si="51"/>
        <v>0</v>
      </c>
      <c r="AC24" s="1">
        <f t="shared" ca="1" si="52"/>
        <v>0</v>
      </c>
      <c r="AD24" s="613">
        <f>IF($C24="",0,COUNTIF(Playoffs!$U$12:$U$17,$C24))</f>
        <v>0</v>
      </c>
      <c r="AE24" s="615"/>
      <c r="AF24" s="613"/>
      <c r="AG24" s="613"/>
      <c r="AH24" s="616"/>
      <c r="AI24" s="613"/>
    </row>
    <row r="25" spans="2:80" s="2" customFormat="1" ht="12.75" thickBot="1" x14ac:dyDescent="0.25">
      <c r="C25" s="2" t="str">
        <f t="shared" si="46"/>
        <v/>
      </c>
      <c r="D25" s="1">
        <f t="shared" ca="1" si="36"/>
        <v>0</v>
      </c>
      <c r="E25" s="1">
        <f t="shared" ca="1" si="36"/>
        <v>0</v>
      </c>
      <c r="F25" s="1">
        <f t="shared" ca="1" si="36"/>
        <v>0</v>
      </c>
      <c r="G25" s="1">
        <f t="shared" ca="1" si="36"/>
        <v>0</v>
      </c>
      <c r="H25" s="1">
        <f t="shared" ca="1" si="37"/>
        <v>0</v>
      </c>
      <c r="I25" s="1">
        <f t="shared" ca="1" si="37"/>
        <v>0</v>
      </c>
      <c r="J25" s="13">
        <f t="shared" ca="1" si="37"/>
        <v>0</v>
      </c>
      <c r="K25" s="1">
        <f ca="1">IF(Einstellungen!$G$9,J12,$AT12)</f>
        <v>0</v>
      </c>
      <c r="L25" s="694">
        <f ca="1">K25*$F$64+(AU12+$H$65)*$F$65*Einstellungen!$G$14+AT12*$F$66*Einstellungen!$G$19+AX12*$F$67</f>
        <v>1E-3</v>
      </c>
      <c r="M25" s="14">
        <f t="shared" ca="1" si="47"/>
        <v>4</v>
      </c>
      <c r="N25" s="14">
        <f t="array" aca="1" ref="N25" ca="1">IF($AI$15,SUM(($K$17:$K$25&gt;=K25)/COUNTIF($K$17:$K$25,$K$17:$K$25)),SUM(($L$17:$L$25&gt;=L25)/COUNTIF($L$17:$L$25,$L$17:$L$25)))</f>
        <v>6</v>
      </c>
      <c r="O25" s="56" t="str">
        <f t="shared" ca="1" si="38"/>
        <v/>
      </c>
      <c r="P25" s="57" t="str">
        <f t="shared" ca="1" si="39"/>
        <v/>
      </c>
      <c r="Q25" s="57" t="str">
        <f t="shared" ca="1" si="40"/>
        <v/>
      </c>
      <c r="R25" s="57" t="str">
        <f t="shared" ca="1" si="41"/>
        <v/>
      </c>
      <c r="S25" s="57" t="str">
        <f t="shared" ca="1" si="42"/>
        <v/>
      </c>
      <c r="T25" s="57" t="str">
        <f t="shared" ca="1" si="43"/>
        <v/>
      </c>
      <c r="U25" s="57" t="str">
        <f t="shared" ca="1" si="44"/>
        <v/>
      </c>
      <c r="V25" s="58" t="str">
        <f t="shared" ca="1" si="45"/>
        <v/>
      </c>
      <c r="W25" s="62">
        <f t="shared" ca="1" si="48"/>
        <v>500000</v>
      </c>
      <c r="X25" s="23">
        <f t="shared" ca="1" si="53"/>
        <v>106.01089999999999</v>
      </c>
      <c r="Y25" s="13">
        <f>Vorrunde!$AZ33+$AD25</f>
        <v>0</v>
      </c>
      <c r="Z25" s="1">
        <f t="shared" ca="1" si="49"/>
        <v>1.9</v>
      </c>
      <c r="AA25" s="1">
        <f t="shared" ca="1" si="50"/>
        <v>0</v>
      </c>
      <c r="AB25" s="1">
        <f t="shared" ca="1" si="51"/>
        <v>0</v>
      </c>
      <c r="AC25" s="1">
        <f t="shared" ca="1" si="52"/>
        <v>0</v>
      </c>
      <c r="AD25" s="613">
        <f>IF($C25="",0,COUNTIF(Playoffs!$U$12:$U$17,$C25))</f>
        <v>0</v>
      </c>
      <c r="AE25" s="615"/>
      <c r="AF25" s="613"/>
      <c r="AG25" s="613"/>
      <c r="AH25" s="616"/>
      <c r="AI25" s="613"/>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596" t="s">
        <v>384</v>
      </c>
      <c r="E29" s="985">
        <v>1</v>
      </c>
      <c r="F29" s="982"/>
      <c r="G29" s="982"/>
      <c r="H29" s="982"/>
      <c r="I29" s="982"/>
      <c r="J29" s="982"/>
      <c r="K29" s="982"/>
      <c r="L29" s="984"/>
      <c r="M29" s="981">
        <v>2</v>
      </c>
      <c r="N29" s="982"/>
      <c r="O29" s="982"/>
      <c r="P29" s="982"/>
      <c r="Q29" s="982"/>
      <c r="R29" s="982"/>
      <c r="S29" s="982"/>
      <c r="T29" s="984"/>
      <c r="U29" s="981">
        <v>3</v>
      </c>
      <c r="V29" s="982"/>
      <c r="W29" s="982"/>
      <c r="X29" s="982"/>
      <c r="Y29" s="982"/>
      <c r="Z29" s="982"/>
      <c r="AA29" s="982"/>
      <c r="AB29" s="984"/>
      <c r="AC29" s="981">
        <v>4</v>
      </c>
      <c r="AD29" s="982"/>
      <c r="AE29" s="982"/>
      <c r="AF29" s="982"/>
      <c r="AG29" s="982"/>
      <c r="AH29" s="982"/>
      <c r="AI29" s="982"/>
      <c r="AJ29" s="984"/>
      <c r="AK29" s="981">
        <v>5</v>
      </c>
      <c r="AL29" s="982"/>
      <c r="AM29" s="982"/>
      <c r="AN29" s="982"/>
      <c r="AO29" s="982"/>
      <c r="AP29" s="982"/>
      <c r="AQ29" s="982"/>
      <c r="AR29" s="984"/>
      <c r="AS29" s="981">
        <v>6</v>
      </c>
      <c r="AT29" s="982"/>
      <c r="AU29" s="982"/>
      <c r="AV29" s="982"/>
      <c r="AW29" s="982"/>
      <c r="AX29" s="982"/>
      <c r="AY29" s="982"/>
      <c r="AZ29" s="984"/>
      <c r="BA29" s="981">
        <v>7</v>
      </c>
      <c r="BB29" s="982"/>
      <c r="BC29" s="982"/>
      <c r="BD29" s="982"/>
      <c r="BE29" s="982"/>
      <c r="BF29" s="982"/>
      <c r="BG29" s="982"/>
      <c r="BH29" s="984"/>
      <c r="BI29" s="981">
        <v>8</v>
      </c>
      <c r="BJ29" s="982"/>
      <c r="BK29" s="982"/>
      <c r="BL29" s="982"/>
      <c r="BM29" s="982"/>
      <c r="BN29" s="982"/>
      <c r="BO29" s="982"/>
      <c r="BP29" s="983"/>
      <c r="BQ29" s="13"/>
      <c r="BR29" s="5" t="s">
        <v>94</v>
      </c>
      <c r="BS29" s="2" t="str">
        <f>$F$4</f>
        <v>Mainz 05</v>
      </c>
      <c r="BT29" s="2" t="str">
        <f>$F$5</f>
        <v>Inter Mailand</v>
      </c>
      <c r="BU29" s="2" t="str">
        <f>$F$6</f>
        <v>SSV Wildbach</v>
      </c>
      <c r="BV29" s="2" t="str">
        <f>$F$7</f>
        <v>Manchester City</v>
      </c>
      <c r="BW29" s="2" t="str">
        <f>$F$8</f>
        <v>FC Grönlingen</v>
      </c>
      <c r="BX29" s="2" t="str">
        <f>$F$9</f>
        <v/>
      </c>
      <c r="BY29" s="2" t="str">
        <f>$F$10</f>
        <v/>
      </c>
      <c r="BZ29" s="2" t="str">
        <f>$F$11</f>
        <v/>
      </c>
      <c r="CA29" s="2" t="str">
        <f>$F$12</f>
        <v/>
      </c>
      <c r="CB29" s="51"/>
    </row>
    <row r="30" spans="2:80" s="2" customFormat="1" x14ac:dyDescent="0.2">
      <c r="C30" s="2" t="str">
        <f>$Q64</f>
        <v>Mainz 05</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54">F4</f>
        <v>Mainz 05</v>
      </c>
      <c r="BS30" s="7"/>
      <c r="BT30" s="8">
        <f t="shared" ref="BT30:CA32" ca="1" si="55">SUMIFS($AH$64:$AH$135,$V$64:$V$135,$BR30,$W$64:$W$135,BT$29)+SUMIFS($AI$64:$AI$135,$W$64:$W$135,$BR30,$V$64:$V$135,BT$29)</f>
        <v>50</v>
      </c>
      <c r="BU30" s="8">
        <f t="shared" ca="1" si="55"/>
        <v>50</v>
      </c>
      <c r="BV30" s="8">
        <f t="shared" ca="1" si="55"/>
        <v>39</v>
      </c>
      <c r="BW30" s="8">
        <f t="shared" ca="1" si="55"/>
        <v>39</v>
      </c>
      <c r="BX30" s="8">
        <f t="shared" ca="1" si="55"/>
        <v>0</v>
      </c>
      <c r="BY30" s="8">
        <f t="shared" ca="1" si="55"/>
        <v>0</v>
      </c>
      <c r="BZ30" s="8">
        <f t="shared" ca="1" si="55"/>
        <v>0</v>
      </c>
      <c r="CA30" s="8">
        <f t="shared" ca="1" si="55"/>
        <v>0</v>
      </c>
      <c r="CB30" s="4"/>
    </row>
    <row r="31" spans="2:80" s="2" customFormat="1" x14ac:dyDescent="0.2">
      <c r="C31" s="2" t="str">
        <f t="shared" ref="C31:C38" si="56">$Q65</f>
        <v>Inter Mailand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54"/>
        <v>Inter Mailand</v>
      </c>
      <c r="BS31" s="9">
        <f t="shared" ref="BS31:BU38" ca="1" si="57">SUMIFS($AH$64:$AH$135,$V$64:$V$135,$BR31,$W$64:$W$135,BS$29)+SUMIFS($AI$64:$AI$135,$W$64:$W$135,$BR31,$V$64:$V$135,BS$29)</f>
        <v>24</v>
      </c>
      <c r="BT31" s="7"/>
      <c r="BU31" s="8">
        <f t="shared" ca="1" si="55"/>
        <v>44</v>
      </c>
      <c r="BV31" s="8">
        <f t="shared" ca="1" si="55"/>
        <v>39</v>
      </c>
      <c r="BW31" s="8">
        <f t="shared" ca="1" si="55"/>
        <v>45</v>
      </c>
      <c r="BX31" s="8">
        <f t="shared" ca="1" si="55"/>
        <v>0</v>
      </c>
      <c r="BY31" s="8">
        <f t="shared" ca="1" si="55"/>
        <v>0</v>
      </c>
      <c r="BZ31" s="8">
        <f t="shared" ca="1" si="55"/>
        <v>0</v>
      </c>
      <c r="CA31" s="8">
        <f t="shared" ca="1" si="55"/>
        <v>0</v>
      </c>
      <c r="CB31" s="4"/>
    </row>
    <row r="32" spans="2:80" s="2" customFormat="1" x14ac:dyDescent="0.2">
      <c r="C32" s="2" t="str">
        <f t="shared" si="56"/>
        <v>SSV Wildbach</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54"/>
        <v>SSV Wildbach</v>
      </c>
      <c r="BS32" s="9">
        <f t="shared" ca="1" si="57"/>
        <v>38</v>
      </c>
      <c r="BT32" s="9">
        <f t="shared" ca="1" si="57"/>
        <v>37</v>
      </c>
      <c r="BU32" s="7"/>
      <c r="BV32" s="8">
        <f t="shared" ca="1" si="55"/>
        <v>50</v>
      </c>
      <c r="BW32" s="8">
        <f t="shared" ca="1" si="55"/>
        <v>44</v>
      </c>
      <c r="BX32" s="8">
        <f t="shared" ca="1" si="55"/>
        <v>0</v>
      </c>
      <c r="BY32" s="8">
        <f t="shared" ca="1" si="55"/>
        <v>0</v>
      </c>
      <c r="BZ32" s="8">
        <f t="shared" ca="1" si="55"/>
        <v>0</v>
      </c>
      <c r="CA32" s="8">
        <f t="shared" ca="1" si="55"/>
        <v>0</v>
      </c>
      <c r="CB32" s="4"/>
    </row>
    <row r="33" spans="2:80" s="2" customFormat="1" x14ac:dyDescent="0.2">
      <c r="C33" s="2" t="str">
        <f t="shared" si="56"/>
        <v>Manchester City</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54"/>
        <v>Manchester City</v>
      </c>
      <c r="BS33" s="9">
        <f t="shared" ca="1" si="57"/>
        <v>44</v>
      </c>
      <c r="BT33" s="9">
        <f t="shared" ca="1" si="57"/>
        <v>48</v>
      </c>
      <c r="BU33" s="9">
        <f t="shared" ca="1" si="57"/>
        <v>42</v>
      </c>
      <c r="BV33" s="7"/>
      <c r="BW33" s="8">
        <f ca="1">SUMIFS($AH$64:$AH$135,$V$64:$V$135,$BR33,$W$64:$W$135,BW$29)+SUMIFS($AI$64:$AI$135,$W$64:$W$135,$BR33,$V$64:$V$135,BW$29)</f>
        <v>50</v>
      </c>
      <c r="BX33" s="8">
        <f ca="1">SUMIFS($AH$64:$AH$135,$V$64:$V$135,$BR33,$W$64:$W$135,BX$29)+SUMIFS($AI$64:$AI$135,$W$64:$W$135,$BR33,$V$64:$V$135,BX$29)</f>
        <v>0</v>
      </c>
      <c r="BY33" s="8">
        <f ca="1">SUMIFS($AH$64:$AH$135,$V$64:$V$135,$BR33,$W$64:$W$135,BY$29)+SUMIFS($AI$64:$AI$135,$W$64:$W$135,$BR33,$V$64:$V$135,BY$29)</f>
        <v>0</v>
      </c>
      <c r="BZ33" s="8">
        <f ca="1">SUMIFS($AH$64:$AH$135,$V$64:$V$135,$BR33,$W$64:$W$135,BZ$29)+SUMIFS($AI$64:$AI$135,$W$64:$W$135,$BR33,$V$64:$V$135,BZ$29)</f>
        <v>0</v>
      </c>
      <c r="CA33" s="8">
        <f ca="1">SUMIFS($AH$64:$AH$135,$V$64:$V$135,$BR33,$W$64:$W$135,CA$29)+SUMIFS($AI$64:$AI$135,$W$64:$W$135,$BR33,$V$64:$V$135,CA$29)</f>
        <v>0</v>
      </c>
      <c r="CB33" s="4"/>
    </row>
    <row r="34" spans="2:80" s="2" customFormat="1" x14ac:dyDescent="0.2">
      <c r="C34" s="2" t="str">
        <f t="shared" si="56"/>
        <v>FC Grönlingen</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54"/>
        <v>FC Grönlingen</v>
      </c>
      <c r="BS34" s="9">
        <f t="shared" ca="1" si="57"/>
        <v>50</v>
      </c>
      <c r="BT34" s="9">
        <f t="shared" ca="1" si="57"/>
        <v>48</v>
      </c>
      <c r="BU34" s="9">
        <f t="shared" ca="1" si="57"/>
        <v>44</v>
      </c>
      <c r="BV34" s="9">
        <f ca="1">SUMIFS($AH$64:$AH$135,$V$64:$V$135,$BR34,$W$64:$W$135,BV$29)+SUMIFS($AI$64:$AI$135,$W$64:$W$135,$BR34,$V$64:$V$135,BV$29)</f>
        <v>32</v>
      </c>
      <c r="BW34" s="7"/>
      <c r="BX34" s="8">
        <f ca="1">SUMIFS($AH$64:$AH$135,$V$64:$V$135,$BR34,$W$64:$W$135,BX$29)+SUMIFS($AI$64:$AI$135,$W$64:$W$135,$BR34,$V$64:$V$135,BX$29)</f>
        <v>0</v>
      </c>
      <c r="BY34" s="8">
        <f ca="1">SUMIFS($AH$64:$AH$135,$V$64:$V$135,$BR34,$W$64:$W$135,BY$29)+SUMIFS($AI$64:$AI$135,$W$64:$W$135,$BR34,$V$64:$V$135,BY$29)</f>
        <v>0</v>
      </c>
      <c r="BZ34" s="8">
        <f ca="1">SUMIFS($AH$64:$AH$135,$V$64:$V$135,$BR34,$W$64:$W$135,BZ$29)+SUMIFS($AI$64:$AI$135,$W$64:$W$135,$BR34,$V$64:$V$135,BZ$29)</f>
        <v>0</v>
      </c>
      <c r="CA34" s="8">
        <f ca="1">SUMIFS($AH$64:$AH$135,$V$64:$V$135,$BR34,$W$64:$W$135,CA$29)+SUMIFS($AI$64:$AI$135,$W$64:$W$135,$BR34,$V$64:$V$135,CA$29)</f>
        <v>0</v>
      </c>
      <c r="CB34" s="4"/>
    </row>
    <row r="35" spans="2:80" s="2" customFormat="1" x14ac:dyDescent="0.2">
      <c r="C35" s="2" t="str">
        <f t="shared" si="56"/>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54"/>
        <v/>
      </c>
      <c r="BS35" s="9">
        <f t="shared" ca="1" si="57"/>
        <v>0</v>
      </c>
      <c r="BT35" s="9">
        <f t="shared" ca="1" si="57"/>
        <v>0</v>
      </c>
      <c r="BU35" s="9">
        <f t="shared" ca="1" si="57"/>
        <v>0</v>
      </c>
      <c r="BV35" s="9">
        <f ca="1">SUMIFS($AH$64:$AH$135,$V$64:$V$135,$BR35,$W$64:$W$135,BV$29)+SUMIFS($AI$64:$AI$135,$W$64:$W$135,$BR35,$V$64:$V$135,BV$29)</f>
        <v>0</v>
      </c>
      <c r="BW35" s="9">
        <f ca="1">SUMIFS($AH$64:$AH$135,$V$64:$V$135,$BR35,$W$64:$W$135,BW$29)+SUMIFS($AI$64:$AI$135,$W$64:$W$135,$BR35,$V$64:$V$135,BW$29)</f>
        <v>0</v>
      </c>
      <c r="BX35" s="7"/>
      <c r="BY35" s="8">
        <f ca="1">SUMIFS($AH$64:$AH$135,$V$64:$V$135,$BR35,$W$64:$W$135,BY$29)+SUMIFS($AI$64:$AI$135,$W$64:$W$135,$BR35,$V$64:$V$135,BY$29)</f>
        <v>0</v>
      </c>
      <c r="BZ35" s="8">
        <f ca="1">SUMIFS($AH$64:$AH$135,$V$64:$V$135,$BR35,$W$64:$W$135,BZ$29)+SUMIFS($AI$64:$AI$135,$W$64:$W$135,$BR35,$V$64:$V$135,BZ$29)</f>
        <v>0</v>
      </c>
      <c r="CA35" s="8">
        <f ca="1">SUMIFS($AH$64:$AH$135,$V$64:$V$135,$BR35,$W$64:$W$135,CA$29)+SUMIFS($AI$64:$AI$135,$W$64:$W$135,$BR35,$V$64:$V$135,CA$29)</f>
        <v>0</v>
      </c>
      <c r="CB35" s="4"/>
    </row>
    <row r="36" spans="2:80" s="2" customFormat="1" x14ac:dyDescent="0.2">
      <c r="C36" s="2" t="str">
        <f t="shared" si="56"/>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54"/>
        <v/>
      </c>
      <c r="BS36" s="9">
        <f t="shared" ca="1" si="57"/>
        <v>0</v>
      </c>
      <c r="BT36" s="9">
        <f t="shared" ca="1" si="57"/>
        <v>0</v>
      </c>
      <c r="BU36" s="9">
        <f t="shared" ca="1" si="57"/>
        <v>0</v>
      </c>
      <c r="BV36" s="9">
        <f ca="1">SUMIFS($AH$64:$AH$135,$V$64:$V$135,$BR36,$W$64:$W$135,BV$29)+SUMIFS($AI$64:$AI$135,$W$64:$W$135,$BR36,$V$64:$V$135,BV$29)</f>
        <v>0</v>
      </c>
      <c r="BW36" s="9">
        <f ca="1">SUMIFS($AH$64:$AH$135,$V$64:$V$135,$BR36,$W$64:$W$135,BW$29)+SUMIFS($AI$64:$AI$135,$W$64:$W$135,$BR36,$V$64:$V$135,BW$29)</f>
        <v>0</v>
      </c>
      <c r="BX36" s="9">
        <f ca="1">SUMIFS($AH$64:$AH$135,$V$64:$V$135,$BR36,$W$64:$W$135,BX$29)+SUMIFS($AI$64:$AI$135,$W$64:$W$135,$BR36,$V$64:$V$135,BX$29)</f>
        <v>0</v>
      </c>
      <c r="BY36" s="7"/>
      <c r="BZ36" s="8">
        <f ca="1">SUMIFS($AH$64:$AH$135,$V$64:$V$135,$BR36,$W$64:$W$135,BZ$29)+SUMIFS($AI$64:$AI$135,$W$64:$W$135,$BR36,$V$64:$V$135,BZ$29)</f>
        <v>0</v>
      </c>
      <c r="CA36" s="8">
        <f ca="1">SUMIFS($AH$64:$AH$135,$V$64:$V$135,$BR36,$W$64:$W$135,CA$29)+SUMIFS($AI$64:$AI$135,$W$64:$W$135,$BR36,$V$64:$V$135,CA$29)</f>
        <v>0</v>
      </c>
      <c r="CB36" s="4"/>
    </row>
    <row r="37" spans="2:80" s="2" customFormat="1" x14ac:dyDescent="0.2">
      <c r="C37" s="2" t="str">
        <f t="shared" si="56"/>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54"/>
        <v/>
      </c>
      <c r="BS37" s="9">
        <f t="shared" ca="1" si="57"/>
        <v>0</v>
      </c>
      <c r="BT37" s="9">
        <f t="shared" ca="1" si="57"/>
        <v>0</v>
      </c>
      <c r="BU37" s="9">
        <f t="shared" ca="1" si="57"/>
        <v>0</v>
      </c>
      <c r="BV37" s="9">
        <f ca="1">SUMIFS($AH$64:$AH$135,$V$64:$V$135,$BR37,$W$64:$W$135,BV$29)+SUMIFS($AI$64:$AI$135,$W$64:$W$135,$BR37,$V$64:$V$135,BV$29)</f>
        <v>0</v>
      </c>
      <c r="BW37" s="9">
        <f ca="1">SUMIFS($AH$64:$AH$135,$V$64:$V$135,$BR37,$W$64:$W$135,BW$29)+SUMIFS($AI$64:$AI$135,$W$64:$W$135,$BR37,$V$64:$V$135,BW$29)</f>
        <v>0</v>
      </c>
      <c r="BX37" s="9">
        <f ca="1">SUMIFS($AH$64:$AH$135,$V$64:$V$135,$BR37,$W$64:$W$135,BX$29)+SUMIFS($AI$64:$AI$135,$W$64:$W$135,$BR37,$V$64:$V$135,BX$29)</f>
        <v>0</v>
      </c>
      <c r="BY37" s="9">
        <f ca="1">SUMIFS($AH$64:$AH$135,$V$64:$V$135,$BR37,$W$64:$W$135,BY$29)+SUMIFS($AI$64:$AI$135,$W$64:$W$135,$BR37,$V$64:$V$135,BY$29)</f>
        <v>0</v>
      </c>
      <c r="BZ37" s="7"/>
      <c r="CA37" s="8">
        <f ca="1">SUMIFS($AH$64:$AH$135,$V$64:$V$135,$BR37,$W$64:$W$135,CA$29)+SUMIFS($AI$64:$AI$135,$W$64:$W$135,$BR37,$V$64:$V$135,CA$29)</f>
        <v>0</v>
      </c>
      <c r="CB37" s="4"/>
    </row>
    <row r="38" spans="2:80" s="2" customFormat="1" x14ac:dyDescent="0.2">
      <c r="C38" s="2" t="str">
        <f t="shared" si="56"/>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54"/>
        <v/>
      </c>
      <c r="BS38" s="9">
        <f t="shared" ca="1" si="57"/>
        <v>0</v>
      </c>
      <c r="BT38" s="9">
        <f t="shared" ca="1" si="57"/>
        <v>0</v>
      </c>
      <c r="BU38" s="9">
        <f t="shared" ca="1" si="57"/>
        <v>0</v>
      </c>
      <c r="BV38" s="9">
        <f ca="1">SUMIFS($AH$64:$AH$135,$V$64:$V$135,$BR38,$W$64:$W$135,BV$29)+SUMIFS($AI$64:$AI$135,$W$64:$W$135,$BR38,$V$64:$V$135,BV$29)</f>
        <v>0</v>
      </c>
      <c r="BW38" s="9">
        <f ca="1">SUMIFS($AH$64:$AH$135,$V$64:$V$135,$BR38,$W$64:$W$135,BW$29)+SUMIFS($AI$64:$AI$135,$W$64:$W$135,$BR38,$V$64:$V$135,BW$29)</f>
        <v>0</v>
      </c>
      <c r="BX38" s="9">
        <f ca="1">SUMIFS($AH$64:$AH$135,$V$64:$V$135,$BR38,$W$64:$W$135,BX$29)+SUMIFS($AI$64:$AI$135,$W$64:$W$135,$BR38,$V$64:$V$135,BX$29)</f>
        <v>0</v>
      </c>
      <c r="BY38" s="9">
        <f ca="1">SUMIFS($AH$64:$AH$135,$V$64:$V$135,$BR38,$W$64:$W$135,BY$29)+SUMIFS($AI$64:$AI$135,$W$64:$W$135,$BR38,$V$64:$V$135,BY$29)</f>
        <v>0</v>
      </c>
      <c r="BZ38" s="9">
        <f ca="1">SUMIFS($AH$64:$AH$135,$V$64:$V$135,$BR38,$W$64:$W$135,BZ$29)+SUMIFS($AI$64:$AI$135,$W$64:$W$135,$BR38,$V$64:$V$135,BZ$29)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102</v>
      </c>
      <c r="BS40" s="2" t="str">
        <f>$F$4</f>
        <v>Mainz 05</v>
      </c>
      <c r="BT40" s="2" t="str">
        <f>$F$5</f>
        <v>Inter Mailand</v>
      </c>
      <c r="BU40" s="2" t="str">
        <f>$F$6</f>
        <v>SSV Wildbach</v>
      </c>
      <c r="BV40" s="2" t="str">
        <f>$F$7</f>
        <v>Manchester City</v>
      </c>
      <c r="BW40" s="2" t="str">
        <f>$F$8</f>
        <v>FC Grönlingen</v>
      </c>
      <c r="BX40" s="2" t="str">
        <f>$F$9</f>
        <v/>
      </c>
      <c r="BY40" s="2" t="str">
        <f>$F$10</f>
        <v/>
      </c>
      <c r="BZ40" s="2" t="str">
        <f>$F$11</f>
        <v/>
      </c>
      <c r="CA40" s="2" t="str">
        <f>$F$12</f>
        <v/>
      </c>
      <c r="CB40" s="4"/>
    </row>
    <row r="41" spans="2:80" s="2" customFormat="1" x14ac:dyDescent="0.2">
      <c r="B41" s="596"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58">F4</f>
        <v>Mainz 05</v>
      </c>
      <c r="BS41" s="7"/>
      <c r="BT41" s="8">
        <f ca="1">BT30-BS31</f>
        <v>26</v>
      </c>
      <c r="BU41" s="8">
        <f ca="1">BU30-BS32</f>
        <v>12</v>
      </c>
      <c r="BV41" s="8">
        <f ca="1">BV30-BS33</f>
        <v>-5</v>
      </c>
      <c r="BW41" s="8">
        <f ca="1">BW30-BS34</f>
        <v>-11</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58"/>
        <v>Inter Mailand</v>
      </c>
      <c r="BS42" s="9">
        <f ca="1">IF(BT41="","",-1*BT41)</f>
        <v>-26</v>
      </c>
      <c r="BT42" s="7"/>
      <c r="BU42" s="8">
        <f ca="1">BU31-BT32</f>
        <v>7</v>
      </c>
      <c r="BV42" s="8">
        <f ca="1">BV31-BT33</f>
        <v>-9</v>
      </c>
      <c r="BW42" s="8">
        <f ca="1">BW31-BT34</f>
        <v>-3</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58"/>
        <v>SSV Wildbach</v>
      </c>
      <c r="BS43" s="9">
        <f ca="1">IF(BU41="","",-1*BU41)</f>
        <v>-12</v>
      </c>
      <c r="BT43" s="9">
        <f ca="1">IF(BU42="","",-1*BU42)</f>
        <v>-7</v>
      </c>
      <c r="BU43" s="7"/>
      <c r="BV43" s="8">
        <f ca="1">BV32-BU33</f>
        <v>8</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58"/>
        <v>Manchester City</v>
      </c>
      <c r="BS44" s="9">
        <f ca="1">IF(BV41="","",-1*BV41)</f>
        <v>5</v>
      </c>
      <c r="BT44" s="9">
        <f ca="1">IF(BV42="","",-1*BV42)</f>
        <v>9</v>
      </c>
      <c r="BU44" s="9">
        <f ca="1">IF(BV43="","",-1*BV43)</f>
        <v>-8</v>
      </c>
      <c r="BV44" s="7"/>
      <c r="BW44" s="8">
        <f ca="1">BW33-BV34</f>
        <v>18</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58"/>
        <v>FC Grönlingen</v>
      </c>
      <c r="BS45" s="9">
        <f ca="1">IF(BW41="","",-1*BW41)</f>
        <v>11</v>
      </c>
      <c r="BT45" s="9">
        <f ca="1">IF(BW42="","",-1*BW42)</f>
        <v>3</v>
      </c>
      <c r="BU45" s="9">
        <f ca="1">IF(BW43="","",-1*BW43)</f>
        <v>0</v>
      </c>
      <c r="BV45" s="9">
        <f ca="1">IF(BW44="","",-1*BW44)</f>
        <v>-18</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58"/>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58"/>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58"/>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58"/>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59">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95</v>
      </c>
      <c r="BS51" s="2" t="str">
        <f>$F$4</f>
        <v>Mainz 05</v>
      </c>
      <c r="BT51" s="2" t="str">
        <f>$F$5</f>
        <v>Inter Mailand</v>
      </c>
      <c r="BU51" s="2" t="str">
        <f>$F$6</f>
        <v>SSV Wildbach</v>
      </c>
      <c r="BV51" s="2" t="str">
        <f>$F$7</f>
        <v>Manchester City</v>
      </c>
      <c r="BW51" s="2" t="str">
        <f>$F$8</f>
        <v>FC Grönlingen</v>
      </c>
      <c r="BX51" s="2" t="str">
        <f>$F$9</f>
        <v/>
      </c>
      <c r="BY51" s="2" t="str">
        <f>$F$10</f>
        <v/>
      </c>
      <c r="BZ51" s="2" t="str">
        <f>$F$11</f>
        <v/>
      </c>
      <c r="CA51" s="2" t="str">
        <f>$F$12</f>
        <v/>
      </c>
      <c r="CB51" s="4"/>
    </row>
    <row r="52" spans="2:80" s="2" customFormat="1" x14ac:dyDescent="0.2">
      <c r="B52" s="596" t="s">
        <v>101</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60">F4</f>
        <v>Mainz 05</v>
      </c>
      <c r="BS52" s="7"/>
      <c r="BT52" s="8">
        <f t="shared" ref="BT52:CA54" ca="1" si="61">SUMIFS($AJ$64:$AJ$135,$V$64:$V$135,$BR52,$W$64:$W$135,BT$51)+SUMIFS($AK$64:$AK$135,$W$64:$W$135,$BR52,$V$64:$V$135,BT$51)</f>
        <v>2</v>
      </c>
      <c r="BU52" s="8">
        <f t="shared" ca="1" si="61"/>
        <v>2</v>
      </c>
      <c r="BV52" s="8">
        <f t="shared" ca="1" si="61"/>
        <v>1</v>
      </c>
      <c r="BW52" s="8">
        <f t="shared" ca="1" si="61"/>
        <v>0</v>
      </c>
      <c r="BX52" s="8">
        <f t="shared" ca="1" si="61"/>
        <v>0</v>
      </c>
      <c r="BY52" s="8">
        <f t="shared" ca="1" si="61"/>
        <v>0</v>
      </c>
      <c r="BZ52" s="8">
        <f t="shared" ca="1" si="61"/>
        <v>0</v>
      </c>
      <c r="CA52" s="8">
        <f t="shared" ca="1" si="61"/>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60"/>
        <v>Inter Mailand</v>
      </c>
      <c r="BS53" s="9">
        <f t="shared" ref="BS53:BU60" ca="1" si="62">SUMIFS($AJ$64:$AJ$135,$V$64:$V$135,$BR53,$W$64:$W$135,BS$51)+SUMIFS($AK$64:$AK$135,$W$64:$W$135,$BR53,$V$64:$V$135,BS$51)</f>
        <v>0</v>
      </c>
      <c r="BT53" s="7"/>
      <c r="BU53" s="8">
        <f t="shared" ca="1" si="61"/>
        <v>1</v>
      </c>
      <c r="BV53" s="8">
        <f t="shared" ca="1" si="61"/>
        <v>1</v>
      </c>
      <c r="BW53" s="8">
        <f t="shared" ca="1" si="61"/>
        <v>1</v>
      </c>
      <c r="BX53" s="8">
        <f t="shared" ca="1" si="61"/>
        <v>0</v>
      </c>
      <c r="BY53" s="8">
        <f t="shared" ca="1" si="61"/>
        <v>0</v>
      </c>
      <c r="BZ53" s="8">
        <f t="shared" ca="1" si="61"/>
        <v>0</v>
      </c>
      <c r="CA53" s="8">
        <f t="shared" ca="1" si="61"/>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60"/>
        <v>SSV Wildbach</v>
      </c>
      <c r="BS54" s="9">
        <f t="shared" ca="1" si="62"/>
        <v>0</v>
      </c>
      <c r="BT54" s="9">
        <f t="shared" ca="1" si="62"/>
        <v>1</v>
      </c>
      <c r="BU54" s="7"/>
      <c r="BV54" s="8">
        <f t="shared" ca="1" si="61"/>
        <v>2</v>
      </c>
      <c r="BW54" s="8">
        <f t="shared" ca="1" si="61"/>
        <v>1</v>
      </c>
      <c r="BX54" s="8">
        <f t="shared" ca="1" si="61"/>
        <v>0</v>
      </c>
      <c r="BY54" s="8">
        <f t="shared" ca="1" si="61"/>
        <v>0</v>
      </c>
      <c r="BZ54" s="8">
        <f t="shared" ca="1" si="61"/>
        <v>0</v>
      </c>
      <c r="CA54" s="8">
        <f t="shared" ca="1" si="61"/>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60"/>
        <v>Manchester City</v>
      </c>
      <c r="BS55" s="9">
        <f t="shared" ca="1" si="62"/>
        <v>1</v>
      </c>
      <c r="BT55" s="9">
        <f t="shared" ca="1" si="62"/>
        <v>1</v>
      </c>
      <c r="BU55" s="9">
        <f t="shared" ca="1" si="62"/>
        <v>0</v>
      </c>
      <c r="BV55" s="7"/>
      <c r="BW55" s="8">
        <f ca="1">SUMIFS($AJ$64:$AJ$135,$V$64:$V$135,$BR55,$W$64:$W$135,BW$51)+SUMIFS($AK$64:$AK$135,$W$64:$W$135,$BR55,$V$64:$V$135,BW$51)</f>
        <v>2</v>
      </c>
      <c r="BX55" s="8">
        <f ca="1">SUMIFS($AJ$64:$AJ$135,$V$64:$V$135,$BR55,$W$64:$W$135,BX$51)+SUMIFS($AK$64:$AK$135,$W$64:$W$135,$BR55,$V$64:$V$135,BX$51)</f>
        <v>0</v>
      </c>
      <c r="BY55" s="8">
        <f ca="1">SUMIFS($AJ$64:$AJ$135,$V$64:$V$135,$BR55,$W$64:$W$135,BY$51)+SUMIFS($AK$64:$AK$135,$W$64:$W$135,$BR55,$V$64:$V$135,BY$51)</f>
        <v>0</v>
      </c>
      <c r="BZ55" s="8">
        <f ca="1">SUMIFS($AJ$64:$AJ$135,$V$64:$V$135,$BR55,$W$64:$W$135,BZ$51)+SUMIFS($AK$64:$AK$135,$W$64:$W$135,$BR55,$V$64:$V$135,BZ$51)</f>
        <v>0</v>
      </c>
      <c r="CA55" s="8">
        <f ca="1">SUMIFS($AJ$64:$AJ$135,$V$64:$V$135,$BR55,$W$64:$W$135,CA$51)+SUMIFS($AK$64:$AK$135,$W$64:$W$135,$BR55,$V$64:$V$135,CA$51)</f>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60"/>
        <v>FC Grönlingen</v>
      </c>
      <c r="BS56" s="9">
        <f t="shared" ca="1" si="62"/>
        <v>2</v>
      </c>
      <c r="BT56" s="9">
        <f t="shared" ca="1" si="62"/>
        <v>1</v>
      </c>
      <c r="BU56" s="9">
        <f t="shared" ca="1" si="62"/>
        <v>1</v>
      </c>
      <c r="BV56" s="9">
        <f ca="1">SUMIFS($AJ$64:$AJ$135,$V$64:$V$135,$BR56,$W$64:$W$135,BV$51)+SUMIFS($AK$64:$AK$135,$W$64:$W$135,$BR56,$V$64:$V$135,BV$51)</f>
        <v>0</v>
      </c>
      <c r="BW56" s="7"/>
      <c r="BX56" s="8">
        <f ca="1">SUMIFS($AJ$64:$AJ$135,$V$64:$V$135,$BR56,$W$64:$W$135,BX$51)+SUMIFS($AK$64:$AK$135,$W$64:$W$135,$BR56,$V$64:$V$135,BX$51)</f>
        <v>0</v>
      </c>
      <c r="BY56" s="8">
        <f ca="1">SUMIFS($AJ$64:$AJ$135,$V$64:$V$135,$BR56,$W$64:$W$135,BY$51)+SUMIFS($AK$64:$AK$135,$W$64:$W$135,$BR56,$V$64:$V$135,BY$51)</f>
        <v>0</v>
      </c>
      <c r="BZ56" s="8">
        <f ca="1">SUMIFS($AJ$64:$AJ$135,$V$64:$V$135,$BR56,$W$64:$W$135,BZ$51)+SUMIFS($AK$64:$AK$135,$W$64:$W$135,$BR56,$V$64:$V$135,BZ$51)</f>
        <v>0</v>
      </c>
      <c r="CA56" s="8">
        <f ca="1">SUMIFS($AJ$64:$AJ$135,$V$64:$V$135,$BR56,$W$64:$W$135,CA$51)+SUMIFS($AK$64:$AK$135,$W$64:$W$135,$BR56,$V$64:$V$135,CA$51)</f>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60"/>
        <v/>
      </c>
      <c r="BS57" s="9">
        <f t="shared" ca="1" si="62"/>
        <v>0</v>
      </c>
      <c r="BT57" s="9">
        <f t="shared" ca="1" si="62"/>
        <v>0</v>
      </c>
      <c r="BU57" s="9">
        <f t="shared" ca="1" si="62"/>
        <v>0</v>
      </c>
      <c r="BV57" s="9">
        <f ca="1">SUMIFS($AJ$64:$AJ$135,$V$64:$V$135,$BR57,$W$64:$W$135,BV$51)+SUMIFS($AK$64:$AK$135,$W$64:$W$135,$BR57,$V$64:$V$135,BV$51)</f>
        <v>0</v>
      </c>
      <c r="BW57" s="9">
        <f ca="1">SUMIFS($AJ$64:$AJ$135,$V$64:$V$135,$BR57,$W$64:$W$135,BW$51)+SUMIFS($AK$64:$AK$135,$W$64:$W$135,$BR57,$V$64:$V$135,BW$51)</f>
        <v>0</v>
      </c>
      <c r="BX57" s="7"/>
      <c r="BY57" s="8">
        <f ca="1">SUMIFS($AJ$64:$AJ$135,$V$64:$V$135,$BR57,$W$64:$W$135,BY$51)+SUMIFS($AK$64:$AK$135,$W$64:$W$135,$BR57,$V$64:$V$135,BY$51)</f>
        <v>0</v>
      </c>
      <c r="BZ57" s="8">
        <f ca="1">SUMIFS($AJ$64:$AJ$135,$V$64:$V$135,$BR57,$W$64:$W$135,BZ$51)+SUMIFS($AK$64:$AK$135,$W$64:$W$135,$BR57,$V$64:$V$135,BZ$51)</f>
        <v>0</v>
      </c>
      <c r="CA57" s="8">
        <f ca="1">SUMIFS($AJ$64:$AJ$135,$V$64:$V$135,$BR57,$W$64:$W$135,CA$51)+SUMIFS($AK$64:$AK$135,$W$64:$W$135,$BR57,$V$64:$V$135,CA$51)</f>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60"/>
        <v/>
      </c>
      <c r="BS58" s="9">
        <f t="shared" ca="1" si="62"/>
        <v>0</v>
      </c>
      <c r="BT58" s="9">
        <f t="shared" ca="1" si="62"/>
        <v>0</v>
      </c>
      <c r="BU58" s="9">
        <f t="shared" ca="1" si="62"/>
        <v>0</v>
      </c>
      <c r="BV58" s="9">
        <f ca="1">SUMIFS($AJ$64:$AJ$135,$V$64:$V$135,$BR58,$W$64:$W$135,BV$51)+SUMIFS($AK$64:$AK$135,$W$64:$W$135,$BR58,$V$64:$V$135,BV$51)</f>
        <v>0</v>
      </c>
      <c r="BW58" s="9">
        <f ca="1">SUMIFS($AJ$64:$AJ$135,$V$64:$V$135,$BR58,$W$64:$W$135,BW$51)+SUMIFS($AK$64:$AK$135,$W$64:$W$135,$BR58,$V$64:$V$135,BW$51)</f>
        <v>0</v>
      </c>
      <c r="BX58" s="9">
        <f ca="1">SUMIFS($AJ$64:$AJ$135,$V$64:$V$135,$BR58,$W$64:$W$135,BX$51)+SUMIFS($AK$64:$AK$135,$W$64:$W$135,$BR58,$V$64:$V$135,BX$51)</f>
        <v>0</v>
      </c>
      <c r="BY58" s="7"/>
      <c r="BZ58" s="8">
        <f ca="1">SUMIFS($AJ$64:$AJ$135,$V$64:$V$135,$BR58,$W$64:$W$135,BZ$51)+SUMIFS($AK$64:$AK$135,$W$64:$W$135,$BR58,$V$64:$V$135,BZ$51)</f>
        <v>0</v>
      </c>
      <c r="CA58" s="8">
        <f ca="1">SUMIFS($AJ$64:$AJ$135,$V$64:$V$135,$BR58,$W$64:$W$135,CA$51)+SUMIFS($AK$64:$AK$135,$W$64:$W$135,$BR58,$V$64:$V$135,CA$51)</f>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60"/>
        <v/>
      </c>
      <c r="BS59" s="9">
        <f t="shared" ca="1" si="62"/>
        <v>0</v>
      </c>
      <c r="BT59" s="9">
        <f t="shared" ca="1" si="62"/>
        <v>0</v>
      </c>
      <c r="BU59" s="9">
        <f t="shared" ca="1" si="62"/>
        <v>0</v>
      </c>
      <c r="BV59" s="9">
        <f ca="1">SUMIFS($AJ$64:$AJ$135,$V$64:$V$135,$BR59,$W$64:$W$135,BV$51)+SUMIFS($AK$64:$AK$135,$W$64:$W$135,$BR59,$V$64:$V$135,BV$51)</f>
        <v>0</v>
      </c>
      <c r="BW59" s="9">
        <f ca="1">SUMIFS($AJ$64:$AJ$135,$V$64:$V$135,$BR59,$W$64:$W$135,BW$51)+SUMIFS($AK$64:$AK$135,$W$64:$W$135,$BR59,$V$64:$V$135,BW$51)</f>
        <v>0</v>
      </c>
      <c r="BX59" s="9">
        <f ca="1">SUMIFS($AJ$64:$AJ$135,$V$64:$V$135,$BR59,$W$64:$W$135,BX$51)+SUMIFS($AK$64:$AK$135,$W$64:$W$135,$BR59,$V$64:$V$135,BX$51)</f>
        <v>0</v>
      </c>
      <c r="BY59" s="9">
        <f ca="1">SUMIFS($AJ$64:$AJ$135,$V$64:$V$135,$BR59,$W$64:$W$135,BY$51)+SUMIFS($AK$64:$AK$135,$W$64:$W$135,$BR59,$V$64:$V$135,BY$51)</f>
        <v>0</v>
      </c>
      <c r="BZ59" s="7"/>
      <c r="CA59" s="8">
        <f ca="1">SUMIFS($AJ$64:$AJ$135,$V$64:$V$135,$BR59,$W$64:$W$135,CA$51)+SUMIFS($AK$64:$AK$135,$W$64:$W$135,$BR59,$V$64:$V$135,CA$51)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60"/>
        <v/>
      </c>
      <c r="BS60" s="9">
        <f t="shared" ca="1" si="62"/>
        <v>0</v>
      </c>
      <c r="BT60" s="9">
        <f t="shared" ca="1" si="62"/>
        <v>0</v>
      </c>
      <c r="BU60" s="9">
        <f t="shared" ca="1" si="62"/>
        <v>0</v>
      </c>
      <c r="BV60" s="9">
        <f ca="1">SUMIFS($AJ$64:$AJ$135,$V$64:$V$135,$BR60,$W$64:$W$135,BV$51)+SUMIFS($AK$64:$AK$135,$W$64:$W$135,$BR60,$V$64:$V$135,BV$51)</f>
        <v>0</v>
      </c>
      <c r="BW60" s="9">
        <f ca="1">SUMIFS($AJ$64:$AJ$135,$V$64:$V$135,$BR60,$W$64:$W$135,BW$51)+SUMIFS($AK$64:$AK$135,$W$64:$W$135,$BR60,$V$64:$V$135,BW$51)</f>
        <v>0</v>
      </c>
      <c r="BX60" s="9">
        <f ca="1">SUMIFS($AJ$64:$AJ$135,$V$64:$V$135,$BR60,$W$64:$W$135,BX$51)+SUMIFS($AK$64:$AK$135,$W$64:$W$135,$BR60,$V$64:$V$135,BX$51)</f>
        <v>0</v>
      </c>
      <c r="BY60" s="9">
        <f ca="1">SUMIFS($AJ$64:$AJ$135,$V$64:$V$135,$BR60,$W$64:$W$135,BY$51)+SUMIFS($AK$64:$AK$135,$W$64:$W$135,$BR60,$V$64:$V$135,BY$51)</f>
        <v>0</v>
      </c>
      <c r="BZ60" s="9">
        <f ca="1">SUMIFS($AJ$64:$AJ$135,$V$64:$V$135,$BR60,$W$64:$W$135,BZ$51)+SUMIFS($AK$64:$AK$135,$W$64:$W$135,$BR60,$V$64:$V$135,BZ$51)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73" t="s">
        <v>167</v>
      </c>
      <c r="X63" s="979" t="s">
        <v>374</v>
      </c>
      <c r="Y63" s="979"/>
      <c r="Z63" s="68" t="s">
        <v>153</v>
      </c>
      <c r="AA63" s="68" t="s">
        <v>16</v>
      </c>
      <c r="AB63" s="68" t="s">
        <v>372</v>
      </c>
      <c r="AC63" s="592" t="s">
        <v>370</v>
      </c>
      <c r="AD63" s="980" t="s">
        <v>376</v>
      </c>
      <c r="AE63" s="980"/>
      <c r="AF63" s="980" t="s">
        <v>378</v>
      </c>
      <c r="AG63" s="980"/>
      <c r="AH63" s="978" t="s">
        <v>372</v>
      </c>
      <c r="AI63" s="978"/>
      <c r="AJ63" s="978" t="s">
        <v>370</v>
      </c>
      <c r="AK63" s="978"/>
      <c r="AL63" s="978" t="s">
        <v>380</v>
      </c>
      <c r="AM63" s="978"/>
      <c r="AN63" s="4"/>
      <c r="AO63" s="4"/>
      <c r="AP63" s="4"/>
      <c r="AQ63" s="4"/>
      <c r="AR63" s="4"/>
    </row>
    <row r="64" spans="2:80" s="2" customFormat="1" ht="14.25" thickTop="1" thickBot="1" x14ac:dyDescent="0.25">
      <c r="F64" s="685">
        <v>1000000</v>
      </c>
      <c r="G64" s="686" t="s">
        <v>441</v>
      </c>
      <c r="H64" s="687"/>
      <c r="I64" s="687"/>
      <c r="P64" s="44" t="s">
        <v>7</v>
      </c>
      <c r="Q64" s="59" t="str">
        <f>IF(Planung!$C$31="","",Planung!$C$31)</f>
        <v>Mainz 05</v>
      </c>
      <c r="U64" s="64" t="s">
        <v>7</v>
      </c>
      <c r="V64" s="39" t="str">
        <f ca="1">Planung!$L6</f>
        <v>VFB Essenheim</v>
      </c>
      <c r="W64" s="32" t="str">
        <f ca="1">Planung!$N6</f>
        <v>FC Barcelona</v>
      </c>
      <c r="X64" s="32">
        <f ca="1">IF(AND($AA64=1,Vorrunde!$I12&lt;&gt;"",Vorrunde!$K12&lt;&gt;"",ABS(Vorrunde!$I12-Vorrunde!$K12)&gt;1),Vorrunde!$I12,"")</f>
        <v>13</v>
      </c>
      <c r="Y64" s="33">
        <f ca="1">IF(AND($AA64=1,Vorrunde!$I12&lt;&gt;"",Vorrunde!$K12&lt;&gt;"",ABS(Vorrunde!$I12-Vorrunde!$K12)&gt;1),Vorrunde!$K12,"")</f>
        <v>25</v>
      </c>
      <c r="Z64" s="31" t="str">
        <f ca="1">V64&amp;W64</f>
        <v>VFB EssenheimFC Barcelona</v>
      </c>
      <c r="AA64" s="32">
        <f ca="1">IF(AND(V64&lt;&gt;"",W64&lt;&gt;"",V64&lt;&gt;W64,Vorrunde!$R12&lt;&gt;"",Vorrunde!$T12&lt;&gt;""),1,0)</f>
        <v>1</v>
      </c>
      <c r="AB64" s="138" t="str">
        <f ca="1">IF(AA64&gt;0,AH64&amp;Sprache!$E$108&amp;AI64,"")</f>
        <v>63 : 65</v>
      </c>
      <c r="AC64" s="35" t="str">
        <f ca="1">IF(AA64&gt;0,AJ64&amp;Sprache!$E$108&amp;AK64,"")</f>
        <v>2 : 1</v>
      </c>
      <c r="AD64" s="39">
        <f ca="1">IF(AND($AA64=1,Vorrunde!$L12&lt;&gt;"",Vorrunde!$N12&lt;&gt;"",ABS(Vorrunde!$L12-Vorrunde!$N12)&gt;1),Vorrunde!$L12,"")</f>
        <v>25</v>
      </c>
      <c r="AE64" s="33">
        <f ca="1">IF(AND($AA64=1,Vorrunde!$L12&lt;&gt;"",Vorrunde!$N12&lt;&gt;"",ABS(Vorrunde!$L12-Vorrunde!$N12)&gt;1),Vorrunde!$N12,"")</f>
        <v>19</v>
      </c>
      <c r="AF64" s="39">
        <f ca="1">IF(AND($AA64=1,Vorrunde!$O12&lt;&gt;"",Vorrunde!$Q12&lt;&gt;"",ABS(Vorrunde!$O12-Vorrunde!$Q12)&gt;1),Vorrunde!$O12,"")</f>
        <v>25</v>
      </c>
      <c r="AG64" s="33">
        <f ca="1">IF(AND($AA64=1,Vorrunde!$O12&lt;&gt;"",Vorrunde!$Q12&lt;&gt;"",ABS(Vorrunde!$O12-Vorrunde!$Q12)&gt;1),Vorrunde!$Q12,"")</f>
        <v>21</v>
      </c>
      <c r="AH64" s="39">
        <f ca="1">IF(AA64&gt;0,SUM(X64,AD64,AF64),"")</f>
        <v>63</v>
      </c>
      <c r="AI64" s="33">
        <f ca="1">IF(AA64&gt;0,SUM(Y64,AE64,AG64),"")</f>
        <v>65</v>
      </c>
      <c r="AJ64" s="39">
        <f ca="1">IF(Vorrunde!$R12="",0,Vorrunde!$R12)</f>
        <v>2</v>
      </c>
      <c r="AK64" s="33">
        <f ca="1">IF(Vorrunde!$T12="",0,Vorrunde!$T12)</f>
        <v>1</v>
      </c>
      <c r="AL64" s="32">
        <f ca="1">IF($AA64=0,"",IF($AJ64&gt;$AK64,Einstellungen!$C$4,IF($AJ64=$AK64,1,0)))</f>
        <v>2</v>
      </c>
      <c r="AM64" s="33">
        <f ca="1">IF($AA64=0,"",IF($AJ64&lt;$AK64,Einstellungen!$C$4,IF($AJ64=$AK64,1,0)))</f>
        <v>0</v>
      </c>
      <c r="AN64" s="4"/>
      <c r="AO64" s="4"/>
      <c r="AP64" s="4"/>
      <c r="AQ64" s="4"/>
      <c r="AR64" s="4"/>
    </row>
    <row r="65" spans="2:43" s="2" customFormat="1" ht="13.5" thickBot="1" x14ac:dyDescent="0.25">
      <c r="F65" s="688">
        <v>1000</v>
      </c>
      <c r="G65" s="689" t="s">
        <v>442</v>
      </c>
      <c r="H65" s="690">
        <v>500</v>
      </c>
      <c r="I65" s="691" t="s">
        <v>443</v>
      </c>
      <c r="P65" s="45" t="s">
        <v>8</v>
      </c>
      <c r="Q65" s="60" t="str">
        <f>IF(Planung!$C$33="","",Planung!$C$33)</f>
        <v>Inter Mailand</v>
      </c>
      <c r="U65" s="65" t="s">
        <v>8</v>
      </c>
      <c r="V65" s="40" t="str">
        <f ca="1">Planung!$L7</f>
        <v>FC Grönlingen</v>
      </c>
      <c r="W65" s="13" t="str">
        <f ca="1">Planung!$N7</f>
        <v>Inter Mailand</v>
      </c>
      <c r="X65" s="13">
        <f ca="1">IF(AND($AA65=1,Vorrunde!$I13&lt;&gt;"",Vorrunde!$K13&lt;&gt;"",ABS(Vorrunde!$I13-Vorrunde!$K13)&gt;1),Vorrunde!$I13,"")</f>
        <v>25</v>
      </c>
      <c r="Y65" s="35">
        <f ca="1">IF(AND($AA65=1,Vorrunde!$I13&lt;&gt;"",Vorrunde!$K13&lt;&gt;"",ABS(Vorrunde!$I13-Vorrunde!$K13)&gt;1),Vorrunde!$K13,"")</f>
        <v>20</v>
      </c>
      <c r="Z65" s="34" t="str">
        <f t="shared" ref="Z65:Z128" ca="1" si="63">V65&amp;W65</f>
        <v>FC GrönlingenInter Mailand</v>
      </c>
      <c r="AA65" s="13">
        <f ca="1">IF(AND(V65&lt;&gt;"",W65&lt;&gt;"",V65&lt;&gt;W65,Vorrunde!$R13&lt;&gt;"",Vorrunde!$T13&lt;&gt;""),1,0)</f>
        <v>1</v>
      </c>
      <c r="AB65" s="13" t="str">
        <f ca="1">IF(AA65&gt;0,AH65&amp;Sprache!$E$108&amp;AI65,"")</f>
        <v>48 : 45</v>
      </c>
      <c r="AC65" s="35" t="str">
        <f ca="1">IF(AA65&gt;0,AJ65&amp;Sprache!$E$108&amp;AK65,"")</f>
        <v>1 : 1</v>
      </c>
      <c r="AD65" s="40">
        <f ca="1">IF(AND($AA65=1,Vorrunde!$L13&lt;&gt;"",Vorrunde!$N13&lt;&gt;"",ABS(Vorrunde!$L13-Vorrunde!$N13)&gt;1),Vorrunde!$L13,"")</f>
        <v>23</v>
      </c>
      <c r="AE65" s="35">
        <f ca="1">IF(AND($AA65=1,Vorrunde!$L13&lt;&gt;"",Vorrunde!$N13&lt;&gt;"",ABS(Vorrunde!$L13-Vorrunde!$N13)&gt;1),Vorrunde!$N13,"")</f>
        <v>25</v>
      </c>
      <c r="AF65" s="40" t="str">
        <f ca="1">IF(AND($AA65=1,Vorrunde!$O13&lt;&gt;"",Vorrunde!$Q13&lt;&gt;"",ABS(Vorrunde!$O13-Vorrunde!$Q13)&gt;1),Vorrunde!$O13,"")</f>
        <v/>
      </c>
      <c r="AG65" s="35" t="str">
        <f ca="1">IF(AND($AA65=1,Vorrunde!$O13&lt;&gt;"",Vorrunde!$Q13&lt;&gt;"",ABS(Vorrunde!$O13-Vorrunde!$Q13)&gt;1),Vorrunde!$Q13,"")</f>
        <v/>
      </c>
      <c r="AH65" s="40">
        <f t="shared" ref="AH65:AH128" ca="1" si="64">IF(AA65&gt;0,SUM(X65,AD65,AF65),"")</f>
        <v>48</v>
      </c>
      <c r="AI65" s="35">
        <f t="shared" ref="AI65:AI128" ca="1" si="65">IF(AA65&gt;0,SUM(Y65,AE65,AG65),"")</f>
        <v>45</v>
      </c>
      <c r="AJ65" s="40">
        <f ca="1">IF(Vorrunde!$R13="",0,Vorrunde!$R13)</f>
        <v>1</v>
      </c>
      <c r="AK65" s="35">
        <f ca="1">IF(Vorrunde!$T13="",0,Vorrunde!$T13)</f>
        <v>1</v>
      </c>
      <c r="AL65" s="13">
        <f ca="1">IF($AA65=0,"",IF($AJ65&gt;$AK65,Einstellungen!$C$4,IF($AJ65=$AK65,1,0)))</f>
        <v>1</v>
      </c>
      <c r="AM65" s="35">
        <f ca="1">IF($AA65=0,"",IF($AJ65&lt;$AK65,Einstellungen!$C$4,IF($AJ65=$AK65,1,0)))</f>
        <v>1</v>
      </c>
      <c r="AN65" s="13"/>
      <c r="AO65" s="13"/>
      <c r="AP65" s="13"/>
      <c r="AQ65" s="13"/>
    </row>
    <row r="66" spans="2:43" s="2" customFormat="1" ht="12.75" x14ac:dyDescent="0.2">
      <c r="F66" s="688">
        <v>1</v>
      </c>
      <c r="G66" s="689" t="s">
        <v>444</v>
      </c>
      <c r="H66" s="687"/>
      <c r="I66" s="687"/>
      <c r="P66" s="45" t="s">
        <v>9</v>
      </c>
      <c r="Q66" s="60" t="str">
        <f>IF(Planung!$C$35="","",Planung!$C$35)</f>
        <v>SSV Wildbach</v>
      </c>
      <c r="U66" s="65" t="s">
        <v>9</v>
      </c>
      <c r="V66" s="40" t="str">
        <f ca="1">Planung!$L8</f>
        <v>Eintracht Frankfurt</v>
      </c>
      <c r="W66" s="13" t="str">
        <f ca="1">Planung!$N8</f>
        <v>Maibach 1822 eV</v>
      </c>
      <c r="X66" s="13">
        <f ca="1">IF(AND($AA66=1,Vorrunde!$I14&lt;&gt;"",Vorrunde!$K14&lt;&gt;"",ABS(Vorrunde!$I14-Vorrunde!$K14)&gt;1),Vorrunde!$I14,"")</f>
        <v>25</v>
      </c>
      <c r="Y66" s="35">
        <f ca="1">IF(AND($AA66=1,Vorrunde!$I14&lt;&gt;"",Vorrunde!$K14&lt;&gt;"",ABS(Vorrunde!$I14-Vorrunde!$K14)&gt;1),Vorrunde!$K14,"")</f>
        <v>17</v>
      </c>
      <c r="Z66" s="34" t="str">
        <f t="shared" ca="1" si="63"/>
        <v>Eintracht FrankfurtMaibach 1822 eV</v>
      </c>
      <c r="AA66" s="13">
        <f ca="1">IF(AND(V66&lt;&gt;"",W66&lt;&gt;"",V66&lt;&gt;W66,Vorrunde!$R14&lt;&gt;"",Vorrunde!$T14&lt;&gt;""),1,0)</f>
        <v>1</v>
      </c>
      <c r="AB66" s="13" t="str">
        <f ca="1">IF(AA66&gt;0,AH66&amp;Sprache!$E$108&amp;AI66,"")</f>
        <v>50 : 36</v>
      </c>
      <c r="AC66" s="35" t="str">
        <f ca="1">IF(AA66&gt;0,AJ66&amp;Sprache!$E$108&amp;AK66,"")</f>
        <v>2 : 0</v>
      </c>
      <c r="AD66" s="40">
        <f ca="1">IF(AND($AA66=1,Vorrunde!$L14&lt;&gt;"",Vorrunde!$N14&lt;&gt;"",ABS(Vorrunde!$L14-Vorrunde!$N14)&gt;1),Vorrunde!$L14,"")</f>
        <v>25</v>
      </c>
      <c r="AE66" s="35">
        <f ca="1">IF(AND($AA66=1,Vorrunde!$L14&lt;&gt;"",Vorrunde!$N14&lt;&gt;"",ABS(Vorrunde!$L14-Vorrunde!$N14)&gt;1),Vorrunde!$N14,"")</f>
        <v>19</v>
      </c>
      <c r="AF66" s="40" t="str">
        <f ca="1">IF(AND($AA66=1,Vorrunde!$O14&lt;&gt;"",Vorrunde!$Q14&lt;&gt;"",ABS(Vorrunde!$O14-Vorrunde!$Q14)&gt;1),Vorrunde!$O14,"")</f>
        <v/>
      </c>
      <c r="AG66" s="35" t="str">
        <f ca="1">IF(AND($AA66=1,Vorrunde!$O14&lt;&gt;"",Vorrunde!$Q14&lt;&gt;"",ABS(Vorrunde!$O14-Vorrunde!$Q14)&gt;1),Vorrunde!$Q14,"")</f>
        <v/>
      </c>
      <c r="AH66" s="40">
        <f t="shared" ca="1" si="64"/>
        <v>50</v>
      </c>
      <c r="AI66" s="35">
        <f t="shared" ca="1" si="65"/>
        <v>36</v>
      </c>
      <c r="AJ66" s="40">
        <f ca="1">IF(Vorrunde!$R14="",0,Vorrunde!$R14)</f>
        <v>2</v>
      </c>
      <c r="AK66" s="35">
        <f ca="1">IF(Vorrunde!$T14="",0,Vorrunde!$T14)</f>
        <v>0</v>
      </c>
      <c r="AL66" s="13">
        <f ca="1">IF($AA66=0,"",IF($AJ66&gt;$AK66,Einstellungen!$C$4,IF($AJ66=$AK66,1,0)))</f>
        <v>2</v>
      </c>
      <c r="AM66" s="35">
        <f ca="1">IF($AA66=0,"",IF($AJ66&lt;$AK66,Einstellungen!$C$4,IF($AJ66=$AK66,1,0)))</f>
        <v>0</v>
      </c>
      <c r="AN66" s="13"/>
      <c r="AO66" s="13"/>
      <c r="AP66" s="13"/>
      <c r="AQ66" s="13"/>
    </row>
    <row r="67" spans="2:43" s="2" customFormat="1" ht="12.75" thickBot="1" x14ac:dyDescent="0.25">
      <c r="F67" s="692">
        <v>1E-3</v>
      </c>
      <c r="G67" s="693" t="s">
        <v>445</v>
      </c>
      <c r="H67" s="687"/>
      <c r="I67" s="687"/>
      <c r="P67" s="45" t="s">
        <v>10</v>
      </c>
      <c r="Q67" s="60" t="str">
        <f>IF(Planung!$C$37="","",Planung!$C$37)</f>
        <v>Manchester City</v>
      </c>
      <c r="U67" s="65" t="s">
        <v>10</v>
      </c>
      <c r="V67" s="40" t="str">
        <f ca="1">Planung!$L9</f>
        <v>SSV Wildbach</v>
      </c>
      <c r="W67" s="13" t="str">
        <f ca="1">Planung!$N9</f>
        <v>Manchester City</v>
      </c>
      <c r="X67" s="13">
        <f ca="1">IF(AND($AA67=1,Vorrunde!$I15&lt;&gt;"",Vorrunde!$K15&lt;&gt;"",ABS(Vorrunde!$I15-Vorrunde!$K15)&gt;1),Vorrunde!$I15,"")</f>
        <v>25</v>
      </c>
      <c r="Y67" s="35">
        <f ca="1">IF(AND($AA67=1,Vorrunde!$I15&lt;&gt;"",Vorrunde!$K15&lt;&gt;"",ABS(Vorrunde!$I15-Vorrunde!$K15)&gt;1),Vorrunde!$K15,"")</f>
        <v>22</v>
      </c>
      <c r="Z67" s="34" t="str">
        <f t="shared" ca="1" si="63"/>
        <v>SSV WildbachManchester City</v>
      </c>
      <c r="AA67" s="13">
        <f ca="1">IF(AND(V67&lt;&gt;"",W67&lt;&gt;"",V67&lt;&gt;W67,Vorrunde!$R15&lt;&gt;"",Vorrunde!$T15&lt;&gt;""),1,0)</f>
        <v>1</v>
      </c>
      <c r="AB67" s="13" t="str">
        <f ca="1">IF(AA67&gt;0,AH67&amp;Sprache!$E$108&amp;AI67,"")</f>
        <v>50 : 42</v>
      </c>
      <c r="AC67" s="35" t="str">
        <f ca="1">IF(AA67&gt;0,AJ67&amp;Sprache!$E$108&amp;AK67,"")</f>
        <v>2 : 0</v>
      </c>
      <c r="AD67" s="40">
        <f ca="1">IF(AND($AA67=1,Vorrunde!$L15&lt;&gt;"",Vorrunde!$N15&lt;&gt;"",ABS(Vorrunde!$L15-Vorrunde!$N15)&gt;1),Vorrunde!$L15,"")</f>
        <v>25</v>
      </c>
      <c r="AE67" s="35">
        <f ca="1">IF(AND($AA67=1,Vorrunde!$L15&lt;&gt;"",Vorrunde!$N15&lt;&gt;"",ABS(Vorrunde!$L15-Vorrunde!$N15)&gt;1),Vorrunde!$N15,"")</f>
        <v>20</v>
      </c>
      <c r="AF67" s="40" t="str">
        <f ca="1">IF(AND($AA67=1,Vorrunde!$O15&lt;&gt;"",Vorrunde!$Q15&lt;&gt;"",ABS(Vorrunde!$O15-Vorrunde!$Q15)&gt;1),Vorrunde!$O15,"")</f>
        <v/>
      </c>
      <c r="AG67" s="35" t="str">
        <f ca="1">IF(AND($AA67=1,Vorrunde!$O15&lt;&gt;"",Vorrunde!$Q15&lt;&gt;"",ABS(Vorrunde!$O15-Vorrunde!$Q15)&gt;1),Vorrunde!$Q15,"")</f>
        <v/>
      </c>
      <c r="AH67" s="40">
        <f t="shared" ca="1" si="64"/>
        <v>50</v>
      </c>
      <c r="AI67" s="35">
        <f t="shared" ca="1" si="65"/>
        <v>42</v>
      </c>
      <c r="AJ67" s="40">
        <f ca="1">IF(Vorrunde!$R15="",0,Vorrunde!$R15)</f>
        <v>2</v>
      </c>
      <c r="AK67" s="35">
        <f ca="1">IF(Vorrunde!$T15="",0,Vorrunde!$T15)</f>
        <v>0</v>
      </c>
      <c r="AL67" s="13">
        <f ca="1">IF($AA67=0,"",IF($AJ67&gt;$AK67,Einstellungen!$C$4,IF($AJ67=$AK67,1,0)))</f>
        <v>2</v>
      </c>
      <c r="AM67" s="35">
        <f ca="1">IF($AA67=0,"",IF($AJ67&lt;$AK67,Einstellungen!$C$4,IF($AJ67=$AK67,1,0)))</f>
        <v>0</v>
      </c>
      <c r="AN67" s="13"/>
      <c r="AO67" s="13"/>
      <c r="AP67" s="13"/>
      <c r="AQ67" s="13"/>
    </row>
    <row r="68" spans="2:43" s="2" customFormat="1" x14ac:dyDescent="0.2">
      <c r="P68" s="45" t="s">
        <v>11</v>
      </c>
      <c r="Q68" s="60" t="str">
        <f>IF(Planung!$C$39="","",Planung!$C$39)</f>
        <v>FC Grönlingen</v>
      </c>
      <c r="U68" s="65" t="s">
        <v>11</v>
      </c>
      <c r="V68" s="40" t="str">
        <f ca="1">Planung!$L10</f>
        <v>VFB Essenheim</v>
      </c>
      <c r="W68" s="13" t="str">
        <f ca="1">Planung!$N10</f>
        <v>1. FC Riedwald</v>
      </c>
      <c r="X68" s="13">
        <f ca="1">IF(AND($AA68=1,Vorrunde!$I16&lt;&gt;"",Vorrunde!$K16&lt;&gt;"",ABS(Vorrunde!$I16-Vorrunde!$K16)&gt;1),Vorrunde!$I16,"")</f>
        <v>25</v>
      </c>
      <c r="Y68" s="35">
        <f ca="1">IF(AND($AA68=1,Vorrunde!$I16&lt;&gt;"",Vorrunde!$K16&lt;&gt;"",ABS(Vorrunde!$I16-Vorrunde!$K16)&gt;1),Vorrunde!$K16,"")</f>
        <v>23</v>
      </c>
      <c r="Z68" s="34" t="str">
        <f t="shared" ca="1" si="63"/>
        <v>VFB Essenheim1. FC Riedwald</v>
      </c>
      <c r="AA68" s="13">
        <f ca="1">IF(AND(V68&lt;&gt;"",W68&lt;&gt;"",V68&lt;&gt;W68,Vorrunde!$R16&lt;&gt;"",Vorrunde!$T16&lt;&gt;""),1,0)</f>
        <v>1</v>
      </c>
      <c r="AB68" s="13" t="str">
        <f ca="1">IF(AA68&gt;0,AH68&amp;Sprache!$E$108&amp;AI68,"")</f>
        <v>50 : 44</v>
      </c>
      <c r="AC68" s="35" t="str">
        <f ca="1">IF(AA68&gt;0,AJ68&amp;Sprache!$E$108&amp;AK68,"")</f>
        <v>2 : 0</v>
      </c>
      <c r="AD68" s="40">
        <f ca="1">IF(AND($AA68=1,Vorrunde!$L16&lt;&gt;"",Vorrunde!$N16&lt;&gt;"",ABS(Vorrunde!$L16-Vorrunde!$N16)&gt;1),Vorrunde!$L16,"")</f>
        <v>25</v>
      </c>
      <c r="AE68" s="35">
        <f ca="1">IF(AND($AA68=1,Vorrunde!$L16&lt;&gt;"",Vorrunde!$N16&lt;&gt;"",ABS(Vorrunde!$L16-Vorrunde!$N16)&gt;1),Vorrunde!$N16,"")</f>
        <v>21</v>
      </c>
      <c r="AF68" s="40" t="str">
        <f ca="1">IF(AND($AA68=1,Vorrunde!$O16&lt;&gt;"",Vorrunde!$Q16&lt;&gt;"",ABS(Vorrunde!$O16-Vorrunde!$Q16)&gt;1),Vorrunde!$O16,"")</f>
        <v/>
      </c>
      <c r="AG68" s="35" t="str">
        <f ca="1">IF(AND($AA68=1,Vorrunde!$O16&lt;&gt;"",Vorrunde!$Q16&lt;&gt;"",ABS(Vorrunde!$O16-Vorrunde!$Q16)&gt;1),Vorrunde!$Q16,"")</f>
        <v/>
      </c>
      <c r="AH68" s="40">
        <f t="shared" ca="1" si="64"/>
        <v>50</v>
      </c>
      <c r="AI68" s="35">
        <f t="shared" ca="1" si="65"/>
        <v>44</v>
      </c>
      <c r="AJ68" s="40">
        <f ca="1">IF(Vorrunde!$R16="",0,Vorrunde!$R16)</f>
        <v>2</v>
      </c>
      <c r="AK68" s="35">
        <f ca="1">IF(Vorrunde!$T16="",0,Vorrunde!$T16)</f>
        <v>0</v>
      </c>
      <c r="AL68" s="13">
        <f ca="1">IF($AA68=0,"",IF($AJ68&gt;$AK68,Einstellungen!$C$4,IF($AJ68=$AK68,1,0)))</f>
        <v>2</v>
      </c>
      <c r="AM68" s="35">
        <f ca="1">IF($AA68=0,"",IF($AJ68&lt;$AK68,Einstellungen!$C$4,IF($AJ68=$AK68,1,0)))</f>
        <v>0</v>
      </c>
      <c r="AN68" s="13"/>
      <c r="AO68" s="13"/>
      <c r="AP68" s="13"/>
      <c r="AQ68" s="13"/>
    </row>
    <row r="69" spans="2:43" s="2" customFormat="1" x14ac:dyDescent="0.2">
      <c r="P69" s="45" t="s">
        <v>12</v>
      </c>
      <c r="Q69" s="60" t="str">
        <f>IF(Planung!$C$41="","",Planung!$C$41)</f>
        <v/>
      </c>
      <c r="U69" s="65" t="s">
        <v>12</v>
      </c>
      <c r="V69" s="40" t="str">
        <f ca="1">Planung!$L11</f>
        <v>FC Grönlingen</v>
      </c>
      <c r="W69" s="13" t="str">
        <f ca="1">Planung!$N11</f>
        <v>Mainz 05</v>
      </c>
      <c r="X69" s="13">
        <f ca="1">IF(AND($AA69=1,Vorrunde!$I17&lt;&gt;"",Vorrunde!$K17&lt;&gt;"",ABS(Vorrunde!$I17-Vorrunde!$K17)&gt;1),Vorrunde!$I17,"")</f>
        <v>25</v>
      </c>
      <c r="Y69" s="35">
        <f ca="1">IF(AND($AA69=1,Vorrunde!$I17&lt;&gt;"",Vorrunde!$K17&lt;&gt;"",ABS(Vorrunde!$I17-Vorrunde!$K17)&gt;1),Vorrunde!$K17,"")</f>
        <v>17</v>
      </c>
      <c r="Z69" s="34" t="str">
        <f t="shared" ca="1" si="63"/>
        <v>FC GrönlingenMainz 05</v>
      </c>
      <c r="AA69" s="13">
        <f ca="1">IF(AND(V69&lt;&gt;"",W69&lt;&gt;"",V69&lt;&gt;W69,Vorrunde!$R17&lt;&gt;"",Vorrunde!$T17&lt;&gt;""),1,0)</f>
        <v>1</v>
      </c>
      <c r="AB69" s="13" t="str">
        <f ca="1">IF(AA69&gt;0,AH69&amp;Sprache!$E$108&amp;AI69,"")</f>
        <v>50 : 39</v>
      </c>
      <c r="AC69" s="35" t="str">
        <f ca="1">IF(AA69&gt;0,AJ69&amp;Sprache!$E$108&amp;AK69,"")</f>
        <v>2 : 0</v>
      </c>
      <c r="AD69" s="40">
        <f ca="1">IF(AND($AA69=1,Vorrunde!$L17&lt;&gt;"",Vorrunde!$N17&lt;&gt;"",ABS(Vorrunde!$L17-Vorrunde!$N17)&gt;1),Vorrunde!$L17,"")</f>
        <v>25</v>
      </c>
      <c r="AE69" s="35">
        <f ca="1">IF(AND($AA69=1,Vorrunde!$L17&lt;&gt;"",Vorrunde!$N17&lt;&gt;"",ABS(Vorrunde!$L17-Vorrunde!$N17)&gt;1),Vorrunde!$N17,"")</f>
        <v>22</v>
      </c>
      <c r="AF69" s="40" t="str">
        <f ca="1">IF(AND($AA69=1,Vorrunde!$O17&lt;&gt;"",Vorrunde!$Q17&lt;&gt;"",ABS(Vorrunde!$O17-Vorrunde!$Q17)&gt;1),Vorrunde!$O17,"")</f>
        <v/>
      </c>
      <c r="AG69" s="35" t="str">
        <f ca="1">IF(AND($AA69=1,Vorrunde!$O17&lt;&gt;"",Vorrunde!$Q17&lt;&gt;"",ABS(Vorrunde!$O17-Vorrunde!$Q17)&gt;1),Vorrunde!$Q17,"")</f>
        <v/>
      </c>
      <c r="AH69" s="40">
        <f t="shared" ca="1" si="64"/>
        <v>50</v>
      </c>
      <c r="AI69" s="35">
        <f t="shared" ca="1" si="65"/>
        <v>39</v>
      </c>
      <c r="AJ69" s="40">
        <f ca="1">IF(Vorrunde!$R17="",0,Vorrunde!$R17)</f>
        <v>2</v>
      </c>
      <c r="AK69" s="35">
        <f ca="1">IF(Vorrunde!$T17="",0,Vorrunde!$T17)</f>
        <v>0</v>
      </c>
      <c r="AL69" s="13">
        <f ca="1">IF($AA69=0,"",IF($AJ69&gt;$AK69,Einstellungen!$C$4,IF($AJ69=$AK69,1,0)))</f>
        <v>2</v>
      </c>
      <c r="AM69" s="35">
        <f ca="1">IF($AA69=0,"",IF($AJ69&lt;$AK69,Einstellungen!$C$4,IF($AJ69=$AK69,1,0)))</f>
        <v>0</v>
      </c>
      <c r="AN69" s="13"/>
      <c r="AO69" s="13"/>
      <c r="AP69" s="13"/>
      <c r="AQ69" s="13"/>
    </row>
    <row r="70" spans="2:43" s="2" customFormat="1" x14ac:dyDescent="0.2">
      <c r="P70" s="45" t="s">
        <v>17</v>
      </c>
      <c r="Q70" s="60" t="str">
        <f>IF(Planung!$C$43="","",Planung!$C$43)</f>
        <v/>
      </c>
      <c r="U70" s="65" t="s">
        <v>17</v>
      </c>
      <c r="V70" s="40" t="str">
        <f ca="1">Planung!$L12</f>
        <v>FC Barcelona</v>
      </c>
      <c r="W70" s="13" t="str">
        <f ca="1">Planung!$N12</f>
        <v>Eintracht Frankfurt</v>
      </c>
      <c r="X70" s="13">
        <f ca="1">IF(AND($AA70=1,Vorrunde!$I18&lt;&gt;"",Vorrunde!$K18&lt;&gt;"",ABS(Vorrunde!$I18-Vorrunde!$K18)&gt;1),Vorrunde!$I18,"")</f>
        <v>23</v>
      </c>
      <c r="Y70" s="35">
        <f ca="1">IF(AND($AA70=1,Vorrunde!$I18&lt;&gt;"",Vorrunde!$K18&lt;&gt;"",ABS(Vorrunde!$I18-Vorrunde!$K18)&gt;1),Vorrunde!$K18,"")</f>
        <v>25</v>
      </c>
      <c r="Z70" s="34" t="str">
        <f t="shared" ca="1" si="63"/>
        <v>FC BarcelonaEintracht Frankfurt</v>
      </c>
      <c r="AA70" s="13">
        <f ca="1">IF(AND(V70&lt;&gt;"",W70&lt;&gt;"",V70&lt;&gt;W70,Vorrunde!$R18&lt;&gt;"",Vorrunde!$T18&lt;&gt;""),1,0)</f>
        <v>1</v>
      </c>
      <c r="AB70" s="13" t="str">
        <f ca="1">IF(AA70&gt;0,AH70&amp;Sprache!$E$108&amp;AI70,"")</f>
        <v>48 : 48</v>
      </c>
      <c r="AC70" s="35" t="str">
        <f ca="1">IF(AA70&gt;0,AJ70&amp;Sprache!$E$108&amp;AK70,"")</f>
        <v>1 : 1</v>
      </c>
      <c r="AD70" s="40">
        <f ca="1">IF(AND($AA70=1,Vorrunde!$L18&lt;&gt;"",Vorrunde!$N18&lt;&gt;"",ABS(Vorrunde!$L18-Vorrunde!$N18)&gt;1),Vorrunde!$L18,"")</f>
        <v>25</v>
      </c>
      <c r="AE70" s="35">
        <f ca="1">IF(AND($AA70=1,Vorrunde!$L18&lt;&gt;"",Vorrunde!$N18&lt;&gt;"",ABS(Vorrunde!$L18-Vorrunde!$N18)&gt;1),Vorrunde!$N18,"")</f>
        <v>23</v>
      </c>
      <c r="AF70" s="40" t="str">
        <f ca="1">IF(AND($AA70=1,Vorrunde!$O18&lt;&gt;"",Vorrunde!$Q18&lt;&gt;"",ABS(Vorrunde!$O18-Vorrunde!$Q18)&gt;1),Vorrunde!$O18,"")</f>
        <v/>
      </c>
      <c r="AG70" s="35" t="str">
        <f ca="1">IF(AND($AA70=1,Vorrunde!$O18&lt;&gt;"",Vorrunde!$Q18&lt;&gt;"",ABS(Vorrunde!$O18-Vorrunde!$Q18)&gt;1),Vorrunde!$Q18,"")</f>
        <v/>
      </c>
      <c r="AH70" s="40">
        <f t="shared" ca="1" si="64"/>
        <v>48</v>
      </c>
      <c r="AI70" s="35">
        <f t="shared" ca="1" si="65"/>
        <v>48</v>
      </c>
      <c r="AJ70" s="40">
        <f ca="1">IF(Vorrunde!$R18="",0,Vorrunde!$R18)</f>
        <v>1</v>
      </c>
      <c r="AK70" s="35">
        <f ca="1">IF(Vorrunde!$T18="",0,Vorrunde!$T18)</f>
        <v>1</v>
      </c>
      <c r="AL70" s="13">
        <f ca="1">IF($AA70=0,"",IF($AJ70&gt;$AK70,Einstellungen!$C$4,IF($AJ70=$AK70,1,0)))</f>
        <v>1</v>
      </c>
      <c r="AM70" s="35">
        <f ca="1">IF($AA70=0,"",IF($AJ70&lt;$AK70,Einstellungen!$C$4,IF($AJ70=$AK70,1,0)))</f>
        <v>1</v>
      </c>
      <c r="AN70" s="4"/>
      <c r="AO70" s="13"/>
      <c r="AP70" s="13"/>
      <c r="AQ70" s="13"/>
    </row>
    <row r="71" spans="2:43" s="2" customFormat="1" x14ac:dyDescent="0.2">
      <c r="B71" s="4"/>
      <c r="C71" s="4"/>
      <c r="D71" s="4"/>
      <c r="E71" s="4"/>
      <c r="F71" s="4"/>
      <c r="G71" s="4"/>
      <c r="H71" s="4"/>
      <c r="I71" s="4"/>
      <c r="J71" s="4"/>
      <c r="K71" s="4"/>
      <c r="L71" s="4"/>
      <c r="M71" s="4"/>
      <c r="P71" s="45" t="s">
        <v>18</v>
      </c>
      <c r="Q71" s="60" t="str">
        <f>IF(Planung!$C$45="","",Planung!$C$45)</f>
        <v/>
      </c>
      <c r="U71" s="65" t="s">
        <v>18</v>
      </c>
      <c r="V71" s="40" t="str">
        <f ca="1">Planung!$L13</f>
        <v>Inter Mailand</v>
      </c>
      <c r="W71" s="13" t="str">
        <f ca="1">Planung!$N13</f>
        <v>SSV Wildbach</v>
      </c>
      <c r="X71" s="13">
        <f ca="1">IF(AND($AA71=1,Vorrunde!$I19&lt;&gt;"",Vorrunde!$K19&lt;&gt;"",ABS(Vorrunde!$I19-Vorrunde!$K19)&gt;1),Vorrunde!$I19,"")</f>
        <v>19</v>
      </c>
      <c r="Y71" s="35">
        <f ca="1">IF(AND($AA71=1,Vorrunde!$I19&lt;&gt;"",Vorrunde!$K19&lt;&gt;"",ABS(Vorrunde!$I19-Vorrunde!$K19)&gt;1),Vorrunde!$K19,"")</f>
        <v>25</v>
      </c>
      <c r="Z71" s="34" t="str">
        <f t="shared" ca="1" si="63"/>
        <v>Inter MailandSSV Wildbach</v>
      </c>
      <c r="AA71" s="13">
        <f ca="1">IF(AND(V71&lt;&gt;"",W71&lt;&gt;"",V71&lt;&gt;W71,Vorrunde!$R19&lt;&gt;"",Vorrunde!$T19&lt;&gt;""),1,0)</f>
        <v>1</v>
      </c>
      <c r="AB71" s="13" t="str">
        <f ca="1">IF(AA71&gt;0,AH71&amp;Sprache!$E$108&amp;AI71,"")</f>
        <v>44 : 37</v>
      </c>
      <c r="AC71" s="35" t="str">
        <f ca="1">IF(AA71&gt;0,AJ71&amp;Sprache!$E$108&amp;AK71,"")</f>
        <v>1 : 1</v>
      </c>
      <c r="AD71" s="40">
        <f ca="1">IF(AND($AA71=1,Vorrunde!$L19&lt;&gt;"",Vorrunde!$N19&lt;&gt;"",ABS(Vorrunde!$L19-Vorrunde!$N19)&gt;1),Vorrunde!$L19,"")</f>
        <v>25</v>
      </c>
      <c r="AE71" s="35">
        <f ca="1">IF(AND($AA71=1,Vorrunde!$L19&lt;&gt;"",Vorrunde!$N19&lt;&gt;"",ABS(Vorrunde!$L19-Vorrunde!$N19)&gt;1),Vorrunde!$N19,"")</f>
        <v>12</v>
      </c>
      <c r="AF71" s="40" t="str">
        <f ca="1">IF(AND($AA71=1,Vorrunde!$O19&lt;&gt;"",Vorrunde!$Q19&lt;&gt;"",ABS(Vorrunde!$O19-Vorrunde!$Q19)&gt;1),Vorrunde!$O19,"")</f>
        <v/>
      </c>
      <c r="AG71" s="35" t="str">
        <f ca="1">IF(AND($AA71=1,Vorrunde!$O19&lt;&gt;"",Vorrunde!$Q19&lt;&gt;"",ABS(Vorrunde!$O19-Vorrunde!$Q19)&gt;1),Vorrunde!$Q19,"")</f>
        <v/>
      </c>
      <c r="AH71" s="40">
        <f t="shared" ca="1" si="64"/>
        <v>44</v>
      </c>
      <c r="AI71" s="35">
        <f t="shared" ca="1" si="65"/>
        <v>37</v>
      </c>
      <c r="AJ71" s="40">
        <f ca="1">IF(Vorrunde!$R19="",0,Vorrunde!$R19)</f>
        <v>1</v>
      </c>
      <c r="AK71" s="35">
        <f ca="1">IF(Vorrunde!$T19="",0,Vorrunde!$T19)</f>
        <v>1</v>
      </c>
      <c r="AL71" s="13">
        <f ca="1">IF($AA71=0,"",IF($AJ71&gt;$AK71,Einstellungen!$C$4,IF($AJ71=$AK71,1,0)))</f>
        <v>1</v>
      </c>
      <c r="AM71" s="35">
        <f ca="1">IF($AA71=0,"",IF($AJ71&lt;$AK71,Einstellungen!$C$4,IF($AJ71=$AK71,1,0)))</f>
        <v>1</v>
      </c>
      <c r="AN71" s="13"/>
      <c r="AO71" s="4"/>
      <c r="AP71" s="13"/>
      <c r="AQ71" s="13"/>
    </row>
    <row r="72" spans="2:43" s="2" customFormat="1" ht="12.75" thickBot="1" x14ac:dyDescent="0.25">
      <c r="B72" s="4"/>
      <c r="C72" s="4"/>
      <c r="D72" s="4"/>
      <c r="E72" s="4"/>
      <c r="F72" s="13"/>
      <c r="G72" s="13"/>
      <c r="H72" s="13"/>
      <c r="I72" s="13"/>
      <c r="J72" s="13"/>
      <c r="K72" s="13"/>
      <c r="L72" s="13"/>
      <c r="M72" s="13"/>
      <c r="P72" s="46" t="s">
        <v>19</v>
      </c>
      <c r="Q72" s="61" t="str">
        <f>IF(Planung!$C$47="","",Planung!$C$47)</f>
        <v/>
      </c>
      <c r="U72" s="65" t="s">
        <v>19</v>
      </c>
      <c r="V72" s="40" t="str">
        <f ca="1">Planung!$L14</f>
        <v>1. FC Riedwald</v>
      </c>
      <c r="W72" s="13" t="str">
        <f ca="1">Planung!$N14</f>
        <v>Maibach 1822 eV</v>
      </c>
      <c r="X72" s="13">
        <f ca="1">IF(AND($AA72=1,Vorrunde!$I20&lt;&gt;"",Vorrunde!$K20&lt;&gt;"",ABS(Vorrunde!$I20-Vorrunde!$K20)&gt;1),Vorrunde!$I20,"")</f>
        <v>16</v>
      </c>
      <c r="Y72" s="35">
        <f ca="1">IF(AND($AA72=1,Vorrunde!$I20&lt;&gt;"",Vorrunde!$K20&lt;&gt;"",ABS(Vorrunde!$I20-Vorrunde!$K20)&gt;1),Vorrunde!$K20,"")</f>
        <v>25</v>
      </c>
      <c r="Z72" s="34" t="str">
        <f t="shared" ca="1" si="63"/>
        <v>1. FC RiedwaldMaibach 1822 eV</v>
      </c>
      <c r="AA72" s="13">
        <f ca="1">IF(AND(V72&lt;&gt;"",W72&lt;&gt;"",V72&lt;&gt;W72,Vorrunde!$R20&lt;&gt;"",Vorrunde!$T20&lt;&gt;""),1,0)</f>
        <v>1</v>
      </c>
      <c r="AB72" s="13" t="str">
        <f ca="1">IF(AA72&gt;0,AH72&amp;Sprache!$E$108&amp;AI72,"")</f>
        <v>41 : 43</v>
      </c>
      <c r="AC72" s="35" t="str">
        <f ca="1">IF(AA72&gt;0,AJ72&amp;Sprache!$E$108&amp;AK72,"")</f>
        <v>1 : 1</v>
      </c>
      <c r="AD72" s="40">
        <f ca="1">IF(AND($AA72=1,Vorrunde!$L20&lt;&gt;"",Vorrunde!$N20&lt;&gt;"",ABS(Vorrunde!$L20-Vorrunde!$N20)&gt;1),Vorrunde!$L20,"")</f>
        <v>25</v>
      </c>
      <c r="AE72" s="35">
        <f ca="1">IF(AND($AA72=1,Vorrunde!$L20&lt;&gt;"",Vorrunde!$N20&lt;&gt;"",ABS(Vorrunde!$L20-Vorrunde!$N20)&gt;1),Vorrunde!$N20,"")</f>
        <v>18</v>
      </c>
      <c r="AF72" s="40" t="str">
        <f ca="1">IF(AND($AA72=1,Vorrunde!$O20&lt;&gt;"",Vorrunde!$Q20&lt;&gt;"",ABS(Vorrunde!$O20-Vorrunde!$Q20)&gt;1),Vorrunde!$O20,"")</f>
        <v/>
      </c>
      <c r="AG72" s="35" t="str">
        <f ca="1">IF(AND($AA72=1,Vorrunde!$O20&lt;&gt;"",Vorrunde!$Q20&lt;&gt;"",ABS(Vorrunde!$O20-Vorrunde!$Q20)&gt;1),Vorrunde!$Q20,"")</f>
        <v/>
      </c>
      <c r="AH72" s="40">
        <f t="shared" ca="1" si="64"/>
        <v>41</v>
      </c>
      <c r="AI72" s="35">
        <f t="shared" ca="1" si="65"/>
        <v>43</v>
      </c>
      <c r="AJ72" s="40">
        <f ca="1">IF(Vorrunde!$R20="",0,Vorrunde!$R20)</f>
        <v>1</v>
      </c>
      <c r="AK72" s="35">
        <f ca="1">IF(Vorrunde!$T20="",0,Vorrunde!$T20)</f>
        <v>1</v>
      </c>
      <c r="AL72" s="13">
        <f ca="1">IF($AA72=0,"",IF($AJ72&gt;$AK72,Einstellungen!$C$4,IF($AJ72=$AK72,1,0)))</f>
        <v>1</v>
      </c>
      <c r="AM72" s="35">
        <f ca="1">IF($AA72=0,"",IF($AJ72&lt;$AK72,Einstellungen!$C$4,IF($AJ72=$AK72,1,0)))</f>
        <v>1</v>
      </c>
      <c r="AN72" s="13"/>
      <c r="AO72" s="13"/>
      <c r="AP72" s="4"/>
      <c r="AQ72" s="13"/>
    </row>
    <row r="73" spans="2:43" s="2" customFormat="1" ht="12.75" thickTop="1" x14ac:dyDescent="0.2">
      <c r="B73" s="4"/>
      <c r="C73" s="4"/>
      <c r="D73" s="4"/>
      <c r="E73" s="4"/>
      <c r="F73" s="13"/>
      <c r="G73" s="13"/>
      <c r="H73" s="13"/>
      <c r="I73" s="13"/>
      <c r="J73" s="13"/>
      <c r="K73" s="13"/>
      <c r="L73" s="13"/>
      <c r="M73" s="13"/>
      <c r="U73" s="65" t="s">
        <v>25</v>
      </c>
      <c r="V73" s="40" t="str">
        <f ca="1">Planung!$L15</f>
        <v>Mainz 05</v>
      </c>
      <c r="W73" s="13" t="str">
        <f ca="1">Planung!$N15</f>
        <v>Manchester City</v>
      </c>
      <c r="X73" s="13">
        <f ca="1">IF(AND($AA73=1,Vorrunde!$I21&lt;&gt;"",Vorrunde!$K21&lt;&gt;"",ABS(Vorrunde!$I21-Vorrunde!$K21)&gt;1),Vorrunde!$I21,"")</f>
        <v>14</v>
      </c>
      <c r="Y73" s="35">
        <f ca="1">IF(AND($AA73=1,Vorrunde!$I21&lt;&gt;"",Vorrunde!$K21&lt;&gt;"",ABS(Vorrunde!$I21-Vorrunde!$K21)&gt;1),Vorrunde!$K21,"")</f>
        <v>25</v>
      </c>
      <c r="Z73" s="34" t="str">
        <f t="shared" ca="1" si="63"/>
        <v>Mainz 05Manchester City</v>
      </c>
      <c r="AA73" s="13">
        <f ca="1">IF(AND(V73&lt;&gt;"",W73&lt;&gt;"",V73&lt;&gt;W73,Vorrunde!$R21&lt;&gt;"",Vorrunde!$T21&lt;&gt;""),1,0)</f>
        <v>1</v>
      </c>
      <c r="AB73" s="13" t="str">
        <f ca="1">IF(AA73&gt;0,AH73&amp;Sprache!$E$108&amp;AI73,"")</f>
        <v>39 : 44</v>
      </c>
      <c r="AC73" s="35" t="str">
        <f ca="1">IF(AA73&gt;0,AJ73&amp;Sprache!$E$108&amp;AK73,"")</f>
        <v>1 : 1</v>
      </c>
      <c r="AD73" s="40">
        <f ca="1">IF(AND($AA73=1,Vorrunde!$L21&lt;&gt;"",Vorrunde!$N21&lt;&gt;"",ABS(Vorrunde!$L21-Vorrunde!$N21)&gt;1),Vorrunde!$L21,"")</f>
        <v>25</v>
      </c>
      <c r="AE73" s="35">
        <f ca="1">IF(AND($AA73=1,Vorrunde!$L21&lt;&gt;"",Vorrunde!$N21&lt;&gt;"",ABS(Vorrunde!$L21-Vorrunde!$N21)&gt;1),Vorrunde!$N21,"")</f>
        <v>19</v>
      </c>
      <c r="AF73" s="40" t="str">
        <f ca="1">IF(AND($AA73=1,Vorrunde!$O21&lt;&gt;"",Vorrunde!$Q21&lt;&gt;"",ABS(Vorrunde!$O21-Vorrunde!$Q21)&gt;1),Vorrunde!$O21,"")</f>
        <v/>
      </c>
      <c r="AG73" s="35" t="str">
        <f ca="1">IF(AND($AA73=1,Vorrunde!$O21&lt;&gt;"",Vorrunde!$Q21&lt;&gt;"",ABS(Vorrunde!$O21-Vorrunde!$Q21)&gt;1),Vorrunde!$Q21,"")</f>
        <v/>
      </c>
      <c r="AH73" s="40">
        <f t="shared" ca="1" si="64"/>
        <v>39</v>
      </c>
      <c r="AI73" s="35">
        <f t="shared" ca="1" si="65"/>
        <v>44</v>
      </c>
      <c r="AJ73" s="40">
        <f ca="1">IF(Vorrunde!$R21="",0,Vorrunde!$R21)</f>
        <v>1</v>
      </c>
      <c r="AK73" s="35">
        <f ca="1">IF(Vorrunde!$T21="",0,Vorrunde!$T21)</f>
        <v>1</v>
      </c>
      <c r="AL73" s="13">
        <f ca="1">IF($AA73=0,"",IF($AJ73&gt;$AK73,Einstellungen!$C$4,IF($AJ73=$AK73,1,0)))</f>
        <v>1</v>
      </c>
      <c r="AM73" s="35">
        <f ca="1">IF($AA73=0,"",IF($AJ73&lt;$AK73,Einstellungen!$C$4,IF($AJ73=$AK73,1,0)))</f>
        <v>1</v>
      </c>
      <c r="AN73" s="13"/>
      <c r="AO73" s="13"/>
      <c r="AP73" s="13"/>
      <c r="AQ73" s="4"/>
    </row>
    <row r="74" spans="2:43" s="2" customFormat="1" x14ac:dyDescent="0.2">
      <c r="B74" s="4"/>
      <c r="C74" s="4"/>
      <c r="D74" s="4"/>
      <c r="E74" s="4"/>
      <c r="F74" s="13"/>
      <c r="G74" s="13"/>
      <c r="H74" s="13"/>
      <c r="I74" s="13"/>
      <c r="J74" s="13"/>
      <c r="K74" s="13"/>
      <c r="L74" s="13"/>
      <c r="M74" s="13"/>
      <c r="U74" s="65" t="s">
        <v>26</v>
      </c>
      <c r="V74" s="40" t="str">
        <f ca="1">Planung!$L16</f>
        <v>Eintracht Frankfurt</v>
      </c>
      <c r="W74" s="13" t="str">
        <f ca="1">Planung!$N16</f>
        <v>VFB Essenheim</v>
      </c>
      <c r="X74" s="13">
        <f ca="1">IF(AND($AA74=1,Vorrunde!$I22&lt;&gt;"",Vorrunde!$K22&lt;&gt;"",ABS(Vorrunde!$I22-Vorrunde!$K22)&gt;1),Vorrunde!$I22,"")</f>
        <v>22</v>
      </c>
      <c r="Y74" s="35">
        <f ca="1">IF(AND($AA74=1,Vorrunde!$I22&lt;&gt;"",Vorrunde!$K22&lt;&gt;"",ABS(Vorrunde!$I22-Vorrunde!$K22)&gt;1),Vorrunde!$K22,"")</f>
        <v>25</v>
      </c>
      <c r="Z74" s="34" t="str">
        <f t="shared" ca="1" si="63"/>
        <v>Eintracht FrankfurtVFB Essenheim</v>
      </c>
      <c r="AA74" s="13">
        <f ca="1">IF(AND(V74&lt;&gt;"",W74&lt;&gt;"",V74&lt;&gt;W74,Vorrunde!$R22&lt;&gt;"",Vorrunde!$T22&lt;&gt;""),1,0)</f>
        <v>1</v>
      </c>
      <c r="AB74" s="13" t="str">
        <f ca="1">IF(AA74&gt;0,AH74&amp;Sprache!$E$108&amp;AI74,"")</f>
        <v>47 : 45</v>
      </c>
      <c r="AC74" s="35" t="str">
        <f ca="1">IF(AA74&gt;0,AJ74&amp;Sprache!$E$108&amp;AK74,"")</f>
        <v>1 : 1</v>
      </c>
      <c r="AD74" s="40">
        <f ca="1">IF(AND($AA74=1,Vorrunde!$L22&lt;&gt;"",Vorrunde!$N22&lt;&gt;"",ABS(Vorrunde!$L22-Vorrunde!$N22)&gt;1),Vorrunde!$L22,"")</f>
        <v>25</v>
      </c>
      <c r="AE74" s="35">
        <f ca="1">IF(AND($AA74=1,Vorrunde!$L22&lt;&gt;"",Vorrunde!$N22&lt;&gt;"",ABS(Vorrunde!$L22-Vorrunde!$N22)&gt;1),Vorrunde!$N22,"")</f>
        <v>20</v>
      </c>
      <c r="AF74" s="40" t="str">
        <f ca="1">IF(AND($AA74=1,Vorrunde!$O22&lt;&gt;"",Vorrunde!$Q22&lt;&gt;"",ABS(Vorrunde!$O22-Vorrunde!$Q22)&gt;1),Vorrunde!$O22,"")</f>
        <v/>
      </c>
      <c r="AG74" s="35" t="str">
        <f ca="1">IF(AND($AA74=1,Vorrunde!$O22&lt;&gt;"",Vorrunde!$Q22&lt;&gt;"",ABS(Vorrunde!$O22-Vorrunde!$Q22)&gt;1),Vorrunde!$Q22,"")</f>
        <v/>
      </c>
      <c r="AH74" s="40">
        <f t="shared" ca="1" si="64"/>
        <v>47</v>
      </c>
      <c r="AI74" s="35">
        <f t="shared" ca="1" si="65"/>
        <v>45</v>
      </c>
      <c r="AJ74" s="40">
        <f ca="1">IF(Vorrunde!$R22="",0,Vorrunde!$R22)</f>
        <v>1</v>
      </c>
      <c r="AK74" s="35">
        <f ca="1">IF(Vorrunde!$T22="",0,Vorrunde!$T22)</f>
        <v>1</v>
      </c>
      <c r="AL74" s="13">
        <f ca="1">IF($AA74=0,"",IF($AJ74&gt;$AK74,Einstellungen!$C$4,IF($AJ74=$AK74,1,0)))</f>
        <v>1</v>
      </c>
      <c r="AM74" s="35">
        <f ca="1">IF($AA74=0,"",IF($AJ74&lt;$AK74,Einstellungen!$C$4,IF($AJ74=$AK74,1,0)))</f>
        <v>1</v>
      </c>
    </row>
    <row r="75" spans="2:43" s="2" customFormat="1" x14ac:dyDescent="0.2">
      <c r="B75" s="4"/>
      <c r="C75" s="4"/>
      <c r="D75" s="4"/>
      <c r="E75" s="4"/>
      <c r="F75" s="13"/>
      <c r="G75" s="13"/>
      <c r="H75" s="13"/>
      <c r="I75" s="13"/>
      <c r="J75" s="13"/>
      <c r="K75" s="13"/>
      <c r="L75" s="13"/>
      <c r="M75" s="13"/>
      <c r="U75" s="65" t="s">
        <v>27</v>
      </c>
      <c r="V75" s="40" t="str">
        <f ca="1">Planung!$L17</f>
        <v>SSV Wildbach</v>
      </c>
      <c r="W75" s="13" t="str">
        <f ca="1">Planung!$N17</f>
        <v>FC Grönlingen</v>
      </c>
      <c r="X75" s="13">
        <f ca="1">IF(AND($AA75=1,Vorrunde!$I23&lt;&gt;"",Vorrunde!$K23&lt;&gt;"",ABS(Vorrunde!$I23-Vorrunde!$K23)&gt;1),Vorrunde!$I23,"")</f>
        <v>19</v>
      </c>
      <c r="Y75" s="35">
        <f ca="1">IF(AND($AA75=1,Vorrunde!$I23&lt;&gt;"",Vorrunde!$K23&lt;&gt;"",ABS(Vorrunde!$I23-Vorrunde!$K23)&gt;1),Vorrunde!$K23,"")</f>
        <v>25</v>
      </c>
      <c r="Z75" s="34" t="str">
        <f t="shared" ca="1" si="63"/>
        <v>SSV WildbachFC Grönlingen</v>
      </c>
      <c r="AA75" s="13">
        <f ca="1">IF(AND(V75&lt;&gt;"",W75&lt;&gt;"",V75&lt;&gt;W75,Vorrunde!$R23&lt;&gt;"",Vorrunde!$T23&lt;&gt;""),1,0)</f>
        <v>1</v>
      </c>
      <c r="AB75" s="13" t="str">
        <f ca="1">IF(AA75&gt;0,AH75&amp;Sprache!$E$108&amp;AI75,"")</f>
        <v>44 : 44</v>
      </c>
      <c r="AC75" s="35" t="str">
        <f ca="1">IF(AA75&gt;0,AJ75&amp;Sprache!$E$108&amp;AK75,"")</f>
        <v>1 : 1</v>
      </c>
      <c r="AD75" s="40">
        <f ca="1">IF(AND($AA75=1,Vorrunde!$L23&lt;&gt;"",Vorrunde!$N23&lt;&gt;"",ABS(Vorrunde!$L23-Vorrunde!$N23)&gt;1),Vorrunde!$L23,"")</f>
        <v>25</v>
      </c>
      <c r="AE75" s="35">
        <f ca="1">IF(AND($AA75=1,Vorrunde!$L23&lt;&gt;"",Vorrunde!$N23&lt;&gt;"",ABS(Vorrunde!$L23-Vorrunde!$N23)&gt;1),Vorrunde!$N23,"")</f>
        <v>19</v>
      </c>
      <c r="AF75" s="40" t="str">
        <f ca="1">IF(AND($AA75=1,Vorrunde!$O23&lt;&gt;"",Vorrunde!$Q23&lt;&gt;"",ABS(Vorrunde!$O23-Vorrunde!$Q23)&gt;1),Vorrunde!$O23,"")</f>
        <v/>
      </c>
      <c r="AG75" s="35" t="str">
        <f ca="1">IF(AND($AA75=1,Vorrunde!$O23&lt;&gt;"",Vorrunde!$Q23&lt;&gt;"",ABS(Vorrunde!$O23-Vorrunde!$Q23)&gt;1),Vorrunde!$Q23,"")</f>
        <v/>
      </c>
      <c r="AH75" s="40">
        <f t="shared" ca="1" si="64"/>
        <v>44</v>
      </c>
      <c r="AI75" s="35">
        <f t="shared" ca="1" si="65"/>
        <v>44</v>
      </c>
      <c r="AJ75" s="40">
        <f ca="1">IF(Vorrunde!$R23="",0,Vorrunde!$R23)</f>
        <v>1</v>
      </c>
      <c r="AK75" s="35">
        <f ca="1">IF(Vorrunde!$T23="",0,Vorrunde!$T23)</f>
        <v>1</v>
      </c>
      <c r="AL75" s="13">
        <f ca="1">IF($AA75=0,"",IF($AJ75&gt;$AK75,Einstellungen!$C$4,IF($AJ75=$AK75,1,0)))</f>
        <v>1</v>
      </c>
      <c r="AM75" s="35">
        <f ca="1">IF($AA75=0,"",IF($AJ75&lt;$AK75,Einstellungen!$C$4,IF($AJ75=$AK75,1,0)))</f>
        <v>1</v>
      </c>
    </row>
    <row r="76" spans="2:43" s="2" customFormat="1" x14ac:dyDescent="0.2">
      <c r="B76" s="4"/>
      <c r="C76" s="4"/>
      <c r="D76" s="4"/>
      <c r="E76" s="4"/>
      <c r="F76" s="13"/>
      <c r="G76" s="13"/>
      <c r="H76" s="13"/>
      <c r="I76" s="13"/>
      <c r="J76" s="13"/>
      <c r="K76" s="13"/>
      <c r="L76" s="13"/>
      <c r="M76" s="13"/>
      <c r="U76" s="65" t="s">
        <v>28</v>
      </c>
      <c r="V76" s="40" t="str">
        <f ca="1">Planung!$L18</f>
        <v>FC Barcelona</v>
      </c>
      <c r="W76" s="13" t="str">
        <f ca="1">Planung!$N18</f>
        <v>Maibach 1822 eV</v>
      </c>
      <c r="X76" s="13">
        <f ca="1">IF(AND($AA76=1,Vorrunde!$I24&lt;&gt;"",Vorrunde!$K24&lt;&gt;"",ABS(Vorrunde!$I24-Vorrunde!$K24)&gt;1),Vorrunde!$I24,"")</f>
        <v>17</v>
      </c>
      <c r="Y76" s="35">
        <f ca="1">IF(AND($AA76=1,Vorrunde!$I24&lt;&gt;"",Vorrunde!$K24&lt;&gt;"",ABS(Vorrunde!$I24-Vorrunde!$K24)&gt;1),Vorrunde!$K24,"")</f>
        <v>25</v>
      </c>
      <c r="Z76" s="34" t="str">
        <f t="shared" ca="1" si="63"/>
        <v>FC BarcelonaMaibach 1822 eV</v>
      </c>
      <c r="AA76" s="13">
        <f ca="1">IF(AND(V76&lt;&gt;"",W76&lt;&gt;"",V76&lt;&gt;W76,Vorrunde!$R24&lt;&gt;"",Vorrunde!$T24&lt;&gt;""),1,0)</f>
        <v>1</v>
      </c>
      <c r="AB76" s="13" t="str">
        <f ca="1">IF(AA76&gt;0,AH76&amp;Sprache!$E$108&amp;AI76,"")</f>
        <v>29 : 50</v>
      </c>
      <c r="AC76" s="35" t="str">
        <f ca="1">IF(AA76&gt;0,AJ76&amp;Sprache!$E$108&amp;AK76,"")</f>
        <v>0 : 2</v>
      </c>
      <c r="AD76" s="40">
        <f ca="1">IF(AND($AA76=1,Vorrunde!$L24&lt;&gt;"",Vorrunde!$N24&lt;&gt;"",ABS(Vorrunde!$L24-Vorrunde!$N24)&gt;1),Vorrunde!$L24,"")</f>
        <v>12</v>
      </c>
      <c r="AE76" s="35">
        <f ca="1">IF(AND($AA76=1,Vorrunde!$L24&lt;&gt;"",Vorrunde!$N24&lt;&gt;"",ABS(Vorrunde!$L24-Vorrunde!$N24)&gt;1),Vorrunde!$N24,"")</f>
        <v>25</v>
      </c>
      <c r="AF76" s="40" t="str">
        <f ca="1">IF(AND($AA76=1,Vorrunde!$O24&lt;&gt;"",Vorrunde!$Q24&lt;&gt;"",ABS(Vorrunde!$O24-Vorrunde!$Q24)&gt;1),Vorrunde!$O24,"")</f>
        <v/>
      </c>
      <c r="AG76" s="35" t="str">
        <f ca="1">IF(AND($AA76=1,Vorrunde!$O24&lt;&gt;"",Vorrunde!$Q24&lt;&gt;"",ABS(Vorrunde!$O24-Vorrunde!$Q24)&gt;1),Vorrunde!$Q24,"")</f>
        <v/>
      </c>
      <c r="AH76" s="40">
        <f t="shared" ca="1" si="64"/>
        <v>29</v>
      </c>
      <c r="AI76" s="35">
        <f t="shared" ca="1" si="65"/>
        <v>50</v>
      </c>
      <c r="AJ76" s="40">
        <f ca="1">IF(Vorrunde!$R24="",0,Vorrunde!$R24)</f>
        <v>0</v>
      </c>
      <c r="AK76" s="35">
        <f ca="1">IF(Vorrunde!$T24="",0,Vorrunde!$T24)</f>
        <v>2</v>
      </c>
      <c r="AL76" s="13">
        <f ca="1">IF($AA76=0,"",IF($AJ76&gt;$AK76,Einstellungen!$C$4,IF($AJ76=$AK76,1,0)))</f>
        <v>0</v>
      </c>
      <c r="AM76" s="35">
        <f ca="1">IF($AA76=0,"",IF($AJ76&lt;$AK76,Einstellungen!$C$4,IF($AJ76=$AK76,1,0)))</f>
        <v>2</v>
      </c>
    </row>
    <row r="77" spans="2:43" s="2" customFormat="1" x14ac:dyDescent="0.2">
      <c r="B77" s="4"/>
      <c r="C77" s="4"/>
      <c r="D77" s="4"/>
      <c r="E77" s="4"/>
      <c r="F77" s="13"/>
      <c r="G77" s="13"/>
      <c r="H77" s="13"/>
      <c r="I77" s="13"/>
      <c r="J77" s="13"/>
      <c r="K77" s="13"/>
      <c r="L77" s="13"/>
      <c r="M77" s="13"/>
      <c r="U77" s="65" t="s">
        <v>29</v>
      </c>
      <c r="V77" s="40" t="str">
        <f ca="1">Planung!$L19</f>
        <v>Inter Mailand</v>
      </c>
      <c r="W77" s="13" t="str">
        <f ca="1">Planung!$N19</f>
        <v>Manchester City</v>
      </c>
      <c r="X77" s="13">
        <f ca="1">IF(AND($AA77=1,Vorrunde!$I25&lt;&gt;"",Vorrunde!$K25&lt;&gt;"",ABS(Vorrunde!$I25-Vorrunde!$K25)&gt;1),Vorrunde!$I25,"")</f>
        <v>14</v>
      </c>
      <c r="Y77" s="35">
        <f ca="1">IF(AND($AA77=1,Vorrunde!$I25&lt;&gt;"",Vorrunde!$K25&lt;&gt;"",ABS(Vorrunde!$I25-Vorrunde!$K25)&gt;1),Vorrunde!$K25,"")</f>
        <v>25</v>
      </c>
      <c r="Z77" s="34" t="str">
        <f t="shared" ca="1" si="63"/>
        <v>Inter MailandManchester City</v>
      </c>
      <c r="AA77" s="13">
        <f ca="1">IF(AND(V77&lt;&gt;"",W77&lt;&gt;"",V77&lt;&gt;W77,Vorrunde!$R25&lt;&gt;"",Vorrunde!$T25&lt;&gt;""),1,0)</f>
        <v>1</v>
      </c>
      <c r="AB77" s="13" t="str">
        <f ca="1">IF(AA77&gt;0,AH77&amp;Sprache!$E$108&amp;AI77,"")</f>
        <v>39 : 48</v>
      </c>
      <c r="AC77" s="35" t="str">
        <f ca="1">IF(AA77&gt;0,AJ77&amp;Sprache!$E$108&amp;AK77,"")</f>
        <v>1 : 1</v>
      </c>
      <c r="AD77" s="40">
        <f ca="1">IF(AND($AA77=1,Vorrunde!$L25&lt;&gt;"",Vorrunde!$N25&lt;&gt;"",ABS(Vorrunde!$L25-Vorrunde!$N25)&gt;1),Vorrunde!$L25,"")</f>
        <v>25</v>
      </c>
      <c r="AE77" s="35">
        <f ca="1">IF(AND($AA77=1,Vorrunde!$L25&lt;&gt;"",Vorrunde!$N25&lt;&gt;"",ABS(Vorrunde!$L25-Vorrunde!$N25)&gt;1),Vorrunde!$N25,"")</f>
        <v>23</v>
      </c>
      <c r="AF77" s="40" t="str">
        <f ca="1">IF(AND($AA77=1,Vorrunde!$O25&lt;&gt;"",Vorrunde!$Q25&lt;&gt;"",ABS(Vorrunde!$O25-Vorrunde!$Q25)&gt;1),Vorrunde!$O25,"")</f>
        <v/>
      </c>
      <c r="AG77" s="35" t="str">
        <f ca="1">IF(AND($AA77=1,Vorrunde!$O25&lt;&gt;"",Vorrunde!$Q25&lt;&gt;"",ABS(Vorrunde!$O25-Vorrunde!$Q25)&gt;1),Vorrunde!$Q25,"")</f>
        <v/>
      </c>
      <c r="AH77" s="40">
        <f t="shared" ca="1" si="64"/>
        <v>39</v>
      </c>
      <c r="AI77" s="35">
        <f t="shared" ca="1" si="65"/>
        <v>48</v>
      </c>
      <c r="AJ77" s="40">
        <f ca="1">IF(Vorrunde!$R25="",0,Vorrunde!$R25)</f>
        <v>1</v>
      </c>
      <c r="AK77" s="35">
        <f ca="1">IF(Vorrunde!$T25="",0,Vorrunde!$T25)</f>
        <v>1</v>
      </c>
      <c r="AL77" s="13">
        <f ca="1">IF($AA77=0,"",IF($AJ77&gt;$AK77,Einstellungen!$C$4,IF($AJ77=$AK77,1,0)))</f>
        <v>1</v>
      </c>
      <c r="AM77" s="35">
        <f ca="1">IF($AA77=0,"",IF($AJ77&lt;$AK77,Einstellungen!$C$4,IF($AJ77=$AK77,1,0)))</f>
        <v>1</v>
      </c>
    </row>
    <row r="78" spans="2:43" s="2" customFormat="1" x14ac:dyDescent="0.2">
      <c r="B78" s="4"/>
      <c r="C78" s="4"/>
      <c r="D78" s="4"/>
      <c r="E78" s="4"/>
      <c r="F78" s="13"/>
      <c r="G78" s="13"/>
      <c r="H78" s="13"/>
      <c r="I78" s="13"/>
      <c r="J78" s="13"/>
      <c r="K78" s="13"/>
      <c r="L78" s="13"/>
      <c r="M78" s="13"/>
      <c r="U78" s="65" t="s">
        <v>30</v>
      </c>
      <c r="V78" s="40" t="str">
        <f ca="1">Planung!$L20</f>
        <v>Eintracht Frankfurt</v>
      </c>
      <c r="W78" s="13" t="str">
        <f ca="1">Planung!$N20</f>
        <v>1. FC Riedwald</v>
      </c>
      <c r="X78" s="13">
        <f ca="1">IF(AND($AA78=1,Vorrunde!$I26&lt;&gt;"",Vorrunde!$K26&lt;&gt;"",ABS(Vorrunde!$I26-Vorrunde!$K26)&gt;1),Vorrunde!$I26,"")</f>
        <v>21</v>
      </c>
      <c r="Y78" s="35">
        <f ca="1">IF(AND($AA78=1,Vorrunde!$I26&lt;&gt;"",Vorrunde!$K26&lt;&gt;"",ABS(Vorrunde!$I26-Vorrunde!$K26)&gt;1),Vorrunde!$K26,"")</f>
        <v>25</v>
      </c>
      <c r="Z78" s="34" t="str">
        <f t="shared" ca="1" si="63"/>
        <v>Eintracht Frankfurt1. FC Riedwald</v>
      </c>
      <c r="AA78" s="13">
        <f ca="1">IF(AND(V78&lt;&gt;"",W78&lt;&gt;"",V78&lt;&gt;W78,Vorrunde!$R26&lt;&gt;"",Vorrunde!$T26&lt;&gt;""),1,0)</f>
        <v>1</v>
      </c>
      <c r="AB78" s="13" t="str">
        <f ca="1">IF(AA78&gt;0,AH78&amp;Sprache!$E$108&amp;AI78,"")</f>
        <v>46 : 42</v>
      </c>
      <c r="AC78" s="35" t="str">
        <f ca="1">IF(AA78&gt;0,AJ78&amp;Sprache!$E$108&amp;AK78,"")</f>
        <v>1 : 1</v>
      </c>
      <c r="AD78" s="40">
        <f ca="1">IF(AND($AA78=1,Vorrunde!$L26&lt;&gt;"",Vorrunde!$N26&lt;&gt;"",ABS(Vorrunde!$L26-Vorrunde!$N26)&gt;1),Vorrunde!$L26,"")</f>
        <v>25</v>
      </c>
      <c r="AE78" s="35">
        <f ca="1">IF(AND($AA78=1,Vorrunde!$L26&lt;&gt;"",Vorrunde!$N26&lt;&gt;"",ABS(Vorrunde!$L26-Vorrunde!$N26)&gt;1),Vorrunde!$N26,"")</f>
        <v>17</v>
      </c>
      <c r="AF78" s="40" t="str">
        <f ca="1">IF(AND($AA78=1,Vorrunde!$O26&lt;&gt;"",Vorrunde!$Q26&lt;&gt;"",ABS(Vorrunde!$O26-Vorrunde!$Q26)&gt;1),Vorrunde!$O26,"")</f>
        <v/>
      </c>
      <c r="AG78" s="35" t="str">
        <f ca="1">IF(AND($AA78=1,Vorrunde!$O26&lt;&gt;"",Vorrunde!$Q26&lt;&gt;"",ABS(Vorrunde!$O26-Vorrunde!$Q26)&gt;1),Vorrunde!$Q26,"")</f>
        <v/>
      </c>
      <c r="AH78" s="40">
        <f t="shared" ca="1" si="64"/>
        <v>46</v>
      </c>
      <c r="AI78" s="35">
        <f t="shared" ca="1" si="65"/>
        <v>42</v>
      </c>
      <c r="AJ78" s="40">
        <f ca="1">IF(Vorrunde!$R26="",0,Vorrunde!$R26)</f>
        <v>1</v>
      </c>
      <c r="AK78" s="35">
        <f ca="1">IF(Vorrunde!$T26="",0,Vorrunde!$T26)</f>
        <v>1</v>
      </c>
      <c r="AL78" s="13">
        <f ca="1">IF($AA78=0,"",IF($AJ78&gt;$AK78,Einstellungen!$C$4,IF($AJ78=$AK78,1,0)))</f>
        <v>1</v>
      </c>
      <c r="AM78" s="35">
        <f ca="1">IF($AA78=0,"",IF($AJ78&lt;$AK78,Einstellungen!$C$4,IF($AJ78=$AK78,1,0)))</f>
        <v>1</v>
      </c>
    </row>
    <row r="79" spans="2:43" s="2" customFormat="1" x14ac:dyDescent="0.2">
      <c r="B79" s="4"/>
      <c r="C79" s="4"/>
      <c r="D79" s="4"/>
      <c r="E79" s="4"/>
      <c r="F79" s="13"/>
      <c r="G79" s="13"/>
      <c r="H79" s="13"/>
      <c r="I79" s="13"/>
      <c r="J79" s="13"/>
      <c r="K79" s="13"/>
      <c r="L79" s="13"/>
      <c r="M79" s="13"/>
      <c r="U79" s="65" t="s">
        <v>31</v>
      </c>
      <c r="V79" s="40" t="str">
        <f ca="1">Planung!$L21</f>
        <v>SSV Wildbach</v>
      </c>
      <c r="W79" s="13" t="str">
        <f ca="1">Planung!$N21</f>
        <v>Mainz 05</v>
      </c>
      <c r="X79" s="13">
        <f ca="1">IF(AND($AA79=1,Vorrunde!$I27&lt;&gt;"",Vorrunde!$K27&lt;&gt;"",ABS(Vorrunde!$I27-Vorrunde!$K27)&gt;1),Vorrunde!$I27,"")</f>
        <v>20</v>
      </c>
      <c r="Y79" s="35">
        <f ca="1">IF(AND($AA79=1,Vorrunde!$I27&lt;&gt;"",Vorrunde!$K27&lt;&gt;"",ABS(Vorrunde!$I27-Vorrunde!$K27)&gt;1),Vorrunde!$K27,"")</f>
        <v>25</v>
      </c>
      <c r="Z79" s="34" t="str">
        <f t="shared" ca="1" si="63"/>
        <v>SSV WildbachMainz 05</v>
      </c>
      <c r="AA79" s="13">
        <f ca="1">IF(AND(V79&lt;&gt;"",W79&lt;&gt;"",V79&lt;&gt;W79,Vorrunde!$R27&lt;&gt;"",Vorrunde!$T27&lt;&gt;""),1,0)</f>
        <v>1</v>
      </c>
      <c r="AB79" s="13" t="str">
        <f ca="1">IF(AA79&gt;0,AH79&amp;Sprache!$E$108&amp;AI79,"")</f>
        <v>38 : 50</v>
      </c>
      <c r="AC79" s="35" t="str">
        <f ca="1">IF(AA79&gt;0,AJ79&amp;Sprache!$E$108&amp;AK79,"")</f>
        <v>0 : 2</v>
      </c>
      <c r="AD79" s="40">
        <f ca="1">IF(AND($AA79=1,Vorrunde!$L27&lt;&gt;"",Vorrunde!$N27&lt;&gt;"",ABS(Vorrunde!$L27-Vorrunde!$N27)&gt;1),Vorrunde!$L27,"")</f>
        <v>18</v>
      </c>
      <c r="AE79" s="35">
        <f ca="1">IF(AND($AA79=1,Vorrunde!$L27&lt;&gt;"",Vorrunde!$N27&lt;&gt;"",ABS(Vorrunde!$L27-Vorrunde!$N27)&gt;1),Vorrunde!$N27,"")</f>
        <v>25</v>
      </c>
      <c r="AF79" s="40" t="str">
        <f ca="1">IF(AND($AA79=1,Vorrunde!$O27&lt;&gt;"",Vorrunde!$Q27&lt;&gt;"",ABS(Vorrunde!$O27-Vorrunde!$Q27)&gt;1),Vorrunde!$O27,"")</f>
        <v/>
      </c>
      <c r="AG79" s="35" t="str">
        <f ca="1">IF(AND($AA79=1,Vorrunde!$O27&lt;&gt;"",Vorrunde!$Q27&lt;&gt;"",ABS(Vorrunde!$O27-Vorrunde!$Q27)&gt;1),Vorrunde!$Q27,"")</f>
        <v/>
      </c>
      <c r="AH79" s="40">
        <f t="shared" ca="1" si="64"/>
        <v>38</v>
      </c>
      <c r="AI79" s="35">
        <f t="shared" ca="1" si="65"/>
        <v>50</v>
      </c>
      <c r="AJ79" s="40">
        <f ca="1">IF(Vorrunde!$R27="",0,Vorrunde!$R27)</f>
        <v>0</v>
      </c>
      <c r="AK79" s="35">
        <f ca="1">IF(Vorrunde!$T27="",0,Vorrunde!$T27)</f>
        <v>2</v>
      </c>
      <c r="AL79" s="13">
        <f ca="1">IF($AA79=0,"",IF($AJ79&gt;$AK79,Einstellungen!$C$4,IF($AJ79=$AK79,1,0)))</f>
        <v>0</v>
      </c>
      <c r="AM79" s="35">
        <f ca="1">IF($AA79=0,"",IF($AJ79&lt;$AK79,Einstellungen!$C$4,IF($AJ79=$AK79,1,0)))</f>
        <v>2</v>
      </c>
    </row>
    <row r="80" spans="2:43" s="2" customFormat="1" x14ac:dyDescent="0.2">
      <c r="B80" s="4"/>
      <c r="C80" s="4"/>
      <c r="D80" s="4"/>
      <c r="E80" s="4"/>
      <c r="F80" s="13"/>
      <c r="G80" s="13"/>
      <c r="H80" s="13"/>
      <c r="I80" s="13"/>
      <c r="J80" s="13"/>
      <c r="K80" s="13"/>
      <c r="L80" s="13"/>
      <c r="M80" s="13"/>
      <c r="U80" s="65" t="s">
        <v>32</v>
      </c>
      <c r="V80" s="40" t="str">
        <f ca="1">Planung!$L22</f>
        <v>Maibach 1822 eV</v>
      </c>
      <c r="W80" s="13" t="str">
        <f ca="1">Planung!$N22</f>
        <v>VFB Essenheim</v>
      </c>
      <c r="X80" s="13">
        <f ca="1">IF(AND($AA80=1,Vorrunde!$I28&lt;&gt;"",Vorrunde!$K28&lt;&gt;"",ABS(Vorrunde!$I28-Vorrunde!$K28)&gt;1),Vorrunde!$I28,"")</f>
        <v>25</v>
      </c>
      <c r="Y80" s="35">
        <f ca="1">IF(AND($AA80=1,Vorrunde!$I28&lt;&gt;"",Vorrunde!$K28&lt;&gt;"",ABS(Vorrunde!$I28-Vorrunde!$K28)&gt;1),Vorrunde!$K28,"")</f>
        <v>21</v>
      </c>
      <c r="Z80" s="34" t="str">
        <f t="shared" ca="1" si="63"/>
        <v>Maibach 1822 eVVFB Essenheim</v>
      </c>
      <c r="AA80" s="13">
        <f ca="1">IF(AND(V80&lt;&gt;"",W80&lt;&gt;"",V80&lt;&gt;W80,Vorrunde!$R28&lt;&gt;"",Vorrunde!$T28&lt;&gt;""),1,0)</f>
        <v>1</v>
      </c>
      <c r="AB80" s="13" t="str">
        <f ca="1">IF(AA80&gt;0,AH80&amp;Sprache!$E$108&amp;AI80,"")</f>
        <v>50 : 40</v>
      </c>
      <c r="AC80" s="35" t="str">
        <f ca="1">IF(AA80&gt;0,AJ80&amp;Sprache!$E$108&amp;AK80,"")</f>
        <v>2 : 0</v>
      </c>
      <c r="AD80" s="40">
        <f ca="1">IF(AND($AA80=1,Vorrunde!$L28&lt;&gt;"",Vorrunde!$N28&lt;&gt;"",ABS(Vorrunde!$L28-Vorrunde!$N28)&gt;1),Vorrunde!$L28,"")</f>
        <v>25</v>
      </c>
      <c r="AE80" s="35">
        <f ca="1">IF(AND($AA80=1,Vorrunde!$L28&lt;&gt;"",Vorrunde!$N28&lt;&gt;"",ABS(Vorrunde!$L28-Vorrunde!$N28)&gt;1),Vorrunde!$N28,"")</f>
        <v>19</v>
      </c>
      <c r="AF80" s="40" t="str">
        <f ca="1">IF(AND($AA80=1,Vorrunde!$O28&lt;&gt;"",Vorrunde!$Q28&lt;&gt;"",ABS(Vorrunde!$O28-Vorrunde!$Q28)&gt;1),Vorrunde!$O28,"")</f>
        <v/>
      </c>
      <c r="AG80" s="35" t="str">
        <f ca="1">IF(AND($AA80=1,Vorrunde!$O28&lt;&gt;"",Vorrunde!$Q28&lt;&gt;"",ABS(Vorrunde!$O28-Vorrunde!$Q28)&gt;1),Vorrunde!$Q28,"")</f>
        <v/>
      </c>
      <c r="AH80" s="40">
        <f t="shared" ca="1" si="64"/>
        <v>50</v>
      </c>
      <c r="AI80" s="35">
        <f t="shared" ca="1" si="65"/>
        <v>40</v>
      </c>
      <c r="AJ80" s="40">
        <f ca="1">IF(Vorrunde!$R28="",0,Vorrunde!$R28)</f>
        <v>2</v>
      </c>
      <c r="AK80" s="35">
        <f ca="1">IF(Vorrunde!$T28="",0,Vorrunde!$T28)</f>
        <v>0</v>
      </c>
      <c r="AL80" s="13">
        <f ca="1">IF($AA80=0,"",IF($AJ80&gt;$AK80,Einstellungen!$C$4,IF($AJ80=$AK80,1,0)))</f>
        <v>2</v>
      </c>
      <c r="AM80" s="35">
        <f ca="1">IF($AA80=0,"",IF($AJ80&lt;$AK80,Einstellungen!$C$4,IF($AJ80=$AK80,1,0)))</f>
        <v>0</v>
      </c>
    </row>
    <row r="81" spans="2:39" s="2" customFormat="1" x14ac:dyDescent="0.2">
      <c r="B81" s="4"/>
      <c r="C81" s="4"/>
      <c r="D81" s="4"/>
      <c r="E81" s="4"/>
      <c r="F81" s="13"/>
      <c r="G81" s="13"/>
      <c r="H81" s="13"/>
      <c r="I81" s="13"/>
      <c r="J81" s="13"/>
      <c r="K81" s="13"/>
      <c r="L81" s="13"/>
      <c r="M81" s="13"/>
      <c r="U81" s="65" t="s">
        <v>33</v>
      </c>
      <c r="V81" s="40" t="str">
        <f ca="1">Planung!$L23</f>
        <v>Manchester City</v>
      </c>
      <c r="W81" s="13" t="str">
        <f ca="1">Planung!$N23</f>
        <v>FC Grönlingen</v>
      </c>
      <c r="X81" s="13">
        <f ca="1">IF(AND($AA81=1,Vorrunde!$I29&lt;&gt;"",Vorrunde!$K29&lt;&gt;"",ABS(Vorrunde!$I29-Vorrunde!$K29)&gt;1),Vorrunde!$I29,"")</f>
        <v>25</v>
      </c>
      <c r="Y81" s="35">
        <f ca="1">IF(AND($AA81=1,Vorrunde!$I29&lt;&gt;"",Vorrunde!$K29&lt;&gt;"",ABS(Vorrunde!$I29-Vorrunde!$K29)&gt;1),Vorrunde!$K29,"")</f>
        <v>12</v>
      </c>
      <c r="Z81" s="34" t="str">
        <f t="shared" ca="1" si="63"/>
        <v>Manchester CityFC Grönlingen</v>
      </c>
      <c r="AA81" s="13">
        <f ca="1">IF(AND(V81&lt;&gt;"",W81&lt;&gt;"",V81&lt;&gt;W81,Vorrunde!$R29&lt;&gt;"",Vorrunde!$T29&lt;&gt;""),1,0)</f>
        <v>1</v>
      </c>
      <c r="AB81" s="13" t="str">
        <f ca="1">IF(AA81&gt;0,AH81&amp;Sprache!$E$108&amp;AI81,"")</f>
        <v>50 : 32</v>
      </c>
      <c r="AC81" s="35" t="str">
        <f ca="1">IF(AA81&gt;0,AJ81&amp;Sprache!$E$108&amp;AK81,"")</f>
        <v>2 : 0</v>
      </c>
      <c r="AD81" s="40">
        <f ca="1">IF(AND($AA81=1,Vorrunde!$L29&lt;&gt;"",Vorrunde!$N29&lt;&gt;"",ABS(Vorrunde!$L29-Vorrunde!$N29)&gt;1),Vorrunde!$L29,"")</f>
        <v>25</v>
      </c>
      <c r="AE81" s="35">
        <f ca="1">IF(AND($AA81=1,Vorrunde!$L29&lt;&gt;"",Vorrunde!$N29&lt;&gt;"",ABS(Vorrunde!$L29-Vorrunde!$N29)&gt;1),Vorrunde!$N29,"")</f>
        <v>20</v>
      </c>
      <c r="AF81" s="40" t="str">
        <f ca="1">IF(AND($AA81=1,Vorrunde!$O29&lt;&gt;"",Vorrunde!$Q29&lt;&gt;"",ABS(Vorrunde!$O29-Vorrunde!$Q29)&gt;1),Vorrunde!$O29,"")</f>
        <v/>
      </c>
      <c r="AG81" s="35" t="str">
        <f ca="1">IF(AND($AA81=1,Vorrunde!$O29&lt;&gt;"",Vorrunde!$Q29&lt;&gt;"",ABS(Vorrunde!$O29-Vorrunde!$Q29)&gt;1),Vorrunde!$Q29,"")</f>
        <v/>
      </c>
      <c r="AH81" s="40">
        <f t="shared" ca="1" si="64"/>
        <v>50</v>
      </c>
      <c r="AI81" s="35">
        <f t="shared" ca="1" si="65"/>
        <v>32</v>
      </c>
      <c r="AJ81" s="40">
        <f ca="1">IF(Vorrunde!$R29="",0,Vorrunde!$R29)</f>
        <v>2</v>
      </c>
      <c r="AK81" s="35">
        <f ca="1">IF(Vorrunde!$T29="",0,Vorrunde!$T29)</f>
        <v>0</v>
      </c>
      <c r="AL81" s="13">
        <f ca="1">IF($AA81=0,"",IF($AJ81&gt;$AK81,Einstellungen!$C$4,IF($AJ81=$AK81,1,0)))</f>
        <v>2</v>
      </c>
      <c r="AM81" s="35">
        <f ca="1">IF($AA81=0,"",IF($AJ81&lt;$AK81,Einstellungen!$C$4,IF($AJ81=$AK81,1,0)))</f>
        <v>0</v>
      </c>
    </row>
    <row r="82" spans="2:39" s="2" customFormat="1" x14ac:dyDescent="0.2">
      <c r="B82" s="4"/>
      <c r="C82" s="4"/>
      <c r="D82" s="4"/>
      <c r="E82" s="4"/>
      <c r="F82" s="13"/>
      <c r="G82" s="13"/>
      <c r="H82" s="13"/>
      <c r="I82" s="13"/>
      <c r="J82" s="13"/>
      <c r="K82" s="13"/>
      <c r="L82" s="13"/>
      <c r="M82" s="13"/>
      <c r="U82" s="65" t="s">
        <v>34</v>
      </c>
      <c r="V82" s="40" t="str">
        <f ca="1">Planung!$L24</f>
        <v>1. FC Riedwald</v>
      </c>
      <c r="W82" s="13" t="str">
        <f ca="1">Planung!$N24</f>
        <v>FC Barcelona</v>
      </c>
      <c r="X82" s="13">
        <f ca="1">IF(AND($AA82=1,Vorrunde!$I30&lt;&gt;"",Vorrunde!$K30&lt;&gt;"",ABS(Vorrunde!$I30-Vorrunde!$K30)&gt;1),Vorrunde!$I30,"")</f>
        <v>25</v>
      </c>
      <c r="Y82" s="35">
        <f ca="1">IF(AND($AA82=1,Vorrunde!$I30&lt;&gt;"",Vorrunde!$K30&lt;&gt;"",ABS(Vorrunde!$I30-Vorrunde!$K30)&gt;1),Vorrunde!$K30,"")</f>
        <v>16</v>
      </c>
      <c r="Z82" s="34" t="str">
        <f t="shared" ca="1" si="63"/>
        <v>1. FC RiedwaldFC Barcelona</v>
      </c>
      <c r="AA82" s="13">
        <f ca="1">IF(AND(V82&lt;&gt;"",W82&lt;&gt;"",V82&lt;&gt;W82,Vorrunde!$R30&lt;&gt;"",Vorrunde!$T30&lt;&gt;""),1,0)</f>
        <v>1</v>
      </c>
      <c r="AB82" s="13" t="str">
        <f ca="1">IF(AA82&gt;0,AH82&amp;Sprache!$E$108&amp;AI82,"")</f>
        <v>50 : 37</v>
      </c>
      <c r="AC82" s="35" t="str">
        <f ca="1">IF(AA82&gt;0,AJ82&amp;Sprache!$E$108&amp;AK82,"")</f>
        <v>2 : 0</v>
      </c>
      <c r="AD82" s="40">
        <f ca="1">IF(AND($AA82=1,Vorrunde!$L30&lt;&gt;"",Vorrunde!$N30&lt;&gt;"",ABS(Vorrunde!$L30-Vorrunde!$N30)&gt;1),Vorrunde!$L30,"")</f>
        <v>25</v>
      </c>
      <c r="AE82" s="35">
        <f ca="1">IF(AND($AA82=1,Vorrunde!$L30&lt;&gt;"",Vorrunde!$N30&lt;&gt;"",ABS(Vorrunde!$L30-Vorrunde!$N30)&gt;1),Vorrunde!$N30,"")</f>
        <v>21</v>
      </c>
      <c r="AF82" s="40" t="str">
        <f ca="1">IF(AND($AA82=1,Vorrunde!$O30&lt;&gt;"",Vorrunde!$Q30&lt;&gt;"",ABS(Vorrunde!$O30-Vorrunde!$Q30)&gt;1),Vorrunde!$O30,"")</f>
        <v/>
      </c>
      <c r="AG82" s="35" t="str">
        <f ca="1">IF(AND($AA82=1,Vorrunde!$O30&lt;&gt;"",Vorrunde!$Q30&lt;&gt;"",ABS(Vorrunde!$O30-Vorrunde!$Q30)&gt;1),Vorrunde!$Q30,"")</f>
        <v/>
      </c>
      <c r="AH82" s="40">
        <f t="shared" ca="1" si="64"/>
        <v>50</v>
      </c>
      <c r="AI82" s="35">
        <f t="shared" ca="1" si="65"/>
        <v>37</v>
      </c>
      <c r="AJ82" s="40">
        <f ca="1">IF(Vorrunde!$R30="",0,Vorrunde!$R30)</f>
        <v>2</v>
      </c>
      <c r="AK82" s="35">
        <f ca="1">IF(Vorrunde!$T30="",0,Vorrunde!$T30)</f>
        <v>0</v>
      </c>
      <c r="AL82" s="13">
        <f ca="1">IF($AA82=0,"",IF($AJ82&gt;$AK82,Einstellungen!$C$4,IF($AJ82=$AK82,1,0)))</f>
        <v>2</v>
      </c>
      <c r="AM82" s="35">
        <f ca="1">IF($AA82=0,"",IF($AJ82&lt;$AK82,Einstellungen!$C$4,IF($AJ82=$AK82,1,0)))</f>
        <v>0</v>
      </c>
    </row>
    <row r="83" spans="2:39" s="2" customFormat="1" x14ac:dyDescent="0.2">
      <c r="B83" s="4"/>
      <c r="C83" s="4"/>
      <c r="D83" s="4"/>
      <c r="E83" s="4"/>
      <c r="F83" s="13"/>
      <c r="G83" s="13"/>
      <c r="H83" s="13"/>
      <c r="I83" s="13"/>
      <c r="J83" s="13"/>
      <c r="K83" s="13"/>
      <c r="L83" s="13"/>
      <c r="M83" s="13"/>
      <c r="U83" s="65" t="s">
        <v>35</v>
      </c>
      <c r="V83" s="40" t="str">
        <f ca="1">Planung!$L25</f>
        <v>Mainz 05</v>
      </c>
      <c r="W83" s="13" t="str">
        <f ca="1">Planung!$N25</f>
        <v>Inter Mailand</v>
      </c>
      <c r="X83" s="13">
        <f ca="1">IF(AND($AA83=1,Vorrunde!$I31&lt;&gt;"",Vorrunde!$K31&lt;&gt;"",ABS(Vorrunde!$I31-Vorrunde!$K31)&gt;1),Vorrunde!$I31,"")</f>
        <v>25</v>
      </c>
      <c r="Y83" s="35">
        <f ca="1">IF(AND($AA83=1,Vorrunde!$I31&lt;&gt;"",Vorrunde!$K31&lt;&gt;"",ABS(Vorrunde!$I31-Vorrunde!$K31)&gt;1),Vorrunde!$K31,"")</f>
        <v>2</v>
      </c>
      <c r="Z83" s="34" t="str">
        <f t="shared" ca="1" si="63"/>
        <v>Mainz 05Inter Mailand</v>
      </c>
      <c r="AA83" s="13">
        <f ca="1">IF(AND(V83&lt;&gt;"",W83&lt;&gt;"",V83&lt;&gt;W83,Vorrunde!$R31&lt;&gt;"",Vorrunde!$T31&lt;&gt;""),1,0)</f>
        <v>1</v>
      </c>
      <c r="AB83" s="13" t="str">
        <f ca="1">IF(AA83&gt;0,AH83&amp;Sprache!$E$108&amp;AI83,"")</f>
        <v>50 : 24</v>
      </c>
      <c r="AC83" s="35" t="str">
        <f ca="1">IF(AA83&gt;0,AJ83&amp;Sprache!$E$108&amp;AK83,"")</f>
        <v>2 : 0</v>
      </c>
      <c r="AD83" s="40">
        <f ca="1">IF(AND($AA83=1,Vorrunde!$L31&lt;&gt;"",Vorrunde!$N31&lt;&gt;"",ABS(Vorrunde!$L31-Vorrunde!$N31)&gt;1),Vorrunde!$L31,"")</f>
        <v>25</v>
      </c>
      <c r="AE83" s="35">
        <f ca="1">IF(AND($AA83=1,Vorrunde!$L31&lt;&gt;"",Vorrunde!$N31&lt;&gt;"",ABS(Vorrunde!$L31-Vorrunde!$N31)&gt;1),Vorrunde!$N31,"")</f>
        <v>22</v>
      </c>
      <c r="AF83" s="40" t="str">
        <f ca="1">IF(AND($AA83=1,Vorrunde!$O31&lt;&gt;"",Vorrunde!$Q31&lt;&gt;"",ABS(Vorrunde!$O31-Vorrunde!$Q31)&gt;1),Vorrunde!$O31,"")</f>
        <v/>
      </c>
      <c r="AG83" s="35" t="str">
        <f ca="1">IF(AND($AA83=1,Vorrunde!$O31&lt;&gt;"",Vorrunde!$Q31&lt;&gt;"",ABS(Vorrunde!$O31-Vorrunde!$Q31)&gt;1),Vorrunde!$Q31,"")</f>
        <v/>
      </c>
      <c r="AH83" s="40">
        <f t="shared" ca="1" si="64"/>
        <v>50</v>
      </c>
      <c r="AI83" s="35">
        <f t="shared" ca="1" si="65"/>
        <v>24</v>
      </c>
      <c r="AJ83" s="40">
        <f ca="1">IF(Vorrunde!$R31="",0,Vorrunde!$R31)</f>
        <v>2</v>
      </c>
      <c r="AK83" s="35">
        <f ca="1">IF(Vorrunde!$T31="",0,Vorrunde!$T31)</f>
        <v>0</v>
      </c>
      <c r="AL83" s="13">
        <f ca="1">IF($AA83=0,"",IF($AJ83&gt;$AK83,Einstellungen!$C$4,IF($AJ83=$AK83,1,0)))</f>
        <v>2</v>
      </c>
      <c r="AM83" s="35">
        <f ca="1">IF($AA83=0,"",IF($AJ83&lt;$AK83,Einstellungen!$C$4,IF($AJ83=$AK83,1,0)))</f>
        <v>0</v>
      </c>
    </row>
    <row r="84" spans="2:39" s="2" customFormat="1" x14ac:dyDescent="0.2">
      <c r="B84" s="4"/>
      <c r="C84" s="4"/>
      <c r="D84" s="4"/>
      <c r="E84" s="4"/>
      <c r="F84" s="13"/>
      <c r="G84" s="13"/>
      <c r="H84" s="13"/>
      <c r="I84" s="13"/>
      <c r="J84" s="13"/>
      <c r="K84" s="13"/>
      <c r="L84" s="13"/>
      <c r="M84" s="13"/>
      <c r="U84" s="65" t="s">
        <v>36</v>
      </c>
      <c r="V84" s="40" t="str">
        <f ca="1">Planung!$L26</f>
        <v/>
      </c>
      <c r="W84" s="13" t="str">
        <f ca="1">Planung!$N26</f>
        <v/>
      </c>
      <c r="X84" s="13" t="str">
        <f ca="1">IF(AND($AA84=1,Vorrunde!$I32&lt;&gt;"",Vorrunde!$K32&lt;&gt;"",ABS(Vorrunde!$I32-Vorrunde!$K32)&gt;1),Vorrunde!$I32,"")</f>
        <v/>
      </c>
      <c r="Y84" s="35" t="str">
        <f ca="1">IF(AND($AA84=1,Vorrunde!$I32&lt;&gt;"",Vorrunde!$K32&lt;&gt;"",ABS(Vorrunde!$I32-Vorrunde!$K32)&gt;1),Vorrunde!$K32,"")</f>
        <v/>
      </c>
      <c r="Z84" s="34" t="str">
        <f t="shared" ca="1" si="63"/>
        <v/>
      </c>
      <c r="AA84" s="13">
        <f ca="1">IF(AND(V84&lt;&gt;"",W84&lt;&gt;"",V84&lt;&gt;W84,Vorrunde!$R32&lt;&gt;"",Vorrunde!$T32&lt;&gt;""),1,0)</f>
        <v>0</v>
      </c>
      <c r="AB84" s="13" t="str">
        <f ca="1">IF(AA84&gt;0,AH84&amp;Sprache!$E$108&amp;AI84,"")</f>
        <v/>
      </c>
      <c r="AC84" s="35" t="str">
        <f ca="1">IF(AA84&gt;0,AJ84&amp;Sprache!$E$108&amp;AK84,"")</f>
        <v/>
      </c>
      <c r="AD84" s="40" t="str">
        <f ca="1">IF(AND($AA84=1,Vorrunde!$L32&lt;&gt;"",Vorrunde!$N32&lt;&gt;"",ABS(Vorrunde!$L32-Vorrunde!$N32)&gt;1),Vorrunde!$L32,"")</f>
        <v/>
      </c>
      <c r="AE84" s="35" t="str">
        <f ca="1">IF(AND($AA84=1,Vorrunde!$L32&lt;&gt;"",Vorrunde!$N32&lt;&gt;"",ABS(Vorrunde!$L32-Vorrunde!$N32)&gt;1),Vorrunde!$N32,"")</f>
        <v/>
      </c>
      <c r="AF84" s="40" t="str">
        <f ca="1">IF(AND($AA84=1,Vorrunde!$O32&lt;&gt;"",Vorrunde!$Q32&lt;&gt;"",ABS(Vorrunde!$O32-Vorrunde!$Q32)&gt;1),Vorrunde!$O32,"")</f>
        <v/>
      </c>
      <c r="AG84" s="35" t="str">
        <f ca="1">IF(AND($AA84=1,Vorrunde!$O32&lt;&gt;"",Vorrunde!$Q32&lt;&gt;"",ABS(Vorrunde!$O32-Vorrunde!$Q32)&gt;1),Vorrunde!$Q32,"")</f>
        <v/>
      </c>
      <c r="AH84" s="40" t="str">
        <f t="shared" ca="1" si="64"/>
        <v/>
      </c>
      <c r="AI84" s="35" t="str">
        <f t="shared" ca="1" si="65"/>
        <v/>
      </c>
      <c r="AJ84" s="40">
        <f ca="1">IF(Vorrunde!$R32="",0,Vorrunde!$R32)</f>
        <v>0</v>
      </c>
      <c r="AK84" s="35">
        <f ca="1">IF(Vorrunde!$T32="",0,Vorrunde!$T32)</f>
        <v>0</v>
      </c>
      <c r="AL84" s="13" t="str">
        <f ca="1">IF($AA84=0,"",IF($AJ84&gt;$AK84,Einstellungen!$C$4,IF($AJ84=$AK84,1,0)))</f>
        <v/>
      </c>
      <c r="AM84" s="35" t="str">
        <f ca="1">IF($AA84=0,"",IF($AJ84&lt;$AK84,Einstellungen!$C$4,IF($AJ84=$AK84,1,0)))</f>
        <v/>
      </c>
    </row>
    <row r="85" spans="2:39" s="2" customFormat="1" x14ac:dyDescent="0.2">
      <c r="B85" s="4"/>
      <c r="C85" s="4"/>
      <c r="D85" s="4"/>
      <c r="E85" s="4"/>
      <c r="F85" s="13"/>
      <c r="G85" s="13"/>
      <c r="H85" s="13"/>
      <c r="I85" s="13"/>
      <c r="J85" s="13"/>
      <c r="K85" s="13"/>
      <c r="L85" s="13"/>
      <c r="M85" s="13"/>
      <c r="U85" s="65" t="s">
        <v>37</v>
      </c>
      <c r="V85" s="40" t="str">
        <f ca="1">Planung!$L27</f>
        <v/>
      </c>
      <c r="W85" s="13" t="str">
        <f ca="1">Planung!$N27</f>
        <v/>
      </c>
      <c r="X85" s="13" t="str">
        <f ca="1">IF(AND($AA85=1,Vorrunde!$I33&lt;&gt;"",Vorrunde!$K33&lt;&gt;"",ABS(Vorrunde!$I33-Vorrunde!$K33)&gt;1),Vorrunde!$I33,"")</f>
        <v/>
      </c>
      <c r="Y85" s="35" t="str">
        <f ca="1">IF(AND($AA85=1,Vorrunde!$I33&lt;&gt;"",Vorrunde!$K33&lt;&gt;"",ABS(Vorrunde!$I33-Vorrunde!$K33)&gt;1),Vorrunde!$K33,"")</f>
        <v/>
      </c>
      <c r="Z85" s="34" t="str">
        <f t="shared" ca="1" si="63"/>
        <v/>
      </c>
      <c r="AA85" s="13">
        <f ca="1">IF(AND(V85&lt;&gt;"",W85&lt;&gt;"",V85&lt;&gt;W85,Vorrunde!$R33&lt;&gt;"",Vorrunde!$T33&lt;&gt;""),1,0)</f>
        <v>0</v>
      </c>
      <c r="AB85" s="13" t="str">
        <f ca="1">IF(AA85&gt;0,AH85&amp;Sprache!$E$108&amp;AI85,"")</f>
        <v/>
      </c>
      <c r="AC85" s="35" t="str">
        <f ca="1">IF(AA85&gt;0,AJ85&amp;Sprache!$E$108&amp;AK85,"")</f>
        <v/>
      </c>
      <c r="AD85" s="40" t="str">
        <f ca="1">IF(AND($AA85=1,Vorrunde!$L33&lt;&gt;"",Vorrunde!$N33&lt;&gt;"",ABS(Vorrunde!$L33-Vorrunde!$N33)&gt;1),Vorrunde!$L33,"")</f>
        <v/>
      </c>
      <c r="AE85" s="35" t="str">
        <f ca="1">IF(AND($AA85=1,Vorrunde!$L33&lt;&gt;"",Vorrunde!$N33&lt;&gt;"",ABS(Vorrunde!$L33-Vorrunde!$N33)&gt;1),Vorrunde!$N33,"")</f>
        <v/>
      </c>
      <c r="AF85" s="40" t="str">
        <f ca="1">IF(AND($AA85=1,Vorrunde!$O33&lt;&gt;"",Vorrunde!$Q33&lt;&gt;"",ABS(Vorrunde!$O33-Vorrunde!$Q33)&gt;1),Vorrunde!$O33,"")</f>
        <v/>
      </c>
      <c r="AG85" s="35" t="str">
        <f ca="1">IF(AND($AA85=1,Vorrunde!$O33&lt;&gt;"",Vorrunde!$Q33&lt;&gt;"",ABS(Vorrunde!$O33-Vorrunde!$Q33)&gt;1),Vorrunde!$Q33,"")</f>
        <v/>
      </c>
      <c r="AH85" s="40" t="str">
        <f t="shared" ca="1" si="64"/>
        <v/>
      </c>
      <c r="AI85" s="35" t="str">
        <f t="shared" ca="1" si="65"/>
        <v/>
      </c>
      <c r="AJ85" s="40">
        <f ca="1">IF(Vorrunde!$R33="",0,Vorrunde!$R33)</f>
        <v>0</v>
      </c>
      <c r="AK85" s="35">
        <f ca="1">IF(Vorrunde!$T33="",0,Vorrunde!$T33)</f>
        <v>0</v>
      </c>
      <c r="AL85" s="13" t="str">
        <f ca="1">IF($AA85=0,"",IF($AJ85&gt;$AK85,Einstellungen!$C$4,IF($AJ85=$AK85,1,0)))</f>
        <v/>
      </c>
      <c r="AM85" s="35" t="str">
        <f ca="1">IF($AA85=0,"",IF($AJ85&lt;$AK85,Einstellungen!$C$4,IF($AJ85=$AK85,1,0)))</f>
        <v/>
      </c>
    </row>
    <row r="86" spans="2:39" s="2" customFormat="1" x14ac:dyDescent="0.2">
      <c r="B86" s="4"/>
      <c r="C86" s="4"/>
      <c r="D86" s="4"/>
      <c r="E86" s="4"/>
      <c r="F86" s="13"/>
      <c r="G86" s="13"/>
      <c r="H86" s="13"/>
      <c r="I86" s="13"/>
      <c r="J86" s="13"/>
      <c r="K86" s="13"/>
      <c r="L86" s="13"/>
      <c r="M86" s="13"/>
      <c r="U86" s="65" t="s">
        <v>38</v>
      </c>
      <c r="V86" s="40" t="str">
        <f ca="1">Planung!$L28</f>
        <v/>
      </c>
      <c r="W86" s="13" t="str">
        <f ca="1">Planung!$N28</f>
        <v/>
      </c>
      <c r="X86" s="13" t="str">
        <f ca="1">IF(AND($AA86=1,Vorrunde!$I34&lt;&gt;"",Vorrunde!$K34&lt;&gt;"",ABS(Vorrunde!$I34-Vorrunde!$K34)&gt;1),Vorrunde!$I34,"")</f>
        <v/>
      </c>
      <c r="Y86" s="35" t="str">
        <f ca="1">IF(AND($AA86=1,Vorrunde!$I34&lt;&gt;"",Vorrunde!$K34&lt;&gt;"",ABS(Vorrunde!$I34-Vorrunde!$K34)&gt;1),Vorrunde!$K34,"")</f>
        <v/>
      </c>
      <c r="Z86" s="34" t="str">
        <f t="shared" ca="1" si="63"/>
        <v/>
      </c>
      <c r="AA86" s="13">
        <f ca="1">IF(AND(V86&lt;&gt;"",W86&lt;&gt;"",V86&lt;&gt;W86,Vorrunde!$R34&lt;&gt;"",Vorrunde!$T34&lt;&gt;""),1,0)</f>
        <v>0</v>
      </c>
      <c r="AB86" s="13" t="str">
        <f ca="1">IF(AA86&gt;0,AH86&amp;Sprache!$E$108&amp;AI86,"")</f>
        <v/>
      </c>
      <c r="AC86" s="35" t="str">
        <f ca="1">IF(AA86&gt;0,AJ86&amp;Sprache!$E$108&amp;AK86,"")</f>
        <v/>
      </c>
      <c r="AD86" s="40" t="str">
        <f ca="1">IF(AND($AA86=1,Vorrunde!$L34&lt;&gt;"",Vorrunde!$N34&lt;&gt;"",ABS(Vorrunde!$L34-Vorrunde!$N34)&gt;1),Vorrunde!$L34,"")</f>
        <v/>
      </c>
      <c r="AE86" s="35" t="str">
        <f ca="1">IF(AND($AA86=1,Vorrunde!$L34&lt;&gt;"",Vorrunde!$N34&lt;&gt;"",ABS(Vorrunde!$L34-Vorrunde!$N34)&gt;1),Vorrunde!$N34,"")</f>
        <v/>
      </c>
      <c r="AF86" s="40" t="str">
        <f ca="1">IF(AND($AA86=1,Vorrunde!$O34&lt;&gt;"",Vorrunde!$Q34&lt;&gt;"",ABS(Vorrunde!$O34-Vorrunde!$Q34)&gt;1),Vorrunde!$O34,"")</f>
        <v/>
      </c>
      <c r="AG86" s="35" t="str">
        <f ca="1">IF(AND($AA86=1,Vorrunde!$O34&lt;&gt;"",Vorrunde!$Q34&lt;&gt;"",ABS(Vorrunde!$O34-Vorrunde!$Q34)&gt;1),Vorrunde!$Q34,"")</f>
        <v/>
      </c>
      <c r="AH86" s="40" t="str">
        <f t="shared" ca="1" si="64"/>
        <v/>
      </c>
      <c r="AI86" s="35" t="str">
        <f t="shared" ca="1" si="65"/>
        <v/>
      </c>
      <c r="AJ86" s="40">
        <f ca="1">IF(Vorrunde!$R34="",0,Vorrunde!$R34)</f>
        <v>0</v>
      </c>
      <c r="AK86" s="35">
        <f ca="1">IF(Vorrunde!$T34="",0,Vorrunde!$T34)</f>
        <v>0</v>
      </c>
      <c r="AL86" s="13" t="str">
        <f ca="1">IF($AA86=0,"",IF($AJ86&gt;$AK86,Einstellungen!$C$4,IF($AJ86=$AK86,1,0)))</f>
        <v/>
      </c>
      <c r="AM86" s="35" t="str">
        <f ca="1">IF($AA86=0,"",IF($AJ86&lt;$AK86,Einstellungen!$C$4,IF($AJ86=$AK86,1,0)))</f>
        <v/>
      </c>
    </row>
    <row r="87" spans="2:39" s="2" customFormat="1" x14ac:dyDescent="0.2">
      <c r="B87" s="4"/>
      <c r="C87" s="4"/>
      <c r="D87" s="4"/>
      <c r="E87" s="4"/>
      <c r="F87" s="13"/>
      <c r="G87" s="13"/>
      <c r="H87" s="13"/>
      <c r="I87" s="13"/>
      <c r="J87" s="13"/>
      <c r="K87" s="13"/>
      <c r="L87" s="13"/>
      <c r="M87" s="13"/>
      <c r="U87" s="65" t="s">
        <v>39</v>
      </c>
      <c r="V87" s="40" t="str">
        <f ca="1">Planung!$L29</f>
        <v/>
      </c>
      <c r="W87" s="13" t="str">
        <f ca="1">Planung!$N29</f>
        <v/>
      </c>
      <c r="X87" s="13" t="str">
        <f ca="1">IF(AND($AA87=1,Vorrunde!$I35&lt;&gt;"",Vorrunde!$K35&lt;&gt;"",ABS(Vorrunde!$I35-Vorrunde!$K35)&gt;1),Vorrunde!$I35,"")</f>
        <v/>
      </c>
      <c r="Y87" s="35" t="str">
        <f ca="1">IF(AND($AA87=1,Vorrunde!$I35&lt;&gt;"",Vorrunde!$K35&lt;&gt;"",ABS(Vorrunde!$I35-Vorrunde!$K35)&gt;1),Vorrunde!$K35,"")</f>
        <v/>
      </c>
      <c r="Z87" s="34" t="str">
        <f t="shared" ca="1" si="63"/>
        <v/>
      </c>
      <c r="AA87" s="13">
        <f ca="1">IF(AND(V87&lt;&gt;"",W87&lt;&gt;"",V87&lt;&gt;W87,Vorrunde!$R35&lt;&gt;"",Vorrunde!$T35&lt;&gt;""),1,0)</f>
        <v>0</v>
      </c>
      <c r="AB87" s="13" t="str">
        <f ca="1">IF(AA87&gt;0,AH87&amp;Sprache!$E$108&amp;AI87,"")</f>
        <v/>
      </c>
      <c r="AC87" s="35" t="str">
        <f ca="1">IF(AA87&gt;0,AJ87&amp;Sprache!$E$108&amp;AK87,"")</f>
        <v/>
      </c>
      <c r="AD87" s="40" t="str">
        <f ca="1">IF(AND($AA87=1,Vorrunde!$L35&lt;&gt;"",Vorrunde!$N35&lt;&gt;"",ABS(Vorrunde!$L35-Vorrunde!$N35)&gt;1),Vorrunde!$L35,"")</f>
        <v/>
      </c>
      <c r="AE87" s="35" t="str">
        <f ca="1">IF(AND($AA87=1,Vorrunde!$L35&lt;&gt;"",Vorrunde!$N35&lt;&gt;"",ABS(Vorrunde!$L35-Vorrunde!$N35)&gt;1),Vorrunde!$N35,"")</f>
        <v/>
      </c>
      <c r="AF87" s="40" t="str">
        <f ca="1">IF(AND($AA87=1,Vorrunde!$O35&lt;&gt;"",Vorrunde!$Q35&lt;&gt;"",ABS(Vorrunde!$O35-Vorrunde!$Q35)&gt;1),Vorrunde!$O35,"")</f>
        <v/>
      </c>
      <c r="AG87" s="35" t="str">
        <f ca="1">IF(AND($AA87=1,Vorrunde!$O35&lt;&gt;"",Vorrunde!$Q35&lt;&gt;"",ABS(Vorrunde!$O35-Vorrunde!$Q35)&gt;1),Vorrunde!$Q35,"")</f>
        <v/>
      </c>
      <c r="AH87" s="40" t="str">
        <f t="shared" ca="1" si="64"/>
        <v/>
      </c>
      <c r="AI87" s="35" t="str">
        <f t="shared" ca="1" si="65"/>
        <v/>
      </c>
      <c r="AJ87" s="40">
        <f ca="1">IF(Vorrunde!$R35="",0,Vorrunde!$R35)</f>
        <v>0</v>
      </c>
      <c r="AK87" s="35">
        <f ca="1">IF(Vorrunde!$T35="",0,Vorrunde!$T35)</f>
        <v>0</v>
      </c>
      <c r="AL87" s="13" t="str">
        <f ca="1">IF($AA87=0,"",IF($AJ87&gt;$AK87,Einstellungen!$C$4,IF($AJ87=$AK87,1,0)))</f>
        <v/>
      </c>
      <c r="AM87" s="35" t="str">
        <f ca="1">IF($AA87=0,"",IF($AJ87&lt;$AK87,Einstellungen!$C$4,IF($AJ87=$AK87,1,0)))</f>
        <v/>
      </c>
    </row>
    <row r="88" spans="2:39" s="2" customFormat="1" x14ac:dyDescent="0.2">
      <c r="B88" s="4"/>
      <c r="C88" s="4"/>
      <c r="D88" s="4"/>
      <c r="E88" s="4"/>
      <c r="F88" s="13"/>
      <c r="G88" s="13"/>
      <c r="H88" s="13"/>
      <c r="I88" s="13"/>
      <c r="J88" s="13"/>
      <c r="K88" s="13"/>
      <c r="L88" s="13"/>
      <c r="M88" s="13"/>
      <c r="U88" s="65" t="s">
        <v>40</v>
      </c>
      <c r="V88" s="40" t="str">
        <f ca="1">Planung!$L30</f>
        <v/>
      </c>
      <c r="W88" s="13" t="str">
        <f ca="1">Planung!$N30</f>
        <v/>
      </c>
      <c r="X88" s="13" t="str">
        <f ca="1">IF(AND($AA88=1,Vorrunde!$I36&lt;&gt;"",Vorrunde!$K36&lt;&gt;"",ABS(Vorrunde!$I36-Vorrunde!$K36)&gt;1),Vorrunde!$I36,"")</f>
        <v/>
      </c>
      <c r="Y88" s="35" t="str">
        <f ca="1">IF(AND($AA88=1,Vorrunde!$I36&lt;&gt;"",Vorrunde!$K36&lt;&gt;"",ABS(Vorrunde!$I36-Vorrunde!$K36)&gt;1),Vorrunde!$K36,"")</f>
        <v/>
      </c>
      <c r="Z88" s="34" t="str">
        <f t="shared" ca="1" si="63"/>
        <v/>
      </c>
      <c r="AA88" s="13">
        <f ca="1">IF(AND(V88&lt;&gt;"",W88&lt;&gt;"",V88&lt;&gt;W88,Vorrunde!$R36&lt;&gt;"",Vorrunde!$T36&lt;&gt;""),1,0)</f>
        <v>0</v>
      </c>
      <c r="AB88" s="13" t="str">
        <f ca="1">IF(AA88&gt;0,AH88&amp;Sprache!$E$108&amp;AI88,"")</f>
        <v/>
      </c>
      <c r="AC88" s="35" t="str">
        <f ca="1">IF(AA88&gt;0,AJ88&amp;Sprache!$E$108&amp;AK88,"")</f>
        <v/>
      </c>
      <c r="AD88" s="40" t="str">
        <f ca="1">IF(AND($AA88=1,Vorrunde!$L36&lt;&gt;"",Vorrunde!$N36&lt;&gt;"",ABS(Vorrunde!$L36-Vorrunde!$N36)&gt;1),Vorrunde!$L36,"")</f>
        <v/>
      </c>
      <c r="AE88" s="35" t="str">
        <f ca="1">IF(AND($AA88=1,Vorrunde!$L36&lt;&gt;"",Vorrunde!$N36&lt;&gt;"",ABS(Vorrunde!$L36-Vorrunde!$N36)&gt;1),Vorrunde!$N36,"")</f>
        <v/>
      </c>
      <c r="AF88" s="40" t="str">
        <f ca="1">IF(AND($AA88=1,Vorrunde!$O36&lt;&gt;"",Vorrunde!$Q36&lt;&gt;"",ABS(Vorrunde!$O36-Vorrunde!$Q36)&gt;1),Vorrunde!$O36,"")</f>
        <v/>
      </c>
      <c r="AG88" s="35" t="str">
        <f ca="1">IF(AND($AA88=1,Vorrunde!$O36&lt;&gt;"",Vorrunde!$Q36&lt;&gt;"",ABS(Vorrunde!$O36-Vorrunde!$Q36)&gt;1),Vorrunde!$Q36,"")</f>
        <v/>
      </c>
      <c r="AH88" s="40" t="str">
        <f t="shared" ca="1" si="64"/>
        <v/>
      </c>
      <c r="AI88" s="35" t="str">
        <f t="shared" ca="1" si="65"/>
        <v/>
      </c>
      <c r="AJ88" s="40">
        <f ca="1">IF(Vorrunde!$R36="",0,Vorrunde!$R36)</f>
        <v>0</v>
      </c>
      <c r="AK88" s="35">
        <f ca="1">IF(Vorrunde!$T36="",0,Vorrunde!$T36)</f>
        <v>0</v>
      </c>
      <c r="AL88" s="13" t="str">
        <f ca="1">IF($AA88=0,"",IF($AJ88&gt;$AK88,Einstellungen!$C$4,IF($AJ88=$AK88,1,0)))</f>
        <v/>
      </c>
      <c r="AM88" s="35" t="str">
        <f ca="1">IF($AA88=0,"",IF($AJ88&lt;$AK88,Einstellungen!$C$4,IF($AJ88=$AK88,1,0)))</f>
        <v/>
      </c>
    </row>
    <row r="89" spans="2:39" s="2" customFormat="1" x14ac:dyDescent="0.2">
      <c r="B89" s="4"/>
      <c r="C89" s="4"/>
      <c r="D89" s="4"/>
      <c r="E89" s="4"/>
      <c r="F89" s="13"/>
      <c r="G89" s="13"/>
      <c r="H89" s="13"/>
      <c r="I89" s="13"/>
      <c r="J89" s="13"/>
      <c r="K89" s="13"/>
      <c r="L89" s="13"/>
      <c r="M89" s="13"/>
      <c r="U89" s="65" t="s">
        <v>41</v>
      </c>
      <c r="V89" s="40" t="str">
        <f ca="1">Planung!$L31</f>
        <v/>
      </c>
      <c r="W89" s="13" t="str">
        <f ca="1">Planung!$N31</f>
        <v/>
      </c>
      <c r="X89" s="13" t="str">
        <f ca="1">IF(AND($AA89=1,Vorrunde!$I37&lt;&gt;"",Vorrunde!$K37&lt;&gt;"",ABS(Vorrunde!$I37-Vorrunde!$K37)&gt;1),Vorrunde!$I37,"")</f>
        <v/>
      </c>
      <c r="Y89" s="35" t="str">
        <f ca="1">IF(AND($AA89=1,Vorrunde!$I37&lt;&gt;"",Vorrunde!$K37&lt;&gt;"",ABS(Vorrunde!$I37-Vorrunde!$K37)&gt;1),Vorrunde!$K37,"")</f>
        <v/>
      </c>
      <c r="Z89" s="34" t="str">
        <f t="shared" ca="1" si="63"/>
        <v/>
      </c>
      <c r="AA89" s="13">
        <f ca="1">IF(AND(V89&lt;&gt;"",W89&lt;&gt;"",V89&lt;&gt;W89,Vorrunde!$R37&lt;&gt;"",Vorrunde!$T37&lt;&gt;""),1,0)</f>
        <v>0</v>
      </c>
      <c r="AB89" s="13" t="str">
        <f ca="1">IF(AA89&gt;0,AH89&amp;Sprache!$E$108&amp;AI89,"")</f>
        <v/>
      </c>
      <c r="AC89" s="35" t="str">
        <f ca="1">IF(AA89&gt;0,AJ89&amp;Sprache!$E$108&amp;AK89,"")</f>
        <v/>
      </c>
      <c r="AD89" s="40" t="str">
        <f ca="1">IF(AND($AA89=1,Vorrunde!$L37&lt;&gt;"",Vorrunde!$N37&lt;&gt;"",ABS(Vorrunde!$L37-Vorrunde!$N37)&gt;1),Vorrunde!$L37,"")</f>
        <v/>
      </c>
      <c r="AE89" s="35" t="str">
        <f ca="1">IF(AND($AA89=1,Vorrunde!$L37&lt;&gt;"",Vorrunde!$N37&lt;&gt;"",ABS(Vorrunde!$L37-Vorrunde!$N37)&gt;1),Vorrunde!$N37,"")</f>
        <v/>
      </c>
      <c r="AF89" s="40" t="str">
        <f ca="1">IF(AND($AA89=1,Vorrunde!$O37&lt;&gt;"",Vorrunde!$Q37&lt;&gt;"",ABS(Vorrunde!$O37-Vorrunde!$Q37)&gt;1),Vorrunde!$O37,"")</f>
        <v/>
      </c>
      <c r="AG89" s="35" t="str">
        <f ca="1">IF(AND($AA89=1,Vorrunde!$O37&lt;&gt;"",Vorrunde!$Q37&lt;&gt;"",ABS(Vorrunde!$O37-Vorrunde!$Q37)&gt;1),Vorrunde!$Q37,"")</f>
        <v/>
      </c>
      <c r="AH89" s="40" t="str">
        <f t="shared" ca="1" si="64"/>
        <v/>
      </c>
      <c r="AI89" s="35" t="str">
        <f t="shared" ca="1" si="65"/>
        <v/>
      </c>
      <c r="AJ89" s="40">
        <f ca="1">IF(Vorrunde!$R37="",0,Vorrunde!$R37)</f>
        <v>0</v>
      </c>
      <c r="AK89" s="35">
        <f ca="1">IF(Vorrunde!$T37="",0,Vorrunde!$T37)</f>
        <v>0</v>
      </c>
      <c r="AL89" s="13" t="str">
        <f ca="1">IF($AA89=0,"",IF($AJ89&gt;$AK89,Einstellungen!$C$4,IF($AJ89=$AK89,1,0)))</f>
        <v/>
      </c>
      <c r="AM89" s="35" t="str">
        <f ca="1">IF($AA89=0,"",IF($AJ89&lt;$AK89,Einstellungen!$C$4,IF($AJ89=$AK89,1,0)))</f>
        <v/>
      </c>
    </row>
    <row r="90" spans="2:39" s="2" customFormat="1" x14ac:dyDescent="0.2">
      <c r="B90" s="4"/>
      <c r="C90" s="4"/>
      <c r="D90" s="4"/>
      <c r="E90" s="4"/>
      <c r="F90" s="13"/>
      <c r="G90" s="13"/>
      <c r="H90" s="13"/>
      <c r="I90" s="13"/>
      <c r="J90" s="13"/>
      <c r="K90" s="13"/>
      <c r="L90" s="13"/>
      <c r="M90" s="13"/>
      <c r="U90" s="65" t="s">
        <v>42</v>
      </c>
      <c r="V90" s="40" t="str">
        <f ca="1">Planung!$L32</f>
        <v/>
      </c>
      <c r="W90" s="13" t="str">
        <f ca="1">Planung!$N32</f>
        <v/>
      </c>
      <c r="X90" s="13" t="str">
        <f ca="1">IF(AND($AA90=1,Vorrunde!$I38&lt;&gt;"",Vorrunde!$K38&lt;&gt;"",ABS(Vorrunde!$I38-Vorrunde!$K38)&gt;1),Vorrunde!$I38,"")</f>
        <v/>
      </c>
      <c r="Y90" s="35" t="str">
        <f ca="1">IF(AND($AA90=1,Vorrunde!$I38&lt;&gt;"",Vorrunde!$K38&lt;&gt;"",ABS(Vorrunde!$I38-Vorrunde!$K38)&gt;1),Vorrunde!$K38,"")</f>
        <v/>
      </c>
      <c r="Z90" s="34" t="str">
        <f t="shared" ca="1" si="63"/>
        <v/>
      </c>
      <c r="AA90" s="13">
        <f ca="1">IF(AND(V90&lt;&gt;"",W90&lt;&gt;"",V90&lt;&gt;W90,Vorrunde!$R38&lt;&gt;"",Vorrunde!$T38&lt;&gt;""),1,0)</f>
        <v>0</v>
      </c>
      <c r="AB90" s="13" t="str">
        <f ca="1">IF(AA90&gt;0,AH90&amp;Sprache!$E$108&amp;AI90,"")</f>
        <v/>
      </c>
      <c r="AC90" s="35" t="str">
        <f ca="1">IF(AA90&gt;0,AJ90&amp;Sprache!$E$108&amp;AK90,"")</f>
        <v/>
      </c>
      <c r="AD90" s="40" t="str">
        <f ca="1">IF(AND($AA90=1,Vorrunde!$L38&lt;&gt;"",Vorrunde!$N38&lt;&gt;"",ABS(Vorrunde!$L38-Vorrunde!$N38)&gt;1),Vorrunde!$L38,"")</f>
        <v/>
      </c>
      <c r="AE90" s="35" t="str">
        <f ca="1">IF(AND($AA90=1,Vorrunde!$L38&lt;&gt;"",Vorrunde!$N38&lt;&gt;"",ABS(Vorrunde!$L38-Vorrunde!$N38)&gt;1),Vorrunde!$N38,"")</f>
        <v/>
      </c>
      <c r="AF90" s="40" t="str">
        <f ca="1">IF(AND($AA90=1,Vorrunde!$O38&lt;&gt;"",Vorrunde!$Q38&lt;&gt;"",ABS(Vorrunde!$O38-Vorrunde!$Q38)&gt;1),Vorrunde!$O38,"")</f>
        <v/>
      </c>
      <c r="AG90" s="35" t="str">
        <f ca="1">IF(AND($AA90=1,Vorrunde!$O38&lt;&gt;"",Vorrunde!$Q38&lt;&gt;"",ABS(Vorrunde!$O38-Vorrunde!$Q38)&gt;1),Vorrunde!$Q38,"")</f>
        <v/>
      </c>
      <c r="AH90" s="40" t="str">
        <f t="shared" ca="1" si="64"/>
        <v/>
      </c>
      <c r="AI90" s="35" t="str">
        <f t="shared" ca="1" si="65"/>
        <v/>
      </c>
      <c r="AJ90" s="40">
        <f ca="1">IF(Vorrunde!$R38="",0,Vorrunde!$R38)</f>
        <v>0</v>
      </c>
      <c r="AK90" s="35">
        <f ca="1">IF(Vorrunde!$T38="",0,Vorrunde!$T38)</f>
        <v>0</v>
      </c>
      <c r="AL90" s="13" t="str">
        <f ca="1">IF($AA90=0,"",IF($AJ90&gt;$AK90,Einstellungen!$C$4,IF($AJ90=$AK90,1,0)))</f>
        <v/>
      </c>
      <c r="AM90" s="35" t="str">
        <f ca="1">IF($AA90=0,"",IF($AJ90&lt;$AK90,Einstellungen!$C$4,IF($AJ90=$AK90,1,0)))</f>
        <v/>
      </c>
    </row>
    <row r="91" spans="2:39" s="2" customFormat="1" x14ac:dyDescent="0.2">
      <c r="B91" s="4"/>
      <c r="C91" s="4"/>
      <c r="D91" s="4"/>
      <c r="E91" s="4"/>
      <c r="F91" s="13"/>
      <c r="G91" s="13"/>
      <c r="H91" s="13"/>
      <c r="I91" s="13"/>
      <c r="J91" s="13"/>
      <c r="K91" s="13"/>
      <c r="L91" s="13"/>
      <c r="M91" s="13"/>
      <c r="U91" s="65" t="s">
        <v>43</v>
      </c>
      <c r="V91" s="40" t="str">
        <f ca="1">Planung!$L33</f>
        <v/>
      </c>
      <c r="W91" s="13" t="str">
        <f ca="1">Planung!$N33</f>
        <v/>
      </c>
      <c r="X91" s="13" t="str">
        <f ca="1">IF(AND($AA91=1,Vorrunde!$I39&lt;&gt;"",Vorrunde!$K39&lt;&gt;"",ABS(Vorrunde!$I39-Vorrunde!$K39)&gt;1),Vorrunde!$I39,"")</f>
        <v/>
      </c>
      <c r="Y91" s="35" t="str">
        <f ca="1">IF(AND($AA91=1,Vorrunde!$I39&lt;&gt;"",Vorrunde!$K39&lt;&gt;"",ABS(Vorrunde!$I39-Vorrunde!$K39)&gt;1),Vorrunde!$K39,"")</f>
        <v/>
      </c>
      <c r="Z91" s="34" t="str">
        <f t="shared" ca="1" si="63"/>
        <v/>
      </c>
      <c r="AA91" s="13">
        <f ca="1">IF(AND(V91&lt;&gt;"",W91&lt;&gt;"",V91&lt;&gt;W91,Vorrunde!$R39&lt;&gt;"",Vorrunde!$T39&lt;&gt;""),1,0)</f>
        <v>0</v>
      </c>
      <c r="AB91" s="13" t="str">
        <f ca="1">IF(AA91&gt;0,AH91&amp;Sprache!$E$108&amp;AI91,"")</f>
        <v/>
      </c>
      <c r="AC91" s="35" t="str">
        <f ca="1">IF(AA91&gt;0,AJ91&amp;Sprache!$E$108&amp;AK91,"")</f>
        <v/>
      </c>
      <c r="AD91" s="40" t="str">
        <f ca="1">IF(AND($AA91=1,Vorrunde!$L39&lt;&gt;"",Vorrunde!$N39&lt;&gt;"",ABS(Vorrunde!$L39-Vorrunde!$N39)&gt;1),Vorrunde!$L39,"")</f>
        <v/>
      </c>
      <c r="AE91" s="35" t="str">
        <f ca="1">IF(AND($AA91=1,Vorrunde!$L39&lt;&gt;"",Vorrunde!$N39&lt;&gt;"",ABS(Vorrunde!$L39-Vorrunde!$N39)&gt;1),Vorrunde!$N39,"")</f>
        <v/>
      </c>
      <c r="AF91" s="40" t="str">
        <f ca="1">IF(AND($AA91=1,Vorrunde!$O39&lt;&gt;"",Vorrunde!$Q39&lt;&gt;"",ABS(Vorrunde!$O39-Vorrunde!$Q39)&gt;1),Vorrunde!$O39,"")</f>
        <v/>
      </c>
      <c r="AG91" s="35" t="str">
        <f ca="1">IF(AND($AA91=1,Vorrunde!$O39&lt;&gt;"",Vorrunde!$Q39&lt;&gt;"",ABS(Vorrunde!$O39-Vorrunde!$Q39)&gt;1),Vorrunde!$Q39,"")</f>
        <v/>
      </c>
      <c r="AH91" s="40" t="str">
        <f t="shared" ca="1" si="64"/>
        <v/>
      </c>
      <c r="AI91" s="35" t="str">
        <f t="shared" ca="1" si="65"/>
        <v/>
      </c>
      <c r="AJ91" s="40">
        <f ca="1">IF(Vorrunde!$R39="",0,Vorrunde!$R39)</f>
        <v>0</v>
      </c>
      <c r="AK91" s="35">
        <f ca="1">IF(Vorrunde!$T39="",0,Vorrunde!$T39)</f>
        <v>0</v>
      </c>
      <c r="AL91" s="13" t="str">
        <f ca="1">IF($AA91=0,"",IF($AJ91&gt;$AK91,Einstellungen!$C$4,IF($AJ91=$AK91,1,0)))</f>
        <v/>
      </c>
      <c r="AM91" s="35" t="str">
        <f ca="1">IF($AA91=0,"",IF($AJ91&lt;$AK91,Einstellungen!$C$4,IF($AJ91=$AK91,1,0)))</f>
        <v/>
      </c>
    </row>
    <row r="92" spans="2:39" s="2" customFormat="1" x14ac:dyDescent="0.2">
      <c r="B92" s="4"/>
      <c r="C92" s="4"/>
      <c r="D92" s="4"/>
      <c r="E92" s="4"/>
      <c r="F92" s="13"/>
      <c r="G92" s="13"/>
      <c r="H92" s="13"/>
      <c r="I92" s="13"/>
      <c r="J92" s="13"/>
      <c r="K92" s="13"/>
      <c r="L92" s="13"/>
      <c r="M92" s="13"/>
      <c r="U92" s="65" t="s">
        <v>44</v>
      </c>
      <c r="V92" s="40" t="str">
        <f ca="1">Planung!$L34</f>
        <v/>
      </c>
      <c r="W92" s="13" t="str">
        <f ca="1">Planung!$N34</f>
        <v/>
      </c>
      <c r="X92" s="13" t="str">
        <f ca="1">IF(AND($AA92=1,Vorrunde!$I40&lt;&gt;"",Vorrunde!$K40&lt;&gt;"",ABS(Vorrunde!$I40-Vorrunde!$K40)&gt;1),Vorrunde!$I40,"")</f>
        <v/>
      </c>
      <c r="Y92" s="35" t="str">
        <f ca="1">IF(AND($AA92=1,Vorrunde!$I40&lt;&gt;"",Vorrunde!$K40&lt;&gt;"",ABS(Vorrunde!$I40-Vorrunde!$K40)&gt;1),Vorrunde!$K40,"")</f>
        <v/>
      </c>
      <c r="Z92" s="34" t="str">
        <f t="shared" ca="1" si="63"/>
        <v/>
      </c>
      <c r="AA92" s="13">
        <f ca="1">IF(AND(V92&lt;&gt;"",W92&lt;&gt;"",V92&lt;&gt;W92,Vorrunde!$R40&lt;&gt;"",Vorrunde!$T40&lt;&gt;""),1,0)</f>
        <v>0</v>
      </c>
      <c r="AB92" s="13" t="str">
        <f ca="1">IF(AA92&gt;0,AH92&amp;Sprache!$E$108&amp;AI92,"")</f>
        <v/>
      </c>
      <c r="AC92" s="35" t="str">
        <f ca="1">IF(AA92&gt;0,AJ92&amp;Sprache!$E$108&amp;AK92,"")</f>
        <v/>
      </c>
      <c r="AD92" s="40" t="str">
        <f ca="1">IF(AND($AA92=1,Vorrunde!$L40&lt;&gt;"",Vorrunde!$N40&lt;&gt;"",ABS(Vorrunde!$L40-Vorrunde!$N40)&gt;1),Vorrunde!$L40,"")</f>
        <v/>
      </c>
      <c r="AE92" s="35" t="str">
        <f ca="1">IF(AND($AA92=1,Vorrunde!$L40&lt;&gt;"",Vorrunde!$N40&lt;&gt;"",ABS(Vorrunde!$L40-Vorrunde!$N40)&gt;1),Vorrunde!$N40,"")</f>
        <v/>
      </c>
      <c r="AF92" s="40" t="str">
        <f ca="1">IF(AND($AA92=1,Vorrunde!$O40&lt;&gt;"",Vorrunde!$Q40&lt;&gt;"",ABS(Vorrunde!$O40-Vorrunde!$Q40)&gt;1),Vorrunde!$O40,"")</f>
        <v/>
      </c>
      <c r="AG92" s="35" t="str">
        <f ca="1">IF(AND($AA92=1,Vorrunde!$O40&lt;&gt;"",Vorrunde!$Q40&lt;&gt;"",ABS(Vorrunde!$O40-Vorrunde!$Q40)&gt;1),Vorrunde!$Q40,"")</f>
        <v/>
      </c>
      <c r="AH92" s="40" t="str">
        <f t="shared" ca="1" si="64"/>
        <v/>
      </c>
      <c r="AI92" s="35" t="str">
        <f t="shared" ca="1" si="65"/>
        <v/>
      </c>
      <c r="AJ92" s="40">
        <f ca="1">IF(Vorrunde!$R40="",0,Vorrunde!$R40)</f>
        <v>0</v>
      </c>
      <c r="AK92" s="35">
        <f ca="1">IF(Vorrunde!$T40="",0,Vorrunde!$T40)</f>
        <v>0</v>
      </c>
      <c r="AL92" s="13" t="str">
        <f ca="1">IF($AA92=0,"",IF($AJ92&gt;$AK92,Einstellungen!$C$4,IF($AJ92=$AK92,1,0)))</f>
        <v/>
      </c>
      <c r="AM92" s="35" t="str">
        <f ca="1">IF($AA92=0,"",IF($AJ92&lt;$AK92,Einstellungen!$C$4,IF($AJ92=$AK92,1,0)))</f>
        <v/>
      </c>
    </row>
    <row r="93" spans="2:39" s="2" customFormat="1" x14ac:dyDescent="0.2">
      <c r="B93" s="4"/>
      <c r="C93" s="4"/>
      <c r="D93" s="4"/>
      <c r="E93" s="4"/>
      <c r="F93" s="13"/>
      <c r="G93" s="13"/>
      <c r="H93" s="13"/>
      <c r="I93" s="13"/>
      <c r="J93" s="13"/>
      <c r="K93" s="13"/>
      <c r="L93" s="13"/>
      <c r="M93" s="13"/>
      <c r="U93" s="65" t="s">
        <v>45</v>
      </c>
      <c r="V93" s="40" t="str">
        <f ca="1">Planung!$L35</f>
        <v/>
      </c>
      <c r="W93" s="13" t="str">
        <f ca="1">Planung!$N35</f>
        <v/>
      </c>
      <c r="X93" s="13" t="str">
        <f ca="1">IF(AND($AA93=1,Vorrunde!$I41&lt;&gt;"",Vorrunde!$K41&lt;&gt;"",ABS(Vorrunde!$I41-Vorrunde!$K41)&gt;1),Vorrunde!$I41,"")</f>
        <v/>
      </c>
      <c r="Y93" s="35" t="str">
        <f ca="1">IF(AND($AA93=1,Vorrunde!$I41&lt;&gt;"",Vorrunde!$K41&lt;&gt;"",ABS(Vorrunde!$I41-Vorrunde!$K41)&gt;1),Vorrunde!$K41,"")</f>
        <v/>
      </c>
      <c r="Z93" s="34" t="str">
        <f t="shared" ca="1" si="63"/>
        <v/>
      </c>
      <c r="AA93" s="13">
        <f ca="1">IF(AND(V93&lt;&gt;"",W93&lt;&gt;"",V93&lt;&gt;W93,Vorrunde!$R41&lt;&gt;"",Vorrunde!$T41&lt;&gt;""),1,0)</f>
        <v>0</v>
      </c>
      <c r="AB93" s="13" t="str">
        <f ca="1">IF(AA93&gt;0,AH93&amp;Sprache!$E$108&amp;AI93,"")</f>
        <v/>
      </c>
      <c r="AC93" s="35" t="str">
        <f ca="1">IF(AA93&gt;0,AJ93&amp;Sprache!$E$108&amp;AK93,"")</f>
        <v/>
      </c>
      <c r="AD93" s="40" t="str">
        <f ca="1">IF(AND($AA93=1,Vorrunde!$L41&lt;&gt;"",Vorrunde!$N41&lt;&gt;"",ABS(Vorrunde!$L41-Vorrunde!$N41)&gt;1),Vorrunde!$L41,"")</f>
        <v/>
      </c>
      <c r="AE93" s="35" t="str">
        <f ca="1">IF(AND($AA93=1,Vorrunde!$L41&lt;&gt;"",Vorrunde!$N41&lt;&gt;"",ABS(Vorrunde!$L41-Vorrunde!$N41)&gt;1),Vorrunde!$N41,"")</f>
        <v/>
      </c>
      <c r="AF93" s="40" t="str">
        <f ca="1">IF(AND($AA93=1,Vorrunde!$O41&lt;&gt;"",Vorrunde!$Q41&lt;&gt;"",ABS(Vorrunde!$O41-Vorrunde!$Q41)&gt;1),Vorrunde!$O41,"")</f>
        <v/>
      </c>
      <c r="AG93" s="35" t="str">
        <f ca="1">IF(AND($AA93=1,Vorrunde!$O41&lt;&gt;"",Vorrunde!$Q41&lt;&gt;"",ABS(Vorrunde!$O41-Vorrunde!$Q41)&gt;1),Vorrunde!$Q41,"")</f>
        <v/>
      </c>
      <c r="AH93" s="40" t="str">
        <f t="shared" ca="1" si="64"/>
        <v/>
      </c>
      <c r="AI93" s="35" t="str">
        <f t="shared" ca="1" si="65"/>
        <v/>
      </c>
      <c r="AJ93" s="40">
        <f ca="1">IF(Vorrunde!$R41="",0,Vorrunde!$R41)</f>
        <v>0</v>
      </c>
      <c r="AK93" s="35">
        <f ca="1">IF(Vorrunde!$T41="",0,Vorrunde!$T41)</f>
        <v>0</v>
      </c>
      <c r="AL93" s="13" t="str">
        <f ca="1">IF($AA93=0,"",IF($AJ93&gt;$AK93,Einstellungen!$C$4,IF($AJ93=$AK93,1,0)))</f>
        <v/>
      </c>
      <c r="AM93" s="35" t="str">
        <f ca="1">IF($AA93=0,"",IF($AJ93&lt;$AK93,Einstellungen!$C$4,IF($AJ93=$AK93,1,0)))</f>
        <v/>
      </c>
    </row>
    <row r="94" spans="2:39" s="2" customFormat="1" x14ac:dyDescent="0.2">
      <c r="B94" s="4"/>
      <c r="C94" s="4"/>
      <c r="D94" s="4"/>
      <c r="E94" s="4"/>
      <c r="F94" s="13"/>
      <c r="G94" s="13"/>
      <c r="H94" s="13"/>
      <c r="I94" s="13"/>
      <c r="J94" s="13"/>
      <c r="K94" s="13"/>
      <c r="L94" s="13"/>
      <c r="M94" s="13"/>
      <c r="U94" s="65" t="s">
        <v>46</v>
      </c>
      <c r="V94" s="40" t="str">
        <f ca="1">Planung!$L36</f>
        <v/>
      </c>
      <c r="W94" s="13" t="str">
        <f ca="1">Planung!$N36</f>
        <v/>
      </c>
      <c r="X94" s="13" t="str">
        <f ca="1">IF(AND($AA94=1,Vorrunde!$I42&lt;&gt;"",Vorrunde!$K42&lt;&gt;"",ABS(Vorrunde!$I42-Vorrunde!$K42)&gt;1),Vorrunde!$I42,"")</f>
        <v/>
      </c>
      <c r="Y94" s="35" t="str">
        <f ca="1">IF(AND($AA94=1,Vorrunde!$I42&lt;&gt;"",Vorrunde!$K42&lt;&gt;"",ABS(Vorrunde!$I42-Vorrunde!$K42)&gt;1),Vorrunde!$K42,"")</f>
        <v/>
      </c>
      <c r="Z94" s="34" t="str">
        <f t="shared" ca="1" si="63"/>
        <v/>
      </c>
      <c r="AA94" s="13">
        <f ca="1">IF(AND(V94&lt;&gt;"",W94&lt;&gt;"",V94&lt;&gt;W94,Vorrunde!$R42&lt;&gt;"",Vorrunde!$T42&lt;&gt;""),1,0)</f>
        <v>0</v>
      </c>
      <c r="AB94" s="13" t="str">
        <f ca="1">IF(AA94&gt;0,AH94&amp;Sprache!$E$108&amp;AI94,"")</f>
        <v/>
      </c>
      <c r="AC94" s="35" t="str">
        <f ca="1">IF(AA94&gt;0,AJ94&amp;Sprache!$E$108&amp;AK94,"")</f>
        <v/>
      </c>
      <c r="AD94" s="40" t="str">
        <f ca="1">IF(AND($AA94=1,Vorrunde!$L42&lt;&gt;"",Vorrunde!$N42&lt;&gt;"",ABS(Vorrunde!$L42-Vorrunde!$N42)&gt;1),Vorrunde!$L42,"")</f>
        <v/>
      </c>
      <c r="AE94" s="35" t="str">
        <f ca="1">IF(AND($AA94=1,Vorrunde!$L42&lt;&gt;"",Vorrunde!$N42&lt;&gt;"",ABS(Vorrunde!$L42-Vorrunde!$N42)&gt;1),Vorrunde!$N42,"")</f>
        <v/>
      </c>
      <c r="AF94" s="40" t="str">
        <f ca="1">IF(AND($AA94=1,Vorrunde!$O42&lt;&gt;"",Vorrunde!$Q42&lt;&gt;"",ABS(Vorrunde!$O42-Vorrunde!$Q42)&gt;1),Vorrunde!$O42,"")</f>
        <v/>
      </c>
      <c r="AG94" s="35" t="str">
        <f ca="1">IF(AND($AA94=1,Vorrunde!$O42&lt;&gt;"",Vorrunde!$Q42&lt;&gt;"",ABS(Vorrunde!$O42-Vorrunde!$Q42)&gt;1),Vorrunde!$Q42,"")</f>
        <v/>
      </c>
      <c r="AH94" s="40" t="str">
        <f t="shared" ca="1" si="64"/>
        <v/>
      </c>
      <c r="AI94" s="35" t="str">
        <f t="shared" ca="1" si="65"/>
        <v/>
      </c>
      <c r="AJ94" s="40">
        <f ca="1">IF(Vorrunde!$R42="",0,Vorrunde!$R42)</f>
        <v>0</v>
      </c>
      <c r="AK94" s="35">
        <f ca="1">IF(Vorrunde!$T42="",0,Vorrunde!$T42)</f>
        <v>0</v>
      </c>
      <c r="AL94" s="13" t="str">
        <f ca="1">IF($AA94=0,"",IF($AJ94&gt;$AK94,Einstellungen!$C$4,IF($AJ94=$AK94,1,0)))</f>
        <v/>
      </c>
      <c r="AM94" s="35" t="str">
        <f ca="1">IF($AA94=0,"",IF($AJ94&lt;$AK94,Einstellungen!$C$4,IF($AJ94=$AK94,1,0)))</f>
        <v/>
      </c>
    </row>
    <row r="95" spans="2:39" s="2" customFormat="1" x14ac:dyDescent="0.2">
      <c r="B95" s="4"/>
      <c r="C95" s="4"/>
      <c r="D95" s="4"/>
      <c r="E95" s="4"/>
      <c r="F95" s="13"/>
      <c r="G95" s="13"/>
      <c r="H95" s="13"/>
      <c r="I95" s="13"/>
      <c r="J95" s="13"/>
      <c r="K95" s="13"/>
      <c r="L95" s="13"/>
      <c r="M95" s="13"/>
      <c r="U95" s="65" t="s">
        <v>47</v>
      </c>
      <c r="V95" s="40" t="str">
        <f ca="1">Planung!$L37</f>
        <v/>
      </c>
      <c r="W95" s="13" t="str">
        <f ca="1">Planung!$N37</f>
        <v/>
      </c>
      <c r="X95" s="13" t="str">
        <f ca="1">IF(AND($AA95=1,Vorrunde!$I43&lt;&gt;"",Vorrunde!$K43&lt;&gt;"",ABS(Vorrunde!$I43-Vorrunde!$K43)&gt;1),Vorrunde!$I43,"")</f>
        <v/>
      </c>
      <c r="Y95" s="35" t="str">
        <f ca="1">IF(AND($AA95=1,Vorrunde!$I43&lt;&gt;"",Vorrunde!$K43&lt;&gt;"",ABS(Vorrunde!$I43-Vorrunde!$K43)&gt;1),Vorrunde!$K43,"")</f>
        <v/>
      </c>
      <c r="Z95" s="34" t="str">
        <f t="shared" ca="1" si="63"/>
        <v/>
      </c>
      <c r="AA95" s="13">
        <f ca="1">IF(AND(V95&lt;&gt;"",W95&lt;&gt;"",V95&lt;&gt;W95,Vorrunde!$R43&lt;&gt;"",Vorrunde!$T43&lt;&gt;""),1,0)</f>
        <v>0</v>
      </c>
      <c r="AB95" s="13" t="str">
        <f ca="1">IF(AA95&gt;0,AH95&amp;Sprache!$E$108&amp;AI95,"")</f>
        <v/>
      </c>
      <c r="AC95" s="35" t="str">
        <f ca="1">IF(AA95&gt;0,AJ95&amp;Sprache!$E$108&amp;AK95,"")</f>
        <v/>
      </c>
      <c r="AD95" s="40" t="str">
        <f ca="1">IF(AND($AA95=1,Vorrunde!$L43&lt;&gt;"",Vorrunde!$N43&lt;&gt;"",ABS(Vorrunde!$L43-Vorrunde!$N43)&gt;1),Vorrunde!$L43,"")</f>
        <v/>
      </c>
      <c r="AE95" s="35" t="str">
        <f ca="1">IF(AND($AA95=1,Vorrunde!$L43&lt;&gt;"",Vorrunde!$N43&lt;&gt;"",ABS(Vorrunde!$L43-Vorrunde!$N43)&gt;1),Vorrunde!$N43,"")</f>
        <v/>
      </c>
      <c r="AF95" s="40" t="str">
        <f ca="1">IF(AND($AA95=1,Vorrunde!$O43&lt;&gt;"",Vorrunde!$Q43&lt;&gt;"",ABS(Vorrunde!$O43-Vorrunde!$Q43)&gt;1),Vorrunde!$O43,"")</f>
        <v/>
      </c>
      <c r="AG95" s="35" t="str">
        <f ca="1">IF(AND($AA95=1,Vorrunde!$O43&lt;&gt;"",Vorrunde!$Q43&lt;&gt;"",ABS(Vorrunde!$O43-Vorrunde!$Q43)&gt;1),Vorrunde!$Q43,"")</f>
        <v/>
      </c>
      <c r="AH95" s="40" t="str">
        <f t="shared" ca="1" si="64"/>
        <v/>
      </c>
      <c r="AI95" s="35" t="str">
        <f t="shared" ca="1" si="65"/>
        <v/>
      </c>
      <c r="AJ95" s="40">
        <f ca="1">IF(Vorrunde!$R43="",0,Vorrunde!$R43)</f>
        <v>0</v>
      </c>
      <c r="AK95" s="35">
        <f ca="1">IF(Vorrunde!$T43="",0,Vorrunde!$T43)</f>
        <v>0</v>
      </c>
      <c r="AL95" s="13" t="str">
        <f ca="1">IF($AA95=0,"",IF($AJ95&gt;$AK95,Einstellungen!$C$4,IF($AJ95=$AK95,1,0)))</f>
        <v/>
      </c>
      <c r="AM95" s="35" t="str">
        <f ca="1">IF($AA95=0,"",IF($AJ95&lt;$AK95,Einstellungen!$C$4,IF($AJ95=$AK95,1,0)))</f>
        <v/>
      </c>
    </row>
    <row r="96" spans="2:39" s="2" customFormat="1" x14ac:dyDescent="0.2">
      <c r="B96" s="4"/>
      <c r="C96" s="4"/>
      <c r="D96" s="4"/>
      <c r="E96" s="4"/>
      <c r="F96" s="13"/>
      <c r="G96" s="13"/>
      <c r="H96" s="13"/>
      <c r="I96" s="13"/>
      <c r="J96" s="13"/>
      <c r="K96" s="13"/>
      <c r="L96" s="13"/>
      <c r="M96" s="13"/>
      <c r="U96" s="65" t="s">
        <v>48</v>
      </c>
      <c r="V96" s="40" t="str">
        <f ca="1">Planung!$L38</f>
        <v/>
      </c>
      <c r="W96" s="13" t="str">
        <f ca="1">Planung!$N38</f>
        <v/>
      </c>
      <c r="X96" s="13" t="str">
        <f ca="1">IF(AND($AA96=1,Vorrunde!$I44&lt;&gt;"",Vorrunde!$K44&lt;&gt;"",ABS(Vorrunde!$I44-Vorrunde!$K44)&gt;1),Vorrunde!$I44,"")</f>
        <v/>
      </c>
      <c r="Y96" s="35" t="str">
        <f ca="1">IF(AND($AA96=1,Vorrunde!$I44&lt;&gt;"",Vorrunde!$K44&lt;&gt;"",ABS(Vorrunde!$I44-Vorrunde!$K44)&gt;1),Vorrunde!$K44,"")</f>
        <v/>
      </c>
      <c r="Z96" s="34" t="str">
        <f t="shared" ca="1" si="63"/>
        <v/>
      </c>
      <c r="AA96" s="13">
        <f ca="1">IF(AND(V96&lt;&gt;"",W96&lt;&gt;"",V96&lt;&gt;W96,Vorrunde!$R44&lt;&gt;"",Vorrunde!$T44&lt;&gt;""),1,0)</f>
        <v>0</v>
      </c>
      <c r="AB96" s="13" t="str">
        <f ca="1">IF(AA96&gt;0,AH96&amp;Sprache!$E$108&amp;AI96,"")</f>
        <v/>
      </c>
      <c r="AC96" s="35" t="str">
        <f ca="1">IF(AA96&gt;0,AJ96&amp;Sprache!$E$108&amp;AK96,"")</f>
        <v/>
      </c>
      <c r="AD96" s="40" t="str">
        <f ca="1">IF(AND($AA96=1,Vorrunde!$L44&lt;&gt;"",Vorrunde!$N44&lt;&gt;"",ABS(Vorrunde!$L44-Vorrunde!$N44)&gt;1),Vorrunde!$L44,"")</f>
        <v/>
      </c>
      <c r="AE96" s="35" t="str">
        <f ca="1">IF(AND($AA96=1,Vorrunde!$L44&lt;&gt;"",Vorrunde!$N44&lt;&gt;"",ABS(Vorrunde!$L44-Vorrunde!$N44)&gt;1),Vorrunde!$N44,"")</f>
        <v/>
      </c>
      <c r="AF96" s="40" t="str">
        <f ca="1">IF(AND($AA96=1,Vorrunde!$O44&lt;&gt;"",Vorrunde!$Q44&lt;&gt;"",ABS(Vorrunde!$O44-Vorrunde!$Q44)&gt;1),Vorrunde!$O44,"")</f>
        <v/>
      </c>
      <c r="AG96" s="35" t="str">
        <f ca="1">IF(AND($AA96=1,Vorrunde!$O44&lt;&gt;"",Vorrunde!$Q44&lt;&gt;"",ABS(Vorrunde!$O44-Vorrunde!$Q44)&gt;1),Vorrunde!$Q44,"")</f>
        <v/>
      </c>
      <c r="AH96" s="40" t="str">
        <f t="shared" ca="1" si="64"/>
        <v/>
      </c>
      <c r="AI96" s="35" t="str">
        <f t="shared" ca="1" si="65"/>
        <v/>
      </c>
      <c r="AJ96" s="40">
        <f ca="1">IF(Vorrunde!$R44="",0,Vorrunde!$R44)</f>
        <v>0</v>
      </c>
      <c r="AK96" s="35">
        <f ca="1">IF(Vorrunde!$T44="",0,Vorrunde!$T44)</f>
        <v>0</v>
      </c>
      <c r="AL96" s="13" t="str">
        <f ca="1">IF($AA96=0,"",IF($AJ96&gt;$AK96,Einstellungen!$C$4,IF($AJ96=$AK96,1,0)))</f>
        <v/>
      </c>
      <c r="AM96" s="35" t="str">
        <f ca="1">IF($AA96=0,"",IF($AJ96&lt;$AK96,Einstellungen!$C$4,IF($AJ96=$AK96,1,0)))</f>
        <v/>
      </c>
    </row>
    <row r="97" spans="2:39" s="2" customFormat="1" x14ac:dyDescent="0.2">
      <c r="B97" s="4"/>
      <c r="C97" s="4"/>
      <c r="D97" s="4"/>
      <c r="E97" s="4"/>
      <c r="F97" s="13"/>
      <c r="G97" s="13"/>
      <c r="H97" s="13"/>
      <c r="I97" s="13"/>
      <c r="J97" s="13"/>
      <c r="K97" s="13"/>
      <c r="L97" s="13"/>
      <c r="M97" s="13"/>
      <c r="U97" s="65" t="s">
        <v>49</v>
      </c>
      <c r="V97" s="40" t="str">
        <f ca="1">Planung!$L39</f>
        <v/>
      </c>
      <c r="W97" s="13" t="str">
        <f ca="1">Planung!$N39</f>
        <v/>
      </c>
      <c r="X97" s="13" t="str">
        <f ca="1">IF(AND($AA97=1,Vorrunde!$I45&lt;&gt;"",Vorrunde!$K45&lt;&gt;"",ABS(Vorrunde!$I45-Vorrunde!$K45)&gt;1),Vorrunde!$I45,"")</f>
        <v/>
      </c>
      <c r="Y97" s="35" t="str">
        <f ca="1">IF(AND($AA97=1,Vorrunde!$I45&lt;&gt;"",Vorrunde!$K45&lt;&gt;"",ABS(Vorrunde!$I45-Vorrunde!$K45)&gt;1),Vorrunde!$K45,"")</f>
        <v/>
      </c>
      <c r="Z97" s="34" t="str">
        <f t="shared" ca="1" si="63"/>
        <v/>
      </c>
      <c r="AA97" s="13">
        <f ca="1">IF(AND(V97&lt;&gt;"",W97&lt;&gt;"",V97&lt;&gt;W97,Vorrunde!$R45&lt;&gt;"",Vorrunde!$T45&lt;&gt;""),1,0)</f>
        <v>0</v>
      </c>
      <c r="AB97" s="13" t="str">
        <f ca="1">IF(AA97&gt;0,AH97&amp;Sprache!$E$108&amp;AI97,"")</f>
        <v/>
      </c>
      <c r="AC97" s="35" t="str">
        <f ca="1">IF(AA97&gt;0,AJ97&amp;Sprache!$E$108&amp;AK97,"")</f>
        <v/>
      </c>
      <c r="AD97" s="40" t="str">
        <f ca="1">IF(AND($AA97=1,Vorrunde!$L45&lt;&gt;"",Vorrunde!$N45&lt;&gt;"",ABS(Vorrunde!$L45-Vorrunde!$N45)&gt;1),Vorrunde!$L45,"")</f>
        <v/>
      </c>
      <c r="AE97" s="35" t="str">
        <f ca="1">IF(AND($AA97=1,Vorrunde!$L45&lt;&gt;"",Vorrunde!$N45&lt;&gt;"",ABS(Vorrunde!$L45-Vorrunde!$N45)&gt;1),Vorrunde!$N45,"")</f>
        <v/>
      </c>
      <c r="AF97" s="40" t="str">
        <f ca="1">IF(AND($AA97=1,Vorrunde!$O45&lt;&gt;"",Vorrunde!$Q45&lt;&gt;"",ABS(Vorrunde!$O45-Vorrunde!$Q45)&gt;1),Vorrunde!$O45,"")</f>
        <v/>
      </c>
      <c r="AG97" s="35" t="str">
        <f ca="1">IF(AND($AA97=1,Vorrunde!$O45&lt;&gt;"",Vorrunde!$Q45&lt;&gt;"",ABS(Vorrunde!$O45-Vorrunde!$Q45)&gt;1),Vorrunde!$Q45,"")</f>
        <v/>
      </c>
      <c r="AH97" s="40" t="str">
        <f t="shared" ca="1" si="64"/>
        <v/>
      </c>
      <c r="AI97" s="35" t="str">
        <f t="shared" ca="1" si="65"/>
        <v/>
      </c>
      <c r="AJ97" s="40">
        <f ca="1">IF(Vorrunde!$R45="",0,Vorrunde!$R45)</f>
        <v>0</v>
      </c>
      <c r="AK97" s="35">
        <f ca="1">IF(Vorrunde!$T45="",0,Vorrunde!$T45)</f>
        <v>0</v>
      </c>
      <c r="AL97" s="13" t="str">
        <f ca="1">IF($AA97=0,"",IF($AJ97&gt;$AK97,Einstellungen!$C$4,IF($AJ97=$AK97,1,0)))</f>
        <v/>
      </c>
      <c r="AM97" s="35" t="str">
        <f ca="1">IF($AA97=0,"",IF($AJ97&lt;$AK97,Einstellungen!$C$4,IF($AJ97=$AK97,1,0)))</f>
        <v/>
      </c>
    </row>
    <row r="98" spans="2:39" s="2" customFormat="1" x14ac:dyDescent="0.2">
      <c r="B98" s="4"/>
      <c r="C98" s="4"/>
      <c r="D98" s="4"/>
      <c r="E98" s="4"/>
      <c r="F98" s="13"/>
      <c r="G98" s="13"/>
      <c r="H98" s="13"/>
      <c r="I98" s="13"/>
      <c r="J98" s="13"/>
      <c r="K98" s="13"/>
      <c r="L98" s="13"/>
      <c r="M98" s="13"/>
      <c r="U98" s="65" t="s">
        <v>50</v>
      </c>
      <c r="V98" s="40" t="str">
        <f ca="1">Planung!$L40</f>
        <v/>
      </c>
      <c r="W98" s="13" t="str">
        <f ca="1">Planung!$N40</f>
        <v/>
      </c>
      <c r="X98" s="13" t="str">
        <f ca="1">IF(AND($AA98=1,Vorrunde!$I46&lt;&gt;"",Vorrunde!$K46&lt;&gt;"",ABS(Vorrunde!$I46-Vorrunde!$K46)&gt;1),Vorrunde!$I46,"")</f>
        <v/>
      </c>
      <c r="Y98" s="35" t="str">
        <f ca="1">IF(AND($AA98=1,Vorrunde!$I46&lt;&gt;"",Vorrunde!$K46&lt;&gt;"",ABS(Vorrunde!$I46-Vorrunde!$K46)&gt;1),Vorrunde!$K46,"")</f>
        <v/>
      </c>
      <c r="Z98" s="34" t="str">
        <f t="shared" ca="1" si="63"/>
        <v/>
      </c>
      <c r="AA98" s="13">
        <f ca="1">IF(AND(V98&lt;&gt;"",W98&lt;&gt;"",V98&lt;&gt;W98,Vorrunde!$R46&lt;&gt;"",Vorrunde!$T46&lt;&gt;""),1,0)</f>
        <v>0</v>
      </c>
      <c r="AB98" s="13" t="str">
        <f ca="1">IF(AA98&gt;0,AH98&amp;Sprache!$E$108&amp;AI98,"")</f>
        <v/>
      </c>
      <c r="AC98" s="35" t="str">
        <f ca="1">IF(AA98&gt;0,AJ98&amp;Sprache!$E$108&amp;AK98,"")</f>
        <v/>
      </c>
      <c r="AD98" s="40" t="str">
        <f ca="1">IF(AND($AA98=1,Vorrunde!$L46&lt;&gt;"",Vorrunde!$N46&lt;&gt;"",ABS(Vorrunde!$L46-Vorrunde!$N46)&gt;1),Vorrunde!$L46,"")</f>
        <v/>
      </c>
      <c r="AE98" s="35" t="str">
        <f ca="1">IF(AND($AA98=1,Vorrunde!$L46&lt;&gt;"",Vorrunde!$N46&lt;&gt;"",ABS(Vorrunde!$L46-Vorrunde!$N46)&gt;1),Vorrunde!$N46,"")</f>
        <v/>
      </c>
      <c r="AF98" s="40" t="str">
        <f ca="1">IF(AND($AA98=1,Vorrunde!$O46&lt;&gt;"",Vorrunde!$Q46&lt;&gt;"",ABS(Vorrunde!$O46-Vorrunde!$Q46)&gt;1),Vorrunde!$O46,"")</f>
        <v/>
      </c>
      <c r="AG98" s="35" t="str">
        <f ca="1">IF(AND($AA98=1,Vorrunde!$O46&lt;&gt;"",Vorrunde!$Q46&lt;&gt;"",ABS(Vorrunde!$O46-Vorrunde!$Q46)&gt;1),Vorrunde!$Q46,"")</f>
        <v/>
      </c>
      <c r="AH98" s="40" t="str">
        <f t="shared" ca="1" si="64"/>
        <v/>
      </c>
      <c r="AI98" s="35" t="str">
        <f t="shared" ca="1" si="65"/>
        <v/>
      </c>
      <c r="AJ98" s="40">
        <f ca="1">IF(Vorrunde!$R46="",0,Vorrunde!$R46)</f>
        <v>0</v>
      </c>
      <c r="AK98" s="35">
        <f ca="1">IF(Vorrunde!$T46="",0,Vorrunde!$T46)</f>
        <v>0</v>
      </c>
      <c r="AL98" s="13" t="str">
        <f ca="1">IF($AA98=0,"",IF($AJ98&gt;$AK98,Einstellungen!$C$4,IF($AJ98=$AK98,1,0)))</f>
        <v/>
      </c>
      <c r="AM98" s="35" t="str">
        <f ca="1">IF($AA98=0,"",IF($AJ98&lt;$AK98,Einstellungen!$C$4,IF($AJ98=$AK98,1,0)))</f>
        <v/>
      </c>
    </row>
    <row r="99" spans="2:39" s="2" customFormat="1" x14ac:dyDescent="0.2">
      <c r="B99" s="4"/>
      <c r="C99" s="4"/>
      <c r="D99" s="4"/>
      <c r="E99" s="4"/>
      <c r="F99" s="13"/>
      <c r="G99" s="13"/>
      <c r="H99" s="13"/>
      <c r="I99" s="13"/>
      <c r="J99" s="13"/>
      <c r="K99" s="13"/>
      <c r="L99" s="13"/>
      <c r="M99" s="13"/>
      <c r="U99" s="65" t="s">
        <v>51</v>
      </c>
      <c r="V99" s="40" t="str">
        <f ca="1">Planung!$L41</f>
        <v/>
      </c>
      <c r="W99" s="13" t="str">
        <f ca="1">Planung!$N41</f>
        <v/>
      </c>
      <c r="X99" s="13" t="str">
        <f ca="1">IF(AND($AA99=1,Vorrunde!$I47&lt;&gt;"",Vorrunde!$K47&lt;&gt;"",ABS(Vorrunde!$I47-Vorrunde!$K47)&gt;1),Vorrunde!$I47,"")</f>
        <v/>
      </c>
      <c r="Y99" s="35" t="str">
        <f ca="1">IF(AND($AA99=1,Vorrunde!$I47&lt;&gt;"",Vorrunde!$K47&lt;&gt;"",ABS(Vorrunde!$I47-Vorrunde!$K47)&gt;1),Vorrunde!$K47,"")</f>
        <v/>
      </c>
      <c r="Z99" s="34" t="str">
        <f t="shared" ca="1" si="63"/>
        <v/>
      </c>
      <c r="AA99" s="13">
        <f ca="1">IF(AND(V99&lt;&gt;"",W99&lt;&gt;"",V99&lt;&gt;W99,Vorrunde!$R47&lt;&gt;"",Vorrunde!$T47&lt;&gt;""),1,0)</f>
        <v>0</v>
      </c>
      <c r="AB99" s="13" t="str">
        <f ca="1">IF(AA99&gt;0,AH99&amp;Sprache!$E$108&amp;AI99,"")</f>
        <v/>
      </c>
      <c r="AC99" s="35" t="str">
        <f ca="1">IF(AA99&gt;0,AJ99&amp;Sprache!$E$108&amp;AK99,"")</f>
        <v/>
      </c>
      <c r="AD99" s="40" t="str">
        <f ca="1">IF(AND($AA99=1,Vorrunde!$L47&lt;&gt;"",Vorrunde!$N47&lt;&gt;"",ABS(Vorrunde!$L47-Vorrunde!$N47)&gt;1),Vorrunde!$L47,"")</f>
        <v/>
      </c>
      <c r="AE99" s="35" t="str">
        <f ca="1">IF(AND($AA99=1,Vorrunde!$L47&lt;&gt;"",Vorrunde!$N47&lt;&gt;"",ABS(Vorrunde!$L47-Vorrunde!$N47)&gt;1),Vorrunde!$N47,"")</f>
        <v/>
      </c>
      <c r="AF99" s="40" t="str">
        <f ca="1">IF(AND($AA99=1,Vorrunde!$O47&lt;&gt;"",Vorrunde!$Q47&lt;&gt;"",ABS(Vorrunde!$O47-Vorrunde!$Q47)&gt;1),Vorrunde!$O47,"")</f>
        <v/>
      </c>
      <c r="AG99" s="35" t="str">
        <f ca="1">IF(AND($AA99=1,Vorrunde!$O47&lt;&gt;"",Vorrunde!$Q47&lt;&gt;"",ABS(Vorrunde!$O47-Vorrunde!$Q47)&gt;1),Vorrunde!$Q47,"")</f>
        <v/>
      </c>
      <c r="AH99" s="40" t="str">
        <f t="shared" ca="1" si="64"/>
        <v/>
      </c>
      <c r="AI99" s="35" t="str">
        <f t="shared" ca="1" si="65"/>
        <v/>
      </c>
      <c r="AJ99" s="40">
        <f ca="1">IF(Vorrunde!$R47="",0,Vorrunde!$R47)</f>
        <v>0</v>
      </c>
      <c r="AK99" s="35">
        <f ca="1">IF(Vorrunde!$T47="",0,Vorrunde!$T47)</f>
        <v>0</v>
      </c>
      <c r="AL99" s="13" t="str">
        <f ca="1">IF($AA99=0,"",IF($AJ99&gt;$AK99,Einstellungen!$C$4,IF($AJ99=$AK99,1,0)))</f>
        <v/>
      </c>
      <c r="AM99" s="35" t="str">
        <f ca="1">IF($AA99=0,"",IF($AJ99&lt;$AK99,Einstellungen!$C$4,IF($AJ99=$AK99,1,0)))</f>
        <v/>
      </c>
    </row>
    <row r="100" spans="2:39" s="2" customFormat="1" x14ac:dyDescent="0.2">
      <c r="B100" s="4"/>
      <c r="C100" s="4"/>
      <c r="D100" s="4"/>
      <c r="E100" s="4"/>
      <c r="F100" s="13"/>
      <c r="G100" s="13"/>
      <c r="H100" s="13"/>
      <c r="I100" s="13"/>
      <c r="J100" s="13"/>
      <c r="K100" s="13"/>
      <c r="L100" s="13"/>
      <c r="M100" s="13"/>
      <c r="U100" s="65" t="s">
        <v>58</v>
      </c>
      <c r="V100" s="40" t="str">
        <f ca="1">Planung!$L42</f>
        <v/>
      </c>
      <c r="W100" s="13" t="str">
        <f ca="1">Planung!$N42</f>
        <v/>
      </c>
      <c r="X100" s="13" t="str">
        <f ca="1">IF(AND($AA100=1,Vorrunde!$I48&lt;&gt;"",Vorrunde!$K48&lt;&gt;"",ABS(Vorrunde!$I48-Vorrunde!$K48)&gt;1),Vorrunde!$I48,"")</f>
        <v/>
      </c>
      <c r="Y100" s="35" t="str">
        <f ca="1">IF(AND($AA100=1,Vorrunde!$I48&lt;&gt;"",Vorrunde!$K48&lt;&gt;"",ABS(Vorrunde!$I48-Vorrunde!$K48)&gt;1),Vorrunde!$K48,"")</f>
        <v/>
      </c>
      <c r="Z100" s="34" t="str">
        <f t="shared" ca="1" si="63"/>
        <v/>
      </c>
      <c r="AA100" s="13">
        <f ca="1">IF(AND(V100&lt;&gt;"",W100&lt;&gt;"",V100&lt;&gt;W100,Vorrunde!$R48&lt;&gt;"",Vorrunde!$T48&lt;&gt;""),1,0)</f>
        <v>0</v>
      </c>
      <c r="AB100" s="13" t="str">
        <f ca="1">IF(AA100&gt;0,AH100&amp;Sprache!$E$108&amp;AI100,"")</f>
        <v/>
      </c>
      <c r="AC100" s="35" t="str">
        <f ca="1">IF(AA100&gt;0,AJ100&amp;Sprache!$E$108&amp;AK100,"")</f>
        <v/>
      </c>
      <c r="AD100" s="40" t="str">
        <f ca="1">IF(AND($AA100=1,Vorrunde!$L48&lt;&gt;"",Vorrunde!$N48&lt;&gt;"",ABS(Vorrunde!$L48-Vorrunde!$N48)&gt;1),Vorrunde!$L48,"")</f>
        <v/>
      </c>
      <c r="AE100" s="35" t="str">
        <f ca="1">IF(AND($AA100=1,Vorrunde!$L48&lt;&gt;"",Vorrunde!$N48&lt;&gt;"",ABS(Vorrunde!$L48-Vorrunde!$N48)&gt;1),Vorrunde!$N48,"")</f>
        <v/>
      </c>
      <c r="AF100" s="40" t="str">
        <f ca="1">IF(AND($AA100=1,Vorrunde!$O48&lt;&gt;"",Vorrunde!$Q48&lt;&gt;"",ABS(Vorrunde!$O48-Vorrunde!$Q48)&gt;1),Vorrunde!$O48,"")</f>
        <v/>
      </c>
      <c r="AG100" s="35" t="str">
        <f ca="1">IF(AND($AA100=1,Vorrunde!$O48&lt;&gt;"",Vorrunde!$Q48&lt;&gt;"",ABS(Vorrunde!$O48-Vorrunde!$Q48)&gt;1),Vorrunde!$Q48,"")</f>
        <v/>
      </c>
      <c r="AH100" s="40" t="str">
        <f t="shared" ca="1" si="64"/>
        <v/>
      </c>
      <c r="AI100" s="35" t="str">
        <f t="shared" ca="1" si="65"/>
        <v/>
      </c>
      <c r="AJ100" s="40">
        <f ca="1">IF(Vorrunde!$R48="",0,Vorrunde!$R48)</f>
        <v>0</v>
      </c>
      <c r="AK100" s="35">
        <f ca="1">IF(Vorrunde!$T48="",0,Vorrunde!$T48)</f>
        <v>0</v>
      </c>
      <c r="AL100" s="13" t="str">
        <f ca="1">IF($AA100=0,"",IF($AJ100&gt;$AK100,Einstellungen!$C$4,IF($AJ100=$AK100,1,0)))</f>
        <v/>
      </c>
      <c r="AM100" s="35" t="str">
        <f ca="1">IF($AA100=0,"",IF($AJ100&lt;$AK100,Einstellungen!$C$4,IF($AJ100=$AK100,1,0)))</f>
        <v/>
      </c>
    </row>
    <row r="101" spans="2:39" s="2" customFormat="1" x14ac:dyDescent="0.2">
      <c r="B101" s="4"/>
      <c r="C101" s="4"/>
      <c r="D101" s="4"/>
      <c r="E101" s="4"/>
      <c r="F101" s="13"/>
      <c r="G101" s="13"/>
      <c r="H101" s="13"/>
      <c r="I101" s="13"/>
      <c r="J101" s="13"/>
      <c r="K101" s="13"/>
      <c r="L101" s="13"/>
      <c r="M101" s="13"/>
      <c r="U101" s="65" t="s">
        <v>59</v>
      </c>
      <c r="V101" s="40" t="str">
        <f ca="1">Planung!$L43</f>
        <v/>
      </c>
      <c r="W101" s="13" t="str">
        <f ca="1">Planung!$N43</f>
        <v/>
      </c>
      <c r="X101" s="13" t="str">
        <f ca="1">IF(AND($AA101=1,Vorrunde!$I49&lt;&gt;"",Vorrunde!$K49&lt;&gt;"",ABS(Vorrunde!$I49-Vorrunde!$K49)&gt;1),Vorrunde!$I49,"")</f>
        <v/>
      </c>
      <c r="Y101" s="35" t="str">
        <f ca="1">IF(AND($AA101=1,Vorrunde!$I49&lt;&gt;"",Vorrunde!$K49&lt;&gt;"",ABS(Vorrunde!$I49-Vorrunde!$K49)&gt;1),Vorrunde!$K49,"")</f>
        <v/>
      </c>
      <c r="Z101" s="34" t="str">
        <f t="shared" ca="1" si="63"/>
        <v/>
      </c>
      <c r="AA101" s="13">
        <f ca="1">IF(AND(V101&lt;&gt;"",W101&lt;&gt;"",V101&lt;&gt;W101,Vorrunde!$R49&lt;&gt;"",Vorrunde!$T49&lt;&gt;""),1,0)</f>
        <v>0</v>
      </c>
      <c r="AB101" s="13" t="str">
        <f ca="1">IF(AA101&gt;0,AH101&amp;Sprache!$E$108&amp;AI101,"")</f>
        <v/>
      </c>
      <c r="AC101" s="35" t="str">
        <f ca="1">IF(AA101&gt;0,AJ101&amp;Sprache!$E$108&amp;AK101,"")</f>
        <v/>
      </c>
      <c r="AD101" s="40" t="str">
        <f ca="1">IF(AND($AA101=1,Vorrunde!$L49&lt;&gt;"",Vorrunde!$N49&lt;&gt;"",ABS(Vorrunde!$L49-Vorrunde!$N49)&gt;1),Vorrunde!$L49,"")</f>
        <v/>
      </c>
      <c r="AE101" s="35" t="str">
        <f ca="1">IF(AND($AA101=1,Vorrunde!$L49&lt;&gt;"",Vorrunde!$N49&lt;&gt;"",ABS(Vorrunde!$L49-Vorrunde!$N49)&gt;1),Vorrunde!$N49,"")</f>
        <v/>
      </c>
      <c r="AF101" s="40" t="str">
        <f ca="1">IF(AND($AA101=1,Vorrunde!$O49&lt;&gt;"",Vorrunde!$Q49&lt;&gt;"",ABS(Vorrunde!$O49-Vorrunde!$Q49)&gt;1),Vorrunde!$O49,"")</f>
        <v/>
      </c>
      <c r="AG101" s="35" t="str">
        <f ca="1">IF(AND($AA101=1,Vorrunde!$O49&lt;&gt;"",Vorrunde!$Q49&lt;&gt;"",ABS(Vorrunde!$O49-Vorrunde!$Q49)&gt;1),Vorrunde!$Q49,"")</f>
        <v/>
      </c>
      <c r="AH101" s="40" t="str">
        <f t="shared" ca="1" si="64"/>
        <v/>
      </c>
      <c r="AI101" s="35" t="str">
        <f t="shared" ca="1" si="65"/>
        <v/>
      </c>
      <c r="AJ101" s="40">
        <f ca="1">IF(Vorrunde!$R49="",0,Vorrunde!$R49)</f>
        <v>0</v>
      </c>
      <c r="AK101" s="35">
        <f ca="1">IF(Vorrunde!$T49="",0,Vorrunde!$T49)</f>
        <v>0</v>
      </c>
      <c r="AL101" s="13" t="str">
        <f ca="1">IF($AA101=0,"",IF($AJ101&gt;$AK101,Einstellungen!$C$4,IF($AJ101=$AK101,1,0)))</f>
        <v/>
      </c>
      <c r="AM101" s="35" t="str">
        <f ca="1">IF($AA101=0,"",IF($AJ101&lt;$AK101,Einstellungen!$C$4,IF($AJ101=$AK101,1,0)))</f>
        <v/>
      </c>
    </row>
    <row r="102" spans="2:39" s="2" customFormat="1" x14ac:dyDescent="0.2">
      <c r="B102" s="4"/>
      <c r="C102" s="4"/>
      <c r="D102" s="4"/>
      <c r="E102" s="4"/>
      <c r="F102" s="13"/>
      <c r="G102" s="13"/>
      <c r="H102" s="13"/>
      <c r="I102" s="13"/>
      <c r="J102" s="13"/>
      <c r="K102" s="13"/>
      <c r="L102" s="13"/>
      <c r="M102" s="13"/>
      <c r="U102" s="65" t="s">
        <v>60</v>
      </c>
      <c r="V102" s="40" t="str">
        <f ca="1">Planung!$L44</f>
        <v/>
      </c>
      <c r="W102" s="13" t="str">
        <f ca="1">Planung!$N44</f>
        <v/>
      </c>
      <c r="X102" s="13" t="str">
        <f ca="1">IF(AND($AA102=1,Vorrunde!$I50&lt;&gt;"",Vorrunde!$K50&lt;&gt;"",ABS(Vorrunde!$I50-Vorrunde!$K50)&gt;1),Vorrunde!$I50,"")</f>
        <v/>
      </c>
      <c r="Y102" s="35" t="str">
        <f ca="1">IF(AND($AA102=1,Vorrunde!$I50&lt;&gt;"",Vorrunde!$K50&lt;&gt;"",ABS(Vorrunde!$I50-Vorrunde!$K50)&gt;1),Vorrunde!$K50,"")</f>
        <v/>
      </c>
      <c r="Z102" s="34" t="str">
        <f t="shared" ca="1" si="63"/>
        <v/>
      </c>
      <c r="AA102" s="13">
        <f ca="1">IF(AND(V102&lt;&gt;"",W102&lt;&gt;"",V102&lt;&gt;W102,Vorrunde!$R50&lt;&gt;"",Vorrunde!$T50&lt;&gt;""),1,0)</f>
        <v>0</v>
      </c>
      <c r="AB102" s="13" t="str">
        <f ca="1">IF(AA102&gt;0,AH102&amp;Sprache!$E$108&amp;AI102,"")</f>
        <v/>
      </c>
      <c r="AC102" s="35" t="str">
        <f ca="1">IF(AA102&gt;0,AJ102&amp;Sprache!$E$108&amp;AK102,"")</f>
        <v/>
      </c>
      <c r="AD102" s="40" t="str">
        <f ca="1">IF(AND($AA102=1,Vorrunde!$L50&lt;&gt;"",Vorrunde!$N50&lt;&gt;"",ABS(Vorrunde!$L50-Vorrunde!$N50)&gt;1),Vorrunde!$L50,"")</f>
        <v/>
      </c>
      <c r="AE102" s="35" t="str">
        <f ca="1">IF(AND($AA102=1,Vorrunde!$L50&lt;&gt;"",Vorrunde!$N50&lt;&gt;"",ABS(Vorrunde!$L50-Vorrunde!$N50)&gt;1),Vorrunde!$N50,"")</f>
        <v/>
      </c>
      <c r="AF102" s="40" t="str">
        <f ca="1">IF(AND($AA102=1,Vorrunde!$O50&lt;&gt;"",Vorrunde!$Q50&lt;&gt;"",ABS(Vorrunde!$O50-Vorrunde!$Q50)&gt;1),Vorrunde!$O50,"")</f>
        <v/>
      </c>
      <c r="AG102" s="35" t="str">
        <f ca="1">IF(AND($AA102=1,Vorrunde!$O50&lt;&gt;"",Vorrunde!$Q50&lt;&gt;"",ABS(Vorrunde!$O50-Vorrunde!$Q50)&gt;1),Vorrunde!$Q50,"")</f>
        <v/>
      </c>
      <c r="AH102" s="40" t="str">
        <f t="shared" ca="1" si="64"/>
        <v/>
      </c>
      <c r="AI102" s="35" t="str">
        <f t="shared" ca="1" si="65"/>
        <v/>
      </c>
      <c r="AJ102" s="40">
        <f ca="1">IF(Vorrunde!$R50="",0,Vorrunde!$R50)</f>
        <v>0</v>
      </c>
      <c r="AK102" s="35">
        <f ca="1">IF(Vorrunde!$T50="",0,Vorrunde!$T50)</f>
        <v>0</v>
      </c>
      <c r="AL102" s="13" t="str">
        <f ca="1">IF($AA102=0,"",IF($AJ102&gt;$AK102,Einstellungen!$C$4,IF($AJ102=$AK102,1,0)))</f>
        <v/>
      </c>
      <c r="AM102" s="35" t="str">
        <f ca="1">IF($AA102=0,"",IF($AJ102&lt;$AK102,Einstellungen!$C$4,IF($AJ102=$AK102,1,0)))</f>
        <v/>
      </c>
    </row>
    <row r="103" spans="2:39" s="2" customFormat="1" x14ac:dyDescent="0.2">
      <c r="B103" s="4"/>
      <c r="C103" s="4"/>
      <c r="D103" s="4"/>
      <c r="E103" s="4"/>
      <c r="F103" s="13"/>
      <c r="G103" s="13"/>
      <c r="H103" s="13"/>
      <c r="I103" s="13"/>
      <c r="J103" s="13"/>
      <c r="K103" s="13"/>
      <c r="L103" s="13"/>
      <c r="M103" s="13"/>
      <c r="U103" s="65" t="s">
        <v>61</v>
      </c>
      <c r="V103" s="40" t="str">
        <f ca="1">Planung!$L45</f>
        <v/>
      </c>
      <c r="W103" s="13" t="str">
        <f ca="1">Planung!$N45</f>
        <v/>
      </c>
      <c r="X103" s="13" t="str">
        <f ca="1">IF(AND($AA103=1,Vorrunde!$I51&lt;&gt;"",Vorrunde!$K51&lt;&gt;"",ABS(Vorrunde!$I51-Vorrunde!$K51)&gt;1),Vorrunde!$I51,"")</f>
        <v/>
      </c>
      <c r="Y103" s="35" t="str">
        <f ca="1">IF(AND($AA103=1,Vorrunde!$I51&lt;&gt;"",Vorrunde!$K51&lt;&gt;"",ABS(Vorrunde!$I51-Vorrunde!$K51)&gt;1),Vorrunde!$K51,"")</f>
        <v/>
      </c>
      <c r="Z103" s="34" t="str">
        <f t="shared" ca="1" si="63"/>
        <v/>
      </c>
      <c r="AA103" s="13">
        <f ca="1">IF(AND(V103&lt;&gt;"",W103&lt;&gt;"",V103&lt;&gt;W103,Vorrunde!$R51&lt;&gt;"",Vorrunde!$T51&lt;&gt;""),1,0)</f>
        <v>0</v>
      </c>
      <c r="AB103" s="13" t="str">
        <f ca="1">IF(AA103&gt;0,AH103&amp;Sprache!$E$108&amp;AI103,"")</f>
        <v/>
      </c>
      <c r="AC103" s="35" t="str">
        <f ca="1">IF(AA103&gt;0,AJ103&amp;Sprache!$E$108&amp;AK103,"")</f>
        <v/>
      </c>
      <c r="AD103" s="40" t="str">
        <f ca="1">IF(AND($AA103=1,Vorrunde!$L51&lt;&gt;"",Vorrunde!$N51&lt;&gt;"",ABS(Vorrunde!$L51-Vorrunde!$N51)&gt;1),Vorrunde!$L51,"")</f>
        <v/>
      </c>
      <c r="AE103" s="35" t="str">
        <f ca="1">IF(AND($AA103=1,Vorrunde!$L51&lt;&gt;"",Vorrunde!$N51&lt;&gt;"",ABS(Vorrunde!$L51-Vorrunde!$N51)&gt;1),Vorrunde!$N51,"")</f>
        <v/>
      </c>
      <c r="AF103" s="40" t="str">
        <f ca="1">IF(AND($AA103=1,Vorrunde!$O51&lt;&gt;"",Vorrunde!$Q51&lt;&gt;"",ABS(Vorrunde!$O51-Vorrunde!$Q51)&gt;1),Vorrunde!$O51,"")</f>
        <v/>
      </c>
      <c r="AG103" s="35" t="str">
        <f ca="1">IF(AND($AA103=1,Vorrunde!$O51&lt;&gt;"",Vorrunde!$Q51&lt;&gt;"",ABS(Vorrunde!$O51-Vorrunde!$Q51)&gt;1),Vorrunde!$Q51,"")</f>
        <v/>
      </c>
      <c r="AH103" s="40" t="str">
        <f t="shared" ca="1" si="64"/>
        <v/>
      </c>
      <c r="AI103" s="35" t="str">
        <f t="shared" ca="1" si="65"/>
        <v/>
      </c>
      <c r="AJ103" s="40">
        <f ca="1">IF(Vorrunde!$R51="",0,Vorrunde!$R51)</f>
        <v>0</v>
      </c>
      <c r="AK103" s="35">
        <f ca="1">IF(Vorrunde!$T51="",0,Vorrunde!$T51)</f>
        <v>0</v>
      </c>
      <c r="AL103" s="13" t="str">
        <f ca="1">IF($AA103=0,"",IF($AJ103&gt;$AK103,Einstellungen!$C$4,IF($AJ103=$AK103,1,0)))</f>
        <v/>
      </c>
      <c r="AM103" s="35" t="str">
        <f ca="1">IF($AA103=0,"",IF($AJ103&lt;$AK103,Einstellungen!$C$4,IF($AJ103=$AK103,1,0)))</f>
        <v/>
      </c>
    </row>
    <row r="104" spans="2:39" s="2" customFormat="1" x14ac:dyDescent="0.2">
      <c r="B104" s="4"/>
      <c r="C104" s="4"/>
      <c r="D104" s="4"/>
      <c r="E104" s="4"/>
      <c r="F104" s="13"/>
      <c r="G104" s="13"/>
      <c r="H104" s="13"/>
      <c r="I104" s="13"/>
      <c r="J104" s="13"/>
      <c r="K104" s="13"/>
      <c r="L104" s="13"/>
      <c r="M104" s="13"/>
      <c r="U104" s="65" t="s">
        <v>62</v>
      </c>
      <c r="V104" s="40" t="str">
        <f ca="1">Planung!$L46</f>
        <v/>
      </c>
      <c r="W104" s="13" t="str">
        <f ca="1">Planung!$N46</f>
        <v/>
      </c>
      <c r="X104" s="13" t="str">
        <f ca="1">IF(AND($AA104=1,Vorrunde!$I52&lt;&gt;"",Vorrunde!$K52&lt;&gt;"",ABS(Vorrunde!$I52-Vorrunde!$K52)&gt;1),Vorrunde!$I52,"")</f>
        <v/>
      </c>
      <c r="Y104" s="35" t="str">
        <f ca="1">IF(AND($AA104=1,Vorrunde!$I52&lt;&gt;"",Vorrunde!$K52&lt;&gt;"",ABS(Vorrunde!$I52-Vorrunde!$K52)&gt;1),Vorrunde!$K52,"")</f>
        <v/>
      </c>
      <c r="Z104" s="34" t="str">
        <f t="shared" ca="1" si="63"/>
        <v/>
      </c>
      <c r="AA104" s="13">
        <f ca="1">IF(AND(V104&lt;&gt;"",W104&lt;&gt;"",V104&lt;&gt;W104,Vorrunde!$R52&lt;&gt;"",Vorrunde!$T52&lt;&gt;""),1,0)</f>
        <v>0</v>
      </c>
      <c r="AB104" s="13" t="str">
        <f ca="1">IF(AA104&gt;0,AH104&amp;Sprache!$E$108&amp;AI104,"")</f>
        <v/>
      </c>
      <c r="AC104" s="35" t="str">
        <f ca="1">IF(AA104&gt;0,AJ104&amp;Sprache!$E$108&amp;AK104,"")</f>
        <v/>
      </c>
      <c r="AD104" s="40" t="str">
        <f ca="1">IF(AND($AA104=1,Vorrunde!$L52&lt;&gt;"",Vorrunde!$N52&lt;&gt;"",ABS(Vorrunde!$L52-Vorrunde!$N52)&gt;1),Vorrunde!$L52,"")</f>
        <v/>
      </c>
      <c r="AE104" s="35" t="str">
        <f ca="1">IF(AND($AA104=1,Vorrunde!$L52&lt;&gt;"",Vorrunde!$N52&lt;&gt;"",ABS(Vorrunde!$L52-Vorrunde!$N52)&gt;1),Vorrunde!$N52,"")</f>
        <v/>
      </c>
      <c r="AF104" s="40" t="str">
        <f ca="1">IF(AND($AA104=1,Vorrunde!$O52&lt;&gt;"",Vorrunde!$Q52&lt;&gt;"",ABS(Vorrunde!$O52-Vorrunde!$Q52)&gt;1),Vorrunde!$O52,"")</f>
        <v/>
      </c>
      <c r="AG104" s="35" t="str">
        <f ca="1">IF(AND($AA104=1,Vorrunde!$O52&lt;&gt;"",Vorrunde!$Q52&lt;&gt;"",ABS(Vorrunde!$O52-Vorrunde!$Q52)&gt;1),Vorrunde!$Q52,"")</f>
        <v/>
      </c>
      <c r="AH104" s="40" t="str">
        <f t="shared" ca="1" si="64"/>
        <v/>
      </c>
      <c r="AI104" s="35" t="str">
        <f t="shared" ca="1" si="65"/>
        <v/>
      </c>
      <c r="AJ104" s="40">
        <f ca="1">IF(Vorrunde!$R52="",0,Vorrunde!$R52)</f>
        <v>0</v>
      </c>
      <c r="AK104" s="35">
        <f ca="1">IF(Vorrunde!$T52="",0,Vorrunde!$T52)</f>
        <v>0</v>
      </c>
      <c r="AL104" s="13" t="str">
        <f ca="1">IF($AA104=0,"",IF($AJ104&gt;$AK104,Einstellungen!$C$4,IF($AJ104=$AK104,1,0)))</f>
        <v/>
      </c>
      <c r="AM104" s="35" t="str">
        <f ca="1">IF($AA104=0,"",IF($AJ104&lt;$AK104,Einstellungen!$C$4,IF($AJ104=$AK104,1,0)))</f>
        <v/>
      </c>
    </row>
    <row r="105" spans="2:39" s="2" customFormat="1" x14ac:dyDescent="0.2">
      <c r="B105" s="4"/>
      <c r="C105" s="4"/>
      <c r="D105" s="4"/>
      <c r="E105" s="4"/>
      <c r="F105" s="13"/>
      <c r="G105" s="13"/>
      <c r="H105" s="13"/>
      <c r="I105" s="13"/>
      <c r="J105" s="13"/>
      <c r="K105" s="13"/>
      <c r="L105" s="13"/>
      <c r="M105" s="13"/>
      <c r="U105" s="65" t="s">
        <v>63</v>
      </c>
      <c r="V105" s="40" t="str">
        <f ca="1">Planung!$L47</f>
        <v/>
      </c>
      <c r="W105" s="13" t="str">
        <f ca="1">Planung!$N47</f>
        <v/>
      </c>
      <c r="X105" s="13" t="str">
        <f ca="1">IF(AND($AA105=1,Vorrunde!$I53&lt;&gt;"",Vorrunde!$K53&lt;&gt;"",ABS(Vorrunde!$I53-Vorrunde!$K53)&gt;1),Vorrunde!$I53,"")</f>
        <v/>
      </c>
      <c r="Y105" s="35" t="str">
        <f ca="1">IF(AND($AA105=1,Vorrunde!$I53&lt;&gt;"",Vorrunde!$K53&lt;&gt;"",ABS(Vorrunde!$I53-Vorrunde!$K53)&gt;1),Vorrunde!$K53,"")</f>
        <v/>
      </c>
      <c r="Z105" s="34" t="str">
        <f t="shared" ca="1" si="63"/>
        <v/>
      </c>
      <c r="AA105" s="13">
        <f ca="1">IF(AND(V105&lt;&gt;"",W105&lt;&gt;"",V105&lt;&gt;W105,Vorrunde!$R53&lt;&gt;"",Vorrunde!$T53&lt;&gt;""),1,0)</f>
        <v>0</v>
      </c>
      <c r="AB105" s="13" t="str">
        <f ca="1">IF(AA105&gt;0,AH105&amp;Sprache!$E$108&amp;AI105,"")</f>
        <v/>
      </c>
      <c r="AC105" s="35" t="str">
        <f ca="1">IF(AA105&gt;0,AJ105&amp;Sprache!$E$108&amp;AK105,"")</f>
        <v/>
      </c>
      <c r="AD105" s="40" t="str">
        <f ca="1">IF(AND($AA105=1,Vorrunde!$L53&lt;&gt;"",Vorrunde!$N53&lt;&gt;"",ABS(Vorrunde!$L53-Vorrunde!$N53)&gt;1),Vorrunde!$L53,"")</f>
        <v/>
      </c>
      <c r="AE105" s="35" t="str">
        <f ca="1">IF(AND($AA105=1,Vorrunde!$L53&lt;&gt;"",Vorrunde!$N53&lt;&gt;"",ABS(Vorrunde!$L53-Vorrunde!$N53)&gt;1),Vorrunde!$N53,"")</f>
        <v/>
      </c>
      <c r="AF105" s="40" t="str">
        <f ca="1">IF(AND($AA105=1,Vorrunde!$O53&lt;&gt;"",Vorrunde!$Q53&lt;&gt;"",ABS(Vorrunde!$O53-Vorrunde!$Q53)&gt;1),Vorrunde!$O53,"")</f>
        <v/>
      </c>
      <c r="AG105" s="35" t="str">
        <f ca="1">IF(AND($AA105=1,Vorrunde!$O53&lt;&gt;"",Vorrunde!$Q53&lt;&gt;"",ABS(Vorrunde!$O53-Vorrunde!$Q53)&gt;1),Vorrunde!$Q53,"")</f>
        <v/>
      </c>
      <c r="AH105" s="40" t="str">
        <f t="shared" ca="1" si="64"/>
        <v/>
      </c>
      <c r="AI105" s="35" t="str">
        <f t="shared" ca="1" si="65"/>
        <v/>
      </c>
      <c r="AJ105" s="40">
        <f ca="1">IF(Vorrunde!$R53="",0,Vorrunde!$R53)</f>
        <v>0</v>
      </c>
      <c r="AK105" s="35">
        <f ca="1">IF(Vorrunde!$T53="",0,Vorrunde!$T53)</f>
        <v>0</v>
      </c>
      <c r="AL105" s="13" t="str">
        <f ca="1">IF($AA105=0,"",IF($AJ105&gt;$AK105,Einstellungen!$C$4,IF($AJ105=$AK105,1,0)))</f>
        <v/>
      </c>
      <c r="AM105" s="35" t="str">
        <f ca="1">IF($AA105=0,"",IF($AJ105&lt;$AK105,Einstellungen!$C$4,IF($AJ105=$AK105,1,0)))</f>
        <v/>
      </c>
    </row>
    <row r="106" spans="2:39" s="2" customFormat="1" x14ac:dyDescent="0.2">
      <c r="B106" s="4"/>
      <c r="C106" s="4"/>
      <c r="D106" s="4"/>
      <c r="E106" s="4"/>
      <c r="F106" s="13"/>
      <c r="G106" s="13"/>
      <c r="H106" s="13"/>
      <c r="I106" s="13"/>
      <c r="J106" s="13"/>
      <c r="K106" s="13"/>
      <c r="L106" s="13"/>
      <c r="M106" s="13"/>
      <c r="U106" s="65" t="s">
        <v>64</v>
      </c>
      <c r="V106" s="40" t="str">
        <f ca="1">Planung!$L48</f>
        <v/>
      </c>
      <c r="W106" s="13" t="str">
        <f ca="1">Planung!$N48</f>
        <v/>
      </c>
      <c r="X106" s="13" t="str">
        <f ca="1">IF(AND($AA106=1,Vorrunde!$I54&lt;&gt;"",Vorrunde!$K54&lt;&gt;"",ABS(Vorrunde!$I54-Vorrunde!$K54)&gt;1),Vorrunde!$I54,"")</f>
        <v/>
      </c>
      <c r="Y106" s="35" t="str">
        <f ca="1">IF(AND($AA106=1,Vorrunde!$I54&lt;&gt;"",Vorrunde!$K54&lt;&gt;"",ABS(Vorrunde!$I54-Vorrunde!$K54)&gt;1),Vorrunde!$K54,"")</f>
        <v/>
      </c>
      <c r="Z106" s="34" t="str">
        <f t="shared" ca="1" si="63"/>
        <v/>
      </c>
      <c r="AA106" s="13">
        <f ca="1">IF(AND(V106&lt;&gt;"",W106&lt;&gt;"",V106&lt;&gt;W106,Vorrunde!$R54&lt;&gt;"",Vorrunde!$T54&lt;&gt;""),1,0)</f>
        <v>0</v>
      </c>
      <c r="AB106" s="13" t="str">
        <f ca="1">IF(AA106&gt;0,AH106&amp;Sprache!$E$108&amp;AI106,"")</f>
        <v/>
      </c>
      <c r="AC106" s="35" t="str">
        <f ca="1">IF(AA106&gt;0,AJ106&amp;Sprache!$E$108&amp;AK106,"")</f>
        <v/>
      </c>
      <c r="AD106" s="40" t="str">
        <f ca="1">IF(AND($AA106=1,Vorrunde!$L54&lt;&gt;"",Vorrunde!$N54&lt;&gt;"",ABS(Vorrunde!$L54-Vorrunde!$N54)&gt;1),Vorrunde!$L54,"")</f>
        <v/>
      </c>
      <c r="AE106" s="35" t="str">
        <f ca="1">IF(AND($AA106=1,Vorrunde!$L54&lt;&gt;"",Vorrunde!$N54&lt;&gt;"",ABS(Vorrunde!$L54-Vorrunde!$N54)&gt;1),Vorrunde!$N54,"")</f>
        <v/>
      </c>
      <c r="AF106" s="40" t="str">
        <f ca="1">IF(AND($AA106=1,Vorrunde!$O54&lt;&gt;"",Vorrunde!$Q54&lt;&gt;"",ABS(Vorrunde!$O54-Vorrunde!$Q54)&gt;1),Vorrunde!$O54,"")</f>
        <v/>
      </c>
      <c r="AG106" s="35" t="str">
        <f ca="1">IF(AND($AA106=1,Vorrunde!$O54&lt;&gt;"",Vorrunde!$Q54&lt;&gt;"",ABS(Vorrunde!$O54-Vorrunde!$Q54)&gt;1),Vorrunde!$Q54,"")</f>
        <v/>
      </c>
      <c r="AH106" s="40" t="str">
        <f t="shared" ca="1" si="64"/>
        <v/>
      </c>
      <c r="AI106" s="35" t="str">
        <f t="shared" ca="1" si="65"/>
        <v/>
      </c>
      <c r="AJ106" s="40">
        <f ca="1">IF(Vorrunde!$R54="",0,Vorrunde!$R54)</f>
        <v>0</v>
      </c>
      <c r="AK106" s="35">
        <f ca="1">IF(Vorrunde!$T54="",0,Vorrunde!$T54)</f>
        <v>0</v>
      </c>
      <c r="AL106" s="13" t="str">
        <f ca="1">IF($AA106=0,"",IF($AJ106&gt;$AK106,Einstellungen!$C$4,IF($AJ106=$AK106,1,0)))</f>
        <v/>
      </c>
      <c r="AM106" s="35" t="str">
        <f ca="1">IF($AA106=0,"",IF($AJ106&lt;$AK106,Einstellungen!$C$4,IF($AJ106=$AK106,1,0)))</f>
        <v/>
      </c>
    </row>
    <row r="107" spans="2:39" s="2" customFormat="1" x14ac:dyDescent="0.2">
      <c r="B107" s="4"/>
      <c r="C107" s="4"/>
      <c r="D107" s="4"/>
      <c r="E107" s="4"/>
      <c r="F107" s="13"/>
      <c r="G107" s="13"/>
      <c r="H107" s="13"/>
      <c r="I107" s="13"/>
      <c r="J107" s="13"/>
      <c r="K107" s="13"/>
      <c r="L107" s="13"/>
      <c r="M107" s="13"/>
      <c r="U107" s="65" t="s">
        <v>65</v>
      </c>
      <c r="V107" s="40" t="str">
        <f ca="1">Planung!$L49</f>
        <v/>
      </c>
      <c r="W107" s="13" t="str">
        <f ca="1">Planung!$N49</f>
        <v/>
      </c>
      <c r="X107" s="13" t="str">
        <f ca="1">IF(AND($AA107=1,Vorrunde!$I55&lt;&gt;"",Vorrunde!$K55&lt;&gt;"",ABS(Vorrunde!$I55-Vorrunde!$K55)&gt;1),Vorrunde!$I55,"")</f>
        <v/>
      </c>
      <c r="Y107" s="35" t="str">
        <f ca="1">IF(AND($AA107=1,Vorrunde!$I55&lt;&gt;"",Vorrunde!$K55&lt;&gt;"",ABS(Vorrunde!$I55-Vorrunde!$K55)&gt;1),Vorrunde!$K55,"")</f>
        <v/>
      </c>
      <c r="Z107" s="34" t="str">
        <f t="shared" ca="1" si="63"/>
        <v/>
      </c>
      <c r="AA107" s="13">
        <f ca="1">IF(AND(V107&lt;&gt;"",W107&lt;&gt;"",V107&lt;&gt;W107,Vorrunde!$R55&lt;&gt;"",Vorrunde!$T55&lt;&gt;""),1,0)</f>
        <v>0</v>
      </c>
      <c r="AB107" s="13" t="str">
        <f ca="1">IF(AA107&gt;0,AH107&amp;Sprache!$E$108&amp;AI107,"")</f>
        <v/>
      </c>
      <c r="AC107" s="35" t="str">
        <f ca="1">IF(AA107&gt;0,AJ107&amp;Sprache!$E$108&amp;AK107,"")</f>
        <v/>
      </c>
      <c r="AD107" s="40" t="str">
        <f ca="1">IF(AND($AA107=1,Vorrunde!$L55&lt;&gt;"",Vorrunde!$N55&lt;&gt;"",ABS(Vorrunde!$L55-Vorrunde!$N55)&gt;1),Vorrunde!$L55,"")</f>
        <v/>
      </c>
      <c r="AE107" s="35" t="str">
        <f ca="1">IF(AND($AA107=1,Vorrunde!$L55&lt;&gt;"",Vorrunde!$N55&lt;&gt;"",ABS(Vorrunde!$L55-Vorrunde!$N55)&gt;1),Vorrunde!$N55,"")</f>
        <v/>
      </c>
      <c r="AF107" s="40" t="str">
        <f ca="1">IF(AND($AA107=1,Vorrunde!$O55&lt;&gt;"",Vorrunde!$Q55&lt;&gt;"",ABS(Vorrunde!$O55-Vorrunde!$Q55)&gt;1),Vorrunde!$O55,"")</f>
        <v/>
      </c>
      <c r="AG107" s="35" t="str">
        <f ca="1">IF(AND($AA107=1,Vorrunde!$O55&lt;&gt;"",Vorrunde!$Q55&lt;&gt;"",ABS(Vorrunde!$O55-Vorrunde!$Q55)&gt;1),Vorrunde!$Q55,"")</f>
        <v/>
      </c>
      <c r="AH107" s="40" t="str">
        <f t="shared" ca="1" si="64"/>
        <v/>
      </c>
      <c r="AI107" s="35" t="str">
        <f t="shared" ca="1" si="65"/>
        <v/>
      </c>
      <c r="AJ107" s="40">
        <f ca="1">IF(Vorrunde!$R55="",0,Vorrunde!$R55)</f>
        <v>0</v>
      </c>
      <c r="AK107" s="35">
        <f ca="1">IF(Vorrunde!$T55="",0,Vorrunde!$T55)</f>
        <v>0</v>
      </c>
      <c r="AL107" s="13" t="str">
        <f ca="1">IF($AA107=0,"",IF($AJ107&gt;$AK107,Einstellungen!$C$4,IF($AJ107=$AK107,1,0)))</f>
        <v/>
      </c>
      <c r="AM107" s="35" t="str">
        <f ca="1">IF($AA107=0,"",IF($AJ107&lt;$AK107,Einstellungen!$C$4,IF($AJ107=$AK107,1,0)))</f>
        <v/>
      </c>
    </row>
    <row r="108" spans="2:39" s="2" customFormat="1" x14ac:dyDescent="0.2">
      <c r="B108" s="4"/>
      <c r="C108" s="4"/>
      <c r="D108" s="4"/>
      <c r="E108" s="4"/>
      <c r="F108" s="13"/>
      <c r="G108" s="13"/>
      <c r="H108" s="13"/>
      <c r="I108" s="13"/>
      <c r="J108" s="13"/>
      <c r="K108" s="13"/>
      <c r="L108" s="13"/>
      <c r="M108" s="13"/>
      <c r="U108" s="65" t="s">
        <v>66</v>
      </c>
      <c r="V108" s="40" t="str">
        <f ca="1">Planung!$L50</f>
        <v/>
      </c>
      <c r="W108" s="13" t="str">
        <f ca="1">Planung!$N50</f>
        <v/>
      </c>
      <c r="X108" s="13" t="str">
        <f ca="1">IF(AND($AA108=1,Vorrunde!$I56&lt;&gt;"",Vorrunde!$K56&lt;&gt;"",ABS(Vorrunde!$I56-Vorrunde!$K56)&gt;1),Vorrunde!$I56,"")</f>
        <v/>
      </c>
      <c r="Y108" s="35" t="str">
        <f ca="1">IF(AND($AA108=1,Vorrunde!$I56&lt;&gt;"",Vorrunde!$K56&lt;&gt;"",ABS(Vorrunde!$I56-Vorrunde!$K56)&gt;1),Vorrunde!$K56,"")</f>
        <v/>
      </c>
      <c r="Z108" s="34" t="str">
        <f t="shared" ca="1" si="63"/>
        <v/>
      </c>
      <c r="AA108" s="13">
        <f ca="1">IF(AND(V108&lt;&gt;"",W108&lt;&gt;"",V108&lt;&gt;W108,Vorrunde!$R56&lt;&gt;"",Vorrunde!$T56&lt;&gt;""),1,0)</f>
        <v>0</v>
      </c>
      <c r="AB108" s="13" t="str">
        <f ca="1">IF(AA108&gt;0,AH108&amp;Sprache!$E$108&amp;AI108,"")</f>
        <v/>
      </c>
      <c r="AC108" s="35" t="str">
        <f ca="1">IF(AA108&gt;0,AJ108&amp;Sprache!$E$108&amp;AK108,"")</f>
        <v/>
      </c>
      <c r="AD108" s="40" t="str">
        <f ca="1">IF(AND($AA108=1,Vorrunde!$L56&lt;&gt;"",Vorrunde!$N56&lt;&gt;"",ABS(Vorrunde!$L56-Vorrunde!$N56)&gt;1),Vorrunde!$L56,"")</f>
        <v/>
      </c>
      <c r="AE108" s="35" t="str">
        <f ca="1">IF(AND($AA108=1,Vorrunde!$L56&lt;&gt;"",Vorrunde!$N56&lt;&gt;"",ABS(Vorrunde!$L56-Vorrunde!$N56)&gt;1),Vorrunde!$N56,"")</f>
        <v/>
      </c>
      <c r="AF108" s="40" t="str">
        <f ca="1">IF(AND($AA108=1,Vorrunde!$O56&lt;&gt;"",Vorrunde!$Q56&lt;&gt;"",ABS(Vorrunde!$O56-Vorrunde!$Q56)&gt;1),Vorrunde!$O56,"")</f>
        <v/>
      </c>
      <c r="AG108" s="35" t="str">
        <f ca="1">IF(AND($AA108=1,Vorrunde!$O56&lt;&gt;"",Vorrunde!$Q56&lt;&gt;"",ABS(Vorrunde!$O56-Vorrunde!$Q56)&gt;1),Vorrunde!$Q56,"")</f>
        <v/>
      </c>
      <c r="AH108" s="40" t="str">
        <f t="shared" ca="1" si="64"/>
        <v/>
      </c>
      <c r="AI108" s="35" t="str">
        <f t="shared" ca="1" si="65"/>
        <v/>
      </c>
      <c r="AJ108" s="40">
        <f ca="1">IF(Vorrunde!$R56="",0,Vorrunde!$R56)</f>
        <v>0</v>
      </c>
      <c r="AK108" s="35">
        <f ca="1">IF(Vorrunde!$T56="",0,Vorrunde!$T56)</f>
        <v>0</v>
      </c>
      <c r="AL108" s="13" t="str">
        <f ca="1">IF($AA108=0,"",IF($AJ108&gt;$AK108,Einstellungen!$C$4,IF($AJ108=$AK108,1,0)))</f>
        <v/>
      </c>
      <c r="AM108" s="35" t="str">
        <f ca="1">IF($AA108=0,"",IF($AJ108&lt;$AK108,Einstellungen!$C$4,IF($AJ108=$AK108,1,0)))</f>
        <v/>
      </c>
    </row>
    <row r="109" spans="2:39" s="2" customFormat="1" x14ac:dyDescent="0.2">
      <c r="B109" s="4"/>
      <c r="C109" s="4"/>
      <c r="D109" s="4"/>
      <c r="E109" s="4"/>
      <c r="F109" s="13"/>
      <c r="G109" s="13"/>
      <c r="H109" s="13"/>
      <c r="I109" s="13"/>
      <c r="J109" s="13"/>
      <c r="K109" s="13"/>
      <c r="L109" s="13"/>
      <c r="M109" s="13"/>
      <c r="U109" s="65" t="s">
        <v>67</v>
      </c>
      <c r="V109" s="40" t="str">
        <f ca="1">Planung!$L51</f>
        <v/>
      </c>
      <c r="W109" s="13" t="str">
        <f ca="1">Planung!$N51</f>
        <v/>
      </c>
      <c r="X109" s="13" t="str">
        <f ca="1">IF(AND($AA109=1,Vorrunde!$I57&lt;&gt;"",Vorrunde!$K57&lt;&gt;"",ABS(Vorrunde!$I57-Vorrunde!$K57)&gt;1),Vorrunde!$I57,"")</f>
        <v/>
      </c>
      <c r="Y109" s="35" t="str">
        <f ca="1">IF(AND($AA109=1,Vorrunde!$I57&lt;&gt;"",Vorrunde!$K57&lt;&gt;"",ABS(Vorrunde!$I57-Vorrunde!$K57)&gt;1),Vorrunde!$K57,"")</f>
        <v/>
      </c>
      <c r="Z109" s="34" t="str">
        <f t="shared" ca="1" si="63"/>
        <v/>
      </c>
      <c r="AA109" s="13">
        <f ca="1">IF(AND(V109&lt;&gt;"",W109&lt;&gt;"",V109&lt;&gt;W109,Vorrunde!$R57&lt;&gt;"",Vorrunde!$T57&lt;&gt;""),1,0)</f>
        <v>0</v>
      </c>
      <c r="AB109" s="13" t="str">
        <f ca="1">IF(AA109&gt;0,AH109&amp;Sprache!$E$108&amp;AI109,"")</f>
        <v/>
      </c>
      <c r="AC109" s="35" t="str">
        <f ca="1">IF(AA109&gt;0,AJ109&amp;Sprache!$E$108&amp;AK109,"")</f>
        <v/>
      </c>
      <c r="AD109" s="40" t="str">
        <f ca="1">IF(AND($AA109=1,Vorrunde!$L57&lt;&gt;"",Vorrunde!$N57&lt;&gt;"",ABS(Vorrunde!$L57-Vorrunde!$N57)&gt;1),Vorrunde!$L57,"")</f>
        <v/>
      </c>
      <c r="AE109" s="35" t="str">
        <f ca="1">IF(AND($AA109=1,Vorrunde!$L57&lt;&gt;"",Vorrunde!$N57&lt;&gt;"",ABS(Vorrunde!$L57-Vorrunde!$N57)&gt;1),Vorrunde!$N57,"")</f>
        <v/>
      </c>
      <c r="AF109" s="40" t="str">
        <f ca="1">IF(AND($AA109=1,Vorrunde!$O57&lt;&gt;"",Vorrunde!$Q57&lt;&gt;"",ABS(Vorrunde!$O57-Vorrunde!$Q57)&gt;1),Vorrunde!$O57,"")</f>
        <v/>
      </c>
      <c r="AG109" s="35" t="str">
        <f ca="1">IF(AND($AA109=1,Vorrunde!$O57&lt;&gt;"",Vorrunde!$Q57&lt;&gt;"",ABS(Vorrunde!$O57-Vorrunde!$Q57)&gt;1),Vorrunde!$Q57,"")</f>
        <v/>
      </c>
      <c r="AH109" s="40" t="str">
        <f t="shared" ca="1" si="64"/>
        <v/>
      </c>
      <c r="AI109" s="35" t="str">
        <f t="shared" ca="1" si="65"/>
        <v/>
      </c>
      <c r="AJ109" s="40">
        <f ca="1">IF(Vorrunde!$R57="",0,Vorrunde!$R57)</f>
        <v>0</v>
      </c>
      <c r="AK109" s="35">
        <f ca="1">IF(Vorrunde!$T57="",0,Vorrunde!$T57)</f>
        <v>0</v>
      </c>
      <c r="AL109" s="13" t="str">
        <f ca="1">IF($AA109=0,"",IF($AJ109&gt;$AK109,Einstellungen!$C$4,IF($AJ109=$AK109,1,0)))</f>
        <v/>
      </c>
      <c r="AM109" s="35" t="str">
        <f ca="1">IF($AA109=0,"",IF($AJ109&lt;$AK109,Einstellungen!$C$4,IF($AJ109=$AK109,1,0)))</f>
        <v/>
      </c>
    </row>
    <row r="110" spans="2:39" s="2" customFormat="1" x14ac:dyDescent="0.2">
      <c r="B110" s="4"/>
      <c r="C110" s="4"/>
      <c r="D110" s="4"/>
      <c r="E110" s="4"/>
      <c r="F110" s="13"/>
      <c r="G110" s="13"/>
      <c r="H110" s="13"/>
      <c r="I110" s="13"/>
      <c r="J110" s="13"/>
      <c r="K110" s="13"/>
      <c r="L110" s="13"/>
      <c r="M110" s="13"/>
      <c r="U110" s="65" t="s">
        <v>68</v>
      </c>
      <c r="V110" s="40" t="str">
        <f ca="1">Planung!$L52</f>
        <v/>
      </c>
      <c r="W110" s="13" t="str">
        <f ca="1">Planung!$N52</f>
        <v/>
      </c>
      <c r="X110" s="13" t="str">
        <f ca="1">IF(AND($AA110=1,Vorrunde!$I58&lt;&gt;"",Vorrunde!$K58&lt;&gt;"",ABS(Vorrunde!$I58-Vorrunde!$K58)&gt;1),Vorrunde!$I58,"")</f>
        <v/>
      </c>
      <c r="Y110" s="35" t="str">
        <f ca="1">IF(AND($AA110=1,Vorrunde!$I58&lt;&gt;"",Vorrunde!$K58&lt;&gt;"",ABS(Vorrunde!$I58-Vorrunde!$K58)&gt;1),Vorrunde!$K58,"")</f>
        <v/>
      </c>
      <c r="Z110" s="34" t="str">
        <f t="shared" ca="1" si="63"/>
        <v/>
      </c>
      <c r="AA110" s="13">
        <f ca="1">IF(AND(V110&lt;&gt;"",W110&lt;&gt;"",V110&lt;&gt;W110,Vorrunde!$R58&lt;&gt;"",Vorrunde!$T58&lt;&gt;""),1,0)</f>
        <v>0</v>
      </c>
      <c r="AB110" s="13" t="str">
        <f ca="1">IF(AA110&gt;0,AH110&amp;Sprache!$E$108&amp;AI110,"")</f>
        <v/>
      </c>
      <c r="AC110" s="35" t="str">
        <f ca="1">IF(AA110&gt;0,AJ110&amp;Sprache!$E$108&amp;AK110,"")</f>
        <v/>
      </c>
      <c r="AD110" s="40" t="str">
        <f ca="1">IF(AND($AA110=1,Vorrunde!$L58&lt;&gt;"",Vorrunde!$N58&lt;&gt;"",ABS(Vorrunde!$L58-Vorrunde!$N58)&gt;1),Vorrunde!$L58,"")</f>
        <v/>
      </c>
      <c r="AE110" s="35" t="str">
        <f ca="1">IF(AND($AA110=1,Vorrunde!$L58&lt;&gt;"",Vorrunde!$N58&lt;&gt;"",ABS(Vorrunde!$L58-Vorrunde!$N58)&gt;1),Vorrunde!$N58,"")</f>
        <v/>
      </c>
      <c r="AF110" s="40" t="str">
        <f ca="1">IF(AND($AA110=1,Vorrunde!$O58&lt;&gt;"",Vorrunde!$Q58&lt;&gt;"",ABS(Vorrunde!$O58-Vorrunde!$Q58)&gt;1),Vorrunde!$O58,"")</f>
        <v/>
      </c>
      <c r="AG110" s="35" t="str">
        <f ca="1">IF(AND($AA110=1,Vorrunde!$O58&lt;&gt;"",Vorrunde!$Q58&lt;&gt;"",ABS(Vorrunde!$O58-Vorrunde!$Q58)&gt;1),Vorrunde!$Q58,"")</f>
        <v/>
      </c>
      <c r="AH110" s="40" t="str">
        <f t="shared" ca="1" si="64"/>
        <v/>
      </c>
      <c r="AI110" s="35" t="str">
        <f t="shared" ca="1" si="65"/>
        <v/>
      </c>
      <c r="AJ110" s="40">
        <f ca="1">IF(Vorrunde!$R58="",0,Vorrunde!$R58)</f>
        <v>0</v>
      </c>
      <c r="AK110" s="35">
        <f ca="1">IF(Vorrunde!$T58="",0,Vorrunde!$T58)</f>
        <v>0</v>
      </c>
      <c r="AL110" s="13" t="str">
        <f ca="1">IF($AA110=0,"",IF($AJ110&gt;$AK110,Einstellungen!$C$4,IF($AJ110=$AK110,1,0)))</f>
        <v/>
      </c>
      <c r="AM110" s="35" t="str">
        <f ca="1">IF($AA110=0,"",IF($AJ110&lt;$AK110,Einstellungen!$C$4,IF($AJ110=$AK110,1,0)))</f>
        <v/>
      </c>
    </row>
    <row r="111" spans="2:39" s="2" customFormat="1" x14ac:dyDescent="0.2">
      <c r="B111" s="4"/>
      <c r="C111" s="4"/>
      <c r="D111" s="4"/>
      <c r="E111" s="4"/>
      <c r="F111" s="13"/>
      <c r="G111" s="13"/>
      <c r="H111" s="13"/>
      <c r="I111" s="13"/>
      <c r="J111" s="13"/>
      <c r="K111" s="13"/>
      <c r="L111" s="13"/>
      <c r="M111" s="13"/>
      <c r="U111" s="65" t="s">
        <v>69</v>
      </c>
      <c r="V111" s="40" t="str">
        <f ca="1">Planung!$L53</f>
        <v/>
      </c>
      <c r="W111" s="13" t="str">
        <f ca="1">Planung!$N53</f>
        <v/>
      </c>
      <c r="X111" s="13" t="str">
        <f ca="1">IF(AND($AA111=1,Vorrunde!$I59&lt;&gt;"",Vorrunde!$K59&lt;&gt;"",ABS(Vorrunde!$I59-Vorrunde!$K59)&gt;1),Vorrunde!$I59,"")</f>
        <v/>
      </c>
      <c r="Y111" s="35" t="str">
        <f ca="1">IF(AND($AA111=1,Vorrunde!$I59&lt;&gt;"",Vorrunde!$K59&lt;&gt;"",ABS(Vorrunde!$I59-Vorrunde!$K59)&gt;1),Vorrunde!$K59,"")</f>
        <v/>
      </c>
      <c r="Z111" s="34" t="str">
        <f t="shared" ca="1" si="63"/>
        <v/>
      </c>
      <c r="AA111" s="13">
        <f ca="1">IF(AND(V111&lt;&gt;"",W111&lt;&gt;"",V111&lt;&gt;W111,Vorrunde!$R59&lt;&gt;"",Vorrunde!$T59&lt;&gt;""),1,0)</f>
        <v>0</v>
      </c>
      <c r="AB111" s="13" t="str">
        <f ca="1">IF(AA111&gt;0,AH111&amp;Sprache!$E$108&amp;AI111,"")</f>
        <v/>
      </c>
      <c r="AC111" s="35" t="str">
        <f ca="1">IF(AA111&gt;0,AJ111&amp;Sprache!$E$108&amp;AK111,"")</f>
        <v/>
      </c>
      <c r="AD111" s="40" t="str">
        <f ca="1">IF(AND($AA111=1,Vorrunde!$L59&lt;&gt;"",Vorrunde!$N59&lt;&gt;"",ABS(Vorrunde!$L59-Vorrunde!$N59)&gt;1),Vorrunde!$L59,"")</f>
        <v/>
      </c>
      <c r="AE111" s="35" t="str">
        <f ca="1">IF(AND($AA111=1,Vorrunde!$L59&lt;&gt;"",Vorrunde!$N59&lt;&gt;"",ABS(Vorrunde!$L59-Vorrunde!$N59)&gt;1),Vorrunde!$N59,"")</f>
        <v/>
      </c>
      <c r="AF111" s="40" t="str">
        <f ca="1">IF(AND($AA111=1,Vorrunde!$O59&lt;&gt;"",Vorrunde!$Q59&lt;&gt;"",ABS(Vorrunde!$O59-Vorrunde!$Q59)&gt;1),Vorrunde!$O59,"")</f>
        <v/>
      </c>
      <c r="AG111" s="35" t="str">
        <f ca="1">IF(AND($AA111=1,Vorrunde!$O59&lt;&gt;"",Vorrunde!$Q59&lt;&gt;"",ABS(Vorrunde!$O59-Vorrunde!$Q59)&gt;1),Vorrunde!$Q59,"")</f>
        <v/>
      </c>
      <c r="AH111" s="40" t="str">
        <f t="shared" ca="1" si="64"/>
        <v/>
      </c>
      <c r="AI111" s="35" t="str">
        <f t="shared" ca="1" si="65"/>
        <v/>
      </c>
      <c r="AJ111" s="40">
        <f ca="1">IF(Vorrunde!$R59="",0,Vorrunde!$R59)</f>
        <v>0</v>
      </c>
      <c r="AK111" s="35">
        <f ca="1">IF(Vorrunde!$T59="",0,Vorrunde!$T59)</f>
        <v>0</v>
      </c>
      <c r="AL111" s="13" t="str">
        <f ca="1">IF($AA111=0,"",IF($AJ111&gt;$AK111,Einstellungen!$C$4,IF($AJ111=$AK111,1,0)))</f>
        <v/>
      </c>
      <c r="AM111" s="35" t="str">
        <f ca="1">IF($AA111=0,"",IF($AJ111&lt;$AK111,Einstellungen!$C$4,IF($AJ111=$AK111,1,0)))</f>
        <v/>
      </c>
    </row>
    <row r="112" spans="2:39" s="2" customFormat="1" x14ac:dyDescent="0.2">
      <c r="B112" s="4"/>
      <c r="C112" s="4"/>
      <c r="D112" s="4"/>
      <c r="E112" s="4"/>
      <c r="F112" s="13"/>
      <c r="G112" s="13"/>
      <c r="H112" s="13"/>
      <c r="I112" s="13"/>
      <c r="J112" s="13"/>
      <c r="K112" s="13"/>
      <c r="L112" s="13"/>
      <c r="M112" s="13"/>
      <c r="U112" s="65" t="s">
        <v>70</v>
      </c>
      <c r="V112" s="40" t="str">
        <f ca="1">Planung!$L54</f>
        <v/>
      </c>
      <c r="W112" s="13" t="str">
        <f ca="1">Planung!$N54</f>
        <v/>
      </c>
      <c r="X112" s="13" t="str">
        <f ca="1">IF(AND($AA112=1,Vorrunde!$I60&lt;&gt;"",Vorrunde!$K60&lt;&gt;"",ABS(Vorrunde!$I60-Vorrunde!$K60)&gt;1),Vorrunde!$I60,"")</f>
        <v/>
      </c>
      <c r="Y112" s="35" t="str">
        <f ca="1">IF(AND($AA112=1,Vorrunde!$I60&lt;&gt;"",Vorrunde!$K60&lt;&gt;"",ABS(Vorrunde!$I60-Vorrunde!$K60)&gt;1),Vorrunde!$K60,"")</f>
        <v/>
      </c>
      <c r="Z112" s="34" t="str">
        <f t="shared" ca="1" si="63"/>
        <v/>
      </c>
      <c r="AA112" s="13">
        <f ca="1">IF(AND(V112&lt;&gt;"",W112&lt;&gt;"",V112&lt;&gt;W112,Vorrunde!$R60&lt;&gt;"",Vorrunde!$T60&lt;&gt;""),1,0)</f>
        <v>0</v>
      </c>
      <c r="AB112" s="13" t="str">
        <f ca="1">IF(AA112&gt;0,AH112&amp;Sprache!$E$108&amp;AI112,"")</f>
        <v/>
      </c>
      <c r="AC112" s="35" t="str">
        <f ca="1">IF(AA112&gt;0,AJ112&amp;Sprache!$E$108&amp;AK112,"")</f>
        <v/>
      </c>
      <c r="AD112" s="40" t="str">
        <f ca="1">IF(AND($AA112=1,Vorrunde!$L60&lt;&gt;"",Vorrunde!$N60&lt;&gt;"",ABS(Vorrunde!$L60-Vorrunde!$N60)&gt;1),Vorrunde!$L60,"")</f>
        <v/>
      </c>
      <c r="AE112" s="35" t="str">
        <f ca="1">IF(AND($AA112=1,Vorrunde!$L60&lt;&gt;"",Vorrunde!$N60&lt;&gt;"",ABS(Vorrunde!$L60-Vorrunde!$N60)&gt;1),Vorrunde!$N60,"")</f>
        <v/>
      </c>
      <c r="AF112" s="40" t="str">
        <f ca="1">IF(AND($AA112=1,Vorrunde!$O60&lt;&gt;"",Vorrunde!$Q60&lt;&gt;"",ABS(Vorrunde!$O60-Vorrunde!$Q60)&gt;1),Vorrunde!$O60,"")</f>
        <v/>
      </c>
      <c r="AG112" s="35" t="str">
        <f ca="1">IF(AND($AA112=1,Vorrunde!$O60&lt;&gt;"",Vorrunde!$Q60&lt;&gt;"",ABS(Vorrunde!$O60-Vorrunde!$Q60)&gt;1),Vorrunde!$Q60,"")</f>
        <v/>
      </c>
      <c r="AH112" s="40" t="str">
        <f t="shared" ca="1" si="64"/>
        <v/>
      </c>
      <c r="AI112" s="35" t="str">
        <f t="shared" ca="1" si="65"/>
        <v/>
      </c>
      <c r="AJ112" s="40">
        <f ca="1">IF(Vorrunde!$R60="",0,Vorrunde!$R60)</f>
        <v>0</v>
      </c>
      <c r="AK112" s="35">
        <f ca="1">IF(Vorrunde!$T60="",0,Vorrunde!$T60)</f>
        <v>0</v>
      </c>
      <c r="AL112" s="13" t="str">
        <f ca="1">IF($AA112=0,"",IF($AJ112&gt;$AK112,Einstellungen!$C$4,IF($AJ112=$AK112,1,0)))</f>
        <v/>
      </c>
      <c r="AM112" s="35" t="str">
        <f ca="1">IF($AA112=0,"",IF($AJ112&lt;$AK112,Einstellungen!$C$4,IF($AJ112=$AK112,1,0)))</f>
        <v/>
      </c>
    </row>
    <row r="113" spans="2:39" s="2" customFormat="1" x14ac:dyDescent="0.2">
      <c r="B113" s="4"/>
      <c r="C113" s="4"/>
      <c r="D113" s="4"/>
      <c r="E113" s="4"/>
      <c r="F113" s="13"/>
      <c r="G113" s="13"/>
      <c r="H113" s="13"/>
      <c r="I113" s="13"/>
      <c r="J113" s="13"/>
      <c r="K113" s="13"/>
      <c r="L113" s="13"/>
      <c r="M113" s="13"/>
      <c r="U113" s="65" t="s">
        <v>71</v>
      </c>
      <c r="V113" s="40" t="str">
        <f ca="1">Planung!$L55</f>
        <v/>
      </c>
      <c r="W113" s="13" t="str">
        <f ca="1">Planung!$N55</f>
        <v/>
      </c>
      <c r="X113" s="13" t="str">
        <f ca="1">IF(AND($AA113=1,Vorrunde!$I61&lt;&gt;"",Vorrunde!$K61&lt;&gt;"",ABS(Vorrunde!$I61-Vorrunde!$K61)&gt;1),Vorrunde!$I61,"")</f>
        <v/>
      </c>
      <c r="Y113" s="35" t="str">
        <f ca="1">IF(AND($AA113=1,Vorrunde!$I61&lt;&gt;"",Vorrunde!$K61&lt;&gt;"",ABS(Vorrunde!$I61-Vorrunde!$K61)&gt;1),Vorrunde!$K61,"")</f>
        <v/>
      </c>
      <c r="Z113" s="34" t="str">
        <f t="shared" ca="1" si="63"/>
        <v/>
      </c>
      <c r="AA113" s="13">
        <f ca="1">IF(AND(V113&lt;&gt;"",W113&lt;&gt;"",V113&lt;&gt;W113,Vorrunde!$R61&lt;&gt;"",Vorrunde!$T61&lt;&gt;""),1,0)</f>
        <v>0</v>
      </c>
      <c r="AB113" s="13" t="str">
        <f ca="1">IF(AA113&gt;0,AH113&amp;Sprache!$E$108&amp;AI113,"")</f>
        <v/>
      </c>
      <c r="AC113" s="35" t="str">
        <f ca="1">IF(AA113&gt;0,AJ113&amp;Sprache!$E$108&amp;AK113,"")</f>
        <v/>
      </c>
      <c r="AD113" s="40" t="str">
        <f ca="1">IF(AND($AA113=1,Vorrunde!$L61&lt;&gt;"",Vorrunde!$N61&lt;&gt;"",ABS(Vorrunde!$L61-Vorrunde!$N61)&gt;1),Vorrunde!$L61,"")</f>
        <v/>
      </c>
      <c r="AE113" s="35" t="str">
        <f ca="1">IF(AND($AA113=1,Vorrunde!$L61&lt;&gt;"",Vorrunde!$N61&lt;&gt;"",ABS(Vorrunde!$L61-Vorrunde!$N61)&gt;1),Vorrunde!$N61,"")</f>
        <v/>
      </c>
      <c r="AF113" s="40" t="str">
        <f ca="1">IF(AND($AA113=1,Vorrunde!$O61&lt;&gt;"",Vorrunde!$Q61&lt;&gt;"",ABS(Vorrunde!$O61-Vorrunde!$Q61)&gt;1),Vorrunde!$O61,"")</f>
        <v/>
      </c>
      <c r="AG113" s="35" t="str">
        <f ca="1">IF(AND($AA113=1,Vorrunde!$O61&lt;&gt;"",Vorrunde!$Q61&lt;&gt;"",ABS(Vorrunde!$O61-Vorrunde!$Q61)&gt;1),Vorrunde!$Q61,"")</f>
        <v/>
      </c>
      <c r="AH113" s="40" t="str">
        <f t="shared" ca="1" si="64"/>
        <v/>
      </c>
      <c r="AI113" s="35" t="str">
        <f t="shared" ca="1" si="65"/>
        <v/>
      </c>
      <c r="AJ113" s="40">
        <f ca="1">IF(Vorrunde!$R61="",0,Vorrunde!$R61)</f>
        <v>0</v>
      </c>
      <c r="AK113" s="35">
        <f ca="1">IF(Vorrunde!$T61="",0,Vorrunde!$T61)</f>
        <v>0</v>
      </c>
      <c r="AL113" s="13" t="str">
        <f ca="1">IF($AA113=0,"",IF($AJ113&gt;$AK113,Einstellungen!$C$4,IF($AJ113=$AK113,1,0)))</f>
        <v/>
      </c>
      <c r="AM113" s="35" t="str">
        <f ca="1">IF($AA113=0,"",IF($AJ113&lt;$AK113,Einstellungen!$C$4,IF($AJ113=$AK113,1,0)))</f>
        <v/>
      </c>
    </row>
    <row r="114" spans="2:39" s="2" customFormat="1" x14ac:dyDescent="0.2">
      <c r="B114" s="4"/>
      <c r="C114" s="4"/>
      <c r="D114" s="4"/>
      <c r="E114" s="4"/>
      <c r="F114" s="13"/>
      <c r="G114" s="13"/>
      <c r="H114" s="13"/>
      <c r="I114" s="13"/>
      <c r="J114" s="13"/>
      <c r="K114" s="13"/>
      <c r="L114" s="13"/>
      <c r="M114" s="13"/>
      <c r="U114" s="65" t="s">
        <v>72</v>
      </c>
      <c r="V114" s="40" t="str">
        <f ca="1">Planung!$L56</f>
        <v/>
      </c>
      <c r="W114" s="13" t="str">
        <f ca="1">Planung!$N56</f>
        <v/>
      </c>
      <c r="X114" s="13" t="str">
        <f ca="1">IF(AND($AA114=1,Vorrunde!$I62&lt;&gt;"",Vorrunde!$K62&lt;&gt;"",ABS(Vorrunde!$I62-Vorrunde!$K62)&gt;1),Vorrunde!$I62,"")</f>
        <v/>
      </c>
      <c r="Y114" s="35" t="str">
        <f ca="1">IF(AND($AA114=1,Vorrunde!$I62&lt;&gt;"",Vorrunde!$K62&lt;&gt;"",ABS(Vorrunde!$I62-Vorrunde!$K62)&gt;1),Vorrunde!$K62,"")</f>
        <v/>
      </c>
      <c r="Z114" s="34" t="str">
        <f t="shared" ca="1" si="63"/>
        <v/>
      </c>
      <c r="AA114" s="13">
        <f ca="1">IF(AND(V114&lt;&gt;"",W114&lt;&gt;"",V114&lt;&gt;W114,Vorrunde!$R62&lt;&gt;"",Vorrunde!$T62&lt;&gt;""),1,0)</f>
        <v>0</v>
      </c>
      <c r="AB114" s="13" t="str">
        <f ca="1">IF(AA114&gt;0,AH114&amp;Sprache!$E$108&amp;AI114,"")</f>
        <v/>
      </c>
      <c r="AC114" s="35" t="str">
        <f ca="1">IF(AA114&gt;0,AJ114&amp;Sprache!$E$108&amp;AK114,"")</f>
        <v/>
      </c>
      <c r="AD114" s="40" t="str">
        <f ca="1">IF(AND($AA114=1,Vorrunde!$L62&lt;&gt;"",Vorrunde!$N62&lt;&gt;"",ABS(Vorrunde!$L62-Vorrunde!$N62)&gt;1),Vorrunde!$L62,"")</f>
        <v/>
      </c>
      <c r="AE114" s="35" t="str">
        <f ca="1">IF(AND($AA114=1,Vorrunde!$L62&lt;&gt;"",Vorrunde!$N62&lt;&gt;"",ABS(Vorrunde!$L62-Vorrunde!$N62)&gt;1),Vorrunde!$N62,"")</f>
        <v/>
      </c>
      <c r="AF114" s="40" t="str">
        <f ca="1">IF(AND($AA114=1,Vorrunde!$O62&lt;&gt;"",Vorrunde!$Q62&lt;&gt;"",ABS(Vorrunde!$O62-Vorrunde!$Q62)&gt;1),Vorrunde!$O62,"")</f>
        <v/>
      </c>
      <c r="AG114" s="35" t="str">
        <f ca="1">IF(AND($AA114=1,Vorrunde!$O62&lt;&gt;"",Vorrunde!$Q62&lt;&gt;"",ABS(Vorrunde!$O62-Vorrunde!$Q62)&gt;1),Vorrunde!$Q62,"")</f>
        <v/>
      </c>
      <c r="AH114" s="40" t="str">
        <f t="shared" ca="1" si="64"/>
        <v/>
      </c>
      <c r="AI114" s="35" t="str">
        <f t="shared" ca="1" si="65"/>
        <v/>
      </c>
      <c r="AJ114" s="40">
        <f ca="1">IF(Vorrunde!$R62="",0,Vorrunde!$R62)</f>
        <v>0</v>
      </c>
      <c r="AK114" s="35">
        <f ca="1">IF(Vorrunde!$T62="",0,Vorrunde!$T62)</f>
        <v>0</v>
      </c>
      <c r="AL114" s="13" t="str">
        <f ca="1">IF($AA114=0,"",IF($AJ114&gt;$AK114,Einstellungen!$C$4,IF($AJ114=$AK114,1,0)))</f>
        <v/>
      </c>
      <c r="AM114" s="35" t="str">
        <f ca="1">IF($AA114=0,"",IF($AJ114&lt;$AK114,Einstellungen!$C$4,IF($AJ114=$AK114,1,0)))</f>
        <v/>
      </c>
    </row>
    <row r="115" spans="2:39" s="2" customFormat="1" x14ac:dyDescent="0.2">
      <c r="B115" s="4"/>
      <c r="C115" s="4"/>
      <c r="D115" s="4"/>
      <c r="E115" s="4"/>
      <c r="F115" s="13"/>
      <c r="G115" s="13"/>
      <c r="H115" s="13"/>
      <c r="I115" s="13"/>
      <c r="J115" s="13"/>
      <c r="K115" s="13"/>
      <c r="L115" s="13"/>
      <c r="M115" s="13"/>
      <c r="U115" s="65" t="s">
        <v>73</v>
      </c>
      <c r="V115" s="40" t="str">
        <f ca="1">Planung!$L57</f>
        <v/>
      </c>
      <c r="W115" s="13" t="str">
        <f ca="1">Planung!$N57</f>
        <v/>
      </c>
      <c r="X115" s="13" t="str">
        <f ca="1">IF(AND($AA115=1,Vorrunde!$I63&lt;&gt;"",Vorrunde!$K63&lt;&gt;"",ABS(Vorrunde!$I63-Vorrunde!$K63)&gt;1),Vorrunde!$I63,"")</f>
        <v/>
      </c>
      <c r="Y115" s="35" t="str">
        <f ca="1">IF(AND($AA115=1,Vorrunde!$I63&lt;&gt;"",Vorrunde!$K63&lt;&gt;"",ABS(Vorrunde!$I63-Vorrunde!$K63)&gt;1),Vorrunde!$K63,"")</f>
        <v/>
      </c>
      <c r="Z115" s="34" t="str">
        <f t="shared" ca="1" si="63"/>
        <v/>
      </c>
      <c r="AA115" s="13">
        <f ca="1">IF(AND(V115&lt;&gt;"",W115&lt;&gt;"",V115&lt;&gt;W115,Vorrunde!$R63&lt;&gt;"",Vorrunde!$T63&lt;&gt;""),1,0)</f>
        <v>0</v>
      </c>
      <c r="AB115" s="13" t="str">
        <f ca="1">IF(AA115&gt;0,AH115&amp;Sprache!$E$108&amp;AI115,"")</f>
        <v/>
      </c>
      <c r="AC115" s="35" t="str">
        <f ca="1">IF(AA115&gt;0,AJ115&amp;Sprache!$E$108&amp;AK115,"")</f>
        <v/>
      </c>
      <c r="AD115" s="40" t="str">
        <f ca="1">IF(AND($AA115=1,Vorrunde!$L63&lt;&gt;"",Vorrunde!$N63&lt;&gt;"",ABS(Vorrunde!$L63-Vorrunde!$N63)&gt;1),Vorrunde!$L63,"")</f>
        <v/>
      </c>
      <c r="AE115" s="35" t="str">
        <f ca="1">IF(AND($AA115=1,Vorrunde!$L63&lt;&gt;"",Vorrunde!$N63&lt;&gt;"",ABS(Vorrunde!$L63-Vorrunde!$N63)&gt;1),Vorrunde!$N63,"")</f>
        <v/>
      </c>
      <c r="AF115" s="40" t="str">
        <f ca="1">IF(AND($AA115=1,Vorrunde!$O63&lt;&gt;"",Vorrunde!$Q63&lt;&gt;"",ABS(Vorrunde!$O63-Vorrunde!$Q63)&gt;1),Vorrunde!$O63,"")</f>
        <v/>
      </c>
      <c r="AG115" s="35" t="str">
        <f ca="1">IF(AND($AA115=1,Vorrunde!$O63&lt;&gt;"",Vorrunde!$Q63&lt;&gt;"",ABS(Vorrunde!$O63-Vorrunde!$Q63)&gt;1),Vorrunde!$Q63,"")</f>
        <v/>
      </c>
      <c r="AH115" s="40" t="str">
        <f t="shared" ca="1" si="64"/>
        <v/>
      </c>
      <c r="AI115" s="35" t="str">
        <f t="shared" ca="1" si="65"/>
        <v/>
      </c>
      <c r="AJ115" s="40">
        <f ca="1">IF(Vorrunde!$R63="",0,Vorrunde!$R63)</f>
        <v>0</v>
      </c>
      <c r="AK115" s="35">
        <f ca="1">IF(Vorrunde!$T63="",0,Vorrunde!$T63)</f>
        <v>0</v>
      </c>
      <c r="AL115" s="13" t="str">
        <f ca="1">IF($AA115=0,"",IF($AJ115&gt;$AK115,Einstellungen!$C$4,IF($AJ115=$AK115,1,0)))</f>
        <v/>
      </c>
      <c r="AM115" s="35" t="str">
        <f ca="1">IF($AA115=0,"",IF($AJ115&lt;$AK115,Einstellungen!$C$4,IF($AJ115=$AK115,1,0)))</f>
        <v/>
      </c>
    </row>
    <row r="116" spans="2:39" s="2" customFormat="1" x14ac:dyDescent="0.2">
      <c r="B116" s="4"/>
      <c r="C116" s="4"/>
      <c r="D116" s="4"/>
      <c r="E116" s="4"/>
      <c r="F116" s="13"/>
      <c r="G116" s="13"/>
      <c r="H116" s="13"/>
      <c r="I116" s="13"/>
      <c r="J116" s="13"/>
      <c r="K116" s="13"/>
      <c r="L116" s="13"/>
      <c r="M116" s="13"/>
      <c r="U116" s="65" t="s">
        <v>74</v>
      </c>
      <c r="V116" s="40" t="str">
        <f ca="1">Planung!$L58</f>
        <v/>
      </c>
      <c r="W116" s="13" t="str">
        <f ca="1">Planung!$N58</f>
        <v/>
      </c>
      <c r="X116" s="13" t="str">
        <f ca="1">IF(AND($AA116=1,Vorrunde!$I64&lt;&gt;"",Vorrunde!$K64&lt;&gt;"",ABS(Vorrunde!$I64-Vorrunde!$K64)&gt;1),Vorrunde!$I64,"")</f>
        <v/>
      </c>
      <c r="Y116" s="35" t="str">
        <f ca="1">IF(AND($AA116=1,Vorrunde!$I64&lt;&gt;"",Vorrunde!$K64&lt;&gt;"",ABS(Vorrunde!$I64-Vorrunde!$K64)&gt;1),Vorrunde!$K64,"")</f>
        <v/>
      </c>
      <c r="Z116" s="34" t="str">
        <f t="shared" ca="1" si="63"/>
        <v/>
      </c>
      <c r="AA116" s="13">
        <f ca="1">IF(AND(V116&lt;&gt;"",W116&lt;&gt;"",V116&lt;&gt;W116,Vorrunde!$R64&lt;&gt;"",Vorrunde!$T64&lt;&gt;""),1,0)</f>
        <v>0</v>
      </c>
      <c r="AB116" s="13" t="str">
        <f ca="1">IF(AA116&gt;0,AH116&amp;Sprache!$E$108&amp;AI116,"")</f>
        <v/>
      </c>
      <c r="AC116" s="35" t="str">
        <f ca="1">IF(AA116&gt;0,AJ116&amp;Sprache!$E$108&amp;AK116,"")</f>
        <v/>
      </c>
      <c r="AD116" s="40" t="str">
        <f ca="1">IF(AND($AA116=1,Vorrunde!$L64&lt;&gt;"",Vorrunde!$N64&lt;&gt;"",ABS(Vorrunde!$L64-Vorrunde!$N64)&gt;1),Vorrunde!$L64,"")</f>
        <v/>
      </c>
      <c r="AE116" s="35" t="str">
        <f ca="1">IF(AND($AA116=1,Vorrunde!$L64&lt;&gt;"",Vorrunde!$N64&lt;&gt;"",ABS(Vorrunde!$L64-Vorrunde!$N64)&gt;1),Vorrunde!$N64,"")</f>
        <v/>
      </c>
      <c r="AF116" s="40" t="str">
        <f ca="1">IF(AND($AA116=1,Vorrunde!$O64&lt;&gt;"",Vorrunde!$Q64&lt;&gt;"",ABS(Vorrunde!$O64-Vorrunde!$Q64)&gt;1),Vorrunde!$O64,"")</f>
        <v/>
      </c>
      <c r="AG116" s="35" t="str">
        <f ca="1">IF(AND($AA116=1,Vorrunde!$O64&lt;&gt;"",Vorrunde!$Q64&lt;&gt;"",ABS(Vorrunde!$O64-Vorrunde!$Q64)&gt;1),Vorrunde!$Q64,"")</f>
        <v/>
      </c>
      <c r="AH116" s="40" t="str">
        <f t="shared" ca="1" si="64"/>
        <v/>
      </c>
      <c r="AI116" s="35" t="str">
        <f t="shared" ca="1" si="65"/>
        <v/>
      </c>
      <c r="AJ116" s="40">
        <f ca="1">IF(Vorrunde!$R64="",0,Vorrunde!$R64)</f>
        <v>0</v>
      </c>
      <c r="AK116" s="35">
        <f ca="1">IF(Vorrunde!$T64="",0,Vorrunde!$T64)</f>
        <v>0</v>
      </c>
      <c r="AL116" s="13" t="str">
        <f ca="1">IF($AA116=0,"",IF($AJ116&gt;$AK116,Einstellungen!$C$4,IF($AJ116=$AK116,1,0)))</f>
        <v/>
      </c>
      <c r="AM116" s="35" t="str">
        <f ca="1">IF($AA116=0,"",IF($AJ116&lt;$AK116,Einstellungen!$C$4,IF($AJ116=$AK116,1,0)))</f>
        <v/>
      </c>
    </row>
    <row r="117" spans="2:39" s="2" customFormat="1" x14ac:dyDescent="0.2">
      <c r="B117" s="4"/>
      <c r="C117" s="4"/>
      <c r="D117" s="4"/>
      <c r="E117" s="4"/>
      <c r="F117" s="13"/>
      <c r="G117" s="13"/>
      <c r="H117" s="13"/>
      <c r="I117" s="13"/>
      <c r="J117" s="13"/>
      <c r="K117" s="13"/>
      <c r="L117" s="13"/>
      <c r="M117" s="13"/>
      <c r="U117" s="65" t="s">
        <v>75</v>
      </c>
      <c r="V117" s="40" t="str">
        <f ca="1">Planung!$L59</f>
        <v/>
      </c>
      <c r="W117" s="13" t="str">
        <f ca="1">Planung!$N59</f>
        <v/>
      </c>
      <c r="X117" s="13" t="str">
        <f ca="1">IF(AND($AA117=1,Vorrunde!$I65&lt;&gt;"",Vorrunde!$K65&lt;&gt;"",ABS(Vorrunde!$I65-Vorrunde!$K65)&gt;1),Vorrunde!$I65,"")</f>
        <v/>
      </c>
      <c r="Y117" s="35" t="str">
        <f ca="1">IF(AND($AA117=1,Vorrunde!$I65&lt;&gt;"",Vorrunde!$K65&lt;&gt;"",ABS(Vorrunde!$I65-Vorrunde!$K65)&gt;1),Vorrunde!$K65,"")</f>
        <v/>
      </c>
      <c r="Z117" s="34" t="str">
        <f t="shared" ca="1" si="63"/>
        <v/>
      </c>
      <c r="AA117" s="13">
        <f ca="1">IF(AND(V117&lt;&gt;"",W117&lt;&gt;"",V117&lt;&gt;W117,Vorrunde!$R65&lt;&gt;"",Vorrunde!$T65&lt;&gt;""),1,0)</f>
        <v>0</v>
      </c>
      <c r="AB117" s="13" t="str">
        <f ca="1">IF(AA117&gt;0,AH117&amp;Sprache!$E$108&amp;AI117,"")</f>
        <v/>
      </c>
      <c r="AC117" s="35" t="str">
        <f ca="1">IF(AA117&gt;0,AJ117&amp;Sprache!$E$108&amp;AK117,"")</f>
        <v/>
      </c>
      <c r="AD117" s="40" t="str">
        <f ca="1">IF(AND($AA117=1,Vorrunde!$L65&lt;&gt;"",Vorrunde!$N65&lt;&gt;"",ABS(Vorrunde!$L65-Vorrunde!$N65)&gt;1),Vorrunde!$L65,"")</f>
        <v/>
      </c>
      <c r="AE117" s="35" t="str">
        <f ca="1">IF(AND($AA117=1,Vorrunde!$L65&lt;&gt;"",Vorrunde!$N65&lt;&gt;"",ABS(Vorrunde!$L65-Vorrunde!$N65)&gt;1),Vorrunde!$N65,"")</f>
        <v/>
      </c>
      <c r="AF117" s="40" t="str">
        <f ca="1">IF(AND($AA117=1,Vorrunde!$O65&lt;&gt;"",Vorrunde!$Q65&lt;&gt;"",ABS(Vorrunde!$O65-Vorrunde!$Q65)&gt;1),Vorrunde!$O65,"")</f>
        <v/>
      </c>
      <c r="AG117" s="35" t="str">
        <f ca="1">IF(AND($AA117=1,Vorrunde!$O65&lt;&gt;"",Vorrunde!$Q65&lt;&gt;"",ABS(Vorrunde!$O65-Vorrunde!$Q65)&gt;1),Vorrunde!$Q65,"")</f>
        <v/>
      </c>
      <c r="AH117" s="40" t="str">
        <f t="shared" ca="1" si="64"/>
        <v/>
      </c>
      <c r="AI117" s="35" t="str">
        <f t="shared" ca="1" si="65"/>
        <v/>
      </c>
      <c r="AJ117" s="40">
        <f ca="1">IF(Vorrunde!$R65="",0,Vorrunde!$R65)</f>
        <v>0</v>
      </c>
      <c r="AK117" s="35">
        <f ca="1">IF(Vorrunde!$T65="",0,Vorrunde!$T65)</f>
        <v>0</v>
      </c>
      <c r="AL117" s="13" t="str">
        <f ca="1">IF($AA117=0,"",IF($AJ117&gt;$AK117,Einstellungen!$C$4,IF($AJ117=$AK117,1,0)))</f>
        <v/>
      </c>
      <c r="AM117" s="35" t="str">
        <f ca="1">IF($AA117=0,"",IF($AJ117&lt;$AK117,Einstellungen!$C$4,IF($AJ117=$AK117,1,0)))</f>
        <v/>
      </c>
    </row>
    <row r="118" spans="2:39" s="2" customFormat="1" x14ac:dyDescent="0.2">
      <c r="B118" s="4"/>
      <c r="C118" s="4"/>
      <c r="D118" s="4"/>
      <c r="E118" s="4"/>
      <c r="F118" s="13"/>
      <c r="G118" s="13"/>
      <c r="H118" s="13"/>
      <c r="I118" s="13"/>
      <c r="J118" s="13"/>
      <c r="K118" s="13"/>
      <c r="L118" s="13"/>
      <c r="M118" s="13"/>
      <c r="U118" s="65" t="s">
        <v>76</v>
      </c>
      <c r="V118" s="40" t="str">
        <f ca="1">Planung!$L60</f>
        <v/>
      </c>
      <c r="W118" s="13" t="str">
        <f ca="1">Planung!$N60</f>
        <v/>
      </c>
      <c r="X118" s="13" t="str">
        <f ca="1">IF(AND($AA118=1,Vorrunde!$I66&lt;&gt;"",Vorrunde!$K66&lt;&gt;"",ABS(Vorrunde!$I66-Vorrunde!$K66)&gt;1),Vorrunde!$I66,"")</f>
        <v/>
      </c>
      <c r="Y118" s="35" t="str">
        <f ca="1">IF(AND($AA118=1,Vorrunde!$I66&lt;&gt;"",Vorrunde!$K66&lt;&gt;"",ABS(Vorrunde!$I66-Vorrunde!$K66)&gt;1),Vorrunde!$K66,"")</f>
        <v/>
      </c>
      <c r="Z118" s="34" t="str">
        <f t="shared" ca="1" si="63"/>
        <v/>
      </c>
      <c r="AA118" s="13">
        <f ca="1">IF(AND(V118&lt;&gt;"",W118&lt;&gt;"",V118&lt;&gt;W118,Vorrunde!$R66&lt;&gt;"",Vorrunde!$T66&lt;&gt;""),1,0)</f>
        <v>0</v>
      </c>
      <c r="AB118" s="13" t="str">
        <f ca="1">IF(AA118&gt;0,AH118&amp;Sprache!$E$108&amp;AI118,"")</f>
        <v/>
      </c>
      <c r="AC118" s="35" t="str">
        <f ca="1">IF(AA118&gt;0,AJ118&amp;Sprache!$E$108&amp;AK118,"")</f>
        <v/>
      </c>
      <c r="AD118" s="40" t="str">
        <f ca="1">IF(AND($AA118=1,Vorrunde!$L66&lt;&gt;"",Vorrunde!$N66&lt;&gt;"",ABS(Vorrunde!$L66-Vorrunde!$N66)&gt;1),Vorrunde!$L66,"")</f>
        <v/>
      </c>
      <c r="AE118" s="35" t="str">
        <f ca="1">IF(AND($AA118=1,Vorrunde!$L66&lt;&gt;"",Vorrunde!$N66&lt;&gt;"",ABS(Vorrunde!$L66-Vorrunde!$N66)&gt;1),Vorrunde!$N66,"")</f>
        <v/>
      </c>
      <c r="AF118" s="40" t="str">
        <f ca="1">IF(AND($AA118=1,Vorrunde!$O66&lt;&gt;"",Vorrunde!$Q66&lt;&gt;"",ABS(Vorrunde!$O66-Vorrunde!$Q66)&gt;1),Vorrunde!$O66,"")</f>
        <v/>
      </c>
      <c r="AG118" s="35" t="str">
        <f ca="1">IF(AND($AA118=1,Vorrunde!$O66&lt;&gt;"",Vorrunde!$Q66&lt;&gt;"",ABS(Vorrunde!$O66-Vorrunde!$Q66)&gt;1),Vorrunde!$Q66,"")</f>
        <v/>
      </c>
      <c r="AH118" s="40" t="str">
        <f t="shared" ca="1" si="64"/>
        <v/>
      </c>
      <c r="AI118" s="35" t="str">
        <f t="shared" ca="1" si="65"/>
        <v/>
      </c>
      <c r="AJ118" s="40">
        <f ca="1">IF(Vorrunde!$R66="",0,Vorrunde!$R66)</f>
        <v>0</v>
      </c>
      <c r="AK118" s="35">
        <f ca="1">IF(Vorrunde!$T66="",0,Vorrunde!$T66)</f>
        <v>0</v>
      </c>
      <c r="AL118" s="13" t="str">
        <f ca="1">IF($AA118=0,"",IF($AJ118&gt;$AK118,Einstellungen!$C$4,IF($AJ118=$AK118,1,0)))</f>
        <v/>
      </c>
      <c r="AM118" s="35" t="str">
        <f ca="1">IF($AA118=0,"",IF($AJ118&lt;$AK118,Einstellungen!$C$4,IF($AJ118=$AK118,1,0)))</f>
        <v/>
      </c>
    </row>
    <row r="119" spans="2:39" s="2" customFormat="1" x14ac:dyDescent="0.2">
      <c r="B119" s="4"/>
      <c r="C119" s="4"/>
      <c r="D119" s="4"/>
      <c r="E119" s="4"/>
      <c r="F119" s="13"/>
      <c r="G119" s="13"/>
      <c r="H119" s="13"/>
      <c r="I119" s="13"/>
      <c r="J119" s="13"/>
      <c r="K119" s="13"/>
      <c r="L119" s="13"/>
      <c r="M119" s="13"/>
      <c r="U119" s="65" t="s">
        <v>77</v>
      </c>
      <c r="V119" s="40" t="str">
        <f ca="1">Planung!$L61</f>
        <v/>
      </c>
      <c r="W119" s="13" t="str">
        <f ca="1">Planung!$N61</f>
        <v/>
      </c>
      <c r="X119" s="13" t="str">
        <f ca="1">IF(AND($AA119=1,Vorrunde!$I67&lt;&gt;"",Vorrunde!$K67&lt;&gt;"",ABS(Vorrunde!$I67-Vorrunde!$K67)&gt;1),Vorrunde!$I67,"")</f>
        <v/>
      </c>
      <c r="Y119" s="35" t="str">
        <f ca="1">IF(AND($AA119=1,Vorrunde!$I67&lt;&gt;"",Vorrunde!$K67&lt;&gt;"",ABS(Vorrunde!$I67-Vorrunde!$K67)&gt;1),Vorrunde!$K67,"")</f>
        <v/>
      </c>
      <c r="Z119" s="34" t="str">
        <f t="shared" ca="1" si="63"/>
        <v/>
      </c>
      <c r="AA119" s="13">
        <f ca="1">IF(AND(V119&lt;&gt;"",W119&lt;&gt;"",V119&lt;&gt;W119,Vorrunde!$R67&lt;&gt;"",Vorrunde!$T67&lt;&gt;""),1,0)</f>
        <v>0</v>
      </c>
      <c r="AB119" s="13" t="str">
        <f ca="1">IF(AA119&gt;0,AH119&amp;Sprache!$E$108&amp;AI119,"")</f>
        <v/>
      </c>
      <c r="AC119" s="35" t="str">
        <f ca="1">IF(AA119&gt;0,AJ119&amp;Sprache!$E$108&amp;AK119,"")</f>
        <v/>
      </c>
      <c r="AD119" s="40" t="str">
        <f ca="1">IF(AND($AA119=1,Vorrunde!$L67&lt;&gt;"",Vorrunde!$N67&lt;&gt;"",ABS(Vorrunde!$L67-Vorrunde!$N67)&gt;1),Vorrunde!$L67,"")</f>
        <v/>
      </c>
      <c r="AE119" s="35" t="str">
        <f ca="1">IF(AND($AA119=1,Vorrunde!$L67&lt;&gt;"",Vorrunde!$N67&lt;&gt;"",ABS(Vorrunde!$L67-Vorrunde!$N67)&gt;1),Vorrunde!$N67,"")</f>
        <v/>
      </c>
      <c r="AF119" s="40" t="str">
        <f ca="1">IF(AND($AA119=1,Vorrunde!$O67&lt;&gt;"",Vorrunde!$Q67&lt;&gt;"",ABS(Vorrunde!$O67-Vorrunde!$Q67)&gt;1),Vorrunde!$O67,"")</f>
        <v/>
      </c>
      <c r="AG119" s="35" t="str">
        <f ca="1">IF(AND($AA119=1,Vorrunde!$O67&lt;&gt;"",Vorrunde!$Q67&lt;&gt;"",ABS(Vorrunde!$O67-Vorrunde!$Q67)&gt;1),Vorrunde!$Q67,"")</f>
        <v/>
      </c>
      <c r="AH119" s="40" t="str">
        <f t="shared" ca="1" si="64"/>
        <v/>
      </c>
      <c r="AI119" s="35" t="str">
        <f t="shared" ca="1" si="65"/>
        <v/>
      </c>
      <c r="AJ119" s="40">
        <f ca="1">IF(Vorrunde!$R67="",0,Vorrunde!$R67)</f>
        <v>0</v>
      </c>
      <c r="AK119" s="35">
        <f ca="1">IF(Vorrunde!$T67="",0,Vorrunde!$T67)</f>
        <v>0</v>
      </c>
      <c r="AL119" s="13" t="str">
        <f ca="1">IF($AA119=0,"",IF($AJ119&gt;$AK119,Einstellungen!$C$4,IF($AJ119=$AK119,1,0)))</f>
        <v/>
      </c>
      <c r="AM119" s="35" t="str">
        <f ca="1">IF($AA119=0,"",IF($AJ119&lt;$AK119,Einstellungen!$C$4,IF($AJ119=$AK119,1,0)))</f>
        <v/>
      </c>
    </row>
    <row r="120" spans="2:39" s="2" customFormat="1" x14ac:dyDescent="0.2">
      <c r="B120" s="4"/>
      <c r="C120" s="4"/>
      <c r="D120" s="4"/>
      <c r="E120" s="4"/>
      <c r="F120" s="13"/>
      <c r="G120" s="13"/>
      <c r="H120" s="13"/>
      <c r="I120" s="13"/>
      <c r="J120" s="13"/>
      <c r="K120" s="13"/>
      <c r="L120" s="13"/>
      <c r="M120" s="13"/>
      <c r="U120" s="65" t="s">
        <v>78</v>
      </c>
      <c r="V120" s="40" t="str">
        <f ca="1">Planung!$L62</f>
        <v/>
      </c>
      <c r="W120" s="13" t="str">
        <f ca="1">Planung!$N62</f>
        <v/>
      </c>
      <c r="X120" s="13" t="str">
        <f ca="1">IF(AND($AA120=1,Vorrunde!$I68&lt;&gt;"",Vorrunde!$K68&lt;&gt;"",ABS(Vorrunde!$I68-Vorrunde!$K68)&gt;1),Vorrunde!$I68,"")</f>
        <v/>
      </c>
      <c r="Y120" s="35" t="str">
        <f ca="1">IF(AND($AA120=1,Vorrunde!$I68&lt;&gt;"",Vorrunde!$K68&lt;&gt;"",ABS(Vorrunde!$I68-Vorrunde!$K68)&gt;1),Vorrunde!$K68,"")</f>
        <v/>
      </c>
      <c r="Z120" s="34" t="str">
        <f t="shared" ca="1" si="63"/>
        <v/>
      </c>
      <c r="AA120" s="13">
        <f ca="1">IF(AND(V120&lt;&gt;"",W120&lt;&gt;"",V120&lt;&gt;W120,Vorrunde!$R68&lt;&gt;"",Vorrunde!$T68&lt;&gt;""),1,0)</f>
        <v>0</v>
      </c>
      <c r="AB120" s="13" t="str">
        <f ca="1">IF(AA120&gt;0,AH120&amp;Sprache!$E$108&amp;AI120,"")</f>
        <v/>
      </c>
      <c r="AC120" s="35" t="str">
        <f ca="1">IF(AA120&gt;0,AJ120&amp;Sprache!$E$108&amp;AK120,"")</f>
        <v/>
      </c>
      <c r="AD120" s="40" t="str">
        <f ca="1">IF(AND($AA120=1,Vorrunde!$L68&lt;&gt;"",Vorrunde!$N68&lt;&gt;"",ABS(Vorrunde!$L68-Vorrunde!$N68)&gt;1),Vorrunde!$L68,"")</f>
        <v/>
      </c>
      <c r="AE120" s="35" t="str">
        <f ca="1">IF(AND($AA120=1,Vorrunde!$L68&lt;&gt;"",Vorrunde!$N68&lt;&gt;"",ABS(Vorrunde!$L68-Vorrunde!$N68)&gt;1),Vorrunde!$N68,"")</f>
        <v/>
      </c>
      <c r="AF120" s="40" t="str">
        <f ca="1">IF(AND($AA120=1,Vorrunde!$O68&lt;&gt;"",Vorrunde!$Q68&lt;&gt;"",ABS(Vorrunde!$O68-Vorrunde!$Q68)&gt;1),Vorrunde!$O68,"")</f>
        <v/>
      </c>
      <c r="AG120" s="35" t="str">
        <f ca="1">IF(AND($AA120=1,Vorrunde!$O68&lt;&gt;"",Vorrunde!$Q68&lt;&gt;"",ABS(Vorrunde!$O68-Vorrunde!$Q68)&gt;1),Vorrunde!$Q68,"")</f>
        <v/>
      </c>
      <c r="AH120" s="40" t="str">
        <f t="shared" ca="1" si="64"/>
        <v/>
      </c>
      <c r="AI120" s="35" t="str">
        <f t="shared" ca="1" si="65"/>
        <v/>
      </c>
      <c r="AJ120" s="40">
        <f ca="1">IF(Vorrunde!$R68="",0,Vorrunde!$R68)</f>
        <v>0</v>
      </c>
      <c r="AK120" s="35">
        <f ca="1">IF(Vorrunde!$T68="",0,Vorrunde!$T68)</f>
        <v>0</v>
      </c>
      <c r="AL120" s="13" t="str">
        <f ca="1">IF($AA120=0,"",IF($AJ120&gt;$AK120,Einstellungen!$C$4,IF($AJ120=$AK120,1,0)))</f>
        <v/>
      </c>
      <c r="AM120" s="35" t="str">
        <f ca="1">IF($AA120=0,"",IF($AJ120&lt;$AK120,Einstellungen!$C$4,IF($AJ120=$AK120,1,0)))</f>
        <v/>
      </c>
    </row>
    <row r="121" spans="2:39" s="2" customFormat="1" x14ac:dyDescent="0.2">
      <c r="B121" s="4"/>
      <c r="C121" s="4"/>
      <c r="D121" s="4"/>
      <c r="E121" s="4"/>
      <c r="F121" s="13"/>
      <c r="G121" s="13"/>
      <c r="H121" s="13"/>
      <c r="I121" s="13"/>
      <c r="J121" s="13"/>
      <c r="K121" s="13"/>
      <c r="L121" s="13"/>
      <c r="M121" s="13"/>
      <c r="U121" s="65" t="s">
        <v>79</v>
      </c>
      <c r="V121" s="40" t="str">
        <f ca="1">Planung!$L63</f>
        <v/>
      </c>
      <c r="W121" s="13" t="str">
        <f ca="1">Planung!$N63</f>
        <v/>
      </c>
      <c r="X121" s="13" t="str">
        <f ca="1">IF(AND($AA121=1,Vorrunde!$I69&lt;&gt;"",Vorrunde!$K69&lt;&gt;"",ABS(Vorrunde!$I69-Vorrunde!$K69)&gt;1),Vorrunde!$I69,"")</f>
        <v/>
      </c>
      <c r="Y121" s="35" t="str">
        <f ca="1">IF(AND($AA121=1,Vorrunde!$I69&lt;&gt;"",Vorrunde!$K69&lt;&gt;"",ABS(Vorrunde!$I69-Vorrunde!$K69)&gt;1),Vorrunde!$K69,"")</f>
        <v/>
      </c>
      <c r="Z121" s="34" t="str">
        <f t="shared" ca="1" si="63"/>
        <v/>
      </c>
      <c r="AA121" s="13">
        <f ca="1">IF(AND(V121&lt;&gt;"",W121&lt;&gt;"",V121&lt;&gt;W121,Vorrunde!$R69&lt;&gt;"",Vorrunde!$T69&lt;&gt;""),1,0)</f>
        <v>0</v>
      </c>
      <c r="AB121" s="13" t="str">
        <f ca="1">IF(AA121&gt;0,AH121&amp;Sprache!$E$108&amp;AI121,"")</f>
        <v/>
      </c>
      <c r="AC121" s="35" t="str">
        <f ca="1">IF(AA121&gt;0,AJ121&amp;Sprache!$E$108&amp;AK121,"")</f>
        <v/>
      </c>
      <c r="AD121" s="40" t="str">
        <f ca="1">IF(AND($AA121=1,Vorrunde!$L69&lt;&gt;"",Vorrunde!$N69&lt;&gt;"",ABS(Vorrunde!$L69-Vorrunde!$N69)&gt;1),Vorrunde!$L69,"")</f>
        <v/>
      </c>
      <c r="AE121" s="35" t="str">
        <f ca="1">IF(AND($AA121=1,Vorrunde!$L69&lt;&gt;"",Vorrunde!$N69&lt;&gt;"",ABS(Vorrunde!$L69-Vorrunde!$N69)&gt;1),Vorrunde!$N69,"")</f>
        <v/>
      </c>
      <c r="AF121" s="40" t="str">
        <f ca="1">IF(AND($AA121=1,Vorrunde!$O69&lt;&gt;"",Vorrunde!$Q69&lt;&gt;"",ABS(Vorrunde!$O69-Vorrunde!$Q69)&gt;1),Vorrunde!$O69,"")</f>
        <v/>
      </c>
      <c r="AG121" s="35" t="str">
        <f ca="1">IF(AND($AA121=1,Vorrunde!$O69&lt;&gt;"",Vorrunde!$Q69&lt;&gt;"",ABS(Vorrunde!$O69-Vorrunde!$Q69)&gt;1),Vorrunde!$Q69,"")</f>
        <v/>
      </c>
      <c r="AH121" s="40" t="str">
        <f t="shared" ca="1" si="64"/>
        <v/>
      </c>
      <c r="AI121" s="35" t="str">
        <f t="shared" ca="1" si="65"/>
        <v/>
      </c>
      <c r="AJ121" s="40">
        <f ca="1">IF(Vorrunde!$R69="",0,Vorrunde!$R69)</f>
        <v>0</v>
      </c>
      <c r="AK121" s="35">
        <f ca="1">IF(Vorrunde!$T69="",0,Vorrunde!$T69)</f>
        <v>0</v>
      </c>
      <c r="AL121" s="13" t="str">
        <f ca="1">IF($AA121=0,"",IF($AJ121&gt;$AK121,Einstellungen!$C$4,IF($AJ121=$AK121,1,0)))</f>
        <v/>
      </c>
      <c r="AM121" s="35" t="str">
        <f ca="1">IF($AA121=0,"",IF($AJ121&lt;$AK121,Einstellungen!$C$4,IF($AJ121=$AK121,1,0)))</f>
        <v/>
      </c>
    </row>
    <row r="122" spans="2:39" s="2" customFormat="1" x14ac:dyDescent="0.2">
      <c r="B122" s="4"/>
      <c r="C122" s="4"/>
      <c r="D122" s="4"/>
      <c r="E122" s="4"/>
      <c r="F122" s="13"/>
      <c r="G122" s="13"/>
      <c r="H122" s="13"/>
      <c r="I122" s="13"/>
      <c r="J122" s="13"/>
      <c r="K122" s="13"/>
      <c r="L122" s="13"/>
      <c r="M122" s="13"/>
      <c r="U122" s="65" t="s">
        <v>80</v>
      </c>
      <c r="V122" s="40" t="str">
        <f ca="1">Planung!$L64</f>
        <v/>
      </c>
      <c r="W122" s="13" t="str">
        <f ca="1">Planung!$N64</f>
        <v/>
      </c>
      <c r="X122" s="13" t="str">
        <f ca="1">IF(AND($AA122=1,Vorrunde!$I70&lt;&gt;"",Vorrunde!$K70&lt;&gt;"",ABS(Vorrunde!$I70-Vorrunde!$K70)&gt;1),Vorrunde!$I70,"")</f>
        <v/>
      </c>
      <c r="Y122" s="35" t="str">
        <f ca="1">IF(AND($AA122=1,Vorrunde!$I70&lt;&gt;"",Vorrunde!$K70&lt;&gt;"",ABS(Vorrunde!$I70-Vorrunde!$K70)&gt;1),Vorrunde!$K70,"")</f>
        <v/>
      </c>
      <c r="Z122" s="34" t="str">
        <f t="shared" ca="1" si="63"/>
        <v/>
      </c>
      <c r="AA122" s="13">
        <f ca="1">IF(AND(V122&lt;&gt;"",W122&lt;&gt;"",V122&lt;&gt;W122,Vorrunde!$R70&lt;&gt;"",Vorrunde!$T70&lt;&gt;""),1,0)</f>
        <v>0</v>
      </c>
      <c r="AB122" s="13" t="str">
        <f ca="1">IF(AA122&gt;0,AH122&amp;Sprache!$E$108&amp;AI122,"")</f>
        <v/>
      </c>
      <c r="AC122" s="35" t="str">
        <f ca="1">IF(AA122&gt;0,AJ122&amp;Sprache!$E$108&amp;AK122,"")</f>
        <v/>
      </c>
      <c r="AD122" s="40" t="str">
        <f ca="1">IF(AND($AA122=1,Vorrunde!$L70&lt;&gt;"",Vorrunde!$N70&lt;&gt;"",ABS(Vorrunde!$L70-Vorrunde!$N70)&gt;1),Vorrunde!$L70,"")</f>
        <v/>
      </c>
      <c r="AE122" s="35" t="str">
        <f ca="1">IF(AND($AA122=1,Vorrunde!$L70&lt;&gt;"",Vorrunde!$N70&lt;&gt;"",ABS(Vorrunde!$L70-Vorrunde!$N70)&gt;1),Vorrunde!$N70,"")</f>
        <v/>
      </c>
      <c r="AF122" s="40" t="str">
        <f ca="1">IF(AND($AA122=1,Vorrunde!$O70&lt;&gt;"",Vorrunde!$Q70&lt;&gt;"",ABS(Vorrunde!$O70-Vorrunde!$Q70)&gt;1),Vorrunde!$O70,"")</f>
        <v/>
      </c>
      <c r="AG122" s="35" t="str">
        <f ca="1">IF(AND($AA122=1,Vorrunde!$O70&lt;&gt;"",Vorrunde!$Q70&lt;&gt;"",ABS(Vorrunde!$O70-Vorrunde!$Q70)&gt;1),Vorrunde!$Q70,"")</f>
        <v/>
      </c>
      <c r="AH122" s="40" t="str">
        <f t="shared" ca="1" si="64"/>
        <v/>
      </c>
      <c r="AI122" s="35" t="str">
        <f t="shared" ca="1" si="65"/>
        <v/>
      </c>
      <c r="AJ122" s="40">
        <f ca="1">IF(Vorrunde!$R70="",0,Vorrunde!$R70)</f>
        <v>0</v>
      </c>
      <c r="AK122" s="35">
        <f ca="1">IF(Vorrunde!$T70="",0,Vorrunde!$T70)</f>
        <v>0</v>
      </c>
      <c r="AL122" s="13" t="str">
        <f ca="1">IF($AA122=0,"",IF($AJ122&gt;$AK122,Einstellungen!$C$4,IF($AJ122=$AK122,1,0)))</f>
        <v/>
      </c>
      <c r="AM122" s="35" t="str">
        <f ca="1">IF($AA122=0,"",IF($AJ122&lt;$AK122,Einstellungen!$C$4,IF($AJ122=$AK122,1,0)))</f>
        <v/>
      </c>
    </row>
    <row r="123" spans="2:39" s="2" customFormat="1" x14ac:dyDescent="0.2">
      <c r="B123" s="4"/>
      <c r="C123" s="4"/>
      <c r="D123" s="4"/>
      <c r="E123" s="4"/>
      <c r="F123" s="13"/>
      <c r="G123" s="13"/>
      <c r="H123" s="13"/>
      <c r="I123" s="13"/>
      <c r="J123" s="13"/>
      <c r="K123" s="13"/>
      <c r="L123" s="13"/>
      <c r="M123" s="13"/>
      <c r="U123" s="65" t="s">
        <v>81</v>
      </c>
      <c r="V123" s="40" t="str">
        <f ca="1">Planung!$L65</f>
        <v/>
      </c>
      <c r="W123" s="13" t="str">
        <f ca="1">Planung!$N65</f>
        <v/>
      </c>
      <c r="X123" s="13" t="str">
        <f ca="1">IF(AND($AA123=1,Vorrunde!$I71&lt;&gt;"",Vorrunde!$K71&lt;&gt;"",ABS(Vorrunde!$I71-Vorrunde!$K71)&gt;1),Vorrunde!$I71,"")</f>
        <v/>
      </c>
      <c r="Y123" s="35" t="str">
        <f ca="1">IF(AND($AA123=1,Vorrunde!$I71&lt;&gt;"",Vorrunde!$K71&lt;&gt;"",ABS(Vorrunde!$I71-Vorrunde!$K71)&gt;1),Vorrunde!$K71,"")</f>
        <v/>
      </c>
      <c r="Z123" s="34" t="str">
        <f t="shared" ca="1" si="63"/>
        <v/>
      </c>
      <c r="AA123" s="13">
        <f ca="1">IF(AND(V123&lt;&gt;"",W123&lt;&gt;"",V123&lt;&gt;W123,Vorrunde!$R71&lt;&gt;"",Vorrunde!$T71&lt;&gt;""),1,0)</f>
        <v>0</v>
      </c>
      <c r="AB123" s="13" t="str">
        <f ca="1">IF(AA123&gt;0,AH123&amp;Sprache!$E$108&amp;AI123,"")</f>
        <v/>
      </c>
      <c r="AC123" s="35" t="str">
        <f ca="1">IF(AA123&gt;0,AJ123&amp;Sprache!$E$108&amp;AK123,"")</f>
        <v/>
      </c>
      <c r="AD123" s="40" t="str">
        <f ca="1">IF(AND($AA123=1,Vorrunde!$L71&lt;&gt;"",Vorrunde!$N71&lt;&gt;"",ABS(Vorrunde!$L71-Vorrunde!$N71)&gt;1),Vorrunde!$L71,"")</f>
        <v/>
      </c>
      <c r="AE123" s="35" t="str">
        <f ca="1">IF(AND($AA123=1,Vorrunde!$L71&lt;&gt;"",Vorrunde!$N71&lt;&gt;"",ABS(Vorrunde!$L71-Vorrunde!$N71)&gt;1),Vorrunde!$N71,"")</f>
        <v/>
      </c>
      <c r="AF123" s="40" t="str">
        <f ca="1">IF(AND($AA123=1,Vorrunde!$O71&lt;&gt;"",Vorrunde!$Q71&lt;&gt;"",ABS(Vorrunde!$O71-Vorrunde!$Q71)&gt;1),Vorrunde!$O71,"")</f>
        <v/>
      </c>
      <c r="AG123" s="35" t="str">
        <f ca="1">IF(AND($AA123=1,Vorrunde!$O71&lt;&gt;"",Vorrunde!$Q71&lt;&gt;"",ABS(Vorrunde!$O71-Vorrunde!$Q71)&gt;1),Vorrunde!$Q71,"")</f>
        <v/>
      </c>
      <c r="AH123" s="40" t="str">
        <f t="shared" ca="1" si="64"/>
        <v/>
      </c>
      <c r="AI123" s="35" t="str">
        <f t="shared" ca="1" si="65"/>
        <v/>
      </c>
      <c r="AJ123" s="40">
        <f ca="1">IF(Vorrunde!$R71="",0,Vorrunde!$R71)</f>
        <v>0</v>
      </c>
      <c r="AK123" s="35">
        <f ca="1">IF(Vorrunde!$T71="",0,Vorrunde!$T71)</f>
        <v>0</v>
      </c>
      <c r="AL123" s="13" t="str">
        <f ca="1">IF($AA123=0,"",IF($AJ123&gt;$AK123,Einstellungen!$C$4,IF($AJ123=$AK123,1,0)))</f>
        <v/>
      </c>
      <c r="AM123" s="35" t="str">
        <f ca="1">IF($AA123=0,"",IF($AJ123&lt;$AK123,Einstellungen!$C$4,IF($AJ123=$AK123,1,0)))</f>
        <v/>
      </c>
    </row>
    <row r="124" spans="2:39" s="2" customFormat="1" x14ac:dyDescent="0.2">
      <c r="B124" s="4"/>
      <c r="C124" s="4"/>
      <c r="D124" s="4"/>
      <c r="E124" s="4"/>
      <c r="F124" s="13"/>
      <c r="G124" s="13"/>
      <c r="H124" s="13"/>
      <c r="I124" s="13"/>
      <c r="J124" s="13"/>
      <c r="K124" s="13"/>
      <c r="L124" s="13"/>
      <c r="M124" s="13"/>
      <c r="U124" s="65" t="s">
        <v>82</v>
      </c>
      <c r="V124" s="40" t="str">
        <f ca="1">Planung!$L66</f>
        <v/>
      </c>
      <c r="W124" s="13" t="str">
        <f ca="1">Planung!$N66</f>
        <v/>
      </c>
      <c r="X124" s="13" t="str">
        <f ca="1">IF(AND($AA124=1,Vorrunde!$I72&lt;&gt;"",Vorrunde!$K72&lt;&gt;"",ABS(Vorrunde!$I72-Vorrunde!$K72)&gt;1),Vorrunde!$I72,"")</f>
        <v/>
      </c>
      <c r="Y124" s="35" t="str">
        <f ca="1">IF(AND($AA124=1,Vorrunde!$I72&lt;&gt;"",Vorrunde!$K72&lt;&gt;"",ABS(Vorrunde!$I72-Vorrunde!$K72)&gt;1),Vorrunde!$K72,"")</f>
        <v/>
      </c>
      <c r="Z124" s="34" t="str">
        <f t="shared" ca="1" si="63"/>
        <v/>
      </c>
      <c r="AA124" s="13">
        <f ca="1">IF(AND(V124&lt;&gt;"",W124&lt;&gt;"",V124&lt;&gt;W124,Vorrunde!$R72&lt;&gt;"",Vorrunde!$T72&lt;&gt;""),1,0)</f>
        <v>0</v>
      </c>
      <c r="AB124" s="13" t="str">
        <f ca="1">IF(AA124&gt;0,AH124&amp;Sprache!$E$108&amp;AI124,"")</f>
        <v/>
      </c>
      <c r="AC124" s="35" t="str">
        <f ca="1">IF(AA124&gt;0,AJ124&amp;Sprache!$E$108&amp;AK124,"")</f>
        <v/>
      </c>
      <c r="AD124" s="40" t="str">
        <f ca="1">IF(AND($AA124=1,Vorrunde!$L72&lt;&gt;"",Vorrunde!$N72&lt;&gt;"",ABS(Vorrunde!$L72-Vorrunde!$N72)&gt;1),Vorrunde!$L72,"")</f>
        <v/>
      </c>
      <c r="AE124" s="35" t="str">
        <f ca="1">IF(AND($AA124=1,Vorrunde!$L72&lt;&gt;"",Vorrunde!$N72&lt;&gt;"",ABS(Vorrunde!$L72-Vorrunde!$N72)&gt;1),Vorrunde!$N72,"")</f>
        <v/>
      </c>
      <c r="AF124" s="40" t="str">
        <f ca="1">IF(AND($AA124=1,Vorrunde!$O72&lt;&gt;"",Vorrunde!$Q72&lt;&gt;"",ABS(Vorrunde!$O72-Vorrunde!$Q72)&gt;1),Vorrunde!$O72,"")</f>
        <v/>
      </c>
      <c r="AG124" s="35" t="str">
        <f ca="1">IF(AND($AA124=1,Vorrunde!$O72&lt;&gt;"",Vorrunde!$Q72&lt;&gt;"",ABS(Vorrunde!$O72-Vorrunde!$Q72)&gt;1),Vorrunde!$Q72,"")</f>
        <v/>
      </c>
      <c r="AH124" s="40" t="str">
        <f t="shared" ca="1" si="64"/>
        <v/>
      </c>
      <c r="AI124" s="35" t="str">
        <f t="shared" ca="1" si="65"/>
        <v/>
      </c>
      <c r="AJ124" s="40">
        <f ca="1">IF(Vorrunde!$R72="",0,Vorrunde!$R72)</f>
        <v>0</v>
      </c>
      <c r="AK124" s="35">
        <f ca="1">IF(Vorrunde!$T72="",0,Vorrunde!$T72)</f>
        <v>0</v>
      </c>
      <c r="AL124" s="13" t="str">
        <f ca="1">IF($AA124=0,"",IF($AJ124&gt;$AK124,Einstellungen!$C$4,IF($AJ124=$AK124,1,0)))</f>
        <v/>
      </c>
      <c r="AM124" s="35" t="str">
        <f ca="1">IF($AA124=0,"",IF($AJ124&lt;$AK124,Einstellungen!$C$4,IF($AJ124=$AK124,1,0)))</f>
        <v/>
      </c>
    </row>
    <row r="125" spans="2:39" s="2" customFormat="1" x14ac:dyDescent="0.2">
      <c r="B125" s="4"/>
      <c r="C125" s="4"/>
      <c r="D125" s="4"/>
      <c r="E125" s="4"/>
      <c r="F125" s="13"/>
      <c r="G125" s="13"/>
      <c r="H125" s="13"/>
      <c r="I125" s="13"/>
      <c r="J125" s="13"/>
      <c r="K125" s="13"/>
      <c r="L125" s="13"/>
      <c r="M125" s="13"/>
      <c r="U125" s="65" t="s">
        <v>83</v>
      </c>
      <c r="V125" s="40" t="str">
        <f ca="1">Planung!$L67</f>
        <v/>
      </c>
      <c r="W125" s="13" t="str">
        <f ca="1">Planung!$N67</f>
        <v/>
      </c>
      <c r="X125" s="13" t="str">
        <f ca="1">IF(AND($AA125=1,Vorrunde!$I73&lt;&gt;"",Vorrunde!$K73&lt;&gt;"",ABS(Vorrunde!$I73-Vorrunde!$K73)&gt;1),Vorrunde!$I73,"")</f>
        <v/>
      </c>
      <c r="Y125" s="35" t="str">
        <f ca="1">IF(AND($AA125=1,Vorrunde!$I73&lt;&gt;"",Vorrunde!$K73&lt;&gt;"",ABS(Vorrunde!$I73-Vorrunde!$K73)&gt;1),Vorrunde!$K73,"")</f>
        <v/>
      </c>
      <c r="Z125" s="34" t="str">
        <f t="shared" ca="1" si="63"/>
        <v/>
      </c>
      <c r="AA125" s="13">
        <f ca="1">IF(AND(V125&lt;&gt;"",W125&lt;&gt;"",V125&lt;&gt;W125,Vorrunde!$R73&lt;&gt;"",Vorrunde!$T73&lt;&gt;""),1,0)</f>
        <v>0</v>
      </c>
      <c r="AB125" s="13" t="str">
        <f ca="1">IF(AA125&gt;0,AH125&amp;Sprache!$E$108&amp;AI125,"")</f>
        <v/>
      </c>
      <c r="AC125" s="35" t="str">
        <f ca="1">IF(AA125&gt;0,AJ125&amp;Sprache!$E$108&amp;AK125,"")</f>
        <v/>
      </c>
      <c r="AD125" s="40" t="str">
        <f ca="1">IF(AND($AA125=1,Vorrunde!$L73&lt;&gt;"",Vorrunde!$N73&lt;&gt;"",ABS(Vorrunde!$L73-Vorrunde!$N73)&gt;1),Vorrunde!$L73,"")</f>
        <v/>
      </c>
      <c r="AE125" s="35" t="str">
        <f ca="1">IF(AND($AA125=1,Vorrunde!$L73&lt;&gt;"",Vorrunde!$N73&lt;&gt;"",ABS(Vorrunde!$L73-Vorrunde!$N73)&gt;1),Vorrunde!$N73,"")</f>
        <v/>
      </c>
      <c r="AF125" s="40" t="str">
        <f ca="1">IF(AND($AA125=1,Vorrunde!$O73&lt;&gt;"",Vorrunde!$Q73&lt;&gt;"",ABS(Vorrunde!$O73-Vorrunde!$Q73)&gt;1),Vorrunde!$O73,"")</f>
        <v/>
      </c>
      <c r="AG125" s="35" t="str">
        <f ca="1">IF(AND($AA125=1,Vorrunde!$O73&lt;&gt;"",Vorrunde!$Q73&lt;&gt;"",ABS(Vorrunde!$O73-Vorrunde!$Q73)&gt;1),Vorrunde!$Q73,"")</f>
        <v/>
      </c>
      <c r="AH125" s="40" t="str">
        <f t="shared" ca="1" si="64"/>
        <v/>
      </c>
      <c r="AI125" s="35" t="str">
        <f t="shared" ca="1" si="65"/>
        <v/>
      </c>
      <c r="AJ125" s="40">
        <f ca="1">IF(Vorrunde!$R73="",0,Vorrunde!$R73)</f>
        <v>0</v>
      </c>
      <c r="AK125" s="35">
        <f ca="1">IF(Vorrunde!$T73="",0,Vorrunde!$T73)</f>
        <v>0</v>
      </c>
      <c r="AL125" s="13" t="str">
        <f ca="1">IF($AA125=0,"",IF($AJ125&gt;$AK125,Einstellungen!$C$4,IF($AJ125=$AK125,1,0)))</f>
        <v/>
      </c>
      <c r="AM125" s="35" t="str">
        <f ca="1">IF($AA125=0,"",IF($AJ125&lt;$AK125,Einstellungen!$C$4,IF($AJ125=$AK125,1,0)))</f>
        <v/>
      </c>
    </row>
    <row r="126" spans="2:39" s="2" customFormat="1" x14ac:dyDescent="0.2">
      <c r="B126" s="4"/>
      <c r="C126" s="4"/>
      <c r="D126" s="4"/>
      <c r="E126" s="4"/>
      <c r="F126" s="13"/>
      <c r="G126" s="13"/>
      <c r="H126" s="13"/>
      <c r="I126" s="13"/>
      <c r="J126" s="13"/>
      <c r="K126" s="13"/>
      <c r="L126" s="13"/>
      <c r="M126" s="13"/>
      <c r="U126" s="65" t="s">
        <v>84</v>
      </c>
      <c r="V126" s="40" t="str">
        <f ca="1">Planung!$L68</f>
        <v/>
      </c>
      <c r="W126" s="13" t="str">
        <f ca="1">Planung!$N68</f>
        <v/>
      </c>
      <c r="X126" s="13" t="str">
        <f ca="1">IF(AND($AA126=1,Vorrunde!$I74&lt;&gt;"",Vorrunde!$K74&lt;&gt;"",ABS(Vorrunde!$I74-Vorrunde!$K74)&gt;1),Vorrunde!$I74,"")</f>
        <v/>
      </c>
      <c r="Y126" s="35" t="str">
        <f ca="1">IF(AND($AA126=1,Vorrunde!$I74&lt;&gt;"",Vorrunde!$K74&lt;&gt;"",ABS(Vorrunde!$I74-Vorrunde!$K74)&gt;1),Vorrunde!$K74,"")</f>
        <v/>
      </c>
      <c r="Z126" s="34" t="str">
        <f t="shared" ca="1" si="63"/>
        <v/>
      </c>
      <c r="AA126" s="13">
        <f ca="1">IF(AND(V126&lt;&gt;"",W126&lt;&gt;"",V126&lt;&gt;W126,Vorrunde!$R74&lt;&gt;"",Vorrunde!$T74&lt;&gt;""),1,0)</f>
        <v>0</v>
      </c>
      <c r="AB126" s="13" t="str">
        <f ca="1">IF(AA126&gt;0,AH126&amp;Sprache!$E$108&amp;AI126,"")</f>
        <v/>
      </c>
      <c r="AC126" s="35" t="str">
        <f ca="1">IF(AA126&gt;0,AJ126&amp;Sprache!$E$108&amp;AK126,"")</f>
        <v/>
      </c>
      <c r="AD126" s="40" t="str">
        <f ca="1">IF(AND($AA126=1,Vorrunde!$L74&lt;&gt;"",Vorrunde!$N74&lt;&gt;"",ABS(Vorrunde!$L74-Vorrunde!$N74)&gt;1),Vorrunde!$L74,"")</f>
        <v/>
      </c>
      <c r="AE126" s="35" t="str">
        <f ca="1">IF(AND($AA126=1,Vorrunde!$L74&lt;&gt;"",Vorrunde!$N74&lt;&gt;"",ABS(Vorrunde!$L74-Vorrunde!$N74)&gt;1),Vorrunde!$N74,"")</f>
        <v/>
      </c>
      <c r="AF126" s="40" t="str">
        <f ca="1">IF(AND($AA126=1,Vorrunde!$O74&lt;&gt;"",Vorrunde!$Q74&lt;&gt;"",ABS(Vorrunde!$O74-Vorrunde!$Q74)&gt;1),Vorrunde!$O74,"")</f>
        <v/>
      </c>
      <c r="AG126" s="35" t="str">
        <f ca="1">IF(AND($AA126=1,Vorrunde!$O74&lt;&gt;"",Vorrunde!$Q74&lt;&gt;"",ABS(Vorrunde!$O74-Vorrunde!$Q74)&gt;1),Vorrunde!$Q74,"")</f>
        <v/>
      </c>
      <c r="AH126" s="40" t="str">
        <f t="shared" ca="1" si="64"/>
        <v/>
      </c>
      <c r="AI126" s="35" t="str">
        <f t="shared" ca="1" si="65"/>
        <v/>
      </c>
      <c r="AJ126" s="40">
        <f ca="1">IF(Vorrunde!$R74="",0,Vorrunde!$R74)</f>
        <v>0</v>
      </c>
      <c r="AK126" s="35">
        <f ca="1">IF(Vorrunde!$T74="",0,Vorrunde!$T74)</f>
        <v>0</v>
      </c>
      <c r="AL126" s="13" t="str">
        <f ca="1">IF($AA126=0,"",IF($AJ126&gt;$AK126,Einstellungen!$C$4,IF($AJ126=$AK126,1,0)))</f>
        <v/>
      </c>
      <c r="AM126" s="35" t="str">
        <f ca="1">IF($AA126=0,"",IF($AJ126&lt;$AK126,Einstellungen!$C$4,IF($AJ126=$AK126,1,0)))</f>
        <v/>
      </c>
    </row>
    <row r="127" spans="2:39" s="2" customFormat="1" x14ac:dyDescent="0.2">
      <c r="B127" s="4"/>
      <c r="C127" s="4"/>
      <c r="D127" s="4"/>
      <c r="E127" s="4"/>
      <c r="F127" s="13"/>
      <c r="G127" s="13"/>
      <c r="H127" s="13"/>
      <c r="I127" s="13"/>
      <c r="J127" s="13"/>
      <c r="K127" s="13"/>
      <c r="L127" s="13"/>
      <c r="M127" s="13"/>
      <c r="U127" s="65" t="s">
        <v>85</v>
      </c>
      <c r="V127" s="40" t="str">
        <f ca="1">Planung!$L69</f>
        <v/>
      </c>
      <c r="W127" s="13" t="str">
        <f ca="1">Planung!$N69</f>
        <v/>
      </c>
      <c r="X127" s="13" t="str">
        <f ca="1">IF(AND($AA127=1,Vorrunde!$I75&lt;&gt;"",Vorrunde!$K75&lt;&gt;"",ABS(Vorrunde!$I75-Vorrunde!$K75)&gt;1),Vorrunde!$I75,"")</f>
        <v/>
      </c>
      <c r="Y127" s="35" t="str">
        <f ca="1">IF(AND($AA127=1,Vorrunde!$I75&lt;&gt;"",Vorrunde!$K75&lt;&gt;"",ABS(Vorrunde!$I75-Vorrunde!$K75)&gt;1),Vorrunde!$K75,"")</f>
        <v/>
      </c>
      <c r="Z127" s="34" t="str">
        <f t="shared" ca="1" si="63"/>
        <v/>
      </c>
      <c r="AA127" s="13">
        <f ca="1">IF(AND(V127&lt;&gt;"",W127&lt;&gt;"",V127&lt;&gt;W127,Vorrunde!$R75&lt;&gt;"",Vorrunde!$T75&lt;&gt;""),1,0)</f>
        <v>0</v>
      </c>
      <c r="AB127" s="13" t="str">
        <f ca="1">IF(AA127&gt;0,AH127&amp;Sprache!$E$108&amp;AI127,"")</f>
        <v/>
      </c>
      <c r="AC127" s="35" t="str">
        <f ca="1">IF(AA127&gt;0,AJ127&amp;Sprache!$E$108&amp;AK127,"")</f>
        <v/>
      </c>
      <c r="AD127" s="40" t="str">
        <f ca="1">IF(AND($AA127=1,Vorrunde!$L75&lt;&gt;"",Vorrunde!$N75&lt;&gt;"",ABS(Vorrunde!$L75-Vorrunde!$N75)&gt;1),Vorrunde!$L75,"")</f>
        <v/>
      </c>
      <c r="AE127" s="35" t="str">
        <f ca="1">IF(AND($AA127=1,Vorrunde!$L75&lt;&gt;"",Vorrunde!$N75&lt;&gt;"",ABS(Vorrunde!$L75-Vorrunde!$N75)&gt;1),Vorrunde!$N75,"")</f>
        <v/>
      </c>
      <c r="AF127" s="40" t="str">
        <f ca="1">IF(AND($AA127=1,Vorrunde!$O75&lt;&gt;"",Vorrunde!$Q75&lt;&gt;"",ABS(Vorrunde!$O75-Vorrunde!$Q75)&gt;1),Vorrunde!$O75,"")</f>
        <v/>
      </c>
      <c r="AG127" s="35" t="str">
        <f ca="1">IF(AND($AA127=1,Vorrunde!$O75&lt;&gt;"",Vorrunde!$Q75&lt;&gt;"",ABS(Vorrunde!$O75-Vorrunde!$Q75)&gt;1),Vorrunde!$Q75,"")</f>
        <v/>
      </c>
      <c r="AH127" s="40" t="str">
        <f t="shared" ca="1" si="64"/>
        <v/>
      </c>
      <c r="AI127" s="35" t="str">
        <f t="shared" ca="1" si="65"/>
        <v/>
      </c>
      <c r="AJ127" s="40">
        <f ca="1">IF(Vorrunde!$R75="",0,Vorrunde!$R75)</f>
        <v>0</v>
      </c>
      <c r="AK127" s="35">
        <f ca="1">IF(Vorrunde!$T75="",0,Vorrunde!$T75)</f>
        <v>0</v>
      </c>
      <c r="AL127" s="13" t="str">
        <f ca="1">IF($AA127=0,"",IF($AJ127&gt;$AK127,Einstellungen!$C$4,IF($AJ127=$AK127,1,0)))</f>
        <v/>
      </c>
      <c r="AM127" s="35" t="str">
        <f ca="1">IF($AA127=0,"",IF($AJ127&lt;$AK127,Einstellungen!$C$4,IF($AJ127=$AK127,1,0)))</f>
        <v/>
      </c>
    </row>
    <row r="128" spans="2:39" s="2" customFormat="1" x14ac:dyDescent="0.2">
      <c r="B128" s="4"/>
      <c r="C128" s="4"/>
      <c r="D128" s="4"/>
      <c r="E128" s="4"/>
      <c r="F128" s="13"/>
      <c r="G128" s="13"/>
      <c r="H128" s="13"/>
      <c r="I128" s="13"/>
      <c r="J128" s="13"/>
      <c r="K128" s="13"/>
      <c r="L128" s="13"/>
      <c r="M128" s="13"/>
      <c r="U128" s="65" t="s">
        <v>86</v>
      </c>
      <c r="V128" s="40" t="str">
        <f ca="1">Planung!$L70</f>
        <v/>
      </c>
      <c r="W128" s="13" t="str">
        <f ca="1">Planung!$N70</f>
        <v/>
      </c>
      <c r="X128" s="13" t="str">
        <f ca="1">IF(AND($AA128=1,Vorrunde!$I76&lt;&gt;"",Vorrunde!$K76&lt;&gt;"",ABS(Vorrunde!$I76-Vorrunde!$K76)&gt;1),Vorrunde!$I76,"")</f>
        <v/>
      </c>
      <c r="Y128" s="35" t="str">
        <f ca="1">IF(AND($AA128=1,Vorrunde!$I76&lt;&gt;"",Vorrunde!$K76&lt;&gt;"",ABS(Vorrunde!$I76-Vorrunde!$K76)&gt;1),Vorrunde!$K76,"")</f>
        <v/>
      </c>
      <c r="Z128" s="34" t="str">
        <f t="shared" ca="1" si="63"/>
        <v/>
      </c>
      <c r="AA128" s="13">
        <f ca="1">IF(AND(V128&lt;&gt;"",W128&lt;&gt;"",V128&lt;&gt;W128,Vorrunde!$R76&lt;&gt;"",Vorrunde!$T76&lt;&gt;""),1,0)</f>
        <v>0</v>
      </c>
      <c r="AB128" s="13" t="str">
        <f ca="1">IF(AA128&gt;0,AH128&amp;Sprache!$E$108&amp;AI128,"")</f>
        <v/>
      </c>
      <c r="AC128" s="35" t="str">
        <f ca="1">IF(AA128&gt;0,AJ128&amp;Sprache!$E$108&amp;AK128,"")</f>
        <v/>
      </c>
      <c r="AD128" s="40" t="str">
        <f ca="1">IF(AND($AA128=1,Vorrunde!$L76&lt;&gt;"",Vorrunde!$N76&lt;&gt;"",ABS(Vorrunde!$L76-Vorrunde!$N76)&gt;1),Vorrunde!$L76,"")</f>
        <v/>
      </c>
      <c r="AE128" s="35" t="str">
        <f ca="1">IF(AND($AA128=1,Vorrunde!$L76&lt;&gt;"",Vorrunde!$N76&lt;&gt;"",ABS(Vorrunde!$L76-Vorrunde!$N76)&gt;1),Vorrunde!$N76,"")</f>
        <v/>
      </c>
      <c r="AF128" s="40" t="str">
        <f ca="1">IF(AND($AA128=1,Vorrunde!$O76&lt;&gt;"",Vorrunde!$Q76&lt;&gt;"",ABS(Vorrunde!$O76-Vorrunde!$Q76)&gt;1),Vorrunde!$O76,"")</f>
        <v/>
      </c>
      <c r="AG128" s="35" t="str">
        <f ca="1">IF(AND($AA128=1,Vorrunde!$O76&lt;&gt;"",Vorrunde!$Q76&lt;&gt;"",ABS(Vorrunde!$O76-Vorrunde!$Q76)&gt;1),Vorrunde!$Q76,"")</f>
        <v/>
      </c>
      <c r="AH128" s="40" t="str">
        <f t="shared" ca="1" si="64"/>
        <v/>
      </c>
      <c r="AI128" s="35" t="str">
        <f t="shared" ca="1" si="65"/>
        <v/>
      </c>
      <c r="AJ128" s="40">
        <f ca="1">IF(Vorrunde!$R76="",0,Vorrunde!$R76)</f>
        <v>0</v>
      </c>
      <c r="AK128" s="35">
        <f ca="1">IF(Vorrunde!$T76="",0,Vorrunde!$T76)</f>
        <v>0</v>
      </c>
      <c r="AL128" s="13" t="str">
        <f ca="1">IF($AA128=0,"",IF($AJ128&gt;$AK128,Einstellungen!$C$4,IF($AJ128=$AK128,1,0)))</f>
        <v/>
      </c>
      <c r="AM128" s="35" t="str">
        <f ca="1">IF($AA128=0,"",IF($AJ128&lt;$AK128,Einstellungen!$C$4,IF($AJ128=$AK128,1,0)))</f>
        <v/>
      </c>
    </row>
    <row r="129" spans="2:39" s="2" customFormat="1" x14ac:dyDescent="0.2">
      <c r="B129" s="4"/>
      <c r="C129" s="4"/>
      <c r="D129" s="4"/>
      <c r="E129" s="4"/>
      <c r="F129" s="13"/>
      <c r="G129" s="13"/>
      <c r="H129" s="13"/>
      <c r="I129" s="13"/>
      <c r="J129" s="13"/>
      <c r="K129" s="13"/>
      <c r="L129" s="13"/>
      <c r="M129" s="13"/>
      <c r="U129" s="65" t="s">
        <v>87</v>
      </c>
      <c r="V129" s="40" t="str">
        <f ca="1">Planung!$L71</f>
        <v/>
      </c>
      <c r="W129" s="13" t="str">
        <f ca="1">Planung!$N71</f>
        <v/>
      </c>
      <c r="X129" s="13" t="str">
        <f ca="1">IF(AND($AA129=1,Vorrunde!$I77&lt;&gt;"",Vorrunde!$K77&lt;&gt;"",ABS(Vorrunde!$I77-Vorrunde!$K77)&gt;1),Vorrunde!$I77,"")</f>
        <v/>
      </c>
      <c r="Y129" s="35" t="str">
        <f ca="1">IF(AND($AA129=1,Vorrunde!$I77&lt;&gt;"",Vorrunde!$K77&lt;&gt;"",ABS(Vorrunde!$I77-Vorrunde!$K77)&gt;1),Vorrunde!$K77,"")</f>
        <v/>
      </c>
      <c r="Z129" s="34" t="str">
        <f t="shared" ref="Z129:Z135" ca="1" si="66">V129&amp;W129</f>
        <v/>
      </c>
      <c r="AA129" s="13">
        <f ca="1">IF(AND(V129&lt;&gt;"",W129&lt;&gt;"",V129&lt;&gt;W129,Vorrunde!$R77&lt;&gt;"",Vorrunde!$T77&lt;&gt;""),1,0)</f>
        <v>0</v>
      </c>
      <c r="AB129" s="13" t="str">
        <f ca="1">IF(AA129&gt;0,AH129&amp;Sprache!$E$108&amp;AI129,"")</f>
        <v/>
      </c>
      <c r="AC129" s="35" t="str">
        <f ca="1">IF(AA129&gt;0,AJ129&amp;Sprache!$E$108&amp;AK129,"")</f>
        <v/>
      </c>
      <c r="AD129" s="40" t="str">
        <f ca="1">IF(AND($AA129=1,Vorrunde!$L77&lt;&gt;"",Vorrunde!$N77&lt;&gt;"",ABS(Vorrunde!$L77-Vorrunde!$N77)&gt;1),Vorrunde!$L77,"")</f>
        <v/>
      </c>
      <c r="AE129" s="35" t="str">
        <f ca="1">IF(AND($AA129=1,Vorrunde!$L77&lt;&gt;"",Vorrunde!$N77&lt;&gt;"",ABS(Vorrunde!$L77-Vorrunde!$N77)&gt;1),Vorrunde!$N77,"")</f>
        <v/>
      </c>
      <c r="AF129" s="40" t="str">
        <f ca="1">IF(AND($AA129=1,Vorrunde!$O77&lt;&gt;"",Vorrunde!$Q77&lt;&gt;"",ABS(Vorrunde!$O77-Vorrunde!$Q77)&gt;1),Vorrunde!$O77,"")</f>
        <v/>
      </c>
      <c r="AG129" s="35" t="str">
        <f ca="1">IF(AND($AA129=1,Vorrunde!$O77&lt;&gt;"",Vorrunde!$Q77&lt;&gt;"",ABS(Vorrunde!$O77-Vorrunde!$Q77)&gt;1),Vorrunde!$Q77,"")</f>
        <v/>
      </c>
      <c r="AH129" s="40" t="str">
        <f t="shared" ref="AH129:AH135" ca="1" si="67">IF(AA129&gt;0,SUM(X129,AD129,AF129),"")</f>
        <v/>
      </c>
      <c r="AI129" s="35" t="str">
        <f t="shared" ref="AI129:AI135" ca="1" si="68">IF(AA129&gt;0,SUM(Y129,AE129,AG129),"")</f>
        <v/>
      </c>
      <c r="AJ129" s="40">
        <f ca="1">IF(Vorrunde!$R77="",0,Vorrunde!$R77)</f>
        <v>0</v>
      </c>
      <c r="AK129" s="35">
        <f ca="1">IF(Vorrunde!$T77="",0,Vorrunde!$T77)</f>
        <v>0</v>
      </c>
      <c r="AL129" s="13" t="str">
        <f ca="1">IF($AA129=0,"",IF($AJ129&gt;$AK129,Einstellungen!$C$4,IF($AJ129=$AK129,1,0)))</f>
        <v/>
      </c>
      <c r="AM129" s="35" t="str">
        <f ca="1">IF($AA129=0,"",IF($AJ129&lt;$AK129,Einstellungen!$C$4,IF($AJ129=$AK129,1,0)))</f>
        <v/>
      </c>
    </row>
    <row r="130" spans="2:39" s="2" customFormat="1" x14ac:dyDescent="0.2">
      <c r="B130" s="4"/>
      <c r="C130" s="4"/>
      <c r="D130" s="4"/>
      <c r="E130" s="4"/>
      <c r="F130" s="13"/>
      <c r="G130" s="13"/>
      <c r="H130" s="13"/>
      <c r="I130" s="13"/>
      <c r="J130" s="13"/>
      <c r="K130" s="13"/>
      <c r="L130" s="13"/>
      <c r="M130" s="13"/>
      <c r="U130" s="65" t="s">
        <v>88</v>
      </c>
      <c r="V130" s="40" t="str">
        <f ca="1">Planung!$L72</f>
        <v/>
      </c>
      <c r="W130" s="13" t="str">
        <f ca="1">Planung!$N72</f>
        <v/>
      </c>
      <c r="X130" s="13" t="str">
        <f ca="1">IF(AND($AA130=1,Vorrunde!$I78&lt;&gt;"",Vorrunde!$K78&lt;&gt;"",ABS(Vorrunde!$I78-Vorrunde!$K78)&gt;1),Vorrunde!$I78,"")</f>
        <v/>
      </c>
      <c r="Y130" s="35" t="str">
        <f ca="1">IF(AND($AA130=1,Vorrunde!$I78&lt;&gt;"",Vorrunde!$K78&lt;&gt;"",ABS(Vorrunde!$I78-Vorrunde!$K78)&gt;1),Vorrunde!$K78,"")</f>
        <v/>
      </c>
      <c r="Z130" s="34" t="str">
        <f t="shared" ca="1" si="66"/>
        <v/>
      </c>
      <c r="AA130" s="13">
        <f ca="1">IF(AND(V130&lt;&gt;"",W130&lt;&gt;"",V130&lt;&gt;W130,Vorrunde!$R78&lt;&gt;"",Vorrunde!$T78&lt;&gt;""),1,0)</f>
        <v>0</v>
      </c>
      <c r="AB130" s="13" t="str">
        <f ca="1">IF(AA130&gt;0,AH130&amp;Sprache!$E$108&amp;AI130,"")</f>
        <v/>
      </c>
      <c r="AC130" s="35" t="str">
        <f ca="1">IF(AA130&gt;0,AJ130&amp;Sprache!$E$108&amp;AK130,"")</f>
        <v/>
      </c>
      <c r="AD130" s="40" t="str">
        <f ca="1">IF(AND($AA130=1,Vorrunde!$L78&lt;&gt;"",Vorrunde!$N78&lt;&gt;"",ABS(Vorrunde!$L78-Vorrunde!$N78)&gt;1),Vorrunde!$L78,"")</f>
        <v/>
      </c>
      <c r="AE130" s="35" t="str">
        <f ca="1">IF(AND($AA130=1,Vorrunde!$L78&lt;&gt;"",Vorrunde!$N78&lt;&gt;"",ABS(Vorrunde!$L78-Vorrunde!$N78)&gt;1),Vorrunde!$N78,"")</f>
        <v/>
      </c>
      <c r="AF130" s="40" t="str">
        <f ca="1">IF(AND($AA130=1,Vorrunde!$O78&lt;&gt;"",Vorrunde!$Q78&lt;&gt;"",ABS(Vorrunde!$O78-Vorrunde!$Q78)&gt;1),Vorrunde!$O78,"")</f>
        <v/>
      </c>
      <c r="AG130" s="35" t="str">
        <f ca="1">IF(AND($AA130=1,Vorrunde!$O78&lt;&gt;"",Vorrunde!$Q78&lt;&gt;"",ABS(Vorrunde!$O78-Vorrunde!$Q78)&gt;1),Vorrunde!$Q78,"")</f>
        <v/>
      </c>
      <c r="AH130" s="40" t="str">
        <f t="shared" ca="1" si="67"/>
        <v/>
      </c>
      <c r="AI130" s="35" t="str">
        <f t="shared" ca="1" si="68"/>
        <v/>
      </c>
      <c r="AJ130" s="40">
        <f ca="1">IF(Vorrunde!$R78="",0,Vorrunde!$R78)</f>
        <v>0</v>
      </c>
      <c r="AK130" s="35">
        <f ca="1">IF(Vorrunde!$T78="",0,Vorrunde!$T78)</f>
        <v>0</v>
      </c>
      <c r="AL130" s="13" t="str">
        <f ca="1">IF($AA130=0,"",IF($AJ130&gt;$AK130,Einstellungen!$C$4,IF($AJ130=$AK130,1,0)))</f>
        <v/>
      </c>
      <c r="AM130" s="35" t="str">
        <f ca="1">IF($AA130=0,"",IF($AJ130&lt;$AK130,Einstellungen!$C$4,IF($AJ130=$AK130,1,0)))</f>
        <v/>
      </c>
    </row>
    <row r="131" spans="2:39" s="2" customFormat="1" x14ac:dyDescent="0.2">
      <c r="B131" s="4"/>
      <c r="C131" s="4"/>
      <c r="D131" s="4"/>
      <c r="E131" s="4"/>
      <c r="F131" s="13"/>
      <c r="G131" s="13"/>
      <c r="H131" s="13"/>
      <c r="I131" s="13"/>
      <c r="J131" s="13"/>
      <c r="K131" s="13"/>
      <c r="L131" s="13"/>
      <c r="M131" s="13"/>
      <c r="U131" s="65" t="s">
        <v>89</v>
      </c>
      <c r="V131" s="40" t="str">
        <f ca="1">Planung!$L73</f>
        <v/>
      </c>
      <c r="W131" s="13" t="str">
        <f ca="1">Planung!$N73</f>
        <v/>
      </c>
      <c r="X131" s="13" t="str">
        <f ca="1">IF(AND($AA131=1,Vorrunde!$I79&lt;&gt;"",Vorrunde!$K79&lt;&gt;"",ABS(Vorrunde!$I79-Vorrunde!$K79)&gt;1),Vorrunde!$I79,"")</f>
        <v/>
      </c>
      <c r="Y131" s="35" t="str">
        <f ca="1">IF(AND($AA131=1,Vorrunde!$I79&lt;&gt;"",Vorrunde!$K79&lt;&gt;"",ABS(Vorrunde!$I79-Vorrunde!$K79)&gt;1),Vorrunde!$K79,"")</f>
        <v/>
      </c>
      <c r="Z131" s="34" t="str">
        <f t="shared" ca="1" si="66"/>
        <v/>
      </c>
      <c r="AA131" s="13">
        <f ca="1">IF(AND(V131&lt;&gt;"",W131&lt;&gt;"",V131&lt;&gt;W131,Vorrunde!$R79&lt;&gt;"",Vorrunde!$T79&lt;&gt;""),1,0)</f>
        <v>0</v>
      </c>
      <c r="AB131" s="13" t="str">
        <f ca="1">IF(AA131&gt;0,AH131&amp;Sprache!$E$108&amp;AI131,"")</f>
        <v/>
      </c>
      <c r="AC131" s="35" t="str">
        <f ca="1">IF(AA131&gt;0,AJ131&amp;Sprache!$E$108&amp;AK131,"")</f>
        <v/>
      </c>
      <c r="AD131" s="40" t="str">
        <f ca="1">IF(AND($AA131=1,Vorrunde!$L79&lt;&gt;"",Vorrunde!$N79&lt;&gt;"",ABS(Vorrunde!$L79-Vorrunde!$N79)&gt;1),Vorrunde!$L79,"")</f>
        <v/>
      </c>
      <c r="AE131" s="35" t="str">
        <f ca="1">IF(AND($AA131=1,Vorrunde!$L79&lt;&gt;"",Vorrunde!$N79&lt;&gt;"",ABS(Vorrunde!$L79-Vorrunde!$N79)&gt;1),Vorrunde!$N79,"")</f>
        <v/>
      </c>
      <c r="AF131" s="40" t="str">
        <f ca="1">IF(AND($AA131=1,Vorrunde!$O79&lt;&gt;"",Vorrunde!$Q79&lt;&gt;"",ABS(Vorrunde!$O79-Vorrunde!$Q79)&gt;1),Vorrunde!$O79,"")</f>
        <v/>
      </c>
      <c r="AG131" s="35" t="str">
        <f ca="1">IF(AND($AA131=1,Vorrunde!$O79&lt;&gt;"",Vorrunde!$Q79&lt;&gt;"",ABS(Vorrunde!$O79-Vorrunde!$Q79)&gt;1),Vorrunde!$Q79,"")</f>
        <v/>
      </c>
      <c r="AH131" s="40" t="str">
        <f t="shared" ca="1" si="67"/>
        <v/>
      </c>
      <c r="AI131" s="35" t="str">
        <f t="shared" ca="1" si="68"/>
        <v/>
      </c>
      <c r="AJ131" s="40">
        <f ca="1">IF(Vorrunde!$R79="",0,Vorrunde!$R79)</f>
        <v>0</v>
      </c>
      <c r="AK131" s="35">
        <f ca="1">IF(Vorrunde!$T79="",0,Vorrunde!$T79)</f>
        <v>0</v>
      </c>
      <c r="AL131" s="13" t="str">
        <f ca="1">IF($AA131=0,"",IF($AJ131&gt;$AK131,Einstellungen!$C$4,IF($AJ131=$AK131,1,0)))</f>
        <v/>
      </c>
      <c r="AM131" s="35" t="str">
        <f ca="1">IF($AA131=0,"",IF($AJ131&lt;$AK131,Einstellungen!$C$4,IF($AJ131=$AK131,1,0)))</f>
        <v/>
      </c>
    </row>
    <row r="132" spans="2:39" s="2" customFormat="1" x14ac:dyDescent="0.2">
      <c r="B132" s="4"/>
      <c r="C132" s="4"/>
      <c r="D132" s="4"/>
      <c r="E132" s="4"/>
      <c r="F132" s="13"/>
      <c r="G132" s="13"/>
      <c r="H132" s="13"/>
      <c r="I132" s="13"/>
      <c r="J132" s="13"/>
      <c r="K132" s="13"/>
      <c r="L132" s="13"/>
      <c r="M132" s="13"/>
      <c r="U132" s="65" t="s">
        <v>90</v>
      </c>
      <c r="V132" s="40" t="str">
        <f ca="1">Planung!$L74</f>
        <v/>
      </c>
      <c r="W132" s="13" t="str">
        <f ca="1">Planung!$N74</f>
        <v/>
      </c>
      <c r="X132" s="13" t="str">
        <f ca="1">IF(AND($AA132=1,Vorrunde!$I80&lt;&gt;"",Vorrunde!$K80&lt;&gt;"",ABS(Vorrunde!$I80-Vorrunde!$K80)&gt;1),Vorrunde!$I80,"")</f>
        <v/>
      </c>
      <c r="Y132" s="35" t="str">
        <f ca="1">IF(AND($AA132=1,Vorrunde!$I80&lt;&gt;"",Vorrunde!$K80&lt;&gt;"",ABS(Vorrunde!$I80-Vorrunde!$K80)&gt;1),Vorrunde!$K80,"")</f>
        <v/>
      </c>
      <c r="Z132" s="34" t="str">
        <f t="shared" ca="1" si="66"/>
        <v/>
      </c>
      <c r="AA132" s="13">
        <f ca="1">IF(AND(V132&lt;&gt;"",W132&lt;&gt;"",V132&lt;&gt;W132,Vorrunde!$R80&lt;&gt;"",Vorrunde!$T80&lt;&gt;""),1,0)</f>
        <v>0</v>
      </c>
      <c r="AB132" s="13" t="str">
        <f ca="1">IF(AA132&gt;0,AH132&amp;Sprache!$E$108&amp;AI132,"")</f>
        <v/>
      </c>
      <c r="AC132" s="35" t="str">
        <f ca="1">IF(AA132&gt;0,AJ132&amp;Sprache!$E$108&amp;AK132,"")</f>
        <v/>
      </c>
      <c r="AD132" s="40" t="str">
        <f ca="1">IF(AND($AA132=1,Vorrunde!$L80&lt;&gt;"",Vorrunde!$N80&lt;&gt;"",ABS(Vorrunde!$L80-Vorrunde!$N80)&gt;1),Vorrunde!$L80,"")</f>
        <v/>
      </c>
      <c r="AE132" s="35" t="str">
        <f ca="1">IF(AND($AA132=1,Vorrunde!$L80&lt;&gt;"",Vorrunde!$N80&lt;&gt;"",ABS(Vorrunde!$L80-Vorrunde!$N80)&gt;1),Vorrunde!$N80,"")</f>
        <v/>
      </c>
      <c r="AF132" s="40" t="str">
        <f ca="1">IF(AND($AA132=1,Vorrunde!$O80&lt;&gt;"",Vorrunde!$Q80&lt;&gt;"",ABS(Vorrunde!$O80-Vorrunde!$Q80)&gt;1),Vorrunde!$O80,"")</f>
        <v/>
      </c>
      <c r="AG132" s="35" t="str">
        <f ca="1">IF(AND($AA132=1,Vorrunde!$O80&lt;&gt;"",Vorrunde!$Q80&lt;&gt;"",ABS(Vorrunde!$O80-Vorrunde!$Q80)&gt;1),Vorrunde!$Q80,"")</f>
        <v/>
      </c>
      <c r="AH132" s="40" t="str">
        <f t="shared" ca="1" si="67"/>
        <v/>
      </c>
      <c r="AI132" s="35" t="str">
        <f t="shared" ca="1" si="68"/>
        <v/>
      </c>
      <c r="AJ132" s="40">
        <f ca="1">IF(Vorrunde!$R80="",0,Vorrunde!$R80)</f>
        <v>0</v>
      </c>
      <c r="AK132" s="35">
        <f ca="1">IF(Vorrunde!$T80="",0,Vorrunde!$T80)</f>
        <v>0</v>
      </c>
      <c r="AL132" s="13" t="str">
        <f ca="1">IF($AA132=0,"",IF($AJ132&gt;$AK132,Einstellungen!$C$4,IF($AJ132=$AK132,1,0)))</f>
        <v/>
      </c>
      <c r="AM132" s="35" t="str">
        <f ca="1">IF($AA132=0,"",IF($AJ132&lt;$AK132,Einstellungen!$C$4,IF($AJ132=$AK132,1,0)))</f>
        <v/>
      </c>
    </row>
    <row r="133" spans="2:39" s="2" customFormat="1" x14ac:dyDescent="0.2">
      <c r="B133" s="4"/>
      <c r="C133" s="4"/>
      <c r="D133" s="4"/>
      <c r="E133" s="4"/>
      <c r="F133" s="13"/>
      <c r="G133" s="13"/>
      <c r="H133" s="13"/>
      <c r="I133" s="13"/>
      <c r="J133" s="13"/>
      <c r="K133" s="13"/>
      <c r="L133" s="13"/>
      <c r="M133" s="13"/>
      <c r="U133" s="65" t="s">
        <v>91</v>
      </c>
      <c r="V133" s="40" t="str">
        <f ca="1">Planung!$L75</f>
        <v/>
      </c>
      <c r="W133" s="13" t="str">
        <f ca="1">Planung!$N75</f>
        <v/>
      </c>
      <c r="X133" s="13" t="str">
        <f ca="1">IF(AND($AA133=1,Vorrunde!$I81&lt;&gt;"",Vorrunde!$K81&lt;&gt;"",ABS(Vorrunde!$I81-Vorrunde!$K81)&gt;1),Vorrunde!$I81,"")</f>
        <v/>
      </c>
      <c r="Y133" s="35" t="str">
        <f ca="1">IF(AND($AA133=1,Vorrunde!$I81&lt;&gt;"",Vorrunde!$K81&lt;&gt;"",ABS(Vorrunde!$I81-Vorrunde!$K81)&gt;1),Vorrunde!$K81,"")</f>
        <v/>
      </c>
      <c r="Z133" s="34" t="str">
        <f t="shared" ca="1" si="66"/>
        <v/>
      </c>
      <c r="AA133" s="13">
        <f ca="1">IF(AND(V133&lt;&gt;"",W133&lt;&gt;"",V133&lt;&gt;W133,Vorrunde!$R81&lt;&gt;"",Vorrunde!$T81&lt;&gt;""),1,0)</f>
        <v>0</v>
      </c>
      <c r="AB133" s="13" t="str">
        <f ca="1">IF(AA133&gt;0,AH133&amp;Sprache!$E$108&amp;AI133,"")</f>
        <v/>
      </c>
      <c r="AC133" s="35" t="str">
        <f ca="1">IF(AA133&gt;0,AJ133&amp;Sprache!$E$108&amp;AK133,"")</f>
        <v/>
      </c>
      <c r="AD133" s="40" t="str">
        <f ca="1">IF(AND($AA133=1,Vorrunde!$L81&lt;&gt;"",Vorrunde!$N81&lt;&gt;"",ABS(Vorrunde!$L81-Vorrunde!$N81)&gt;1),Vorrunde!$L81,"")</f>
        <v/>
      </c>
      <c r="AE133" s="35" t="str">
        <f ca="1">IF(AND($AA133=1,Vorrunde!$L81&lt;&gt;"",Vorrunde!$N81&lt;&gt;"",ABS(Vorrunde!$L81-Vorrunde!$N81)&gt;1),Vorrunde!$N81,"")</f>
        <v/>
      </c>
      <c r="AF133" s="40" t="str">
        <f ca="1">IF(AND($AA133=1,Vorrunde!$O81&lt;&gt;"",Vorrunde!$Q81&lt;&gt;"",ABS(Vorrunde!$O81-Vorrunde!$Q81)&gt;1),Vorrunde!$O81,"")</f>
        <v/>
      </c>
      <c r="AG133" s="35" t="str">
        <f ca="1">IF(AND($AA133=1,Vorrunde!$O81&lt;&gt;"",Vorrunde!$Q81&lt;&gt;"",ABS(Vorrunde!$O81-Vorrunde!$Q81)&gt;1),Vorrunde!$Q81,"")</f>
        <v/>
      </c>
      <c r="AH133" s="40" t="str">
        <f t="shared" ca="1" si="67"/>
        <v/>
      </c>
      <c r="AI133" s="35" t="str">
        <f t="shared" ca="1" si="68"/>
        <v/>
      </c>
      <c r="AJ133" s="40">
        <f ca="1">IF(Vorrunde!$R81="",0,Vorrunde!$R81)</f>
        <v>0</v>
      </c>
      <c r="AK133" s="35">
        <f ca="1">IF(Vorrunde!$T81="",0,Vorrunde!$T81)</f>
        <v>0</v>
      </c>
      <c r="AL133" s="13" t="str">
        <f ca="1">IF($AA133=0,"",IF($AJ133&gt;$AK133,Einstellungen!$C$4,IF($AJ133=$AK133,1,0)))</f>
        <v/>
      </c>
      <c r="AM133" s="35" t="str">
        <f ca="1">IF($AA133=0,"",IF($AJ133&lt;$AK133,Einstellungen!$C$4,IF($AJ133=$AK133,1,0)))</f>
        <v/>
      </c>
    </row>
    <row r="134" spans="2:39" s="2" customFormat="1" x14ac:dyDescent="0.2">
      <c r="B134" s="4"/>
      <c r="C134" s="4"/>
      <c r="D134" s="4"/>
      <c r="E134" s="4"/>
      <c r="F134" s="13"/>
      <c r="G134" s="13"/>
      <c r="H134" s="13"/>
      <c r="I134" s="13"/>
      <c r="J134" s="13"/>
      <c r="K134" s="13"/>
      <c r="L134" s="13"/>
      <c r="M134" s="13"/>
      <c r="U134" s="65" t="s">
        <v>92</v>
      </c>
      <c r="V134" s="40" t="str">
        <f ca="1">Planung!$L76</f>
        <v/>
      </c>
      <c r="W134" s="13" t="str">
        <f ca="1">Planung!$N76</f>
        <v/>
      </c>
      <c r="X134" s="13" t="str">
        <f ca="1">IF(AND($AA134=1,Vorrunde!$I82&lt;&gt;"",Vorrunde!$K82&lt;&gt;"",ABS(Vorrunde!$I82-Vorrunde!$K82)&gt;1),Vorrunde!$I82,"")</f>
        <v/>
      </c>
      <c r="Y134" s="35" t="str">
        <f ca="1">IF(AND($AA134=1,Vorrunde!$I82&lt;&gt;"",Vorrunde!$K82&lt;&gt;"",ABS(Vorrunde!$I82-Vorrunde!$K82)&gt;1),Vorrunde!$K82,"")</f>
        <v/>
      </c>
      <c r="Z134" s="34" t="str">
        <f t="shared" ca="1" si="66"/>
        <v/>
      </c>
      <c r="AA134" s="13">
        <f ca="1">IF(AND(V134&lt;&gt;"",W134&lt;&gt;"",V134&lt;&gt;W134,Vorrunde!$R82&lt;&gt;"",Vorrunde!$T82&lt;&gt;""),1,0)</f>
        <v>0</v>
      </c>
      <c r="AB134" s="13" t="str">
        <f ca="1">IF(AA134&gt;0,AH134&amp;Sprache!$E$108&amp;AI134,"")</f>
        <v/>
      </c>
      <c r="AC134" s="35" t="str">
        <f ca="1">IF(AA134&gt;0,AJ134&amp;Sprache!$E$108&amp;AK134,"")</f>
        <v/>
      </c>
      <c r="AD134" s="40" t="str">
        <f ca="1">IF(AND($AA134=1,Vorrunde!$L82&lt;&gt;"",Vorrunde!$N82&lt;&gt;"",ABS(Vorrunde!$L82-Vorrunde!$N82)&gt;1),Vorrunde!$L82,"")</f>
        <v/>
      </c>
      <c r="AE134" s="35" t="str">
        <f ca="1">IF(AND($AA134=1,Vorrunde!$L82&lt;&gt;"",Vorrunde!$N82&lt;&gt;"",ABS(Vorrunde!$L82-Vorrunde!$N82)&gt;1),Vorrunde!$N82,"")</f>
        <v/>
      </c>
      <c r="AF134" s="40" t="str">
        <f ca="1">IF(AND($AA134=1,Vorrunde!$O82&lt;&gt;"",Vorrunde!$Q82&lt;&gt;"",ABS(Vorrunde!$O82-Vorrunde!$Q82)&gt;1),Vorrunde!$O82,"")</f>
        <v/>
      </c>
      <c r="AG134" s="35" t="str">
        <f ca="1">IF(AND($AA134=1,Vorrunde!$O82&lt;&gt;"",Vorrunde!$Q82&lt;&gt;"",ABS(Vorrunde!$O82-Vorrunde!$Q82)&gt;1),Vorrunde!$Q82,"")</f>
        <v/>
      </c>
      <c r="AH134" s="40" t="str">
        <f t="shared" ca="1" si="67"/>
        <v/>
      </c>
      <c r="AI134" s="35" t="str">
        <f t="shared" ca="1" si="68"/>
        <v/>
      </c>
      <c r="AJ134" s="40">
        <f ca="1">IF(Vorrunde!$R82="",0,Vorrunde!$R82)</f>
        <v>0</v>
      </c>
      <c r="AK134" s="35">
        <f ca="1">IF(Vorrunde!$T82="",0,Vorrunde!$T82)</f>
        <v>0</v>
      </c>
      <c r="AL134" s="13" t="str">
        <f ca="1">IF($AA134=0,"",IF($AJ134&gt;$AK134,Einstellungen!$C$4,IF($AJ134=$AK134,1,0)))</f>
        <v/>
      </c>
      <c r="AM134" s="35" t="str">
        <f ca="1">IF($AA134=0,"",IF($AJ134&lt;$AK134,Einstellungen!$C$4,IF($AJ134=$AK134,1,0)))</f>
        <v/>
      </c>
    </row>
    <row r="135" spans="2:39" s="2" customFormat="1" ht="12.75" thickBot="1" x14ac:dyDescent="0.25">
      <c r="B135" s="4"/>
      <c r="C135" s="4"/>
      <c r="D135" s="4"/>
      <c r="E135" s="4"/>
      <c r="F135" s="13"/>
      <c r="G135" s="13"/>
      <c r="H135" s="13"/>
      <c r="I135" s="13"/>
      <c r="J135" s="13"/>
      <c r="K135" s="13"/>
      <c r="L135" s="13"/>
      <c r="M135" s="13"/>
      <c r="U135" s="66" t="s">
        <v>93</v>
      </c>
      <c r="V135" s="41" t="str">
        <f ca="1">Planung!$L77</f>
        <v/>
      </c>
      <c r="W135" s="37" t="str">
        <f ca="1">Planung!$N77</f>
        <v/>
      </c>
      <c r="X135" s="37" t="str">
        <f ca="1">IF(AND($AA135=1,Vorrunde!$I83&lt;&gt;"",Vorrunde!$K83&lt;&gt;"",ABS(Vorrunde!$I83-Vorrunde!$K83)&gt;1),Vorrunde!$I83,"")</f>
        <v/>
      </c>
      <c r="Y135" s="38" t="str">
        <f ca="1">IF(AND($AA135=1,Vorrunde!$I83&lt;&gt;"",Vorrunde!$K83&lt;&gt;"",ABS(Vorrunde!$I83-Vorrunde!$K83)&gt;1),Vorrunde!$K83,"")</f>
        <v/>
      </c>
      <c r="Z135" s="36" t="str">
        <f t="shared" ca="1" si="66"/>
        <v/>
      </c>
      <c r="AA135" s="37">
        <f ca="1">IF(AND(V135&lt;&gt;"",W135&lt;&gt;"",V135&lt;&gt;W135,Vorrunde!$R83&lt;&gt;"",Vorrunde!$T83&lt;&gt;""),1,0)</f>
        <v>0</v>
      </c>
      <c r="AB135" s="37" t="str">
        <f ca="1">IF(AA135&gt;0,AH135&amp;Sprache!$E$108&amp;AI135,"")</f>
        <v/>
      </c>
      <c r="AC135" s="38" t="str">
        <f ca="1">IF(AA135&gt;0,AJ135&amp;Sprache!$E$108&amp;AK135,"")</f>
        <v/>
      </c>
      <c r="AD135" s="41" t="str">
        <f ca="1">IF(AND($AA135=1,Vorrunde!$L83&lt;&gt;"",Vorrunde!$N83&lt;&gt;"",ABS(Vorrunde!$L83-Vorrunde!$N83)&gt;1),Vorrunde!$L83,"")</f>
        <v/>
      </c>
      <c r="AE135" s="38" t="str">
        <f ca="1">IF(AND($AA135=1,Vorrunde!$L83&lt;&gt;"",Vorrunde!$N83&lt;&gt;"",ABS(Vorrunde!$L83-Vorrunde!$N83)&gt;1),Vorrunde!$N83,"")</f>
        <v/>
      </c>
      <c r="AF135" s="41" t="str">
        <f ca="1">IF(AND($AA135=1,Vorrunde!$O83&lt;&gt;"",Vorrunde!$Q83&lt;&gt;"",ABS(Vorrunde!$O83-Vorrunde!$Q83)&gt;1),Vorrunde!$O83,"")</f>
        <v/>
      </c>
      <c r="AG135" s="38" t="str">
        <f ca="1">IF(AND($AA135=1,Vorrunde!$O83&lt;&gt;"",Vorrunde!$Q83&lt;&gt;"",ABS(Vorrunde!$O83-Vorrunde!$Q83)&gt;1),Vorrunde!$Q83,"")</f>
        <v/>
      </c>
      <c r="AH135" s="41" t="str">
        <f t="shared" ca="1" si="67"/>
        <v/>
      </c>
      <c r="AI135" s="38" t="str">
        <f t="shared" ca="1" si="68"/>
        <v/>
      </c>
      <c r="AJ135" s="41">
        <f ca="1">IF(Vorrunde!$R83="",0,Vorrunde!$R83)</f>
        <v>0</v>
      </c>
      <c r="AK135" s="38">
        <f ca="1">IF(Vorrunde!$T83="",0,Vorrunde!$T83)</f>
        <v>0</v>
      </c>
      <c r="AL135" s="37" t="str">
        <f ca="1">IF($AA135=0,"",IF($AJ135&gt;$AK135,Einstellungen!$C$4,IF($AJ135=$AK135,1,0)))</f>
        <v/>
      </c>
      <c r="AM135" s="38" t="str">
        <f ca="1">IF($AA135=0,"",IF($AJ135&lt;$AK135,Einstellungen!$C$4,IF($AJ135=$AK135,1,0)))</f>
        <v/>
      </c>
    </row>
    <row r="136" spans="2:39" s="2" customFormat="1" ht="12.75" thickTop="1" x14ac:dyDescent="0.2">
      <c r="B136" s="4"/>
      <c r="C136" s="4"/>
      <c r="D136" s="4"/>
      <c r="E136" s="4"/>
      <c r="F136" s="13"/>
      <c r="G136" s="13"/>
      <c r="H136" s="13"/>
      <c r="I136" s="13"/>
      <c r="J136" s="13"/>
      <c r="K136" s="13"/>
      <c r="L136" s="13"/>
      <c r="M136" s="13"/>
      <c r="Y136" s="65" t="s">
        <v>7</v>
      </c>
      <c r="Z136" s="31" t="str">
        <f ca="1">W64&amp;V64</f>
        <v>FC BarcelonaVFB Essenheim</v>
      </c>
      <c r="AA136" s="32">
        <f ca="1">AA64</f>
        <v>1</v>
      </c>
      <c r="AB136" s="32" t="str">
        <f ca="1">IF(AA64&gt;0,AI64&amp;Sprache!$E$108&amp;AH64,"")</f>
        <v>65 : 63</v>
      </c>
      <c r="AC136" s="593" t="str">
        <f ca="1">IF(AA64&gt;0,AK64&amp;Sprache!$E$108&amp;AJ64,"")</f>
        <v>1 : 2</v>
      </c>
      <c r="AD136" s="32"/>
    </row>
    <row r="137" spans="2:39" x14ac:dyDescent="0.2">
      <c r="Y137" s="65" t="s">
        <v>8</v>
      </c>
      <c r="Z137" s="34" t="str">
        <f ca="1">W65&amp;V65</f>
        <v>Inter MailandFC Grönlingen</v>
      </c>
      <c r="AA137" s="13">
        <f t="shared" ref="AA137:AA200" ca="1" si="69">AA65</f>
        <v>1</v>
      </c>
      <c r="AB137" s="13" t="str">
        <f ca="1">IF(AA65&gt;0,AI65&amp;Sprache!$E$108&amp;AH65,"")</f>
        <v>45 : 48</v>
      </c>
      <c r="AC137" s="594" t="str">
        <f ca="1">IF(AA65&gt;0,AK65&amp;Sprache!$E$108&amp;AJ65,"")</f>
        <v>1 : 1</v>
      </c>
      <c r="AD137" s="13"/>
    </row>
    <row r="138" spans="2:39" x14ac:dyDescent="0.2">
      <c r="Y138" s="65" t="s">
        <v>9</v>
      </c>
      <c r="Z138" s="34" t="str">
        <f t="shared" ref="Z138:Z201" ca="1" si="70">W66&amp;V66</f>
        <v>Maibach 1822 eVEintracht Frankfurt</v>
      </c>
      <c r="AA138" s="13">
        <f t="shared" ca="1" si="69"/>
        <v>1</v>
      </c>
      <c r="AB138" s="13" t="str">
        <f ca="1">IF(AA66&gt;0,AI66&amp;Sprache!$E$108&amp;AH66,"")</f>
        <v>36 : 50</v>
      </c>
      <c r="AC138" s="594" t="str">
        <f ca="1">IF(AA66&gt;0,AK66&amp;Sprache!$E$108&amp;AJ66,"")</f>
        <v>0 : 2</v>
      </c>
      <c r="AD138" s="13"/>
    </row>
    <row r="139" spans="2:39" x14ac:dyDescent="0.2">
      <c r="Y139" s="65" t="s">
        <v>10</v>
      </c>
      <c r="Z139" s="34" t="str">
        <f t="shared" ca="1" si="70"/>
        <v>Manchester CitySSV Wildbach</v>
      </c>
      <c r="AA139" s="13">
        <f t="shared" ca="1" si="69"/>
        <v>1</v>
      </c>
      <c r="AB139" s="13" t="str">
        <f ca="1">IF(AA67&gt;0,AI67&amp;Sprache!$E$108&amp;AH67,"")</f>
        <v>42 : 50</v>
      </c>
      <c r="AC139" s="594" t="str">
        <f ca="1">IF(AA67&gt;0,AK67&amp;Sprache!$E$108&amp;AJ67,"")</f>
        <v>0 : 2</v>
      </c>
      <c r="AD139" s="13"/>
    </row>
    <row r="140" spans="2:39" x14ac:dyDescent="0.2">
      <c r="Y140" s="65" t="s">
        <v>11</v>
      </c>
      <c r="Z140" s="34" t="str">
        <f t="shared" ca="1" si="70"/>
        <v>1. FC RiedwaldVFB Essenheim</v>
      </c>
      <c r="AA140" s="13">
        <f t="shared" ca="1" si="69"/>
        <v>1</v>
      </c>
      <c r="AB140" s="13" t="str">
        <f ca="1">IF(AA68&gt;0,AI68&amp;Sprache!$E$108&amp;AH68,"")</f>
        <v>44 : 50</v>
      </c>
      <c r="AC140" s="594" t="str">
        <f ca="1">IF(AA68&gt;0,AK68&amp;Sprache!$E$108&amp;AJ68,"")</f>
        <v>0 : 2</v>
      </c>
      <c r="AD140" s="13"/>
    </row>
    <row r="141" spans="2:39" x14ac:dyDescent="0.2">
      <c r="Y141" s="65" t="s">
        <v>12</v>
      </c>
      <c r="Z141" s="34" t="str">
        <f t="shared" ca="1" si="70"/>
        <v>Mainz 05FC Grönlingen</v>
      </c>
      <c r="AA141" s="13">
        <f t="shared" ca="1" si="69"/>
        <v>1</v>
      </c>
      <c r="AB141" s="13" t="str">
        <f ca="1">IF(AA69&gt;0,AI69&amp;Sprache!$E$108&amp;AH69,"")</f>
        <v>39 : 50</v>
      </c>
      <c r="AC141" s="594" t="str">
        <f ca="1">IF(AA69&gt;0,AK69&amp;Sprache!$E$108&amp;AJ69,"")</f>
        <v>0 : 2</v>
      </c>
      <c r="AD141" s="13"/>
    </row>
    <row r="142" spans="2:39" x14ac:dyDescent="0.2">
      <c r="Y142" s="65" t="s">
        <v>17</v>
      </c>
      <c r="Z142" s="34" t="str">
        <f t="shared" ca="1" si="70"/>
        <v>Eintracht FrankfurtFC Barcelona</v>
      </c>
      <c r="AA142" s="13">
        <f t="shared" ca="1" si="69"/>
        <v>1</v>
      </c>
      <c r="AB142" s="13" t="str">
        <f ca="1">IF(AA70&gt;0,AI70&amp;Sprache!$E$108&amp;AH70,"")</f>
        <v>48 : 48</v>
      </c>
      <c r="AC142" s="594" t="str">
        <f ca="1">IF(AA70&gt;0,AK70&amp;Sprache!$E$108&amp;AJ70,"")</f>
        <v>1 : 1</v>
      </c>
      <c r="AD142" s="13"/>
    </row>
    <row r="143" spans="2:39" x14ac:dyDescent="0.2">
      <c r="Y143" s="65" t="s">
        <v>18</v>
      </c>
      <c r="Z143" s="34" t="str">
        <f t="shared" ca="1" si="70"/>
        <v>SSV WildbachInter Mailand</v>
      </c>
      <c r="AA143" s="13">
        <f t="shared" ca="1" si="69"/>
        <v>1</v>
      </c>
      <c r="AB143" s="13" t="str">
        <f ca="1">IF(AA71&gt;0,AI71&amp;Sprache!$E$108&amp;AH71,"")</f>
        <v>37 : 44</v>
      </c>
      <c r="AC143" s="594" t="str">
        <f ca="1">IF(AA71&gt;0,AK71&amp;Sprache!$E$108&amp;AJ71,"")</f>
        <v>1 : 1</v>
      </c>
      <c r="AD143" s="13"/>
    </row>
    <row r="144" spans="2:39" x14ac:dyDescent="0.2">
      <c r="Y144" s="65" t="s">
        <v>19</v>
      </c>
      <c r="Z144" s="34" t="str">
        <f t="shared" ca="1" si="70"/>
        <v>Maibach 1822 eV1. FC Riedwald</v>
      </c>
      <c r="AA144" s="13">
        <f t="shared" ca="1" si="69"/>
        <v>1</v>
      </c>
      <c r="AB144" s="13" t="str">
        <f ca="1">IF(AA72&gt;0,AI72&amp;Sprache!$E$108&amp;AH72,"")</f>
        <v>43 : 41</v>
      </c>
      <c r="AC144" s="594" t="str">
        <f ca="1">IF(AA72&gt;0,AK72&amp;Sprache!$E$108&amp;AJ72,"")</f>
        <v>1 : 1</v>
      </c>
      <c r="AD144" s="13"/>
    </row>
    <row r="145" spans="25:30" x14ac:dyDescent="0.2">
      <c r="Y145" s="65" t="s">
        <v>25</v>
      </c>
      <c r="Z145" s="34" t="str">
        <f t="shared" ca="1" si="70"/>
        <v>Manchester CityMainz 05</v>
      </c>
      <c r="AA145" s="13">
        <f t="shared" ca="1" si="69"/>
        <v>1</v>
      </c>
      <c r="AB145" s="13" t="str">
        <f ca="1">IF(AA73&gt;0,AI73&amp;Sprache!$E$108&amp;AH73,"")</f>
        <v>44 : 39</v>
      </c>
      <c r="AC145" s="594" t="str">
        <f ca="1">IF(AA73&gt;0,AK73&amp;Sprache!$E$108&amp;AJ73,"")</f>
        <v>1 : 1</v>
      </c>
      <c r="AD145" s="13"/>
    </row>
    <row r="146" spans="25:30" x14ac:dyDescent="0.2">
      <c r="Y146" s="65" t="s">
        <v>26</v>
      </c>
      <c r="Z146" s="34" t="str">
        <f t="shared" ca="1" si="70"/>
        <v>VFB EssenheimEintracht Frankfurt</v>
      </c>
      <c r="AA146" s="13">
        <f t="shared" ca="1" si="69"/>
        <v>1</v>
      </c>
      <c r="AB146" s="13" t="str">
        <f ca="1">IF(AA74&gt;0,AI74&amp;Sprache!$E$108&amp;AH74,"")</f>
        <v>45 : 47</v>
      </c>
      <c r="AC146" s="594" t="str">
        <f ca="1">IF(AA74&gt;0,AK74&amp;Sprache!$E$108&amp;AJ74,"")</f>
        <v>1 : 1</v>
      </c>
      <c r="AD146" s="13"/>
    </row>
    <row r="147" spans="25:30" x14ac:dyDescent="0.2">
      <c r="Y147" s="65" t="s">
        <v>27</v>
      </c>
      <c r="Z147" s="34" t="str">
        <f t="shared" ca="1" si="70"/>
        <v>FC GrönlingenSSV Wildbach</v>
      </c>
      <c r="AA147" s="13">
        <f t="shared" ca="1" si="69"/>
        <v>1</v>
      </c>
      <c r="AB147" s="13" t="str">
        <f ca="1">IF(AA75&gt;0,AI75&amp;Sprache!$E$108&amp;AH75,"")</f>
        <v>44 : 44</v>
      </c>
      <c r="AC147" s="594" t="str">
        <f ca="1">IF(AA75&gt;0,AK75&amp;Sprache!$E$108&amp;AJ75,"")</f>
        <v>1 : 1</v>
      </c>
      <c r="AD147" s="13"/>
    </row>
    <row r="148" spans="25:30" x14ac:dyDescent="0.2">
      <c r="Y148" s="65" t="s">
        <v>28</v>
      </c>
      <c r="Z148" s="34" t="str">
        <f t="shared" ca="1" si="70"/>
        <v>Maibach 1822 eVFC Barcelona</v>
      </c>
      <c r="AA148" s="13">
        <f t="shared" ca="1" si="69"/>
        <v>1</v>
      </c>
      <c r="AB148" s="13" t="str">
        <f ca="1">IF(AA76&gt;0,AI76&amp;Sprache!$E$108&amp;AH76,"")</f>
        <v>50 : 29</v>
      </c>
      <c r="AC148" s="594" t="str">
        <f ca="1">IF(AA76&gt;0,AK76&amp;Sprache!$E$108&amp;AJ76,"")</f>
        <v>2 : 0</v>
      </c>
      <c r="AD148" s="13"/>
    </row>
    <row r="149" spans="25:30" x14ac:dyDescent="0.2">
      <c r="Y149" s="65" t="s">
        <v>29</v>
      </c>
      <c r="Z149" s="34" t="str">
        <f t="shared" ca="1" si="70"/>
        <v>Manchester CityInter Mailand</v>
      </c>
      <c r="AA149" s="13">
        <f t="shared" ca="1" si="69"/>
        <v>1</v>
      </c>
      <c r="AB149" s="13" t="str">
        <f ca="1">IF(AA77&gt;0,AI77&amp;Sprache!$E$108&amp;AH77,"")</f>
        <v>48 : 39</v>
      </c>
      <c r="AC149" s="594" t="str">
        <f ca="1">IF(AA77&gt;0,AK77&amp;Sprache!$E$108&amp;AJ77,"")</f>
        <v>1 : 1</v>
      </c>
      <c r="AD149" s="13"/>
    </row>
    <row r="150" spans="25:30" x14ac:dyDescent="0.2">
      <c r="Y150" s="65" t="s">
        <v>30</v>
      </c>
      <c r="Z150" s="34" t="str">
        <f t="shared" ca="1" si="70"/>
        <v>1. FC RiedwaldEintracht Frankfurt</v>
      </c>
      <c r="AA150" s="13">
        <f t="shared" ca="1" si="69"/>
        <v>1</v>
      </c>
      <c r="AB150" s="13" t="str">
        <f ca="1">IF(AA78&gt;0,AI78&amp;Sprache!$E$108&amp;AH78,"")</f>
        <v>42 : 46</v>
      </c>
      <c r="AC150" s="594" t="str">
        <f ca="1">IF(AA78&gt;0,AK78&amp;Sprache!$E$108&amp;AJ78,"")</f>
        <v>1 : 1</v>
      </c>
      <c r="AD150" s="13"/>
    </row>
    <row r="151" spans="25:30" x14ac:dyDescent="0.2">
      <c r="Y151" s="65" t="s">
        <v>31</v>
      </c>
      <c r="Z151" s="34" t="str">
        <f t="shared" ca="1" si="70"/>
        <v>Mainz 05SSV Wildbach</v>
      </c>
      <c r="AA151" s="13">
        <f t="shared" ca="1" si="69"/>
        <v>1</v>
      </c>
      <c r="AB151" s="13" t="str">
        <f ca="1">IF(AA79&gt;0,AI79&amp;Sprache!$E$108&amp;AH79,"")</f>
        <v>50 : 38</v>
      </c>
      <c r="AC151" s="594" t="str">
        <f ca="1">IF(AA79&gt;0,AK79&amp;Sprache!$E$108&amp;AJ79,"")</f>
        <v>2 : 0</v>
      </c>
      <c r="AD151" s="13"/>
    </row>
    <row r="152" spans="25:30" x14ac:dyDescent="0.2">
      <c r="Y152" s="65" t="s">
        <v>32</v>
      </c>
      <c r="Z152" s="34" t="str">
        <f t="shared" ca="1" si="70"/>
        <v>VFB EssenheimMaibach 1822 eV</v>
      </c>
      <c r="AA152" s="13">
        <f t="shared" ca="1" si="69"/>
        <v>1</v>
      </c>
      <c r="AB152" s="13" t="str">
        <f ca="1">IF(AA80&gt;0,AI80&amp;Sprache!$E$108&amp;AH80,"")</f>
        <v>40 : 50</v>
      </c>
      <c r="AC152" s="594" t="str">
        <f ca="1">IF(AA80&gt;0,AK80&amp;Sprache!$E$108&amp;AJ80,"")</f>
        <v>0 : 2</v>
      </c>
      <c r="AD152" s="13"/>
    </row>
    <row r="153" spans="25:30" x14ac:dyDescent="0.2">
      <c r="Y153" s="65" t="s">
        <v>33</v>
      </c>
      <c r="Z153" s="34" t="str">
        <f t="shared" ca="1" si="70"/>
        <v>FC GrönlingenManchester City</v>
      </c>
      <c r="AA153" s="13">
        <f t="shared" ca="1" si="69"/>
        <v>1</v>
      </c>
      <c r="AB153" s="13" t="str">
        <f ca="1">IF(AA81&gt;0,AI81&amp;Sprache!$E$108&amp;AH81,"")</f>
        <v>32 : 50</v>
      </c>
      <c r="AC153" s="594" t="str">
        <f ca="1">IF(AA81&gt;0,AK81&amp;Sprache!$E$108&amp;AJ81,"")</f>
        <v>0 : 2</v>
      </c>
      <c r="AD153" s="13"/>
    </row>
    <row r="154" spans="25:30" x14ac:dyDescent="0.2">
      <c r="Y154" s="65" t="s">
        <v>34</v>
      </c>
      <c r="Z154" s="34" t="str">
        <f t="shared" ca="1" si="70"/>
        <v>FC Barcelona1. FC Riedwald</v>
      </c>
      <c r="AA154" s="13">
        <f t="shared" ca="1" si="69"/>
        <v>1</v>
      </c>
      <c r="AB154" s="13" t="str">
        <f ca="1">IF(AA82&gt;0,AI82&amp;Sprache!$E$108&amp;AH82,"")</f>
        <v>37 : 50</v>
      </c>
      <c r="AC154" s="594" t="str">
        <f ca="1">IF(AA82&gt;0,AK82&amp;Sprache!$E$108&amp;AJ82,"")</f>
        <v>0 : 2</v>
      </c>
      <c r="AD154" s="13"/>
    </row>
    <row r="155" spans="25:30" x14ac:dyDescent="0.2">
      <c r="Y155" s="65" t="s">
        <v>35</v>
      </c>
      <c r="Z155" s="34" t="str">
        <f t="shared" ca="1" si="70"/>
        <v>Inter MailandMainz 05</v>
      </c>
      <c r="AA155" s="13">
        <f t="shared" ca="1" si="69"/>
        <v>1</v>
      </c>
      <c r="AB155" s="13" t="str">
        <f ca="1">IF(AA83&gt;0,AI83&amp;Sprache!$E$108&amp;AH83,"")</f>
        <v>24 : 50</v>
      </c>
      <c r="AC155" s="594" t="str">
        <f ca="1">IF(AA83&gt;0,AK83&amp;Sprache!$E$108&amp;AJ83,"")</f>
        <v>0 : 2</v>
      </c>
      <c r="AD155" s="13"/>
    </row>
    <row r="156" spans="25:30" x14ac:dyDescent="0.2">
      <c r="Y156" s="65" t="s">
        <v>36</v>
      </c>
      <c r="Z156" s="34" t="str">
        <f t="shared" ca="1" si="70"/>
        <v/>
      </c>
      <c r="AA156" s="13">
        <f t="shared" ca="1" si="69"/>
        <v>0</v>
      </c>
      <c r="AB156" s="13" t="str">
        <f ca="1">IF(AA84&gt;0,AI84&amp;Sprache!$E$108&amp;AH84,"")</f>
        <v/>
      </c>
      <c r="AC156" s="594" t="str">
        <f ca="1">IF(AA84&gt;0,AK84&amp;Sprache!$E$108&amp;AJ84,"")</f>
        <v/>
      </c>
      <c r="AD156" s="13"/>
    </row>
    <row r="157" spans="25:30" x14ac:dyDescent="0.2">
      <c r="Y157" s="65" t="s">
        <v>37</v>
      </c>
      <c r="Z157" s="34" t="str">
        <f t="shared" ca="1" si="70"/>
        <v/>
      </c>
      <c r="AA157" s="13">
        <f t="shared" ca="1" si="69"/>
        <v>0</v>
      </c>
      <c r="AB157" s="13" t="str">
        <f ca="1">IF(AA85&gt;0,AI85&amp;Sprache!$E$108&amp;AH85,"")</f>
        <v/>
      </c>
      <c r="AC157" s="594" t="str">
        <f ca="1">IF(AA85&gt;0,AK85&amp;Sprache!$E$108&amp;AJ85,"")</f>
        <v/>
      </c>
      <c r="AD157" s="13"/>
    </row>
    <row r="158" spans="25:30" x14ac:dyDescent="0.2">
      <c r="Y158" s="65" t="s">
        <v>38</v>
      </c>
      <c r="Z158" s="34" t="str">
        <f t="shared" ca="1" si="70"/>
        <v/>
      </c>
      <c r="AA158" s="13">
        <f t="shared" ca="1" si="69"/>
        <v>0</v>
      </c>
      <c r="AB158" s="13" t="str">
        <f ca="1">IF(AA86&gt;0,AI86&amp;Sprache!$E$108&amp;AH86,"")</f>
        <v/>
      </c>
      <c r="AC158" s="594" t="str">
        <f ca="1">IF(AA86&gt;0,AK86&amp;Sprache!$E$108&amp;AJ86,"")</f>
        <v/>
      </c>
      <c r="AD158" s="13"/>
    </row>
    <row r="159" spans="25:30" x14ac:dyDescent="0.2">
      <c r="Y159" s="65" t="s">
        <v>39</v>
      </c>
      <c r="Z159" s="34" t="str">
        <f t="shared" ca="1" si="70"/>
        <v/>
      </c>
      <c r="AA159" s="13">
        <f t="shared" ca="1" si="69"/>
        <v>0</v>
      </c>
      <c r="AB159" s="13" t="str">
        <f ca="1">IF(AA87&gt;0,AI87&amp;Sprache!$E$108&amp;AH87,"")</f>
        <v/>
      </c>
      <c r="AC159" s="594" t="str">
        <f ca="1">IF(AA87&gt;0,AK87&amp;Sprache!$E$108&amp;AJ87,"")</f>
        <v/>
      </c>
      <c r="AD159" s="13"/>
    </row>
    <row r="160" spans="25:30" x14ac:dyDescent="0.2">
      <c r="Y160" s="65" t="s">
        <v>40</v>
      </c>
      <c r="Z160" s="34" t="str">
        <f t="shared" ca="1" si="70"/>
        <v/>
      </c>
      <c r="AA160" s="13">
        <f t="shared" ca="1" si="69"/>
        <v>0</v>
      </c>
      <c r="AB160" s="13" t="str">
        <f ca="1">IF(AA88&gt;0,AI88&amp;Sprache!$E$108&amp;AH88,"")</f>
        <v/>
      </c>
      <c r="AC160" s="594" t="str">
        <f ca="1">IF(AA88&gt;0,AK88&amp;Sprache!$E$108&amp;AJ88,"")</f>
        <v/>
      </c>
      <c r="AD160" s="13"/>
    </row>
    <row r="161" spans="25:30" x14ac:dyDescent="0.2">
      <c r="Y161" s="65" t="s">
        <v>41</v>
      </c>
      <c r="Z161" s="34" t="str">
        <f t="shared" ca="1" si="70"/>
        <v/>
      </c>
      <c r="AA161" s="13">
        <f t="shared" ca="1" si="69"/>
        <v>0</v>
      </c>
      <c r="AB161" s="13" t="str">
        <f ca="1">IF(AA89&gt;0,AI89&amp;Sprache!$E$108&amp;AH89,"")</f>
        <v/>
      </c>
      <c r="AC161" s="594" t="str">
        <f ca="1">IF(AA89&gt;0,AK89&amp;Sprache!$E$108&amp;AJ89,"")</f>
        <v/>
      </c>
      <c r="AD161" s="13"/>
    </row>
    <row r="162" spans="25:30" x14ac:dyDescent="0.2">
      <c r="Y162" s="65" t="s">
        <v>42</v>
      </c>
      <c r="Z162" s="34" t="str">
        <f t="shared" ca="1" si="70"/>
        <v/>
      </c>
      <c r="AA162" s="13">
        <f t="shared" ca="1" si="69"/>
        <v>0</v>
      </c>
      <c r="AB162" s="13" t="str">
        <f ca="1">IF(AA90&gt;0,AI90&amp;Sprache!$E$108&amp;AH90,"")</f>
        <v/>
      </c>
      <c r="AC162" s="594" t="str">
        <f ca="1">IF(AA90&gt;0,AK90&amp;Sprache!$E$108&amp;AJ90,"")</f>
        <v/>
      </c>
      <c r="AD162" s="13"/>
    </row>
    <row r="163" spans="25:30" x14ac:dyDescent="0.2">
      <c r="Y163" s="65" t="s">
        <v>43</v>
      </c>
      <c r="Z163" s="34" t="str">
        <f t="shared" ca="1" si="70"/>
        <v/>
      </c>
      <c r="AA163" s="13">
        <f t="shared" ca="1" si="69"/>
        <v>0</v>
      </c>
      <c r="AB163" s="13" t="str">
        <f ca="1">IF(AA91&gt;0,AI91&amp;Sprache!$E$108&amp;AH91,"")</f>
        <v/>
      </c>
      <c r="AC163" s="594" t="str">
        <f ca="1">IF(AA91&gt;0,AK91&amp;Sprache!$E$108&amp;AJ91,"")</f>
        <v/>
      </c>
      <c r="AD163" s="13"/>
    </row>
    <row r="164" spans="25:30" x14ac:dyDescent="0.2">
      <c r="Y164" s="65" t="s">
        <v>44</v>
      </c>
      <c r="Z164" s="34" t="str">
        <f t="shared" ca="1" si="70"/>
        <v/>
      </c>
      <c r="AA164" s="13">
        <f t="shared" ca="1" si="69"/>
        <v>0</v>
      </c>
      <c r="AB164" s="13" t="str">
        <f ca="1">IF(AA92&gt;0,AI92&amp;Sprache!$E$108&amp;AH92,"")</f>
        <v/>
      </c>
      <c r="AC164" s="594" t="str">
        <f ca="1">IF(AA92&gt;0,AK92&amp;Sprache!$E$108&amp;AJ92,"")</f>
        <v/>
      </c>
      <c r="AD164" s="13"/>
    </row>
    <row r="165" spans="25:30" x14ac:dyDescent="0.2">
      <c r="Y165" s="65" t="s">
        <v>45</v>
      </c>
      <c r="Z165" s="34" t="str">
        <f t="shared" ca="1" si="70"/>
        <v/>
      </c>
      <c r="AA165" s="13">
        <f t="shared" ca="1" si="69"/>
        <v>0</v>
      </c>
      <c r="AB165" s="13" t="str">
        <f ca="1">IF(AA93&gt;0,AI93&amp;Sprache!$E$108&amp;AH93,"")</f>
        <v/>
      </c>
      <c r="AC165" s="594" t="str">
        <f ca="1">IF(AA93&gt;0,AK93&amp;Sprache!$E$108&amp;AJ93,"")</f>
        <v/>
      </c>
      <c r="AD165" s="13"/>
    </row>
    <row r="166" spans="25:30" x14ac:dyDescent="0.2">
      <c r="Y166" s="65" t="s">
        <v>46</v>
      </c>
      <c r="Z166" s="34" t="str">
        <f t="shared" ca="1" si="70"/>
        <v/>
      </c>
      <c r="AA166" s="13">
        <f t="shared" ca="1" si="69"/>
        <v>0</v>
      </c>
      <c r="AB166" s="13" t="str">
        <f ca="1">IF(AA94&gt;0,AI94&amp;Sprache!$E$108&amp;AH94,"")</f>
        <v/>
      </c>
      <c r="AC166" s="594" t="str">
        <f ca="1">IF(AA94&gt;0,AK94&amp;Sprache!$E$108&amp;AJ94,"")</f>
        <v/>
      </c>
      <c r="AD166" s="13"/>
    </row>
    <row r="167" spans="25:30" x14ac:dyDescent="0.2">
      <c r="Y167" s="65" t="s">
        <v>47</v>
      </c>
      <c r="Z167" s="34" t="str">
        <f t="shared" ca="1" si="70"/>
        <v/>
      </c>
      <c r="AA167" s="13">
        <f t="shared" ca="1" si="69"/>
        <v>0</v>
      </c>
      <c r="AB167" s="13" t="str">
        <f ca="1">IF(AA95&gt;0,AI95&amp;Sprache!$E$108&amp;AH95,"")</f>
        <v/>
      </c>
      <c r="AC167" s="594" t="str">
        <f ca="1">IF(AA95&gt;0,AK95&amp;Sprache!$E$108&amp;AJ95,"")</f>
        <v/>
      </c>
      <c r="AD167" s="13"/>
    </row>
    <row r="168" spans="25:30" x14ac:dyDescent="0.2">
      <c r="Y168" s="65" t="s">
        <v>48</v>
      </c>
      <c r="Z168" s="34" t="str">
        <f t="shared" ca="1" si="70"/>
        <v/>
      </c>
      <c r="AA168" s="13">
        <f t="shared" ca="1" si="69"/>
        <v>0</v>
      </c>
      <c r="AB168" s="13" t="str">
        <f ca="1">IF(AA96&gt;0,AI96&amp;Sprache!$E$108&amp;AH96,"")</f>
        <v/>
      </c>
      <c r="AC168" s="594" t="str">
        <f ca="1">IF(AA96&gt;0,AK96&amp;Sprache!$E$108&amp;AJ96,"")</f>
        <v/>
      </c>
      <c r="AD168" s="13"/>
    </row>
    <row r="169" spans="25:30" x14ac:dyDescent="0.2">
      <c r="Y169" s="65" t="s">
        <v>49</v>
      </c>
      <c r="Z169" s="34" t="str">
        <f t="shared" ca="1" si="70"/>
        <v/>
      </c>
      <c r="AA169" s="13">
        <f t="shared" ca="1" si="69"/>
        <v>0</v>
      </c>
      <c r="AB169" s="13" t="str">
        <f ca="1">IF(AA97&gt;0,AI97&amp;Sprache!$E$108&amp;AH97,"")</f>
        <v/>
      </c>
      <c r="AC169" s="594" t="str">
        <f ca="1">IF(AA97&gt;0,AK97&amp;Sprache!$E$108&amp;AJ97,"")</f>
        <v/>
      </c>
      <c r="AD169" s="13"/>
    </row>
    <row r="170" spans="25:30" x14ac:dyDescent="0.2">
      <c r="Y170" s="65" t="s">
        <v>50</v>
      </c>
      <c r="Z170" s="34" t="str">
        <f t="shared" ca="1" si="70"/>
        <v/>
      </c>
      <c r="AA170" s="13">
        <f t="shared" ca="1" si="69"/>
        <v>0</v>
      </c>
      <c r="AB170" s="13" t="str">
        <f ca="1">IF(AA98&gt;0,AI98&amp;Sprache!$E$108&amp;AH98,"")</f>
        <v/>
      </c>
      <c r="AC170" s="594" t="str">
        <f ca="1">IF(AA98&gt;0,AK98&amp;Sprache!$E$108&amp;AJ98,"")</f>
        <v/>
      </c>
      <c r="AD170" s="13"/>
    </row>
    <row r="171" spans="25:30" x14ac:dyDescent="0.2">
      <c r="Y171" s="65" t="s">
        <v>51</v>
      </c>
      <c r="Z171" s="34" t="str">
        <f t="shared" ca="1" si="70"/>
        <v/>
      </c>
      <c r="AA171" s="13">
        <f t="shared" ca="1" si="69"/>
        <v>0</v>
      </c>
      <c r="AB171" s="13" t="str">
        <f ca="1">IF(AA99&gt;0,AI99&amp;Sprache!$E$108&amp;AH99,"")</f>
        <v/>
      </c>
      <c r="AC171" s="594" t="str">
        <f ca="1">IF(AA99&gt;0,AK99&amp;Sprache!$E$108&amp;AJ99,"")</f>
        <v/>
      </c>
      <c r="AD171" s="13"/>
    </row>
    <row r="172" spans="25:30" x14ac:dyDescent="0.2">
      <c r="Y172" s="65" t="s">
        <v>58</v>
      </c>
      <c r="Z172" s="34" t="str">
        <f t="shared" ca="1" si="70"/>
        <v/>
      </c>
      <c r="AA172" s="13">
        <f t="shared" ca="1" si="69"/>
        <v>0</v>
      </c>
      <c r="AB172" s="13" t="str">
        <f ca="1">IF(AA100&gt;0,AI100&amp;Sprache!$E$108&amp;AH100,"")</f>
        <v/>
      </c>
      <c r="AC172" s="594" t="str">
        <f ca="1">IF(AA100&gt;0,AK100&amp;Sprache!$E$108&amp;AJ100,"")</f>
        <v/>
      </c>
      <c r="AD172" s="13"/>
    </row>
    <row r="173" spans="25:30" x14ac:dyDescent="0.2">
      <c r="Y173" s="65" t="s">
        <v>59</v>
      </c>
      <c r="Z173" s="34" t="str">
        <f t="shared" ca="1" si="70"/>
        <v/>
      </c>
      <c r="AA173" s="13">
        <f t="shared" ca="1" si="69"/>
        <v>0</v>
      </c>
      <c r="AB173" s="13" t="str">
        <f ca="1">IF(AA101&gt;0,AI101&amp;Sprache!$E$108&amp;AH101,"")</f>
        <v/>
      </c>
      <c r="AC173" s="594" t="str">
        <f ca="1">IF(AA101&gt;0,AK101&amp;Sprache!$E$108&amp;AJ101,"")</f>
        <v/>
      </c>
      <c r="AD173" s="13"/>
    </row>
    <row r="174" spans="25:30" x14ac:dyDescent="0.2">
      <c r="Y174" s="65" t="s">
        <v>60</v>
      </c>
      <c r="Z174" s="34" t="str">
        <f t="shared" ca="1" si="70"/>
        <v/>
      </c>
      <c r="AA174" s="13">
        <f t="shared" ca="1" si="69"/>
        <v>0</v>
      </c>
      <c r="AB174" s="13" t="str">
        <f ca="1">IF(AA102&gt;0,AI102&amp;Sprache!$E$108&amp;AH102,"")</f>
        <v/>
      </c>
      <c r="AC174" s="594" t="str">
        <f ca="1">IF(AA102&gt;0,AK102&amp;Sprache!$E$108&amp;AJ102,"")</f>
        <v/>
      </c>
      <c r="AD174" s="13"/>
    </row>
    <row r="175" spans="25:30" x14ac:dyDescent="0.2">
      <c r="Y175" s="65" t="s">
        <v>61</v>
      </c>
      <c r="Z175" s="34" t="str">
        <f t="shared" ca="1" si="70"/>
        <v/>
      </c>
      <c r="AA175" s="13">
        <f t="shared" ca="1" si="69"/>
        <v>0</v>
      </c>
      <c r="AB175" s="13" t="str">
        <f ca="1">IF(AA103&gt;0,AI103&amp;Sprache!$E$108&amp;AH103,"")</f>
        <v/>
      </c>
      <c r="AC175" s="594" t="str">
        <f ca="1">IF(AA103&gt;0,AK103&amp;Sprache!$E$108&amp;AJ103,"")</f>
        <v/>
      </c>
      <c r="AD175" s="13"/>
    </row>
    <row r="176" spans="25:30" x14ac:dyDescent="0.2">
      <c r="Y176" s="65" t="s">
        <v>62</v>
      </c>
      <c r="Z176" s="34" t="str">
        <f t="shared" ca="1" si="70"/>
        <v/>
      </c>
      <c r="AA176" s="13">
        <f t="shared" ca="1" si="69"/>
        <v>0</v>
      </c>
      <c r="AB176" s="13" t="str">
        <f ca="1">IF(AA104&gt;0,AI104&amp;Sprache!$E$108&amp;AH104,"")</f>
        <v/>
      </c>
      <c r="AC176" s="594" t="str">
        <f ca="1">IF(AA104&gt;0,AK104&amp;Sprache!$E$108&amp;AJ104,"")</f>
        <v/>
      </c>
      <c r="AD176" s="13"/>
    </row>
    <row r="177" spans="25:30" x14ac:dyDescent="0.2">
      <c r="Y177" s="65" t="s">
        <v>63</v>
      </c>
      <c r="Z177" s="34" t="str">
        <f t="shared" ca="1" si="70"/>
        <v/>
      </c>
      <c r="AA177" s="13">
        <f t="shared" ca="1" si="69"/>
        <v>0</v>
      </c>
      <c r="AB177" s="13" t="str">
        <f ca="1">IF(AA105&gt;0,AI105&amp;Sprache!$E$108&amp;AH105,"")</f>
        <v/>
      </c>
      <c r="AC177" s="594" t="str">
        <f ca="1">IF(AA105&gt;0,AK105&amp;Sprache!$E$108&amp;AJ105,"")</f>
        <v/>
      </c>
      <c r="AD177" s="13"/>
    </row>
    <row r="178" spans="25:30" x14ac:dyDescent="0.2">
      <c r="Y178" s="65" t="s">
        <v>64</v>
      </c>
      <c r="Z178" s="34" t="str">
        <f t="shared" ca="1" si="70"/>
        <v/>
      </c>
      <c r="AA178" s="13">
        <f t="shared" ca="1" si="69"/>
        <v>0</v>
      </c>
      <c r="AB178" s="13" t="str">
        <f ca="1">IF(AA106&gt;0,AI106&amp;Sprache!$E$108&amp;AH106,"")</f>
        <v/>
      </c>
      <c r="AC178" s="594" t="str">
        <f ca="1">IF(AA106&gt;0,AK106&amp;Sprache!$E$108&amp;AJ106,"")</f>
        <v/>
      </c>
      <c r="AD178" s="13"/>
    </row>
    <row r="179" spans="25:30" x14ac:dyDescent="0.2">
      <c r="Y179" s="65" t="s">
        <v>65</v>
      </c>
      <c r="Z179" s="34" t="str">
        <f t="shared" ca="1" si="70"/>
        <v/>
      </c>
      <c r="AA179" s="13">
        <f t="shared" ca="1" si="69"/>
        <v>0</v>
      </c>
      <c r="AB179" s="13" t="str">
        <f ca="1">IF(AA107&gt;0,AI107&amp;Sprache!$E$108&amp;AH107,"")</f>
        <v/>
      </c>
      <c r="AC179" s="594" t="str">
        <f ca="1">IF(AA107&gt;0,AK107&amp;Sprache!$E$108&amp;AJ107,"")</f>
        <v/>
      </c>
      <c r="AD179" s="13"/>
    </row>
    <row r="180" spans="25:30" x14ac:dyDescent="0.2">
      <c r="Y180" s="65" t="s">
        <v>66</v>
      </c>
      <c r="Z180" s="34" t="str">
        <f t="shared" ca="1" si="70"/>
        <v/>
      </c>
      <c r="AA180" s="13">
        <f t="shared" ca="1" si="69"/>
        <v>0</v>
      </c>
      <c r="AB180" s="13" t="str">
        <f ca="1">IF(AA108&gt;0,AI108&amp;Sprache!$E$108&amp;AH108,"")</f>
        <v/>
      </c>
      <c r="AC180" s="594" t="str">
        <f ca="1">IF(AA108&gt;0,AK108&amp;Sprache!$E$108&amp;AJ108,"")</f>
        <v/>
      </c>
      <c r="AD180" s="13"/>
    </row>
    <row r="181" spans="25:30" x14ac:dyDescent="0.2">
      <c r="Y181" s="65" t="s">
        <v>67</v>
      </c>
      <c r="Z181" s="34" t="str">
        <f t="shared" ca="1" si="70"/>
        <v/>
      </c>
      <c r="AA181" s="13">
        <f t="shared" ca="1" si="69"/>
        <v>0</v>
      </c>
      <c r="AB181" s="13" t="str">
        <f ca="1">IF(AA109&gt;0,AI109&amp;Sprache!$E$108&amp;AH109,"")</f>
        <v/>
      </c>
      <c r="AC181" s="594" t="str">
        <f ca="1">IF(AA109&gt;0,AK109&amp;Sprache!$E$108&amp;AJ109,"")</f>
        <v/>
      </c>
      <c r="AD181" s="13"/>
    </row>
    <row r="182" spans="25:30" x14ac:dyDescent="0.2">
      <c r="Y182" s="65" t="s">
        <v>68</v>
      </c>
      <c r="Z182" s="34" t="str">
        <f t="shared" ca="1" si="70"/>
        <v/>
      </c>
      <c r="AA182" s="13">
        <f t="shared" ca="1" si="69"/>
        <v>0</v>
      </c>
      <c r="AB182" s="13" t="str">
        <f ca="1">IF(AA110&gt;0,AI110&amp;Sprache!$E$108&amp;AH110,"")</f>
        <v/>
      </c>
      <c r="AC182" s="594" t="str">
        <f ca="1">IF(AA110&gt;0,AK110&amp;Sprache!$E$108&amp;AJ110,"")</f>
        <v/>
      </c>
      <c r="AD182" s="13"/>
    </row>
    <row r="183" spans="25:30" x14ac:dyDescent="0.2">
      <c r="Y183" s="65" t="s">
        <v>69</v>
      </c>
      <c r="Z183" s="34" t="str">
        <f t="shared" ca="1" si="70"/>
        <v/>
      </c>
      <c r="AA183" s="13">
        <f t="shared" ca="1" si="69"/>
        <v>0</v>
      </c>
      <c r="AB183" s="13" t="str">
        <f ca="1">IF(AA111&gt;0,AI111&amp;Sprache!$E$108&amp;AH111,"")</f>
        <v/>
      </c>
      <c r="AC183" s="594" t="str">
        <f ca="1">IF(AA111&gt;0,AK111&amp;Sprache!$E$108&amp;AJ111,"")</f>
        <v/>
      </c>
      <c r="AD183" s="13"/>
    </row>
    <row r="184" spans="25:30" x14ac:dyDescent="0.2">
      <c r="Y184" s="65" t="s">
        <v>70</v>
      </c>
      <c r="Z184" s="34" t="str">
        <f t="shared" ca="1" si="70"/>
        <v/>
      </c>
      <c r="AA184" s="13">
        <f t="shared" ca="1" si="69"/>
        <v>0</v>
      </c>
      <c r="AB184" s="13" t="str">
        <f ca="1">IF(AA112&gt;0,AI112&amp;Sprache!$E$108&amp;AH112,"")</f>
        <v/>
      </c>
      <c r="AC184" s="594" t="str">
        <f ca="1">IF(AA112&gt;0,AK112&amp;Sprache!$E$108&amp;AJ112,"")</f>
        <v/>
      </c>
      <c r="AD184" s="13"/>
    </row>
    <row r="185" spans="25:30" x14ac:dyDescent="0.2">
      <c r="Y185" s="65" t="s">
        <v>71</v>
      </c>
      <c r="Z185" s="34" t="str">
        <f t="shared" ca="1" si="70"/>
        <v/>
      </c>
      <c r="AA185" s="13">
        <f t="shared" ca="1" si="69"/>
        <v>0</v>
      </c>
      <c r="AB185" s="13" t="str">
        <f ca="1">IF(AA113&gt;0,AI113&amp;Sprache!$E$108&amp;AH113,"")</f>
        <v/>
      </c>
      <c r="AC185" s="594" t="str">
        <f ca="1">IF(AA113&gt;0,AK113&amp;Sprache!$E$108&amp;AJ113,"")</f>
        <v/>
      </c>
      <c r="AD185" s="13"/>
    </row>
    <row r="186" spans="25:30" x14ac:dyDescent="0.2">
      <c r="Y186" s="65" t="s">
        <v>72</v>
      </c>
      <c r="Z186" s="34" t="str">
        <f t="shared" ca="1" si="70"/>
        <v/>
      </c>
      <c r="AA186" s="13">
        <f t="shared" ca="1" si="69"/>
        <v>0</v>
      </c>
      <c r="AB186" s="13" t="str">
        <f ca="1">IF(AA114&gt;0,AI114&amp;Sprache!$E$108&amp;AH114,"")</f>
        <v/>
      </c>
      <c r="AC186" s="594" t="str">
        <f ca="1">IF(AA114&gt;0,AK114&amp;Sprache!$E$108&amp;AJ114,"")</f>
        <v/>
      </c>
      <c r="AD186" s="13"/>
    </row>
    <row r="187" spans="25:30" x14ac:dyDescent="0.2">
      <c r="Y187" s="65" t="s">
        <v>73</v>
      </c>
      <c r="Z187" s="34" t="str">
        <f t="shared" ca="1" si="70"/>
        <v/>
      </c>
      <c r="AA187" s="13">
        <f t="shared" ca="1" si="69"/>
        <v>0</v>
      </c>
      <c r="AB187" s="13" t="str">
        <f ca="1">IF(AA115&gt;0,AI115&amp;Sprache!$E$108&amp;AH115,"")</f>
        <v/>
      </c>
      <c r="AC187" s="594" t="str">
        <f ca="1">IF(AA115&gt;0,AK115&amp;Sprache!$E$108&amp;AJ115,"")</f>
        <v/>
      </c>
      <c r="AD187" s="13"/>
    </row>
    <row r="188" spans="25:30" x14ac:dyDescent="0.2">
      <c r="Y188" s="65" t="s">
        <v>74</v>
      </c>
      <c r="Z188" s="34" t="str">
        <f t="shared" ca="1" si="70"/>
        <v/>
      </c>
      <c r="AA188" s="13">
        <f t="shared" ca="1" si="69"/>
        <v>0</v>
      </c>
      <c r="AB188" s="13" t="str">
        <f ca="1">IF(AA116&gt;0,AI116&amp;Sprache!$E$108&amp;AH116,"")</f>
        <v/>
      </c>
      <c r="AC188" s="594" t="str">
        <f ca="1">IF(AA116&gt;0,AK116&amp;Sprache!$E$108&amp;AJ116,"")</f>
        <v/>
      </c>
      <c r="AD188" s="13"/>
    </row>
    <row r="189" spans="25:30" x14ac:dyDescent="0.2">
      <c r="Y189" s="65" t="s">
        <v>75</v>
      </c>
      <c r="Z189" s="34" t="str">
        <f t="shared" ca="1" si="70"/>
        <v/>
      </c>
      <c r="AA189" s="13">
        <f t="shared" ca="1" si="69"/>
        <v>0</v>
      </c>
      <c r="AB189" s="13" t="str">
        <f ca="1">IF(AA117&gt;0,AI117&amp;Sprache!$E$108&amp;AH117,"")</f>
        <v/>
      </c>
      <c r="AC189" s="594" t="str">
        <f ca="1">IF(AA117&gt;0,AK117&amp;Sprache!$E$108&amp;AJ117,"")</f>
        <v/>
      </c>
      <c r="AD189" s="13"/>
    </row>
    <row r="190" spans="25:30" x14ac:dyDescent="0.2">
      <c r="Y190" s="65" t="s">
        <v>76</v>
      </c>
      <c r="Z190" s="34" t="str">
        <f t="shared" ca="1" si="70"/>
        <v/>
      </c>
      <c r="AA190" s="13">
        <f t="shared" ca="1" si="69"/>
        <v>0</v>
      </c>
      <c r="AB190" s="13" t="str">
        <f ca="1">IF(AA118&gt;0,AI118&amp;Sprache!$E$108&amp;AH118,"")</f>
        <v/>
      </c>
      <c r="AC190" s="594" t="str">
        <f ca="1">IF(AA118&gt;0,AK118&amp;Sprache!$E$108&amp;AJ118,"")</f>
        <v/>
      </c>
      <c r="AD190" s="13"/>
    </row>
    <row r="191" spans="25:30" x14ac:dyDescent="0.2">
      <c r="Y191" s="65" t="s">
        <v>77</v>
      </c>
      <c r="Z191" s="34" t="str">
        <f t="shared" ca="1" si="70"/>
        <v/>
      </c>
      <c r="AA191" s="13">
        <f t="shared" ca="1" si="69"/>
        <v>0</v>
      </c>
      <c r="AB191" s="13" t="str">
        <f ca="1">IF(AA119&gt;0,AI119&amp;Sprache!$E$108&amp;AH119,"")</f>
        <v/>
      </c>
      <c r="AC191" s="594" t="str">
        <f ca="1">IF(AA119&gt;0,AK119&amp;Sprache!$E$108&amp;AJ119,"")</f>
        <v/>
      </c>
      <c r="AD191" s="13"/>
    </row>
    <row r="192" spans="25:30" x14ac:dyDescent="0.2">
      <c r="Y192" s="65" t="s">
        <v>78</v>
      </c>
      <c r="Z192" s="34" t="str">
        <f t="shared" ca="1" si="70"/>
        <v/>
      </c>
      <c r="AA192" s="13">
        <f t="shared" ca="1" si="69"/>
        <v>0</v>
      </c>
      <c r="AB192" s="13" t="str">
        <f ca="1">IF(AA120&gt;0,AI120&amp;Sprache!$E$108&amp;AH120,"")</f>
        <v/>
      </c>
      <c r="AC192" s="594" t="str">
        <f ca="1">IF(AA120&gt;0,AK120&amp;Sprache!$E$108&amp;AJ120,"")</f>
        <v/>
      </c>
      <c r="AD192" s="13"/>
    </row>
    <row r="193" spans="25:30" x14ac:dyDescent="0.2">
      <c r="Y193" s="65" t="s">
        <v>79</v>
      </c>
      <c r="Z193" s="34" t="str">
        <f t="shared" ca="1" si="70"/>
        <v/>
      </c>
      <c r="AA193" s="13">
        <f t="shared" ca="1" si="69"/>
        <v>0</v>
      </c>
      <c r="AB193" s="13" t="str">
        <f ca="1">IF(AA121&gt;0,AI121&amp;Sprache!$E$108&amp;AH121,"")</f>
        <v/>
      </c>
      <c r="AC193" s="594" t="str">
        <f ca="1">IF(AA121&gt;0,AK121&amp;Sprache!$E$108&amp;AJ121,"")</f>
        <v/>
      </c>
      <c r="AD193" s="13"/>
    </row>
    <row r="194" spans="25:30" x14ac:dyDescent="0.2">
      <c r="Y194" s="65" t="s">
        <v>80</v>
      </c>
      <c r="Z194" s="34" t="str">
        <f t="shared" ca="1" si="70"/>
        <v/>
      </c>
      <c r="AA194" s="13">
        <f t="shared" ca="1" si="69"/>
        <v>0</v>
      </c>
      <c r="AB194" s="13" t="str">
        <f ca="1">IF(AA122&gt;0,AI122&amp;Sprache!$E$108&amp;AH122,"")</f>
        <v/>
      </c>
      <c r="AC194" s="594" t="str">
        <f ca="1">IF(AA122&gt;0,AK122&amp;Sprache!$E$108&amp;AJ122,"")</f>
        <v/>
      </c>
      <c r="AD194" s="13"/>
    </row>
    <row r="195" spans="25:30" x14ac:dyDescent="0.2">
      <c r="Y195" s="65" t="s">
        <v>81</v>
      </c>
      <c r="Z195" s="34" t="str">
        <f t="shared" ca="1" si="70"/>
        <v/>
      </c>
      <c r="AA195" s="13">
        <f t="shared" ca="1" si="69"/>
        <v>0</v>
      </c>
      <c r="AB195" s="13" t="str">
        <f ca="1">IF(AA123&gt;0,AI123&amp;Sprache!$E$108&amp;AH123,"")</f>
        <v/>
      </c>
      <c r="AC195" s="594" t="str">
        <f ca="1">IF(AA123&gt;0,AK123&amp;Sprache!$E$108&amp;AJ123,"")</f>
        <v/>
      </c>
      <c r="AD195" s="13"/>
    </row>
    <row r="196" spans="25:30" x14ac:dyDescent="0.2">
      <c r="Y196" s="65" t="s">
        <v>82</v>
      </c>
      <c r="Z196" s="34" t="str">
        <f t="shared" ca="1" si="70"/>
        <v/>
      </c>
      <c r="AA196" s="13">
        <f t="shared" ca="1" si="69"/>
        <v>0</v>
      </c>
      <c r="AB196" s="13" t="str">
        <f ca="1">IF(AA124&gt;0,AI124&amp;Sprache!$E$108&amp;AH124,"")</f>
        <v/>
      </c>
      <c r="AC196" s="594" t="str">
        <f ca="1">IF(AA124&gt;0,AK124&amp;Sprache!$E$108&amp;AJ124,"")</f>
        <v/>
      </c>
      <c r="AD196" s="13"/>
    </row>
    <row r="197" spans="25:30" x14ac:dyDescent="0.2">
      <c r="Y197" s="65" t="s">
        <v>83</v>
      </c>
      <c r="Z197" s="34" t="str">
        <f t="shared" ca="1" si="70"/>
        <v/>
      </c>
      <c r="AA197" s="13">
        <f t="shared" ca="1" si="69"/>
        <v>0</v>
      </c>
      <c r="AB197" s="13" t="str">
        <f ca="1">IF(AA125&gt;0,AI125&amp;Sprache!$E$108&amp;AH125,"")</f>
        <v/>
      </c>
      <c r="AC197" s="594" t="str">
        <f ca="1">IF(AA125&gt;0,AK125&amp;Sprache!$E$108&amp;AJ125,"")</f>
        <v/>
      </c>
      <c r="AD197" s="13"/>
    </row>
    <row r="198" spans="25:30" x14ac:dyDescent="0.2">
      <c r="Y198" s="65" t="s">
        <v>84</v>
      </c>
      <c r="Z198" s="34" t="str">
        <f t="shared" ca="1" si="70"/>
        <v/>
      </c>
      <c r="AA198" s="13">
        <f t="shared" ca="1" si="69"/>
        <v>0</v>
      </c>
      <c r="AB198" s="13" t="str">
        <f ca="1">IF(AA126&gt;0,AI126&amp;Sprache!$E$108&amp;AH126,"")</f>
        <v/>
      </c>
      <c r="AC198" s="594" t="str">
        <f ca="1">IF(AA126&gt;0,AK126&amp;Sprache!$E$108&amp;AJ126,"")</f>
        <v/>
      </c>
      <c r="AD198" s="13"/>
    </row>
    <row r="199" spans="25:30" x14ac:dyDescent="0.2">
      <c r="Y199" s="65" t="s">
        <v>85</v>
      </c>
      <c r="Z199" s="34" t="str">
        <f t="shared" ca="1" si="70"/>
        <v/>
      </c>
      <c r="AA199" s="13">
        <f t="shared" ca="1" si="69"/>
        <v>0</v>
      </c>
      <c r="AB199" s="13" t="str">
        <f ca="1">IF(AA127&gt;0,AI127&amp;Sprache!$E$108&amp;AH127,"")</f>
        <v/>
      </c>
      <c r="AC199" s="594" t="str">
        <f ca="1">IF(AA127&gt;0,AK127&amp;Sprache!$E$108&amp;AJ127,"")</f>
        <v/>
      </c>
      <c r="AD199" s="13"/>
    </row>
    <row r="200" spans="25:30" x14ac:dyDescent="0.2">
      <c r="Y200" s="65" t="s">
        <v>86</v>
      </c>
      <c r="Z200" s="34" t="str">
        <f t="shared" ca="1" si="70"/>
        <v/>
      </c>
      <c r="AA200" s="13">
        <f t="shared" ca="1" si="69"/>
        <v>0</v>
      </c>
      <c r="AB200" s="13" t="str">
        <f ca="1">IF(AA128&gt;0,AI128&amp;Sprache!$E$108&amp;AH128,"")</f>
        <v/>
      </c>
      <c r="AC200" s="594" t="str">
        <f ca="1">IF(AA128&gt;0,AK128&amp;Sprache!$E$108&amp;AJ128,"")</f>
        <v/>
      </c>
      <c r="AD200" s="13"/>
    </row>
    <row r="201" spans="25:30" x14ac:dyDescent="0.2">
      <c r="Y201" s="65" t="s">
        <v>87</v>
      </c>
      <c r="Z201" s="34" t="str">
        <f t="shared" ca="1" si="70"/>
        <v/>
      </c>
      <c r="AA201" s="13">
        <f t="shared" ref="AA201:AA207" ca="1" si="71">AA129</f>
        <v>0</v>
      </c>
      <c r="AB201" s="13" t="str">
        <f ca="1">IF(AA129&gt;0,AI129&amp;Sprache!$E$108&amp;AH129,"")</f>
        <v/>
      </c>
      <c r="AC201" s="594" t="str">
        <f ca="1">IF(AA129&gt;0,AK129&amp;Sprache!$E$108&amp;AJ129,"")</f>
        <v/>
      </c>
      <c r="AD201" s="13"/>
    </row>
    <row r="202" spans="25:30" x14ac:dyDescent="0.2">
      <c r="Y202" s="65" t="s">
        <v>88</v>
      </c>
      <c r="Z202" s="34" t="str">
        <f t="shared" ref="Z202:Z206" ca="1" si="72">W130&amp;V130</f>
        <v/>
      </c>
      <c r="AA202" s="13">
        <f t="shared" ca="1" si="71"/>
        <v>0</v>
      </c>
      <c r="AB202" s="13" t="str">
        <f ca="1">IF(AA130&gt;0,AI130&amp;Sprache!$E$108&amp;AH130,"")</f>
        <v/>
      </c>
      <c r="AC202" s="594" t="str">
        <f ca="1">IF(AA130&gt;0,AK130&amp;Sprache!$E$108&amp;AJ130,"")</f>
        <v/>
      </c>
      <c r="AD202" s="13"/>
    </row>
    <row r="203" spans="25:30" x14ac:dyDescent="0.2">
      <c r="Y203" s="65" t="s">
        <v>89</v>
      </c>
      <c r="Z203" s="34" t="str">
        <f t="shared" ca="1" si="72"/>
        <v/>
      </c>
      <c r="AA203" s="13">
        <f t="shared" ca="1" si="71"/>
        <v>0</v>
      </c>
      <c r="AB203" s="13" t="str">
        <f ca="1">IF(AA131&gt;0,AI131&amp;Sprache!$E$108&amp;AH131,"")</f>
        <v/>
      </c>
      <c r="AC203" s="594" t="str">
        <f ca="1">IF(AA131&gt;0,AK131&amp;Sprache!$E$108&amp;AJ131,"")</f>
        <v/>
      </c>
      <c r="AD203" s="13"/>
    </row>
    <row r="204" spans="25:30" x14ac:dyDescent="0.2">
      <c r="Y204" s="65" t="s">
        <v>90</v>
      </c>
      <c r="Z204" s="34" t="str">
        <f t="shared" ca="1" si="72"/>
        <v/>
      </c>
      <c r="AA204" s="13">
        <f t="shared" ca="1" si="71"/>
        <v>0</v>
      </c>
      <c r="AB204" s="13" t="str">
        <f ca="1">IF(AA132&gt;0,AI132&amp;Sprache!$E$108&amp;AH132,"")</f>
        <v/>
      </c>
      <c r="AC204" s="594" t="str">
        <f ca="1">IF(AA132&gt;0,AK132&amp;Sprache!$E$108&amp;AJ132,"")</f>
        <v/>
      </c>
      <c r="AD204" s="13"/>
    </row>
    <row r="205" spans="25:30" x14ac:dyDescent="0.2">
      <c r="Y205" s="65" t="s">
        <v>91</v>
      </c>
      <c r="Z205" s="34" t="str">
        <f t="shared" ca="1" si="72"/>
        <v/>
      </c>
      <c r="AA205" s="13">
        <f t="shared" ca="1" si="71"/>
        <v>0</v>
      </c>
      <c r="AB205" s="13" t="str">
        <f ca="1">IF(AA133&gt;0,AI133&amp;Sprache!$E$108&amp;AH133,"")</f>
        <v/>
      </c>
      <c r="AC205" s="594" t="str">
        <f ca="1">IF(AA133&gt;0,AK133&amp;Sprache!$E$108&amp;AJ133,"")</f>
        <v/>
      </c>
      <c r="AD205" s="13"/>
    </row>
    <row r="206" spans="25:30" x14ac:dyDescent="0.2">
      <c r="Y206" s="65" t="s">
        <v>92</v>
      </c>
      <c r="Z206" s="34" t="str">
        <f t="shared" ca="1" si="72"/>
        <v/>
      </c>
      <c r="AA206" s="13">
        <f t="shared" ca="1" si="71"/>
        <v>0</v>
      </c>
      <c r="AB206" s="13" t="str">
        <f ca="1">IF(AA134&gt;0,AI134&amp;Sprache!$E$108&amp;AH134,"")</f>
        <v/>
      </c>
      <c r="AC206" s="594" t="str">
        <f ca="1">IF(AA134&gt;0,AK134&amp;Sprache!$E$108&amp;AJ134,"")</f>
        <v/>
      </c>
      <c r="AD206" s="13"/>
    </row>
    <row r="207" spans="25:30" ht="12.75" thickBot="1" x14ac:dyDescent="0.25">
      <c r="Y207" s="66" t="s">
        <v>93</v>
      </c>
      <c r="Z207" s="36" t="str">
        <f ca="1">W135&amp;V135</f>
        <v/>
      </c>
      <c r="AA207" s="37">
        <f t="shared" ca="1" si="71"/>
        <v>0</v>
      </c>
      <c r="AB207" s="37" t="str">
        <f ca="1">IF(AA135&gt;0,AI135&amp;Sprache!$E$108&amp;AH135,"")</f>
        <v/>
      </c>
      <c r="AC207" s="595" t="str">
        <f ca="1">IF(AA135&gt;0,AK135&amp;Sprache!$E$108&amp;AJ135,"")</f>
        <v/>
      </c>
      <c r="AD207" s="40"/>
    </row>
    <row r="208" spans="25:30" ht="12.75" thickTop="1" x14ac:dyDescent="0.2"/>
  </sheetData>
  <mergeCells count="18">
    <mergeCell ref="AL63:AM63"/>
    <mergeCell ref="X63:Y63"/>
    <mergeCell ref="AD63:AE63"/>
    <mergeCell ref="AF63:AG63"/>
    <mergeCell ref="AH63:AI63"/>
    <mergeCell ref="AJ63:AK63"/>
    <mergeCell ref="AS29:AZ29"/>
    <mergeCell ref="BA29:BH29"/>
    <mergeCell ref="BI29:BP29"/>
    <mergeCell ref="W3:AA3"/>
    <mergeCell ref="AB3:AF3"/>
    <mergeCell ref="AG3:AK3"/>
    <mergeCell ref="AL3:AP3"/>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B8FCE-00C8-4784-8A2D-A68F65E0ADBF}">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8.28515625" style="10" customWidth="1"/>
    <col min="8" max="9" width="6.42578125" style="10" customWidth="1"/>
    <col min="10" max="10" width="8.28515625" style="10" customWidth="1"/>
    <col min="11" max="11" width="12.1406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9.8554687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46" width="8.85546875" style="10" customWidth="1"/>
    <col min="47" max="47" width="8.5703125" style="10" customWidth="1"/>
    <col min="48" max="48" width="8.7109375" style="10" customWidth="1"/>
    <col min="49" max="49" width="7.85546875" style="10" customWidth="1"/>
    <col min="50" max="69" width="4.7109375" style="10" customWidth="1"/>
    <col min="70" max="80" width="6.7109375" style="10" customWidth="1"/>
    <col min="81" max="16384" width="2.7109375" style="10"/>
  </cols>
  <sheetData>
    <row r="1" spans="1:50" s="2" customFormat="1" x14ac:dyDescent="0.2">
      <c r="Z1" s="1"/>
    </row>
    <row r="2" spans="1:50" s="2" customFormat="1" x14ac:dyDescent="0.2">
      <c r="B2" s="13"/>
      <c r="C2" s="13"/>
      <c r="D2" s="13"/>
      <c r="E2" s="13"/>
      <c r="F2" s="1"/>
      <c r="G2" s="1"/>
      <c r="H2" s="1"/>
      <c r="I2" s="1"/>
      <c r="J2" s="1"/>
      <c r="K2" s="1"/>
      <c r="L2" s="1"/>
      <c r="M2" s="1"/>
      <c r="N2" s="13"/>
      <c r="O2" s="1"/>
      <c r="P2" s="1"/>
      <c r="Q2" s="1"/>
      <c r="W2" s="2" t="s">
        <v>148</v>
      </c>
      <c r="AS2" s="1"/>
      <c r="AT2" s="1"/>
      <c r="AU2" s="1"/>
      <c r="AV2" s="1" t="s">
        <v>385</v>
      </c>
      <c r="AW2" s="1"/>
      <c r="AX2" s="1"/>
    </row>
    <row r="3" spans="1:50" s="2" customFormat="1" ht="13.5" customHeight="1" thickBot="1" x14ac:dyDescent="0.25">
      <c r="B3" s="1"/>
      <c r="C3" s="13"/>
      <c r="D3" s="13"/>
      <c r="E3" s="13"/>
      <c r="F3" s="13"/>
      <c r="G3" s="68" t="s">
        <v>107</v>
      </c>
      <c r="H3" s="68" t="s">
        <v>108</v>
      </c>
      <c r="I3" s="729" t="s">
        <v>381</v>
      </c>
      <c r="J3" s="729" t="s">
        <v>110</v>
      </c>
      <c r="K3" s="729" t="s">
        <v>103</v>
      </c>
      <c r="L3" s="28" t="s">
        <v>104</v>
      </c>
      <c r="M3" s="28" t="s">
        <v>105</v>
      </c>
      <c r="N3" s="28" t="s">
        <v>106</v>
      </c>
      <c r="O3" s="107"/>
      <c r="P3" s="108"/>
      <c r="Q3" s="108"/>
      <c r="R3" s="108"/>
      <c r="S3" s="108"/>
      <c r="T3" s="108"/>
      <c r="U3" s="108"/>
      <c r="V3" s="108"/>
      <c r="W3" s="976"/>
      <c r="X3" s="977"/>
      <c r="Y3" s="977"/>
      <c r="Z3" s="977"/>
      <c r="AA3" s="977"/>
      <c r="AB3" s="976"/>
      <c r="AC3" s="977"/>
      <c r="AD3" s="977"/>
      <c r="AE3" s="977"/>
      <c r="AF3" s="977"/>
      <c r="AG3" s="976"/>
      <c r="AH3" s="977"/>
      <c r="AI3" s="977"/>
      <c r="AJ3" s="977"/>
      <c r="AK3" s="977"/>
      <c r="AL3" s="976"/>
      <c r="AM3" s="977"/>
      <c r="AN3" s="977"/>
      <c r="AO3" s="977"/>
      <c r="AP3" s="977"/>
      <c r="AS3" s="28" t="s">
        <v>386</v>
      </c>
      <c r="AT3" s="28" t="s">
        <v>387</v>
      </c>
      <c r="AU3" s="28" t="s">
        <v>388</v>
      </c>
      <c r="AV3" s="28" t="s">
        <v>389</v>
      </c>
      <c r="AW3" s="28"/>
      <c r="AX3" s="28" t="s">
        <v>390</v>
      </c>
    </row>
    <row r="4" spans="1:50" s="2" customFormat="1" ht="12.75" thickTop="1" x14ac:dyDescent="0.2">
      <c r="A4" s="214"/>
      <c r="B4" s="1">
        <v>1</v>
      </c>
      <c r="C4" s="21">
        <f ca="1">RANK(D4,$D$4:$D$12,1)</f>
        <v>4</v>
      </c>
      <c r="D4" s="13">
        <f ca="1">E4+ROW()/1000+(F4="")*10</f>
        <v>4.0039999999999996</v>
      </c>
      <c r="E4" s="219">
        <f ca="1">IF($AI$15,RANK(AH17,AH$17:AH$25,1),RANK(X17,X$17:X$25,1))</f>
        <v>4</v>
      </c>
      <c r="F4" s="1" t="str">
        <f ca="1">$Q64</f>
        <v>Eintracht Frankfurt</v>
      </c>
      <c r="G4" s="1">
        <f ca="1">SUMIFS($AH$64:$AH$135,$V$64:$V$135,$F4)+SUMIFS($AI$64:$AI$135,$W$64:$W$135,$F4)</f>
        <v>116</v>
      </c>
      <c r="H4" s="1">
        <f ca="1">SUMIFS($AI$64:$AI$135,$V$64:$V$135,$F4)+SUMIFS($AH$64:$AH$135,$W$64:$W$135,$F4)</f>
        <v>133</v>
      </c>
      <c r="I4" s="13">
        <f ca="1">IF(Einstellungen!$G$24,G4-H4,IF(H4=0,IF(G4=0,0,Einstellungen!$F$24),G4/H4))</f>
        <v>-17</v>
      </c>
      <c r="J4" s="1">
        <f ca="1">$L4*Einstellungen!$C$4+$M4</f>
        <v>2</v>
      </c>
      <c r="K4" s="1">
        <f ca="1">SUMPRODUCT(($V$64:$V$135=F4)*($AJ$64:$AJ$135&lt;&gt;"")*$AA$64:$AA$135)+SUMPRODUCT(($W$64:$W$135=F4)*($AK$64:$AK$135&lt;&gt;"")*$AA$64:$AA$135)</f>
        <v>3</v>
      </c>
      <c r="L4" s="1">
        <f ca="1">SUMPRODUCT(($V$64:$V$135=F4)*($AJ$64:$AJ$135&gt;$AK$64:$AK$135)*$AA$64:$AA$135)+SUMPRODUCT(($W$64:$W$135=F4)*($AJ$64:$AJ$135&lt;$AK$64:$AK$135)*$AA$64:$AA$135)</f>
        <v>1</v>
      </c>
      <c r="M4" s="1">
        <f ca="1">SUMPRODUCT(($V$64:$W$135=F4)*($AJ$64:$AJ$135=$AK$64:$AK$135)*$AA$64:$AA$135)</f>
        <v>0</v>
      </c>
      <c r="N4" s="1">
        <f ca="1">K4-L4-M4</f>
        <v>2</v>
      </c>
      <c r="O4" s="116"/>
      <c r="P4" s="116"/>
      <c r="Q4" s="116"/>
      <c r="R4" s="116"/>
      <c r="V4" s="1"/>
      <c r="W4" s="456"/>
      <c r="X4" s="457"/>
      <c r="Y4" s="458"/>
      <c r="Z4" s="458"/>
      <c r="AA4" s="460"/>
      <c r="AB4" s="456"/>
      <c r="AC4" s="457"/>
      <c r="AD4" s="479"/>
      <c r="AE4" s="458"/>
      <c r="AF4" s="458"/>
      <c r="AG4" s="456"/>
      <c r="AH4" s="457"/>
      <c r="AI4" s="479"/>
      <c r="AJ4" s="458"/>
      <c r="AK4" s="460"/>
      <c r="AL4" s="457"/>
      <c r="AM4" s="457"/>
      <c r="AN4" s="479"/>
      <c r="AO4" s="458"/>
      <c r="AP4" s="460"/>
      <c r="AS4" s="1">
        <f ca="1">SUMPRODUCT(($V$64:$V$135=F4)*$AK$64:$AK$135)+SUMPRODUCT(($W$64:$W$135=F4)*$AJ$64:$AJ$135)</f>
        <v>4</v>
      </c>
      <c r="AT4" s="1">
        <f ca="1">SUMPRODUCT(($V$64:$V$135=F4)*$AJ$64:$AJ$135)+SUMPRODUCT(($W$64:$W$135=F4)*$AK$64:$AK$135)</f>
        <v>2</v>
      </c>
      <c r="AU4" s="1">
        <f ca="1">AT4-AS4</f>
        <v>-2</v>
      </c>
      <c r="AV4" s="1">
        <f ca="1">IF(Einstellungen!$G$24,$I4,ROUND($I4,Einstellungen!$H$24))</f>
        <v>-17</v>
      </c>
      <c r="AW4" s="1">
        <f ca="1">I4-(F4="")*10000</f>
        <v>-17</v>
      </c>
      <c r="AX4" s="1">
        <f ca="1" xml:space="preserve"> RANK(AW4,$AW$4:$AW$12,1)</f>
        <v>6</v>
      </c>
    </row>
    <row r="5" spans="1:50" s="2" customFormat="1" x14ac:dyDescent="0.2">
      <c r="A5" s="214"/>
      <c r="B5" s="1">
        <v>2</v>
      </c>
      <c r="C5" s="22">
        <f t="shared" ref="C5:C12" ca="1" si="0">RANK(D5,$D$4:$D$12,1)</f>
        <v>3</v>
      </c>
      <c r="D5" s="13">
        <f t="shared" ref="D5:D12" ca="1" si="1">E5+ROW()/1000+(F5="")*10</f>
        <v>3.0049999999999999</v>
      </c>
      <c r="E5" s="219">
        <f t="shared" ref="E5:E12" ca="1" si="2">IF($AI$15,RANK(AH18,AH$17:AH$25,1),RANK(X18,X$17:X$25,1))</f>
        <v>3</v>
      </c>
      <c r="F5" s="1" t="str">
        <f t="shared" ref="F5:F12" ca="1" si="3">$Q65</f>
        <v>Mainz 05</v>
      </c>
      <c r="G5" s="1">
        <f t="shared" ref="G5:G12" ca="1" si="4">SUMIFS($AH$64:$AH$135,$V$64:$V$135,$F5)+SUMIFS($AI$64:$AI$135,$W$64:$W$135,$F5)</f>
        <v>127</v>
      </c>
      <c r="H5" s="1">
        <f t="shared" ref="H5:H12" ca="1" si="5">SUMIFS($AI$64:$AI$135,$V$64:$V$135,$F5)+SUMIFS($AH$64:$AH$135,$W$64:$W$135,$F5)</f>
        <v>133</v>
      </c>
      <c r="I5" s="13">
        <f ca="1">IF(Einstellungen!$G$24,G5-H5,IF(H5=0,IF(G5=0,0,Einstellungen!$F$24),G5/H5))</f>
        <v>-6</v>
      </c>
      <c r="J5" s="1">
        <f ca="1">$L5*Einstellungen!$C$4+$M5</f>
        <v>3</v>
      </c>
      <c r="K5" s="1">
        <f t="shared" ref="K5:K12" ca="1" si="6">SUMPRODUCT(($V$64:$V$135=F5)*($AJ$64:$AJ$135&lt;&gt;"")*$AA$64:$AA$135)+SUMPRODUCT(($W$64:$W$135=F5)*($AK$64:$AK$135&lt;&gt;"")*$AA$64:$AA$135)</f>
        <v>3</v>
      </c>
      <c r="L5" s="1">
        <f t="shared" ref="L5:L12" ca="1" si="7">SUMPRODUCT(($V$64:$V$135=F5)*($AJ$64:$AJ$135&gt;$AK$64:$AK$135)*$AA$64:$AA$135)+SUMPRODUCT(($W$64:$W$135=F5)*($AJ$64:$AJ$135&lt;$AK$64:$AK$135)*$AA$64:$AA$135)</f>
        <v>1</v>
      </c>
      <c r="M5" s="1">
        <f t="shared" ref="M5:M12" ca="1" si="8">SUMPRODUCT(($V$64:$W$135=F5)*($AJ$64:$AJ$135=$AK$64:$AK$135)*$AA$64:$AA$135)</f>
        <v>1</v>
      </c>
      <c r="N5" s="1">
        <f t="shared" ref="N5:N12" ca="1" si="9">K5-L5-M5</f>
        <v>1</v>
      </c>
      <c r="O5" s="24"/>
      <c r="P5" s="25"/>
      <c r="V5" s="1"/>
      <c r="W5" s="461"/>
      <c r="X5" s="462"/>
      <c r="Y5" s="459"/>
      <c r="Z5" s="459"/>
      <c r="AA5" s="464"/>
      <c r="AB5" s="461"/>
      <c r="AC5" s="462"/>
      <c r="AD5" s="463"/>
      <c r="AE5" s="459"/>
      <c r="AF5" s="459"/>
      <c r="AG5" s="461"/>
      <c r="AH5" s="462"/>
      <c r="AI5" s="463"/>
      <c r="AJ5" s="459"/>
      <c r="AK5" s="464"/>
      <c r="AL5" s="462"/>
      <c r="AM5" s="462"/>
      <c r="AN5" s="463"/>
      <c r="AO5" s="459"/>
      <c r="AP5" s="464"/>
      <c r="AS5" s="1">
        <f t="shared" ref="AS5:AS12" ca="1" si="10">SUMPRODUCT(($V$64:$V$135=F5)*$AK$64:$AK$135)+SUMPRODUCT(($W$64:$W$135=F5)*$AJ$64:$AJ$135)</f>
        <v>3</v>
      </c>
      <c r="AT5" s="1">
        <f t="shared" ref="AT5:AT12" ca="1" si="11">SUMPRODUCT(($V$64:$V$135=F5)*$AJ$64:$AJ$135)+SUMPRODUCT(($W$64:$W$135=F5)*$AK$64:$AK$135)</f>
        <v>3</v>
      </c>
      <c r="AU5" s="1">
        <f t="shared" ref="AU5:AU12" ca="1" si="12">AT5-AS5</f>
        <v>0</v>
      </c>
      <c r="AV5" s="1">
        <f ca="1">IF(Einstellungen!$G$24,$I5,ROUND($I5,Einstellungen!$H$24))</f>
        <v>-6</v>
      </c>
      <c r="AW5" s="1">
        <f t="shared" ref="AW5:AW12" ca="1" si="13">I5-(F5="")*10000</f>
        <v>-6</v>
      </c>
      <c r="AX5" s="1">
        <f t="shared" ref="AX5:AX12" ca="1" si="14" xml:space="preserve"> RANK(AW5,$AW$4:$AW$12,1)</f>
        <v>7</v>
      </c>
    </row>
    <row r="6" spans="1:50" s="2" customFormat="1" x14ac:dyDescent="0.2">
      <c r="A6" s="214"/>
      <c r="B6" s="1">
        <v>3</v>
      </c>
      <c r="C6" s="22">
        <f t="shared" ca="1" si="0"/>
        <v>2</v>
      </c>
      <c r="D6" s="13">
        <f t="shared" ca="1" si="1"/>
        <v>2.0059999999999998</v>
      </c>
      <c r="E6" s="219">
        <f t="shared" ca="1" si="2"/>
        <v>2</v>
      </c>
      <c r="F6" s="1" t="str">
        <f t="shared" ca="1" si="3"/>
        <v>Maibach 1822 eV</v>
      </c>
      <c r="G6" s="1">
        <f t="shared" ca="1" si="4"/>
        <v>135</v>
      </c>
      <c r="H6" s="1">
        <f t="shared" ca="1" si="5"/>
        <v>123</v>
      </c>
      <c r="I6" s="13">
        <f ca="1">IF(Einstellungen!$G$24,G6-H6,IF(H6=0,IF(G6=0,0,Einstellungen!$F$24),G6/H6))</f>
        <v>12</v>
      </c>
      <c r="J6" s="1">
        <f ca="1">$L6*Einstellungen!$C$4+$M6</f>
        <v>3</v>
      </c>
      <c r="K6" s="1">
        <f t="shared" ca="1" si="6"/>
        <v>3</v>
      </c>
      <c r="L6" s="1">
        <f t="shared" ca="1" si="7"/>
        <v>1</v>
      </c>
      <c r="M6" s="1">
        <f t="shared" ca="1" si="8"/>
        <v>1</v>
      </c>
      <c r="N6" s="1">
        <f t="shared" ca="1" si="9"/>
        <v>1</v>
      </c>
      <c r="O6" s="24"/>
      <c r="P6" s="25"/>
      <c r="V6" s="1"/>
      <c r="W6" s="461"/>
      <c r="X6" s="462"/>
      <c r="Y6" s="459"/>
      <c r="Z6" s="459"/>
      <c r="AA6" s="464"/>
      <c r="AB6" s="461"/>
      <c r="AC6" s="462"/>
      <c r="AD6" s="463"/>
      <c r="AE6" s="459"/>
      <c r="AF6" s="459"/>
      <c r="AG6" s="461"/>
      <c r="AH6" s="462"/>
      <c r="AI6" s="463"/>
      <c r="AJ6" s="459"/>
      <c r="AK6" s="464"/>
      <c r="AL6" s="462"/>
      <c r="AM6" s="462"/>
      <c r="AN6" s="463"/>
      <c r="AO6" s="459"/>
      <c r="AP6" s="464"/>
      <c r="AS6" s="1">
        <f t="shared" ca="1" si="10"/>
        <v>3</v>
      </c>
      <c r="AT6" s="1">
        <f t="shared" ca="1" si="11"/>
        <v>3</v>
      </c>
      <c r="AU6" s="1">
        <f t="shared" ca="1" si="12"/>
        <v>0</v>
      </c>
      <c r="AV6" s="1">
        <f ca="1">IF(Einstellungen!$G$24,$I6,ROUND($I6,Einstellungen!$H$24))</f>
        <v>12</v>
      </c>
      <c r="AW6" s="1">
        <f t="shared" ca="1" si="13"/>
        <v>12</v>
      </c>
      <c r="AX6" s="1">
        <f t="shared" ca="1" si="14"/>
        <v>9</v>
      </c>
    </row>
    <row r="7" spans="1:50" s="2" customFormat="1" x14ac:dyDescent="0.2">
      <c r="A7" s="214"/>
      <c r="B7" s="1">
        <v>4</v>
      </c>
      <c r="C7" s="22">
        <f t="shared" ca="1" si="0"/>
        <v>1</v>
      </c>
      <c r="D7" s="13">
        <f t="shared" ca="1" si="1"/>
        <v>1.0069999999999999</v>
      </c>
      <c r="E7" s="219">
        <f t="shared" ca="1" si="2"/>
        <v>1</v>
      </c>
      <c r="F7" s="1" t="str">
        <f t="shared" ca="1" si="3"/>
        <v>Manchester City</v>
      </c>
      <c r="G7" s="1">
        <f t="shared" ca="1" si="4"/>
        <v>136</v>
      </c>
      <c r="H7" s="1">
        <f t="shared" ca="1" si="5"/>
        <v>125</v>
      </c>
      <c r="I7" s="13">
        <f ca="1">IF(Einstellungen!$G$24,G7-H7,IF(H7=0,IF(G7=0,0,Einstellungen!$F$24),G7/H7))</f>
        <v>11</v>
      </c>
      <c r="J7" s="1">
        <f ca="1">$L7*Einstellungen!$C$4+$M7</f>
        <v>4</v>
      </c>
      <c r="K7" s="1">
        <f t="shared" ca="1" si="6"/>
        <v>3</v>
      </c>
      <c r="L7" s="1">
        <f t="shared" ca="1" si="7"/>
        <v>1</v>
      </c>
      <c r="M7" s="1">
        <f t="shared" ca="1" si="8"/>
        <v>2</v>
      </c>
      <c r="N7" s="1">
        <f t="shared" ca="1" si="9"/>
        <v>0</v>
      </c>
      <c r="O7" s="24"/>
      <c r="P7" s="25"/>
      <c r="V7" s="1"/>
      <c r="W7" s="461"/>
      <c r="X7" s="462"/>
      <c r="Y7" s="459"/>
      <c r="Z7" s="459"/>
      <c r="AA7" s="464"/>
      <c r="AB7" s="461"/>
      <c r="AC7" s="462"/>
      <c r="AD7" s="463"/>
      <c r="AE7" s="459"/>
      <c r="AF7" s="459"/>
      <c r="AG7" s="461"/>
      <c r="AH7" s="462"/>
      <c r="AI7" s="463"/>
      <c r="AJ7" s="459"/>
      <c r="AK7" s="464"/>
      <c r="AL7" s="462"/>
      <c r="AM7" s="462"/>
      <c r="AN7" s="463"/>
      <c r="AO7" s="459"/>
      <c r="AP7" s="464"/>
      <c r="AS7" s="1">
        <f t="shared" ca="1" si="10"/>
        <v>2</v>
      </c>
      <c r="AT7" s="1">
        <f t="shared" ca="1" si="11"/>
        <v>4</v>
      </c>
      <c r="AU7" s="1">
        <f t="shared" ca="1" si="12"/>
        <v>2</v>
      </c>
      <c r="AV7" s="1">
        <f ca="1">IF(Einstellungen!$G$24,$I7,ROUND($I7,Einstellungen!$H$24))</f>
        <v>11</v>
      </c>
      <c r="AW7" s="1">
        <f t="shared" ca="1" si="13"/>
        <v>11</v>
      </c>
      <c r="AX7" s="1">
        <f t="shared" ca="1" si="14"/>
        <v>8</v>
      </c>
    </row>
    <row r="8" spans="1:50" s="2" customFormat="1" x14ac:dyDescent="0.2">
      <c r="A8" s="214"/>
      <c r="B8" s="1">
        <v>5</v>
      </c>
      <c r="C8" s="22">
        <f t="shared" ca="1" si="0"/>
        <v>5</v>
      </c>
      <c r="D8" s="13">
        <f t="shared" ca="1" si="1"/>
        <v>15.007999999999999</v>
      </c>
      <c r="E8" s="219">
        <f t="shared" ca="1" si="2"/>
        <v>5</v>
      </c>
      <c r="F8" s="1" t="str">
        <f t="shared" si="3"/>
        <v/>
      </c>
      <c r="G8" s="1">
        <f t="shared" ca="1" si="4"/>
        <v>0</v>
      </c>
      <c r="H8" s="1">
        <f t="shared" ca="1" si="5"/>
        <v>0</v>
      </c>
      <c r="I8" s="13">
        <f ca="1">IF(Einstellungen!$G$24,G8-H8,IF(H8=0,IF(G8=0,0,Einstellungen!$F$24),G8/H8))</f>
        <v>0</v>
      </c>
      <c r="J8" s="1">
        <f ca="1">$L8*Einstellungen!$C$4+$M8</f>
        <v>0</v>
      </c>
      <c r="K8" s="1">
        <f t="shared" ca="1" si="6"/>
        <v>0</v>
      </c>
      <c r="L8" s="1">
        <f t="shared" ca="1" si="7"/>
        <v>0</v>
      </c>
      <c r="M8" s="1">
        <f t="shared" ca="1" si="8"/>
        <v>0</v>
      </c>
      <c r="N8" s="1">
        <f t="shared" ca="1" si="9"/>
        <v>0</v>
      </c>
      <c r="P8" s="25"/>
      <c r="W8" s="461"/>
      <c r="X8" s="462"/>
      <c r="Y8" s="459"/>
      <c r="Z8" s="459"/>
      <c r="AA8" s="464"/>
      <c r="AB8" s="461"/>
      <c r="AC8" s="462"/>
      <c r="AD8" s="463"/>
      <c r="AE8" s="459"/>
      <c r="AF8" s="459"/>
      <c r="AG8" s="461"/>
      <c r="AH8" s="462"/>
      <c r="AI8" s="463"/>
      <c r="AJ8" s="459"/>
      <c r="AK8" s="464"/>
      <c r="AL8" s="462"/>
      <c r="AM8" s="462"/>
      <c r="AN8" s="463"/>
      <c r="AO8" s="459"/>
      <c r="AP8" s="464"/>
      <c r="AS8" s="1">
        <f t="shared" ca="1" si="10"/>
        <v>0</v>
      </c>
      <c r="AT8" s="1">
        <f t="shared" ca="1" si="11"/>
        <v>0</v>
      </c>
      <c r="AU8" s="1">
        <f t="shared" ca="1" si="12"/>
        <v>0</v>
      </c>
      <c r="AV8" s="1">
        <f ca="1">IF(Einstellungen!$G$24,$I8,ROUND($I8,Einstellungen!$H$24))</f>
        <v>0</v>
      </c>
      <c r="AW8" s="1">
        <f t="shared" ca="1" si="13"/>
        <v>-10000</v>
      </c>
      <c r="AX8" s="1">
        <f t="shared" ca="1" si="14"/>
        <v>1</v>
      </c>
    </row>
    <row r="9" spans="1:50" s="2" customFormat="1" x14ac:dyDescent="0.2">
      <c r="A9" s="214"/>
      <c r="B9" s="1">
        <v>6</v>
      </c>
      <c r="C9" s="22">
        <f t="shared" ca="1" si="0"/>
        <v>6</v>
      </c>
      <c r="D9" s="13">
        <f t="shared" ca="1" si="1"/>
        <v>15.009</v>
      </c>
      <c r="E9" s="219">
        <f t="shared" ca="1" si="2"/>
        <v>5</v>
      </c>
      <c r="F9" s="1" t="str">
        <f t="shared" si="3"/>
        <v/>
      </c>
      <c r="G9" s="1">
        <f t="shared" ca="1" si="4"/>
        <v>0</v>
      </c>
      <c r="H9" s="1">
        <f t="shared" ca="1" si="5"/>
        <v>0</v>
      </c>
      <c r="I9" s="13">
        <f ca="1">IF(Einstellungen!$G$24,G9-H9,IF(H9=0,IF(G9=0,0,Einstellungen!$F$24),G9/H9))</f>
        <v>0</v>
      </c>
      <c r="J9" s="1">
        <f ca="1">$L9*Einstellungen!$C$4+$M9</f>
        <v>0</v>
      </c>
      <c r="K9" s="1">
        <f t="shared" ca="1" si="6"/>
        <v>0</v>
      </c>
      <c r="L9" s="1">
        <f t="shared" ca="1" si="7"/>
        <v>0</v>
      </c>
      <c r="M9" s="1">
        <f t="shared" ca="1" si="8"/>
        <v>0</v>
      </c>
      <c r="N9" s="1">
        <f t="shared" ca="1" si="9"/>
        <v>0</v>
      </c>
      <c r="P9" s="25"/>
      <c r="W9" s="461"/>
      <c r="X9" s="462"/>
      <c r="Y9" s="459"/>
      <c r="Z9" s="459"/>
      <c r="AA9" s="464"/>
      <c r="AB9" s="461"/>
      <c r="AC9" s="462"/>
      <c r="AD9" s="463"/>
      <c r="AE9" s="459"/>
      <c r="AF9" s="459"/>
      <c r="AG9" s="461"/>
      <c r="AH9" s="462"/>
      <c r="AI9" s="463"/>
      <c r="AJ9" s="459"/>
      <c r="AK9" s="464"/>
      <c r="AL9" s="462"/>
      <c r="AM9" s="462"/>
      <c r="AN9" s="463"/>
      <c r="AO9" s="459"/>
      <c r="AP9" s="464"/>
      <c r="AS9" s="1">
        <f t="shared" ca="1" si="10"/>
        <v>0</v>
      </c>
      <c r="AT9" s="1">
        <f t="shared" ca="1" si="11"/>
        <v>0</v>
      </c>
      <c r="AU9" s="1">
        <f t="shared" ca="1" si="12"/>
        <v>0</v>
      </c>
      <c r="AV9" s="1">
        <f ca="1">IF(Einstellungen!$G$24,$I9,ROUND($I9,Einstellungen!$H$24))</f>
        <v>0</v>
      </c>
      <c r="AW9" s="1">
        <f t="shared" ca="1" si="13"/>
        <v>-10000</v>
      </c>
      <c r="AX9" s="1">
        <f t="shared" ca="1" si="14"/>
        <v>1</v>
      </c>
    </row>
    <row r="10" spans="1:50" s="2" customFormat="1" x14ac:dyDescent="0.2">
      <c r="A10" s="214"/>
      <c r="B10" s="1">
        <v>7</v>
      </c>
      <c r="C10" s="22">
        <f t="shared" ca="1" si="0"/>
        <v>7</v>
      </c>
      <c r="D10" s="13">
        <f t="shared" ca="1" si="1"/>
        <v>15.01</v>
      </c>
      <c r="E10" s="219">
        <f t="shared" ca="1" si="2"/>
        <v>5</v>
      </c>
      <c r="F10" s="1" t="str">
        <f t="shared" si="3"/>
        <v/>
      </c>
      <c r="G10" s="1">
        <f t="shared" ca="1" si="4"/>
        <v>0</v>
      </c>
      <c r="H10" s="1">
        <f t="shared" ca="1" si="5"/>
        <v>0</v>
      </c>
      <c r="I10" s="13">
        <f ca="1">IF(Einstellungen!$G$24,G10-H10,IF(H10=0,IF(G10=0,0,Einstellungen!$F$24),G10/H10))</f>
        <v>0</v>
      </c>
      <c r="J10" s="1">
        <f ca="1">$L10*Einstellungen!$C$4+$M10</f>
        <v>0</v>
      </c>
      <c r="K10" s="1">
        <f t="shared" ca="1" si="6"/>
        <v>0</v>
      </c>
      <c r="L10" s="1">
        <f t="shared" ca="1" si="7"/>
        <v>0</v>
      </c>
      <c r="M10" s="1">
        <f t="shared" ca="1" si="8"/>
        <v>0</v>
      </c>
      <c r="N10" s="1">
        <f t="shared" ca="1" si="9"/>
        <v>0</v>
      </c>
      <c r="P10" s="25"/>
      <c r="W10" s="461"/>
      <c r="X10" s="462"/>
      <c r="Y10" s="459"/>
      <c r="Z10" s="459"/>
      <c r="AA10" s="464"/>
      <c r="AB10" s="461"/>
      <c r="AC10" s="462"/>
      <c r="AD10" s="463"/>
      <c r="AE10" s="459"/>
      <c r="AF10" s="459"/>
      <c r="AG10" s="461"/>
      <c r="AH10" s="462"/>
      <c r="AI10" s="463"/>
      <c r="AJ10" s="459"/>
      <c r="AK10" s="464"/>
      <c r="AL10" s="462"/>
      <c r="AM10" s="462"/>
      <c r="AN10" s="463"/>
      <c r="AO10" s="459"/>
      <c r="AP10" s="464"/>
      <c r="AS10" s="1">
        <f t="shared" ca="1" si="10"/>
        <v>0</v>
      </c>
      <c r="AT10" s="1">
        <f t="shared" ca="1" si="11"/>
        <v>0</v>
      </c>
      <c r="AU10" s="1">
        <f t="shared" ca="1" si="12"/>
        <v>0</v>
      </c>
      <c r="AV10" s="1">
        <f ca="1">IF(Einstellungen!$G$24,$I10,ROUND($I10,Einstellungen!$H$24))</f>
        <v>0</v>
      </c>
      <c r="AW10" s="1">
        <f t="shared" ca="1" si="13"/>
        <v>-10000</v>
      </c>
      <c r="AX10" s="1">
        <f t="shared" ca="1" si="14"/>
        <v>1</v>
      </c>
    </row>
    <row r="11" spans="1:50" s="2" customFormat="1" x14ac:dyDescent="0.2">
      <c r="A11" s="214"/>
      <c r="B11" s="1">
        <v>8</v>
      </c>
      <c r="C11" s="22">
        <f t="shared" ca="1" si="0"/>
        <v>8</v>
      </c>
      <c r="D11" s="13">
        <f t="shared" ca="1" si="1"/>
        <v>15.010999999999999</v>
      </c>
      <c r="E11" s="219">
        <f t="shared" ca="1" si="2"/>
        <v>5</v>
      </c>
      <c r="F11" s="1" t="str">
        <f t="shared" si="3"/>
        <v/>
      </c>
      <c r="G11" s="1">
        <f t="shared" ca="1" si="4"/>
        <v>0</v>
      </c>
      <c r="H11" s="1">
        <f t="shared" ca="1" si="5"/>
        <v>0</v>
      </c>
      <c r="I11" s="13">
        <f ca="1">IF(Einstellungen!$G$24,G11-H11,IF(H11=0,IF(G11=0,0,Einstellungen!$F$24),G11/H11))</f>
        <v>0</v>
      </c>
      <c r="J11" s="1">
        <f ca="1">$L11*Einstellungen!$C$4+$M11</f>
        <v>0</v>
      </c>
      <c r="K11" s="1">
        <f t="shared" ca="1" si="6"/>
        <v>0</v>
      </c>
      <c r="L11" s="1">
        <f t="shared" ca="1" si="7"/>
        <v>0</v>
      </c>
      <c r="M11" s="1">
        <f t="shared" ca="1" si="8"/>
        <v>0</v>
      </c>
      <c r="N11" s="1">
        <f t="shared" ca="1" si="9"/>
        <v>0</v>
      </c>
      <c r="O11" s="13"/>
      <c r="P11" s="13"/>
      <c r="Q11" s="13"/>
      <c r="R11" s="13"/>
      <c r="S11" s="13"/>
      <c r="T11" s="13"/>
      <c r="U11" s="13"/>
      <c r="V11" s="13"/>
      <c r="W11" s="461"/>
      <c r="X11" s="462"/>
      <c r="Y11" s="459"/>
      <c r="Z11" s="459"/>
      <c r="AA11" s="464"/>
      <c r="AB11" s="461"/>
      <c r="AC11" s="462"/>
      <c r="AD11" s="463"/>
      <c r="AE11" s="459"/>
      <c r="AF11" s="459"/>
      <c r="AG11" s="461"/>
      <c r="AH11" s="462"/>
      <c r="AI11" s="463"/>
      <c r="AJ11" s="459"/>
      <c r="AK11" s="464"/>
      <c r="AL11" s="462"/>
      <c r="AM11" s="462"/>
      <c r="AN11" s="463"/>
      <c r="AO11" s="459"/>
      <c r="AP11" s="464"/>
      <c r="AS11" s="1">
        <f t="shared" ca="1" si="10"/>
        <v>0</v>
      </c>
      <c r="AT11" s="1">
        <f t="shared" ca="1" si="11"/>
        <v>0</v>
      </c>
      <c r="AU11" s="1">
        <f t="shared" ca="1" si="12"/>
        <v>0</v>
      </c>
      <c r="AV11" s="1">
        <f ca="1">IF(Einstellungen!$G$24,$I11,ROUND($I11,Einstellungen!$H$24))</f>
        <v>0</v>
      </c>
      <c r="AW11" s="1">
        <f t="shared" ca="1" si="13"/>
        <v>-10000</v>
      </c>
      <c r="AX11" s="1">
        <f t="shared" ca="1" si="14"/>
        <v>1</v>
      </c>
    </row>
    <row r="12" spans="1:50" s="2" customFormat="1" ht="12.75" thickBot="1" x14ac:dyDescent="0.25">
      <c r="A12" s="214"/>
      <c r="B12" s="1">
        <v>9</v>
      </c>
      <c r="C12" s="23">
        <f t="shared" ca="1" si="0"/>
        <v>9</v>
      </c>
      <c r="D12" s="13">
        <f t="shared" ca="1" si="1"/>
        <v>15.012</v>
      </c>
      <c r="E12" s="219">
        <f t="shared" ca="1" si="2"/>
        <v>5</v>
      </c>
      <c r="F12" s="1" t="str">
        <f t="shared" si="3"/>
        <v/>
      </c>
      <c r="G12" s="1">
        <f t="shared" ca="1" si="4"/>
        <v>0</v>
      </c>
      <c r="H12" s="1">
        <f t="shared" ca="1" si="5"/>
        <v>0</v>
      </c>
      <c r="I12" s="13">
        <f ca="1">IF(Einstellungen!$G$24,G12-H12,IF(H12=0,IF(G12=0,0,Einstellungen!$F$24),G12/H12))</f>
        <v>0</v>
      </c>
      <c r="J12" s="1">
        <f ca="1">$L12*Einstellungen!$C$4+$M12</f>
        <v>0</v>
      </c>
      <c r="K12" s="29">
        <f t="shared" ca="1" si="6"/>
        <v>0</v>
      </c>
      <c r="L12" s="1">
        <f t="shared" ca="1" si="7"/>
        <v>0</v>
      </c>
      <c r="M12" s="1">
        <f t="shared" ca="1" si="8"/>
        <v>0</v>
      </c>
      <c r="N12" s="1">
        <f t="shared" ca="1" si="9"/>
        <v>0</v>
      </c>
      <c r="O12" s="1"/>
      <c r="P12" s="1"/>
      <c r="Q12" s="1"/>
      <c r="R12" s="1"/>
      <c r="S12" s="1"/>
      <c r="T12" s="1"/>
      <c r="U12" s="1"/>
      <c r="V12" s="1"/>
      <c r="W12" s="465"/>
      <c r="X12" s="466"/>
      <c r="Y12" s="467"/>
      <c r="Z12" s="467"/>
      <c r="AA12" s="468"/>
      <c r="AB12" s="465"/>
      <c r="AC12" s="466"/>
      <c r="AD12" s="469"/>
      <c r="AE12" s="467"/>
      <c r="AF12" s="467"/>
      <c r="AG12" s="465"/>
      <c r="AH12" s="466"/>
      <c r="AI12" s="469"/>
      <c r="AJ12" s="467"/>
      <c r="AK12" s="468"/>
      <c r="AL12" s="466"/>
      <c r="AM12" s="466"/>
      <c r="AN12" s="469"/>
      <c r="AO12" s="467"/>
      <c r="AP12" s="468"/>
      <c r="AS12" s="1">
        <f t="shared" ca="1" si="10"/>
        <v>0</v>
      </c>
      <c r="AT12" s="1">
        <f t="shared" ca="1" si="11"/>
        <v>0</v>
      </c>
      <c r="AU12" s="1">
        <f t="shared" ca="1" si="12"/>
        <v>0</v>
      </c>
      <c r="AV12" s="1">
        <f ca="1">IF(Einstellungen!$G$24,$I12,ROUND($I12,Einstellungen!$H$24))</f>
        <v>0</v>
      </c>
      <c r="AW12" s="1">
        <f t="shared" ca="1" si="13"/>
        <v>-10000</v>
      </c>
      <c r="AX12" s="1">
        <f t="shared" ca="1" si="14"/>
        <v>1</v>
      </c>
    </row>
    <row r="13" spans="1:50"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50" s="2" customFormat="1" x14ac:dyDescent="0.2">
      <c r="B14" s="14"/>
      <c r="D14" s="1"/>
      <c r="F14" s="14"/>
      <c r="O14" s="1"/>
      <c r="P14" s="1"/>
      <c r="Q14" s="1"/>
      <c r="R14" s="1"/>
      <c r="S14" s="1"/>
      <c r="T14" s="1"/>
      <c r="U14" s="1"/>
      <c r="V14" s="1"/>
      <c r="W14" s="1"/>
      <c r="Y14" s="1"/>
      <c r="Z14" s="1"/>
    </row>
    <row r="15" spans="1:50" s="2" customFormat="1" x14ac:dyDescent="0.2">
      <c r="O15" s="12"/>
      <c r="AD15" s="611"/>
      <c r="AE15" s="611"/>
      <c r="AF15" s="611"/>
      <c r="AG15" s="611"/>
      <c r="AH15" s="611"/>
      <c r="AI15" s="612"/>
      <c r="AK15" s="214"/>
    </row>
    <row r="16" spans="1:50" s="2" customFormat="1" ht="15.75" thickBot="1" x14ac:dyDescent="0.25">
      <c r="B16" s="13" t="s">
        <v>6</v>
      </c>
      <c r="C16" s="729" t="s">
        <v>97</v>
      </c>
      <c r="D16" s="729" t="s">
        <v>103</v>
      </c>
      <c r="E16" s="729" t="s">
        <v>104</v>
      </c>
      <c r="F16" s="729" t="s">
        <v>105</v>
      </c>
      <c r="G16" s="729" t="s">
        <v>106</v>
      </c>
      <c r="H16" s="729" t="s">
        <v>107</v>
      </c>
      <c r="I16" s="729" t="s">
        <v>108</v>
      </c>
      <c r="J16" s="729" t="s">
        <v>109</v>
      </c>
      <c r="K16" s="729" t="s">
        <v>382</v>
      </c>
      <c r="L16" s="11" t="s">
        <v>383</v>
      </c>
      <c r="M16" s="68" t="s">
        <v>96</v>
      </c>
      <c r="N16" s="68" t="s">
        <v>15</v>
      </c>
      <c r="O16" s="30">
        <v>1</v>
      </c>
      <c r="P16" s="1">
        <v>2</v>
      </c>
      <c r="Q16" s="1">
        <v>3</v>
      </c>
      <c r="R16" s="1">
        <v>4</v>
      </c>
      <c r="S16" s="1">
        <v>5</v>
      </c>
      <c r="T16" s="1">
        <v>6</v>
      </c>
      <c r="U16" s="1">
        <v>7</v>
      </c>
      <c r="V16" s="1">
        <v>8</v>
      </c>
      <c r="W16" s="11" t="s">
        <v>98</v>
      </c>
      <c r="X16" s="173" t="s">
        <v>166</v>
      </c>
      <c r="Y16" s="11" t="s">
        <v>454</v>
      </c>
      <c r="Z16" s="173" t="s">
        <v>210</v>
      </c>
      <c r="AA16" s="1" t="s">
        <v>387</v>
      </c>
      <c r="AB16" s="1" t="s">
        <v>109</v>
      </c>
      <c r="AC16" s="1" t="s">
        <v>107</v>
      </c>
      <c r="AD16" s="617" t="s">
        <v>428</v>
      </c>
      <c r="AE16" s="610"/>
      <c r="AF16" s="613"/>
      <c r="AG16" s="613"/>
      <c r="AH16" s="614"/>
      <c r="AI16" s="612"/>
    </row>
    <row r="17" spans="2:80" s="2" customFormat="1" ht="12.75" thickTop="1" x14ac:dyDescent="0.2">
      <c r="C17" s="2" t="str">
        <f ca="1">$Q64</f>
        <v>Eintracht Frankfurt</v>
      </c>
      <c r="D17" s="1">
        <f t="shared" ref="D17:G25" ca="1" si="15">K4</f>
        <v>3</v>
      </c>
      <c r="E17" s="1">
        <f t="shared" ca="1" si="15"/>
        <v>1</v>
      </c>
      <c r="F17" s="1">
        <f t="shared" ca="1" si="15"/>
        <v>0</v>
      </c>
      <c r="G17" s="1">
        <f t="shared" ca="1" si="15"/>
        <v>2</v>
      </c>
      <c r="H17" s="1">
        <f t="shared" ref="H17:J25" ca="1" si="16">G4</f>
        <v>116</v>
      </c>
      <c r="I17" s="1">
        <f t="shared" ca="1" si="16"/>
        <v>133</v>
      </c>
      <c r="J17" s="13">
        <f t="shared" ca="1" si="16"/>
        <v>-17</v>
      </c>
      <c r="K17" s="1">
        <f ca="1">IF(Einstellungen!$G$9,J4,$AT4)</f>
        <v>2</v>
      </c>
      <c r="L17" s="694">
        <f ca="1">K17*$F$64+(AU4+$H$65)*$F$65*Einstellungen!$G$14+AT4*$F$66*Einstellungen!$G$19+AX4*$F$67</f>
        <v>2000000.0060000001</v>
      </c>
      <c r="M17" s="14">
        <f ca="1">IF($AI$15,COUNTIF($K$17:$K$25,K17),COUNTIF($L$17:$L$25,L17))</f>
        <v>1</v>
      </c>
      <c r="N17" s="14">
        <f t="array" aca="1" ref="N17" ca="1">IF($AI$15,SUM(($K$17:$K$25&gt;=K17)/COUNTIF($K$17:$K$25,$K$17:$K$25)),SUM(($L$17:$L$25&gt;=L17)/COUNTIF($L$17:$L$25,$L$17:$L$25)))</f>
        <v>4</v>
      </c>
      <c r="O17" s="52" t="str">
        <f t="shared" ref="O17:O25" ca="1" si="17">IF(AND(M17&gt;1,N17=1),C17,"")</f>
        <v/>
      </c>
      <c r="P17" s="53" t="str">
        <f t="shared" ref="P17:P25" ca="1" si="18">IF(AND(M17&gt;1,N17=2),C17,"")</f>
        <v/>
      </c>
      <c r="Q17" s="53" t="str">
        <f t="shared" ref="Q17:Q25" ca="1" si="19">IF(AND(M17&gt;1,N17=3),C17,"")</f>
        <v/>
      </c>
      <c r="R17" s="53" t="str">
        <f t="shared" ref="R17:R25" ca="1" si="20">IF(AND(M17&gt;1,N17=4),C17,"")</f>
        <v/>
      </c>
      <c r="S17" s="53" t="str">
        <f t="shared" ref="S17:S25" ca="1" si="21">IF(AND(M17&gt;1,N17=5),C17,"")</f>
        <v/>
      </c>
      <c r="T17" s="53" t="str">
        <f t="shared" ref="T17:T25" ca="1" si="22">IF(AND($M17&gt;1,$N17=6),$C17,"")</f>
        <v/>
      </c>
      <c r="U17" s="53" t="str">
        <f t="shared" ref="U17:U25" ca="1" si="23">IF(AND($M17&gt;1,$N17=7),$C17,"")</f>
        <v/>
      </c>
      <c r="V17" s="54" t="str">
        <f t="shared" ref="V17:V25" ca="1" si="24">IF(AND($M17&gt;1,$N17=8),$C17,"")</f>
        <v/>
      </c>
      <c r="W17" s="62">
        <f ca="1">AA17*$F$64+(AB17+$H$65)*$F$65</f>
        <v>500000</v>
      </c>
      <c r="X17" s="21">
        <f ca="1">RANK($L17,$L$17:$L$25)+RANK($W17,$W$17:$W$25)/100+(9-$Y17)/10000+($C17="")*100</f>
        <v>4.0108999999999995</v>
      </c>
      <c r="Y17" s="13">
        <f ca="1">'Endrunde 4'!$AU12+$AD17</f>
        <v>0</v>
      </c>
      <c r="Z17" s="1">
        <f ca="1">RANK($W17,$W$17:$W$25)+(9-$Y17)/10</f>
        <v>1.9</v>
      </c>
      <c r="AA17" s="1">
        <f ca="1">SUM(E30:BP30)</f>
        <v>0</v>
      </c>
      <c r="AB17" s="1">
        <f ca="1">SUM(E41:BP41)</f>
        <v>0</v>
      </c>
      <c r="AC17" s="1">
        <f ca="1">SUM(E52:BP52)</f>
        <v>0</v>
      </c>
      <c r="AD17" s="613">
        <f ca="1">IF($C17="",0,COUNTIF(Playoffs!$U$25:$U$30,$C17))</f>
        <v>0</v>
      </c>
      <c r="AE17" s="615"/>
      <c r="AF17" s="613"/>
      <c r="AG17" s="613"/>
      <c r="AH17" s="616"/>
      <c r="AI17" s="613"/>
    </row>
    <row r="18" spans="2:80" s="2" customFormat="1" x14ac:dyDescent="0.2">
      <c r="C18" s="2" t="str">
        <f t="shared" ref="C18:C25" ca="1" si="25">$Q65</f>
        <v>Mainz 05</v>
      </c>
      <c r="D18" s="1">
        <f t="shared" ca="1" si="15"/>
        <v>3</v>
      </c>
      <c r="E18" s="1">
        <f t="shared" ca="1" si="15"/>
        <v>1</v>
      </c>
      <c r="F18" s="1">
        <f t="shared" ca="1" si="15"/>
        <v>1</v>
      </c>
      <c r="G18" s="1">
        <f t="shared" ca="1" si="15"/>
        <v>1</v>
      </c>
      <c r="H18" s="1">
        <f t="shared" ca="1" si="16"/>
        <v>127</v>
      </c>
      <c r="I18" s="1">
        <f t="shared" ca="1" si="16"/>
        <v>133</v>
      </c>
      <c r="J18" s="13">
        <f t="shared" ca="1" si="16"/>
        <v>-6</v>
      </c>
      <c r="K18" s="1">
        <f ca="1">IF(Einstellungen!$G$9,J5,$AT5)</f>
        <v>3</v>
      </c>
      <c r="L18" s="694">
        <f ca="1">K18*$F$64+(AU5+$H$65)*$F$65*Einstellungen!$G$14+AT5*$F$66*Einstellungen!$G$19+AX5*$F$67</f>
        <v>3000000.0070000002</v>
      </c>
      <c r="M18" s="14">
        <f t="shared" ref="M18:M25" ca="1" si="26">IF($AI$15,COUNTIF($K$17:$K$25,K18),COUNTIF($L$17:$L$25,L18))</f>
        <v>1</v>
      </c>
      <c r="N18" s="14">
        <f t="array" aca="1" ref="N18" ca="1">IF($AI$15,SUM(($K$17:$K$25&gt;=K18)/COUNTIF($K$17:$K$25,$K$17:$K$25)),SUM(($L$17:$L$25&gt;=L18)/COUNTIF($L$17:$L$25,$L$17:$L$25)))</f>
        <v>3</v>
      </c>
      <c r="O18" s="6" t="str">
        <f t="shared" ca="1" si="17"/>
        <v/>
      </c>
      <c r="P18" s="4" t="str">
        <f t="shared" ca="1" si="18"/>
        <v/>
      </c>
      <c r="Q18" s="4" t="str">
        <f t="shared" ca="1" si="19"/>
        <v/>
      </c>
      <c r="R18" s="4" t="str">
        <f t="shared" ca="1" si="20"/>
        <v/>
      </c>
      <c r="S18" s="4" t="str">
        <f t="shared" ca="1" si="21"/>
        <v/>
      </c>
      <c r="T18" s="4" t="str">
        <f t="shared" ca="1" si="22"/>
        <v/>
      </c>
      <c r="U18" s="4" t="str">
        <f t="shared" ca="1" si="23"/>
        <v/>
      </c>
      <c r="V18" s="55" t="str">
        <f t="shared" ca="1" si="24"/>
        <v/>
      </c>
      <c r="W18" s="62">
        <f t="shared" ref="W18:W25" ca="1" si="27">AA18*$F$64+(AB18+$H$65)*$F$65</f>
        <v>500000</v>
      </c>
      <c r="X18" s="22">
        <f ca="1">RANK($L18,$L$17:$L$25)+RANK($W18,$W$17:$W$25)/100+(9-$Y18)/10000+($C18="")*100</f>
        <v>3.0108999999999999</v>
      </c>
      <c r="Y18" s="13">
        <f ca="1">'Endrunde 4'!$AU13+$AD18</f>
        <v>0</v>
      </c>
      <c r="Z18" s="1">
        <f t="shared" ref="Z18:Z25" ca="1" si="28">RANK($W18,$W$17:$W$25)+(9-$Y18)/10</f>
        <v>1.9</v>
      </c>
      <c r="AA18" s="1">
        <f t="shared" ref="AA18:AA25" ca="1" si="29">SUM(E31:BP31)</f>
        <v>0</v>
      </c>
      <c r="AB18" s="1">
        <f t="shared" ref="AB18:AB25" ca="1" si="30">SUM(E42:BP42)</f>
        <v>0</v>
      </c>
      <c r="AC18" s="1">
        <f t="shared" ref="AC18:AC25" ca="1" si="31">SUM(E53:BP53)</f>
        <v>0</v>
      </c>
      <c r="AD18" s="613">
        <f ca="1">IF($C18="",0,COUNTIF(Playoffs!$U$25:$U$30,$C18))</f>
        <v>0</v>
      </c>
      <c r="AE18" s="615"/>
      <c r="AF18" s="613"/>
      <c r="AG18" s="613"/>
      <c r="AH18" s="616"/>
      <c r="AI18" s="613"/>
    </row>
    <row r="19" spans="2:80" s="2" customFormat="1" x14ac:dyDescent="0.2">
      <c r="C19" s="2" t="str">
        <f t="shared" ca="1" si="25"/>
        <v>Maibach 1822 eV</v>
      </c>
      <c r="D19" s="1">
        <f t="shared" ca="1" si="15"/>
        <v>3</v>
      </c>
      <c r="E19" s="1">
        <f t="shared" ca="1" si="15"/>
        <v>1</v>
      </c>
      <c r="F19" s="1">
        <f t="shared" ca="1" si="15"/>
        <v>1</v>
      </c>
      <c r="G19" s="1">
        <f t="shared" ca="1" si="15"/>
        <v>1</v>
      </c>
      <c r="H19" s="1">
        <f t="shared" ca="1" si="16"/>
        <v>135</v>
      </c>
      <c r="I19" s="1">
        <f t="shared" ca="1" si="16"/>
        <v>123</v>
      </c>
      <c r="J19" s="13">
        <f t="shared" ca="1" si="16"/>
        <v>12</v>
      </c>
      <c r="K19" s="1">
        <f ca="1">IF(Einstellungen!$G$9,J6,$AT6)</f>
        <v>3</v>
      </c>
      <c r="L19" s="694">
        <f ca="1">K19*$F$64+(AU6+$H$65)*$F$65*Einstellungen!$G$14+AT6*$F$66*Einstellungen!$G$19+AX6*$F$67</f>
        <v>3000000.0090000001</v>
      </c>
      <c r="M19" s="14">
        <f t="shared" ca="1" si="26"/>
        <v>1</v>
      </c>
      <c r="N19" s="14">
        <f t="array" aca="1" ref="N19" ca="1">IF($AI$15,SUM(($K$17:$K$25&gt;=K19)/COUNTIF($K$17:$K$25,$K$17:$K$25)),SUM(($L$17:$L$25&gt;=L19)/COUNTIF($L$17:$L$25,$L$17:$L$25)))</f>
        <v>2</v>
      </c>
      <c r="O19" s="6" t="str">
        <f t="shared" ca="1" si="17"/>
        <v/>
      </c>
      <c r="P19" s="4" t="str">
        <f t="shared" ca="1" si="18"/>
        <v/>
      </c>
      <c r="Q19" s="4" t="str">
        <f t="shared" ca="1" si="19"/>
        <v/>
      </c>
      <c r="R19" s="4" t="str">
        <f t="shared" ca="1" si="20"/>
        <v/>
      </c>
      <c r="S19" s="4" t="str">
        <f t="shared" ca="1" si="21"/>
        <v/>
      </c>
      <c r="T19" s="4" t="str">
        <f t="shared" ca="1" si="22"/>
        <v/>
      </c>
      <c r="U19" s="4" t="str">
        <f t="shared" ca="1" si="23"/>
        <v/>
      </c>
      <c r="V19" s="55" t="str">
        <f t="shared" ca="1" si="24"/>
        <v/>
      </c>
      <c r="W19" s="62">
        <f t="shared" ca="1" si="27"/>
        <v>500000</v>
      </c>
      <c r="X19" s="22">
        <f t="shared" ref="X19:X25" ca="1" si="32">RANK($L19,$L$17:$L$25)+RANK($W19,$W$17:$W$25)/100+(9-$Y19)/10000+($C19="")*100</f>
        <v>2.0108999999999999</v>
      </c>
      <c r="Y19" s="13">
        <f ca="1">'Endrunde 4'!$AU14+$AD19</f>
        <v>0</v>
      </c>
      <c r="Z19" s="1">
        <f t="shared" ca="1" si="28"/>
        <v>1.9</v>
      </c>
      <c r="AA19" s="1">
        <f t="shared" ca="1" si="29"/>
        <v>0</v>
      </c>
      <c r="AB19" s="1">
        <f t="shared" ca="1" si="30"/>
        <v>0</v>
      </c>
      <c r="AC19" s="1">
        <f t="shared" ca="1" si="31"/>
        <v>0</v>
      </c>
      <c r="AD19" s="613">
        <f ca="1">IF($C19="",0,COUNTIF(Playoffs!$U$25:$U$30,$C19))</f>
        <v>0</v>
      </c>
      <c r="AE19" s="615"/>
      <c r="AF19" s="613"/>
      <c r="AG19" s="613"/>
      <c r="AH19" s="616"/>
      <c r="AI19" s="613"/>
    </row>
    <row r="20" spans="2:80" s="2" customFormat="1" x14ac:dyDescent="0.2">
      <c r="C20" s="2" t="str">
        <f t="shared" ca="1" si="25"/>
        <v>Manchester City</v>
      </c>
      <c r="D20" s="1">
        <f t="shared" ca="1" si="15"/>
        <v>3</v>
      </c>
      <c r="E20" s="1">
        <f t="shared" ca="1" si="15"/>
        <v>1</v>
      </c>
      <c r="F20" s="1">
        <f t="shared" ca="1" si="15"/>
        <v>2</v>
      </c>
      <c r="G20" s="1">
        <f t="shared" ca="1" si="15"/>
        <v>0</v>
      </c>
      <c r="H20" s="1">
        <f t="shared" ca="1" si="16"/>
        <v>136</v>
      </c>
      <c r="I20" s="1">
        <f t="shared" ca="1" si="16"/>
        <v>125</v>
      </c>
      <c r="J20" s="13">
        <f t="shared" ca="1" si="16"/>
        <v>11</v>
      </c>
      <c r="K20" s="1">
        <f ca="1">IF(Einstellungen!$G$9,J7,$AT7)</f>
        <v>4</v>
      </c>
      <c r="L20" s="694">
        <f ca="1">K20*$F$64+(AU7+$H$65)*$F$65*Einstellungen!$G$14+AT7*$F$66*Einstellungen!$G$19+AX7*$F$67</f>
        <v>4000000.0079999999</v>
      </c>
      <c r="M20" s="14">
        <f t="shared" ca="1" si="26"/>
        <v>1</v>
      </c>
      <c r="N20" s="14">
        <f t="array" aca="1" ref="N20" ca="1">IF($AI$15,SUM(($K$17:$K$25&gt;=K20)/COUNTIF($K$17:$K$25,$K$17:$K$25)),SUM(($L$17:$L$25&gt;=L20)/COUNTIF($L$17:$L$25,$L$17:$L$25)))</f>
        <v>1</v>
      </c>
      <c r="O20" s="6" t="str">
        <f t="shared" ca="1" si="17"/>
        <v/>
      </c>
      <c r="P20" s="4" t="str">
        <f t="shared" ca="1" si="18"/>
        <v/>
      </c>
      <c r="Q20" s="4" t="str">
        <f t="shared" ca="1" si="19"/>
        <v/>
      </c>
      <c r="R20" s="4" t="str">
        <f t="shared" ca="1" si="20"/>
        <v/>
      </c>
      <c r="S20" s="4" t="str">
        <f t="shared" ca="1" si="21"/>
        <v/>
      </c>
      <c r="T20" s="4" t="str">
        <f t="shared" ca="1" si="22"/>
        <v/>
      </c>
      <c r="U20" s="4" t="str">
        <f t="shared" ca="1" si="23"/>
        <v/>
      </c>
      <c r="V20" s="55" t="str">
        <f t="shared" ca="1" si="24"/>
        <v/>
      </c>
      <c r="W20" s="62">
        <f t="shared" ca="1" si="27"/>
        <v>500000</v>
      </c>
      <c r="X20" s="22">
        <f t="shared" ca="1" si="32"/>
        <v>1.0108999999999999</v>
      </c>
      <c r="Y20" s="13">
        <f ca="1">'Endrunde 4'!$AU15+$AD20</f>
        <v>0</v>
      </c>
      <c r="Z20" s="1">
        <f t="shared" ca="1" si="28"/>
        <v>1.9</v>
      </c>
      <c r="AA20" s="1">
        <f t="shared" ca="1" si="29"/>
        <v>0</v>
      </c>
      <c r="AB20" s="1">
        <f t="shared" ca="1" si="30"/>
        <v>0</v>
      </c>
      <c r="AC20" s="1">
        <f t="shared" ca="1" si="31"/>
        <v>0</v>
      </c>
      <c r="AD20" s="613">
        <f ca="1">IF($C20="",0,COUNTIF(Playoffs!$U$25:$U$30,$C20))</f>
        <v>0</v>
      </c>
      <c r="AE20" s="615"/>
      <c r="AF20" s="613"/>
      <c r="AG20" s="613"/>
      <c r="AH20" s="616"/>
      <c r="AI20" s="613"/>
    </row>
    <row r="21" spans="2:80" s="2" customFormat="1" x14ac:dyDescent="0.2">
      <c r="C21" s="2" t="str">
        <f t="shared" si="25"/>
        <v/>
      </c>
      <c r="D21" s="1">
        <f t="shared" ca="1" si="15"/>
        <v>0</v>
      </c>
      <c r="E21" s="1">
        <f t="shared" ca="1" si="15"/>
        <v>0</v>
      </c>
      <c r="F21" s="1">
        <f t="shared" ca="1" si="15"/>
        <v>0</v>
      </c>
      <c r="G21" s="1">
        <f t="shared" ca="1" si="15"/>
        <v>0</v>
      </c>
      <c r="H21" s="1">
        <f t="shared" ca="1" si="16"/>
        <v>0</v>
      </c>
      <c r="I21" s="1">
        <f t="shared" ca="1" si="16"/>
        <v>0</v>
      </c>
      <c r="J21" s="13">
        <f t="shared" ca="1" si="16"/>
        <v>0</v>
      </c>
      <c r="K21" s="1">
        <f ca="1">IF(Einstellungen!$G$9,J8,$AT8)</f>
        <v>0</v>
      </c>
      <c r="L21" s="694">
        <f ca="1">K21*$F$64+(AU8+$H$65)*$F$65*Einstellungen!$G$14+AT8*$F$66*Einstellungen!$G$19+AX8*$F$67</f>
        <v>1E-3</v>
      </c>
      <c r="M21" s="14">
        <f t="shared" ca="1" si="26"/>
        <v>5</v>
      </c>
      <c r="N21" s="14">
        <f t="array" aca="1" ref="N21" ca="1">IF($AI$15,SUM(($K$17:$K$25&gt;=K21)/COUNTIF($K$17:$K$25,$K$17:$K$25)),SUM(($L$17:$L$25&gt;=L21)/COUNTIF($L$17:$L$25,$L$17:$L$25)))</f>
        <v>5.0000000000000009</v>
      </c>
      <c r="O21" s="6" t="str">
        <f t="shared" ca="1" si="17"/>
        <v/>
      </c>
      <c r="P21" s="4" t="str">
        <f t="shared" ca="1" si="18"/>
        <v/>
      </c>
      <c r="Q21" s="4" t="str">
        <f t="shared" ca="1" si="19"/>
        <v/>
      </c>
      <c r="R21" s="4" t="str">
        <f t="shared" ca="1" si="20"/>
        <v/>
      </c>
      <c r="S21" s="4" t="str">
        <f t="shared" ca="1" si="21"/>
        <v/>
      </c>
      <c r="T21" s="4" t="str">
        <f t="shared" ca="1" si="22"/>
        <v/>
      </c>
      <c r="U21" s="4" t="str">
        <f t="shared" ca="1" si="23"/>
        <v/>
      </c>
      <c r="V21" s="55" t="str">
        <f t="shared" ca="1" si="24"/>
        <v/>
      </c>
      <c r="W21" s="62">
        <f t="shared" ca="1" si="27"/>
        <v>500000</v>
      </c>
      <c r="X21" s="22">
        <f t="shared" ca="1" si="32"/>
        <v>105.01089999999999</v>
      </c>
      <c r="Y21" s="13">
        <v>0</v>
      </c>
      <c r="Z21" s="1">
        <f t="shared" ca="1" si="28"/>
        <v>1.9</v>
      </c>
      <c r="AA21" s="1">
        <f t="shared" ca="1" si="29"/>
        <v>0</v>
      </c>
      <c r="AB21" s="1">
        <f t="shared" ca="1" si="30"/>
        <v>0</v>
      </c>
      <c r="AC21" s="1">
        <f t="shared" ca="1" si="31"/>
        <v>0</v>
      </c>
      <c r="AD21" s="613">
        <v>0</v>
      </c>
      <c r="AE21" s="615"/>
      <c r="AF21" s="613"/>
      <c r="AG21" s="613"/>
      <c r="AH21" s="616"/>
      <c r="AI21" s="613"/>
    </row>
    <row r="22" spans="2:80" s="2" customFormat="1" x14ac:dyDescent="0.2">
      <c r="C22" s="2" t="str">
        <f t="shared" si="25"/>
        <v/>
      </c>
      <c r="D22" s="1">
        <f t="shared" ca="1" si="15"/>
        <v>0</v>
      </c>
      <c r="E22" s="1">
        <f t="shared" ca="1" si="15"/>
        <v>0</v>
      </c>
      <c r="F22" s="1">
        <f t="shared" ca="1" si="15"/>
        <v>0</v>
      </c>
      <c r="G22" s="1">
        <f t="shared" ca="1" si="15"/>
        <v>0</v>
      </c>
      <c r="H22" s="1">
        <f t="shared" ca="1" si="16"/>
        <v>0</v>
      </c>
      <c r="I22" s="1">
        <f t="shared" ca="1" si="16"/>
        <v>0</v>
      </c>
      <c r="J22" s="13">
        <f t="shared" ca="1" si="16"/>
        <v>0</v>
      </c>
      <c r="K22" s="1">
        <f ca="1">IF(Einstellungen!$G$9,J9,$AT9)</f>
        <v>0</v>
      </c>
      <c r="L22" s="694">
        <f ca="1">K22*$F$64+(AU9+$H$65)*$F$65*Einstellungen!$G$14+AT9*$F$66*Einstellungen!$G$19+AX9*$F$67</f>
        <v>1E-3</v>
      </c>
      <c r="M22" s="14">
        <f t="shared" ca="1" si="26"/>
        <v>5</v>
      </c>
      <c r="N22" s="14">
        <f t="array" aca="1" ref="N22" ca="1">IF($AI$15,SUM(($K$17:$K$25&gt;=K22)/COUNTIF($K$17:$K$25,$K$17:$K$25)),SUM(($L$17:$L$25&gt;=L22)/COUNTIF($L$17:$L$25,$L$17:$L$25)))</f>
        <v>5.0000000000000009</v>
      </c>
      <c r="O22" s="6" t="str">
        <f t="shared" ca="1" si="17"/>
        <v/>
      </c>
      <c r="P22" s="4" t="str">
        <f t="shared" ca="1" si="18"/>
        <v/>
      </c>
      <c r="Q22" s="4" t="str">
        <f t="shared" ca="1" si="19"/>
        <v/>
      </c>
      <c r="R22" s="4" t="str">
        <f t="shared" ca="1" si="20"/>
        <v/>
      </c>
      <c r="S22" s="4" t="str">
        <f t="shared" ca="1" si="21"/>
        <v/>
      </c>
      <c r="T22" s="4" t="str">
        <f t="shared" ca="1" si="22"/>
        <v/>
      </c>
      <c r="U22" s="4" t="str">
        <f t="shared" ca="1" si="23"/>
        <v/>
      </c>
      <c r="V22" s="55" t="str">
        <f t="shared" ca="1" si="24"/>
        <v/>
      </c>
      <c r="W22" s="62">
        <f t="shared" ca="1" si="27"/>
        <v>500000</v>
      </c>
      <c r="X22" s="22">
        <f t="shared" ca="1" si="32"/>
        <v>105.01089999999999</v>
      </c>
      <c r="Y22" s="13">
        <v>0</v>
      </c>
      <c r="Z22" s="1">
        <f t="shared" ca="1" si="28"/>
        <v>1.9</v>
      </c>
      <c r="AA22" s="1">
        <f t="shared" ca="1" si="29"/>
        <v>0</v>
      </c>
      <c r="AB22" s="1">
        <f t="shared" ca="1" si="30"/>
        <v>0</v>
      </c>
      <c r="AC22" s="1">
        <f t="shared" ca="1" si="31"/>
        <v>0</v>
      </c>
      <c r="AD22" s="613">
        <v>0</v>
      </c>
      <c r="AE22" s="615"/>
      <c r="AF22" s="613"/>
      <c r="AG22" s="613"/>
      <c r="AH22" s="616"/>
      <c r="AI22" s="613"/>
    </row>
    <row r="23" spans="2:80" s="2" customFormat="1" x14ac:dyDescent="0.2">
      <c r="C23" s="2" t="str">
        <f t="shared" si="25"/>
        <v/>
      </c>
      <c r="D23" s="1">
        <f t="shared" ca="1" si="15"/>
        <v>0</v>
      </c>
      <c r="E23" s="1">
        <f t="shared" ca="1" si="15"/>
        <v>0</v>
      </c>
      <c r="F23" s="1">
        <f t="shared" ca="1" si="15"/>
        <v>0</v>
      </c>
      <c r="G23" s="1">
        <f t="shared" ca="1" si="15"/>
        <v>0</v>
      </c>
      <c r="H23" s="1">
        <f t="shared" ca="1" si="16"/>
        <v>0</v>
      </c>
      <c r="I23" s="1">
        <f t="shared" ca="1" si="16"/>
        <v>0</v>
      </c>
      <c r="J23" s="13">
        <f t="shared" ca="1" si="16"/>
        <v>0</v>
      </c>
      <c r="K23" s="1">
        <f ca="1">IF(Einstellungen!$G$9,J10,$AT10)</f>
        <v>0</v>
      </c>
      <c r="L23" s="694">
        <f ca="1">K23*$F$64+(AU10+$H$65)*$F$65*Einstellungen!$G$14+AT10*$F$66*Einstellungen!$G$19+AX10*$F$67</f>
        <v>1E-3</v>
      </c>
      <c r="M23" s="14">
        <f t="shared" ca="1" si="26"/>
        <v>5</v>
      </c>
      <c r="N23" s="14">
        <f t="array" aca="1" ref="N23" ca="1">IF($AI$15,SUM(($K$17:$K$25&gt;=K23)/COUNTIF($K$17:$K$25,$K$17:$K$25)),SUM(($L$17:$L$25&gt;=L23)/COUNTIF($L$17:$L$25,$L$17:$L$25)))</f>
        <v>5.0000000000000009</v>
      </c>
      <c r="O23" s="6" t="str">
        <f t="shared" ca="1" si="17"/>
        <v/>
      </c>
      <c r="P23" s="4" t="str">
        <f t="shared" ca="1" si="18"/>
        <v/>
      </c>
      <c r="Q23" s="4" t="str">
        <f t="shared" ca="1" si="19"/>
        <v/>
      </c>
      <c r="R23" s="4" t="str">
        <f t="shared" ca="1" si="20"/>
        <v/>
      </c>
      <c r="S23" s="4" t="str">
        <f t="shared" ca="1" si="21"/>
        <v/>
      </c>
      <c r="T23" s="4" t="str">
        <f t="shared" ca="1" si="22"/>
        <v/>
      </c>
      <c r="U23" s="4" t="str">
        <f t="shared" ca="1" si="23"/>
        <v/>
      </c>
      <c r="V23" s="55" t="str">
        <f t="shared" ca="1" si="24"/>
        <v/>
      </c>
      <c r="W23" s="62">
        <f t="shared" ca="1" si="27"/>
        <v>500000</v>
      </c>
      <c r="X23" s="22">
        <f t="shared" ca="1" si="32"/>
        <v>105.01089999999999</v>
      </c>
      <c r="Y23" s="13">
        <v>0</v>
      </c>
      <c r="Z23" s="1">
        <f t="shared" ca="1" si="28"/>
        <v>1.9</v>
      </c>
      <c r="AA23" s="1">
        <f t="shared" ca="1" si="29"/>
        <v>0</v>
      </c>
      <c r="AB23" s="1">
        <f t="shared" ca="1" si="30"/>
        <v>0</v>
      </c>
      <c r="AC23" s="1">
        <f t="shared" ca="1" si="31"/>
        <v>0</v>
      </c>
      <c r="AD23" s="613">
        <v>0</v>
      </c>
      <c r="AE23" s="615"/>
      <c r="AF23" s="613"/>
      <c r="AG23" s="613"/>
      <c r="AH23" s="616"/>
      <c r="AI23" s="613"/>
    </row>
    <row r="24" spans="2:80" s="2" customFormat="1" x14ac:dyDescent="0.2">
      <c r="C24" s="2" t="str">
        <f t="shared" si="25"/>
        <v/>
      </c>
      <c r="D24" s="1">
        <f t="shared" ca="1" si="15"/>
        <v>0</v>
      </c>
      <c r="E24" s="1">
        <f t="shared" ca="1" si="15"/>
        <v>0</v>
      </c>
      <c r="F24" s="1">
        <f t="shared" ca="1" si="15"/>
        <v>0</v>
      </c>
      <c r="G24" s="1">
        <f t="shared" ca="1" si="15"/>
        <v>0</v>
      </c>
      <c r="H24" s="1">
        <f t="shared" ca="1" si="16"/>
        <v>0</v>
      </c>
      <c r="I24" s="1">
        <f t="shared" ca="1" si="16"/>
        <v>0</v>
      </c>
      <c r="J24" s="13">
        <f t="shared" ca="1" si="16"/>
        <v>0</v>
      </c>
      <c r="K24" s="1">
        <f ca="1">IF(Einstellungen!$G$9,J11,$AT11)</f>
        <v>0</v>
      </c>
      <c r="L24" s="694">
        <f ca="1">K24*$F$64+(AU11+$H$65)*$F$65*Einstellungen!$G$14+AT11*$F$66*Einstellungen!$G$19+AX11*$F$67</f>
        <v>1E-3</v>
      </c>
      <c r="M24" s="14">
        <f t="shared" ca="1" si="26"/>
        <v>5</v>
      </c>
      <c r="N24" s="14">
        <f t="array" aca="1" ref="N24" ca="1">IF($AI$15,SUM(($K$17:$K$25&gt;=K24)/COUNTIF($K$17:$K$25,$K$17:$K$25)),SUM(($L$17:$L$25&gt;=L24)/COUNTIF($L$17:$L$25,$L$17:$L$25)))</f>
        <v>5.0000000000000009</v>
      </c>
      <c r="O24" s="6" t="str">
        <f t="shared" ca="1" si="17"/>
        <v/>
      </c>
      <c r="P24" s="4" t="str">
        <f t="shared" ca="1" si="18"/>
        <v/>
      </c>
      <c r="Q24" s="4" t="str">
        <f t="shared" ca="1" si="19"/>
        <v/>
      </c>
      <c r="R24" s="4" t="str">
        <f t="shared" ca="1" si="20"/>
        <v/>
      </c>
      <c r="S24" s="4" t="str">
        <f t="shared" ca="1" si="21"/>
        <v/>
      </c>
      <c r="T24" s="4" t="str">
        <f t="shared" ca="1" si="22"/>
        <v/>
      </c>
      <c r="U24" s="4" t="str">
        <f t="shared" ca="1" si="23"/>
        <v/>
      </c>
      <c r="V24" s="55" t="str">
        <f t="shared" ca="1" si="24"/>
        <v/>
      </c>
      <c r="W24" s="62">
        <f t="shared" ca="1" si="27"/>
        <v>500000</v>
      </c>
      <c r="X24" s="22">
        <f t="shared" ca="1" si="32"/>
        <v>105.01089999999999</v>
      </c>
      <c r="Y24" s="13">
        <v>0</v>
      </c>
      <c r="Z24" s="1">
        <f t="shared" ca="1" si="28"/>
        <v>1.9</v>
      </c>
      <c r="AA24" s="1">
        <f t="shared" ca="1" si="29"/>
        <v>0</v>
      </c>
      <c r="AB24" s="1">
        <f t="shared" ca="1" si="30"/>
        <v>0</v>
      </c>
      <c r="AC24" s="1">
        <f t="shared" ca="1" si="31"/>
        <v>0</v>
      </c>
      <c r="AD24" s="613">
        <v>0</v>
      </c>
      <c r="AE24" s="615"/>
      <c r="AF24" s="613"/>
      <c r="AG24" s="613"/>
      <c r="AH24" s="616"/>
      <c r="AI24" s="613"/>
    </row>
    <row r="25" spans="2:80" s="2" customFormat="1" ht="12.75" thickBot="1" x14ac:dyDescent="0.25">
      <c r="C25" s="2" t="str">
        <f t="shared" si="25"/>
        <v/>
      </c>
      <c r="D25" s="1">
        <f t="shared" ca="1" si="15"/>
        <v>0</v>
      </c>
      <c r="E25" s="1">
        <f t="shared" ca="1" si="15"/>
        <v>0</v>
      </c>
      <c r="F25" s="1">
        <f t="shared" ca="1" si="15"/>
        <v>0</v>
      </c>
      <c r="G25" s="1">
        <f t="shared" ca="1" si="15"/>
        <v>0</v>
      </c>
      <c r="H25" s="1">
        <f t="shared" ca="1" si="16"/>
        <v>0</v>
      </c>
      <c r="I25" s="1">
        <f t="shared" ca="1" si="16"/>
        <v>0</v>
      </c>
      <c r="J25" s="13">
        <f t="shared" ca="1" si="16"/>
        <v>0</v>
      </c>
      <c r="K25" s="1">
        <f ca="1">IF(Einstellungen!$G$9,J12,$AT12)</f>
        <v>0</v>
      </c>
      <c r="L25" s="694">
        <f ca="1">K25*$F$64+(AU12+$H$65)*$F$65*Einstellungen!$G$14+AT12*$F$66*Einstellungen!$G$19+AX12*$F$67</f>
        <v>1E-3</v>
      </c>
      <c r="M25" s="14">
        <f t="shared" ca="1" si="26"/>
        <v>5</v>
      </c>
      <c r="N25" s="14">
        <f t="array" aca="1" ref="N25" ca="1">IF($AI$15,SUM(($K$17:$K$25&gt;=K25)/COUNTIF($K$17:$K$25,$K$17:$K$25)),SUM(($L$17:$L$25&gt;=L25)/COUNTIF($L$17:$L$25,$L$17:$L$25)))</f>
        <v>5.0000000000000009</v>
      </c>
      <c r="O25" s="56" t="str">
        <f t="shared" ca="1" si="17"/>
        <v/>
      </c>
      <c r="P25" s="57" t="str">
        <f t="shared" ca="1" si="18"/>
        <v/>
      </c>
      <c r="Q25" s="57" t="str">
        <f t="shared" ca="1" si="19"/>
        <v/>
      </c>
      <c r="R25" s="57" t="str">
        <f t="shared" ca="1" si="20"/>
        <v/>
      </c>
      <c r="S25" s="57" t="str">
        <f t="shared" ca="1" si="21"/>
        <v/>
      </c>
      <c r="T25" s="57" t="str">
        <f t="shared" ca="1" si="22"/>
        <v/>
      </c>
      <c r="U25" s="57" t="str">
        <f t="shared" ca="1" si="23"/>
        <v/>
      </c>
      <c r="V25" s="58" t="str">
        <f t="shared" ca="1" si="24"/>
        <v/>
      </c>
      <c r="W25" s="62">
        <f t="shared" ca="1" si="27"/>
        <v>500000</v>
      </c>
      <c r="X25" s="23">
        <f t="shared" ca="1" si="32"/>
        <v>105.01089999999999</v>
      </c>
      <c r="Y25" s="13">
        <v>0</v>
      </c>
      <c r="Z25" s="1">
        <f t="shared" ca="1" si="28"/>
        <v>1.9</v>
      </c>
      <c r="AA25" s="1">
        <f t="shared" ca="1" si="29"/>
        <v>0</v>
      </c>
      <c r="AB25" s="1">
        <f t="shared" ca="1" si="30"/>
        <v>0</v>
      </c>
      <c r="AC25" s="1">
        <f t="shared" ca="1" si="31"/>
        <v>0</v>
      </c>
      <c r="AD25" s="613">
        <v>0</v>
      </c>
      <c r="AE25" s="615"/>
      <c r="AF25" s="613"/>
      <c r="AG25" s="613"/>
      <c r="AH25" s="616"/>
      <c r="AI25" s="613"/>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596" t="s">
        <v>384</v>
      </c>
      <c r="E29" s="985">
        <v>1</v>
      </c>
      <c r="F29" s="982"/>
      <c r="G29" s="982"/>
      <c r="H29" s="982"/>
      <c r="I29" s="982"/>
      <c r="J29" s="982"/>
      <c r="K29" s="982"/>
      <c r="L29" s="984"/>
      <c r="M29" s="981">
        <v>2</v>
      </c>
      <c r="N29" s="982"/>
      <c r="O29" s="982"/>
      <c r="P29" s="982"/>
      <c r="Q29" s="982"/>
      <c r="R29" s="982"/>
      <c r="S29" s="982"/>
      <c r="T29" s="984"/>
      <c r="U29" s="981">
        <v>3</v>
      </c>
      <c r="V29" s="982"/>
      <c r="W29" s="982"/>
      <c r="X29" s="982"/>
      <c r="Y29" s="982"/>
      <c r="Z29" s="982"/>
      <c r="AA29" s="982"/>
      <c r="AB29" s="984"/>
      <c r="AC29" s="981">
        <v>4</v>
      </c>
      <c r="AD29" s="982"/>
      <c r="AE29" s="982"/>
      <c r="AF29" s="982"/>
      <c r="AG29" s="982"/>
      <c r="AH29" s="982"/>
      <c r="AI29" s="982"/>
      <c r="AJ29" s="984"/>
      <c r="AK29" s="981">
        <v>5</v>
      </c>
      <c r="AL29" s="982"/>
      <c r="AM29" s="982"/>
      <c r="AN29" s="982"/>
      <c r="AO29" s="982"/>
      <c r="AP29" s="982"/>
      <c r="AQ29" s="982"/>
      <c r="AR29" s="984"/>
      <c r="AS29" s="981">
        <v>6</v>
      </c>
      <c r="AT29" s="982"/>
      <c r="AU29" s="982"/>
      <c r="AV29" s="982"/>
      <c r="AW29" s="982"/>
      <c r="AX29" s="982"/>
      <c r="AY29" s="982"/>
      <c r="AZ29" s="984"/>
      <c r="BA29" s="981">
        <v>7</v>
      </c>
      <c r="BB29" s="982"/>
      <c r="BC29" s="982"/>
      <c r="BD29" s="982"/>
      <c r="BE29" s="982"/>
      <c r="BF29" s="982"/>
      <c r="BG29" s="982"/>
      <c r="BH29" s="984"/>
      <c r="BI29" s="981">
        <v>8</v>
      </c>
      <c r="BJ29" s="982"/>
      <c r="BK29" s="982"/>
      <c r="BL29" s="982"/>
      <c r="BM29" s="982"/>
      <c r="BN29" s="982"/>
      <c r="BO29" s="982"/>
      <c r="BP29" s="983"/>
      <c r="BQ29" s="13"/>
      <c r="BR29" s="5" t="s">
        <v>94</v>
      </c>
      <c r="BS29" s="2" t="str">
        <f ca="1">$F$4</f>
        <v>Eintracht Frankfurt</v>
      </c>
      <c r="BT29" s="2" t="str">
        <f ca="1">$F$5</f>
        <v>Mainz 05</v>
      </c>
      <c r="BU29" s="2" t="str">
        <f ca="1">$F$6</f>
        <v>Maibach 1822 eV</v>
      </c>
      <c r="BV29" s="2" t="str">
        <f ca="1">$F$7</f>
        <v>Manchester City</v>
      </c>
      <c r="BW29" s="2" t="str">
        <f>$F$8</f>
        <v/>
      </c>
      <c r="BX29" s="2" t="str">
        <f>$F$9</f>
        <v/>
      </c>
      <c r="BY29" s="2" t="str">
        <f>$F$10</f>
        <v/>
      </c>
      <c r="BZ29" s="2" t="str">
        <f>$F$11</f>
        <v/>
      </c>
      <c r="CA29" s="2" t="str">
        <f>$F$12</f>
        <v/>
      </c>
      <c r="CB29" s="51"/>
    </row>
    <row r="30" spans="2:80" s="2" customFormat="1" x14ac:dyDescent="0.2">
      <c r="C30" s="2" t="str">
        <f ca="1">$Q64</f>
        <v>Eintracht Frankfurt</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3">F4</f>
        <v>Eintracht Frankfurt</v>
      </c>
      <c r="BS30" s="7"/>
      <c r="BT30" s="8">
        <f t="shared" ref="BT30:CA32" ca="1" si="34">SUMIFS($AH$64:$AH$135,$V$64:$V$135,$BR30,$W$64:$W$135,BT$29)+SUMIFS($AI$64:$AI$135,$W$64:$W$135,$BR30,$V$64:$V$135,BT$29)</f>
        <v>50</v>
      </c>
      <c r="BU30" s="8">
        <f t="shared" ca="1" si="34"/>
        <v>31</v>
      </c>
      <c r="BV30" s="8">
        <f t="shared" ca="1" si="34"/>
        <v>35</v>
      </c>
      <c r="BW30" s="8">
        <f t="shared" ca="1" si="34"/>
        <v>0</v>
      </c>
      <c r="BX30" s="8">
        <f t="shared" ca="1" si="34"/>
        <v>0</v>
      </c>
      <c r="BY30" s="8">
        <f t="shared" ca="1" si="34"/>
        <v>0</v>
      </c>
      <c r="BZ30" s="8">
        <f t="shared" ca="1" si="34"/>
        <v>0</v>
      </c>
      <c r="CA30" s="8">
        <f t="shared" ca="1" si="34"/>
        <v>0</v>
      </c>
      <c r="CB30" s="4"/>
    </row>
    <row r="31" spans="2:80" s="2" customFormat="1" x14ac:dyDescent="0.2">
      <c r="C31" s="2" t="str">
        <f t="shared" ref="C31:C38" ca="1" si="35">$Q65</f>
        <v>Mainz 05</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3"/>
        <v>Mainz 05</v>
      </c>
      <c r="BS31" s="9">
        <f t="shared" ref="BS31:BU38" ca="1" si="36">SUMIFS($AH$64:$AH$135,$V$64:$V$135,$BR31,$W$64:$W$135,BS$29)+SUMIFS($AI$64:$AI$135,$W$64:$W$135,$BR31,$V$64:$V$135,BS$29)</f>
        <v>33</v>
      </c>
      <c r="BT31" s="7"/>
      <c r="BU31" s="8">
        <f t="shared" ca="1" si="34"/>
        <v>50</v>
      </c>
      <c r="BV31" s="8">
        <f t="shared" ca="1" si="34"/>
        <v>44</v>
      </c>
      <c r="BW31" s="8">
        <f t="shared" ca="1" si="34"/>
        <v>0</v>
      </c>
      <c r="BX31" s="8">
        <f t="shared" ca="1" si="34"/>
        <v>0</v>
      </c>
      <c r="BY31" s="8">
        <f t="shared" ca="1" si="34"/>
        <v>0</v>
      </c>
      <c r="BZ31" s="8">
        <f t="shared" ca="1" si="34"/>
        <v>0</v>
      </c>
      <c r="CA31" s="8">
        <f t="shared" ca="1" si="34"/>
        <v>0</v>
      </c>
      <c r="CB31" s="4"/>
    </row>
    <row r="32" spans="2:80" s="2" customFormat="1" x14ac:dyDescent="0.2">
      <c r="C32" s="2" t="str">
        <f t="shared" ca="1" si="35"/>
        <v>Maibach 1822 eV</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3"/>
        <v>Maibach 1822 eV</v>
      </c>
      <c r="BS32" s="9">
        <f t="shared" ca="1" si="36"/>
        <v>50</v>
      </c>
      <c r="BT32" s="9">
        <f t="shared" ca="1" si="36"/>
        <v>39</v>
      </c>
      <c r="BU32" s="7"/>
      <c r="BV32" s="8">
        <f t="shared" ca="1" si="34"/>
        <v>46</v>
      </c>
      <c r="BW32" s="8">
        <f t="shared" ca="1" si="34"/>
        <v>0</v>
      </c>
      <c r="BX32" s="8">
        <f t="shared" ca="1" si="34"/>
        <v>0</v>
      </c>
      <c r="BY32" s="8">
        <f t="shared" ca="1" si="34"/>
        <v>0</v>
      </c>
      <c r="BZ32" s="8">
        <f t="shared" ca="1" si="34"/>
        <v>0</v>
      </c>
      <c r="CA32" s="8">
        <f t="shared" ca="1" si="34"/>
        <v>0</v>
      </c>
      <c r="CB32" s="4"/>
    </row>
    <row r="33" spans="2:80" s="2" customFormat="1" x14ac:dyDescent="0.2">
      <c r="C33" s="2" t="str">
        <f t="shared" ca="1" si="35"/>
        <v>Manchester City</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3"/>
        <v>Manchester City</v>
      </c>
      <c r="BS33" s="9">
        <f t="shared" ca="1" si="36"/>
        <v>50</v>
      </c>
      <c r="BT33" s="9">
        <f t="shared" ca="1" si="36"/>
        <v>44</v>
      </c>
      <c r="BU33" s="9">
        <f t="shared" ca="1" si="36"/>
        <v>42</v>
      </c>
      <c r="BV33" s="7"/>
      <c r="BW33" s="8">
        <f ca="1">SUMIFS($AH$64:$AH$135,$V$64:$V$135,$BR33,$W$64:$W$135,BW$29)+SUMIFS($AI$64:$AI$135,$W$64:$W$135,$BR33,$V$64:$V$135,BW$29)</f>
        <v>0</v>
      </c>
      <c r="BX33" s="8">
        <f ca="1">SUMIFS($AH$64:$AH$135,$V$64:$V$135,$BR33,$W$64:$W$135,BX$29)+SUMIFS($AI$64:$AI$135,$W$64:$W$135,$BR33,$V$64:$V$135,BX$29)</f>
        <v>0</v>
      </c>
      <c r="BY33" s="8">
        <f ca="1">SUMIFS($AH$64:$AH$135,$V$64:$V$135,$BR33,$W$64:$W$135,BY$29)+SUMIFS($AI$64:$AI$135,$W$64:$W$135,$BR33,$V$64:$V$135,BY$29)</f>
        <v>0</v>
      </c>
      <c r="BZ33" s="8">
        <f ca="1">SUMIFS($AH$64:$AH$135,$V$64:$V$135,$BR33,$W$64:$W$135,BZ$29)+SUMIFS($AI$64:$AI$135,$W$64:$W$135,$BR33,$V$64:$V$135,BZ$29)</f>
        <v>0</v>
      </c>
      <c r="CA33" s="8">
        <f ca="1">SUMIFS($AH$64:$AH$135,$V$64:$V$135,$BR33,$W$64:$W$135,CA$29)+SUMIFS($AI$64:$AI$135,$W$64:$W$135,$BR33,$V$64:$V$135,CA$29)</f>
        <v>0</v>
      </c>
      <c r="CB33" s="4"/>
    </row>
    <row r="34" spans="2:80" s="2" customFormat="1" x14ac:dyDescent="0.2">
      <c r="C34" s="2" t="str">
        <f t="shared" si="35"/>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3"/>
        <v/>
      </c>
      <c r="BS34" s="9">
        <f t="shared" ca="1" si="36"/>
        <v>0</v>
      </c>
      <c r="BT34" s="9">
        <f t="shared" ca="1" si="36"/>
        <v>0</v>
      </c>
      <c r="BU34" s="9">
        <f t="shared" ca="1" si="36"/>
        <v>0</v>
      </c>
      <c r="BV34" s="9">
        <f ca="1">SUMIFS($AH$64:$AH$135,$V$64:$V$135,$BR34,$W$64:$W$135,BV$29)+SUMIFS($AI$64:$AI$135,$W$64:$W$135,$BR34,$V$64:$V$135,BV$29)</f>
        <v>0</v>
      </c>
      <c r="BW34" s="7"/>
      <c r="BX34" s="8">
        <f ca="1">SUMIFS($AH$64:$AH$135,$V$64:$V$135,$BR34,$W$64:$W$135,BX$29)+SUMIFS($AI$64:$AI$135,$W$64:$W$135,$BR34,$V$64:$V$135,BX$29)</f>
        <v>0</v>
      </c>
      <c r="BY34" s="8">
        <f ca="1">SUMIFS($AH$64:$AH$135,$V$64:$V$135,$BR34,$W$64:$W$135,BY$29)+SUMIFS($AI$64:$AI$135,$W$64:$W$135,$BR34,$V$64:$V$135,BY$29)</f>
        <v>0</v>
      </c>
      <c r="BZ34" s="8">
        <f ca="1">SUMIFS($AH$64:$AH$135,$V$64:$V$135,$BR34,$W$64:$W$135,BZ$29)+SUMIFS($AI$64:$AI$135,$W$64:$W$135,$BR34,$V$64:$V$135,BZ$29)</f>
        <v>0</v>
      </c>
      <c r="CA34" s="8">
        <f ca="1">SUMIFS($AH$64:$AH$135,$V$64:$V$135,$BR34,$W$64:$W$135,CA$29)+SUMIFS($AI$64:$AI$135,$W$64:$W$135,$BR34,$V$64:$V$135,CA$29)</f>
        <v>0</v>
      </c>
      <c r="CB34" s="4"/>
    </row>
    <row r="35" spans="2:80" s="2" customFormat="1" x14ac:dyDescent="0.2">
      <c r="C35" s="2" t="str">
        <f t="shared" si="35"/>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3"/>
        <v/>
      </c>
      <c r="BS35" s="9">
        <f t="shared" ca="1" si="36"/>
        <v>0</v>
      </c>
      <c r="BT35" s="9">
        <f t="shared" ca="1" si="36"/>
        <v>0</v>
      </c>
      <c r="BU35" s="9">
        <f t="shared" ca="1" si="36"/>
        <v>0</v>
      </c>
      <c r="BV35" s="9">
        <f ca="1">SUMIFS($AH$64:$AH$135,$V$64:$V$135,$BR35,$W$64:$W$135,BV$29)+SUMIFS($AI$64:$AI$135,$W$64:$W$135,$BR35,$V$64:$V$135,BV$29)</f>
        <v>0</v>
      </c>
      <c r="BW35" s="9">
        <f ca="1">SUMIFS($AH$64:$AH$135,$V$64:$V$135,$BR35,$W$64:$W$135,BW$29)+SUMIFS($AI$64:$AI$135,$W$64:$W$135,$BR35,$V$64:$V$135,BW$29)</f>
        <v>0</v>
      </c>
      <c r="BX35" s="7"/>
      <c r="BY35" s="8">
        <f ca="1">SUMIFS($AH$64:$AH$135,$V$64:$V$135,$BR35,$W$64:$W$135,BY$29)+SUMIFS($AI$64:$AI$135,$W$64:$W$135,$BR35,$V$64:$V$135,BY$29)</f>
        <v>0</v>
      </c>
      <c r="BZ35" s="8">
        <f ca="1">SUMIFS($AH$64:$AH$135,$V$64:$V$135,$BR35,$W$64:$W$135,BZ$29)+SUMIFS($AI$64:$AI$135,$W$64:$W$135,$BR35,$V$64:$V$135,BZ$29)</f>
        <v>0</v>
      </c>
      <c r="CA35" s="8">
        <f ca="1">SUMIFS($AH$64:$AH$135,$V$64:$V$135,$BR35,$W$64:$W$135,CA$29)+SUMIFS($AI$64:$AI$135,$W$64:$W$135,$BR35,$V$64:$V$135,CA$29)</f>
        <v>0</v>
      </c>
      <c r="CB35" s="4"/>
    </row>
    <row r="36" spans="2:80" s="2" customFormat="1" x14ac:dyDescent="0.2">
      <c r="C36" s="2" t="str">
        <f t="shared" si="35"/>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3"/>
        <v/>
      </c>
      <c r="BS36" s="9">
        <f t="shared" ca="1" si="36"/>
        <v>0</v>
      </c>
      <c r="BT36" s="9">
        <f t="shared" ca="1" si="36"/>
        <v>0</v>
      </c>
      <c r="BU36" s="9">
        <f t="shared" ca="1" si="36"/>
        <v>0</v>
      </c>
      <c r="BV36" s="9">
        <f ca="1">SUMIFS($AH$64:$AH$135,$V$64:$V$135,$BR36,$W$64:$W$135,BV$29)+SUMIFS($AI$64:$AI$135,$W$64:$W$135,$BR36,$V$64:$V$135,BV$29)</f>
        <v>0</v>
      </c>
      <c r="BW36" s="9">
        <f ca="1">SUMIFS($AH$64:$AH$135,$V$64:$V$135,$BR36,$W$64:$W$135,BW$29)+SUMIFS($AI$64:$AI$135,$W$64:$W$135,$BR36,$V$64:$V$135,BW$29)</f>
        <v>0</v>
      </c>
      <c r="BX36" s="9">
        <f ca="1">SUMIFS($AH$64:$AH$135,$V$64:$V$135,$BR36,$W$64:$W$135,BX$29)+SUMIFS($AI$64:$AI$135,$W$64:$W$135,$BR36,$V$64:$V$135,BX$29)</f>
        <v>0</v>
      </c>
      <c r="BY36" s="7"/>
      <c r="BZ36" s="8">
        <f ca="1">SUMIFS($AH$64:$AH$135,$V$64:$V$135,$BR36,$W$64:$W$135,BZ$29)+SUMIFS($AI$64:$AI$135,$W$64:$W$135,$BR36,$V$64:$V$135,BZ$29)</f>
        <v>0</v>
      </c>
      <c r="CA36" s="8">
        <f ca="1">SUMIFS($AH$64:$AH$135,$V$64:$V$135,$BR36,$W$64:$W$135,CA$29)+SUMIFS($AI$64:$AI$135,$W$64:$W$135,$BR36,$V$64:$V$135,CA$29)</f>
        <v>0</v>
      </c>
      <c r="CB36" s="4"/>
    </row>
    <row r="37" spans="2:80" s="2" customFormat="1" x14ac:dyDescent="0.2">
      <c r="C37" s="2" t="str">
        <f t="shared" si="35"/>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3"/>
        <v/>
      </c>
      <c r="BS37" s="9">
        <f t="shared" ca="1" si="36"/>
        <v>0</v>
      </c>
      <c r="BT37" s="9">
        <f t="shared" ca="1" si="36"/>
        <v>0</v>
      </c>
      <c r="BU37" s="9">
        <f t="shared" ca="1" si="36"/>
        <v>0</v>
      </c>
      <c r="BV37" s="9">
        <f ca="1">SUMIFS($AH$64:$AH$135,$V$64:$V$135,$BR37,$W$64:$W$135,BV$29)+SUMIFS($AI$64:$AI$135,$W$64:$W$135,$BR37,$V$64:$V$135,BV$29)</f>
        <v>0</v>
      </c>
      <c r="BW37" s="9">
        <f ca="1">SUMIFS($AH$64:$AH$135,$V$64:$V$135,$BR37,$W$64:$W$135,BW$29)+SUMIFS($AI$64:$AI$135,$W$64:$W$135,$BR37,$V$64:$V$135,BW$29)</f>
        <v>0</v>
      </c>
      <c r="BX37" s="9">
        <f ca="1">SUMIFS($AH$64:$AH$135,$V$64:$V$135,$BR37,$W$64:$W$135,BX$29)+SUMIFS($AI$64:$AI$135,$W$64:$W$135,$BR37,$V$64:$V$135,BX$29)</f>
        <v>0</v>
      </c>
      <c r="BY37" s="9">
        <f ca="1">SUMIFS($AH$64:$AH$135,$V$64:$V$135,$BR37,$W$64:$W$135,BY$29)+SUMIFS($AI$64:$AI$135,$W$64:$W$135,$BR37,$V$64:$V$135,BY$29)</f>
        <v>0</v>
      </c>
      <c r="BZ37" s="7"/>
      <c r="CA37" s="8">
        <f ca="1">SUMIFS($AH$64:$AH$135,$V$64:$V$135,$BR37,$W$64:$W$135,CA$29)+SUMIFS($AI$64:$AI$135,$W$64:$W$135,$BR37,$V$64:$V$135,CA$29)</f>
        <v>0</v>
      </c>
      <c r="CB37" s="4"/>
    </row>
    <row r="38" spans="2:80" s="2" customFormat="1" x14ac:dyDescent="0.2">
      <c r="C38" s="2" t="str">
        <f t="shared" si="35"/>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3"/>
        <v/>
      </c>
      <c r="BS38" s="9">
        <f t="shared" ca="1" si="36"/>
        <v>0</v>
      </c>
      <c r="BT38" s="9">
        <f t="shared" ca="1" si="36"/>
        <v>0</v>
      </c>
      <c r="BU38" s="9">
        <f t="shared" ca="1" si="36"/>
        <v>0</v>
      </c>
      <c r="BV38" s="9">
        <f ca="1">SUMIFS($AH$64:$AH$135,$V$64:$V$135,$BR38,$W$64:$W$135,BV$29)+SUMIFS($AI$64:$AI$135,$W$64:$W$135,$BR38,$V$64:$V$135,BV$29)</f>
        <v>0</v>
      </c>
      <c r="BW38" s="9">
        <f ca="1">SUMIFS($AH$64:$AH$135,$V$64:$V$135,$BR38,$W$64:$W$135,BW$29)+SUMIFS($AI$64:$AI$135,$W$64:$W$135,$BR38,$V$64:$V$135,BW$29)</f>
        <v>0</v>
      </c>
      <c r="BX38" s="9">
        <f ca="1">SUMIFS($AH$64:$AH$135,$V$64:$V$135,$BR38,$W$64:$W$135,BX$29)+SUMIFS($AI$64:$AI$135,$W$64:$W$135,$BR38,$V$64:$V$135,BX$29)</f>
        <v>0</v>
      </c>
      <c r="BY38" s="9">
        <f ca="1">SUMIFS($AH$64:$AH$135,$V$64:$V$135,$BR38,$W$64:$W$135,BY$29)+SUMIFS($AI$64:$AI$135,$W$64:$W$135,$BR38,$V$64:$V$135,BY$29)</f>
        <v>0</v>
      </c>
      <c r="BZ38" s="9">
        <f ca="1">SUMIFS($AH$64:$AH$135,$V$64:$V$135,$BR38,$W$64:$W$135,BZ$29)+SUMIFS($AI$64:$AI$135,$W$64:$W$135,$BR38,$V$64:$V$135,BZ$29)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102</v>
      </c>
      <c r="BS40" s="2" t="str">
        <f ca="1">$F$4</f>
        <v>Eintracht Frankfurt</v>
      </c>
      <c r="BT40" s="2" t="str">
        <f ca="1">$F$5</f>
        <v>Mainz 05</v>
      </c>
      <c r="BU40" s="2" t="str">
        <f ca="1">$F$6</f>
        <v>Maibach 1822 eV</v>
      </c>
      <c r="BV40" s="2" t="str">
        <f ca="1">$F$7</f>
        <v>Manchester City</v>
      </c>
      <c r="BW40" s="2" t="str">
        <f>$F$8</f>
        <v/>
      </c>
      <c r="BX40" s="2" t="str">
        <f>$F$9</f>
        <v/>
      </c>
      <c r="BY40" s="2" t="str">
        <f>$F$10</f>
        <v/>
      </c>
      <c r="BZ40" s="2" t="str">
        <f>$F$11</f>
        <v/>
      </c>
      <c r="CA40" s="2" t="str">
        <f>$F$12</f>
        <v/>
      </c>
      <c r="CB40" s="4"/>
    </row>
    <row r="41" spans="2:80" s="2" customFormat="1" x14ac:dyDescent="0.2">
      <c r="B41" s="596"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7">F4</f>
        <v>Eintracht Frankfurt</v>
      </c>
      <c r="BS41" s="7"/>
      <c r="BT41" s="8">
        <f ca="1">BT30-BS31</f>
        <v>17</v>
      </c>
      <c r="BU41" s="8">
        <f ca="1">BU30-BS32</f>
        <v>-19</v>
      </c>
      <c r="BV41" s="8">
        <f ca="1">BV30-BS33</f>
        <v>-15</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7"/>
        <v>Mainz 05</v>
      </c>
      <c r="BS42" s="9">
        <f ca="1">IF(BT41="","",-1*BT41)</f>
        <v>-17</v>
      </c>
      <c r="BT42" s="7"/>
      <c r="BU42" s="8">
        <f ca="1">BU31-BT32</f>
        <v>11</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7"/>
        <v>Maibach 1822 eV</v>
      </c>
      <c r="BS43" s="9">
        <f ca="1">IF(BU41="","",-1*BU41)</f>
        <v>19</v>
      </c>
      <c r="BT43" s="9">
        <f ca="1">IF(BU42="","",-1*BU42)</f>
        <v>-11</v>
      </c>
      <c r="BU43" s="7"/>
      <c r="BV43" s="8">
        <f ca="1">BV32-BU33</f>
        <v>4</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37"/>
        <v>Manchester City</v>
      </c>
      <c r="BS44" s="9">
        <f ca="1">IF(BV41="","",-1*BV41)</f>
        <v>15</v>
      </c>
      <c r="BT44" s="9">
        <f ca="1">IF(BV42="","",-1*BV42)</f>
        <v>0</v>
      </c>
      <c r="BU44" s="9">
        <f ca="1">IF(BV43="","",-1*BV43)</f>
        <v>-4</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7"/>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7"/>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7"/>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7"/>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7"/>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38">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95</v>
      </c>
      <c r="BS51" s="2" t="str">
        <f ca="1">$F$4</f>
        <v>Eintracht Frankfurt</v>
      </c>
      <c r="BT51" s="2" t="str">
        <f ca="1">$F$5</f>
        <v>Mainz 05</v>
      </c>
      <c r="BU51" s="2" t="str">
        <f ca="1">$F$6</f>
        <v>Maibach 1822 eV</v>
      </c>
      <c r="BV51" s="2" t="str">
        <f ca="1">$F$7</f>
        <v>Manchester City</v>
      </c>
      <c r="BW51" s="2" t="str">
        <f>$F$8</f>
        <v/>
      </c>
      <c r="BX51" s="2" t="str">
        <f>$F$9</f>
        <v/>
      </c>
      <c r="BY51" s="2" t="str">
        <f>$F$10</f>
        <v/>
      </c>
      <c r="BZ51" s="2" t="str">
        <f>$F$11</f>
        <v/>
      </c>
      <c r="CA51" s="2" t="str">
        <f>$F$12</f>
        <v/>
      </c>
      <c r="CB51" s="4"/>
    </row>
    <row r="52" spans="2:80" s="2" customFormat="1" x14ac:dyDescent="0.2">
      <c r="B52" s="596" t="s">
        <v>101</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39">F4</f>
        <v>Eintracht Frankfurt</v>
      </c>
      <c r="BS52" s="7"/>
      <c r="BT52" s="8">
        <f t="shared" ref="BT52:CA54" ca="1" si="40">SUMIFS($AJ$64:$AJ$135,$V$64:$V$135,$BR52,$W$64:$W$135,BT$51)+SUMIFS($AK$64:$AK$135,$W$64:$W$135,$BR52,$V$64:$V$135,BT$51)</f>
        <v>2</v>
      </c>
      <c r="BU52" s="8">
        <f t="shared" ca="1" si="40"/>
        <v>0</v>
      </c>
      <c r="BV52" s="8">
        <f t="shared" ca="1" si="40"/>
        <v>0</v>
      </c>
      <c r="BW52" s="8">
        <f t="shared" ca="1" si="40"/>
        <v>0</v>
      </c>
      <c r="BX52" s="8">
        <f t="shared" ca="1" si="40"/>
        <v>0</v>
      </c>
      <c r="BY52" s="8">
        <f t="shared" ca="1" si="40"/>
        <v>0</v>
      </c>
      <c r="BZ52" s="8">
        <f t="shared" ca="1" si="40"/>
        <v>0</v>
      </c>
      <c r="CA52" s="8">
        <f t="shared" ca="1" si="40"/>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39"/>
        <v>Mainz 05</v>
      </c>
      <c r="BS53" s="9">
        <f t="shared" ref="BS53:BU60" ca="1" si="41">SUMIFS($AJ$64:$AJ$135,$V$64:$V$135,$BR53,$W$64:$W$135,BS$51)+SUMIFS($AK$64:$AK$135,$W$64:$W$135,$BR53,$V$64:$V$135,BS$51)</f>
        <v>0</v>
      </c>
      <c r="BT53" s="7"/>
      <c r="BU53" s="8">
        <f t="shared" ca="1" si="40"/>
        <v>2</v>
      </c>
      <c r="BV53" s="8">
        <f t="shared" ca="1" si="40"/>
        <v>1</v>
      </c>
      <c r="BW53" s="8">
        <f t="shared" ca="1" si="40"/>
        <v>0</v>
      </c>
      <c r="BX53" s="8">
        <f t="shared" ca="1" si="40"/>
        <v>0</v>
      </c>
      <c r="BY53" s="8">
        <f t="shared" ca="1" si="40"/>
        <v>0</v>
      </c>
      <c r="BZ53" s="8">
        <f t="shared" ca="1" si="40"/>
        <v>0</v>
      </c>
      <c r="CA53" s="8">
        <f t="shared" ca="1" si="40"/>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39"/>
        <v>Maibach 1822 eV</v>
      </c>
      <c r="BS54" s="9">
        <f t="shared" ca="1" si="41"/>
        <v>2</v>
      </c>
      <c r="BT54" s="9">
        <f t="shared" ca="1" si="41"/>
        <v>0</v>
      </c>
      <c r="BU54" s="7"/>
      <c r="BV54" s="8">
        <f t="shared" ca="1" si="40"/>
        <v>1</v>
      </c>
      <c r="BW54" s="8">
        <f t="shared" ca="1" si="40"/>
        <v>0</v>
      </c>
      <c r="BX54" s="8">
        <f t="shared" ca="1" si="40"/>
        <v>0</v>
      </c>
      <c r="BY54" s="8">
        <f t="shared" ca="1" si="40"/>
        <v>0</v>
      </c>
      <c r="BZ54" s="8">
        <f t="shared" ca="1" si="40"/>
        <v>0</v>
      </c>
      <c r="CA54" s="8">
        <f t="shared" ca="1" si="40"/>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39"/>
        <v>Manchester City</v>
      </c>
      <c r="BS55" s="9">
        <f t="shared" ca="1" si="41"/>
        <v>2</v>
      </c>
      <c r="BT55" s="9">
        <f t="shared" ca="1" si="41"/>
        <v>1</v>
      </c>
      <c r="BU55" s="9">
        <f t="shared" ca="1" si="41"/>
        <v>1</v>
      </c>
      <c r="BV55" s="7"/>
      <c r="BW55" s="8">
        <f ca="1">SUMIFS($AJ$64:$AJ$135,$V$64:$V$135,$BR55,$W$64:$W$135,BW$51)+SUMIFS($AK$64:$AK$135,$W$64:$W$135,$BR55,$V$64:$V$135,BW$51)</f>
        <v>0</v>
      </c>
      <c r="BX55" s="8">
        <f ca="1">SUMIFS($AJ$64:$AJ$135,$V$64:$V$135,$BR55,$W$64:$W$135,BX$51)+SUMIFS($AK$64:$AK$135,$W$64:$W$135,$BR55,$V$64:$V$135,BX$51)</f>
        <v>0</v>
      </c>
      <c r="BY55" s="8">
        <f ca="1">SUMIFS($AJ$64:$AJ$135,$V$64:$V$135,$BR55,$W$64:$W$135,BY$51)+SUMIFS($AK$64:$AK$135,$W$64:$W$135,$BR55,$V$64:$V$135,BY$51)</f>
        <v>0</v>
      </c>
      <c r="BZ55" s="8">
        <f ca="1">SUMIFS($AJ$64:$AJ$135,$V$64:$V$135,$BR55,$W$64:$W$135,BZ$51)+SUMIFS($AK$64:$AK$135,$W$64:$W$135,$BR55,$V$64:$V$135,BZ$51)</f>
        <v>0</v>
      </c>
      <c r="CA55" s="8">
        <f ca="1">SUMIFS($AJ$64:$AJ$135,$V$64:$V$135,$BR55,$W$64:$W$135,CA$51)+SUMIFS($AK$64:$AK$135,$W$64:$W$135,$BR55,$V$64:$V$135,CA$51)</f>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39"/>
        <v/>
      </c>
      <c r="BS56" s="9">
        <f t="shared" ca="1" si="41"/>
        <v>0</v>
      </c>
      <c r="BT56" s="9">
        <f t="shared" ca="1" si="41"/>
        <v>0</v>
      </c>
      <c r="BU56" s="9">
        <f t="shared" ca="1" si="41"/>
        <v>0</v>
      </c>
      <c r="BV56" s="9">
        <f ca="1">SUMIFS($AJ$64:$AJ$135,$V$64:$V$135,$BR56,$W$64:$W$135,BV$51)+SUMIFS($AK$64:$AK$135,$W$64:$W$135,$BR56,$V$64:$V$135,BV$51)</f>
        <v>0</v>
      </c>
      <c r="BW56" s="7"/>
      <c r="BX56" s="8">
        <f ca="1">SUMIFS($AJ$64:$AJ$135,$V$64:$V$135,$BR56,$W$64:$W$135,BX$51)+SUMIFS($AK$64:$AK$135,$W$64:$W$135,$BR56,$V$64:$V$135,BX$51)</f>
        <v>0</v>
      </c>
      <c r="BY56" s="8">
        <f ca="1">SUMIFS($AJ$64:$AJ$135,$V$64:$V$135,$BR56,$W$64:$W$135,BY$51)+SUMIFS($AK$64:$AK$135,$W$64:$W$135,$BR56,$V$64:$V$135,BY$51)</f>
        <v>0</v>
      </c>
      <c r="BZ56" s="8">
        <f ca="1">SUMIFS($AJ$64:$AJ$135,$V$64:$V$135,$BR56,$W$64:$W$135,BZ$51)+SUMIFS($AK$64:$AK$135,$W$64:$W$135,$BR56,$V$64:$V$135,BZ$51)</f>
        <v>0</v>
      </c>
      <c r="CA56" s="8">
        <f ca="1">SUMIFS($AJ$64:$AJ$135,$V$64:$V$135,$BR56,$W$64:$W$135,CA$51)+SUMIFS($AK$64:$AK$135,$W$64:$W$135,$BR56,$V$64:$V$135,CA$51)</f>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39"/>
        <v/>
      </c>
      <c r="BS57" s="9">
        <f t="shared" ca="1" si="41"/>
        <v>0</v>
      </c>
      <c r="BT57" s="9">
        <f t="shared" ca="1" si="41"/>
        <v>0</v>
      </c>
      <c r="BU57" s="9">
        <f t="shared" ca="1" si="41"/>
        <v>0</v>
      </c>
      <c r="BV57" s="9">
        <f ca="1">SUMIFS($AJ$64:$AJ$135,$V$64:$V$135,$BR57,$W$64:$W$135,BV$51)+SUMIFS($AK$64:$AK$135,$W$64:$W$135,$BR57,$V$64:$V$135,BV$51)</f>
        <v>0</v>
      </c>
      <c r="BW57" s="9">
        <f ca="1">SUMIFS($AJ$64:$AJ$135,$V$64:$V$135,$BR57,$W$64:$W$135,BW$51)+SUMIFS($AK$64:$AK$135,$W$64:$W$135,$BR57,$V$64:$V$135,BW$51)</f>
        <v>0</v>
      </c>
      <c r="BX57" s="7"/>
      <c r="BY57" s="8">
        <f ca="1">SUMIFS($AJ$64:$AJ$135,$V$64:$V$135,$BR57,$W$64:$W$135,BY$51)+SUMIFS($AK$64:$AK$135,$W$64:$W$135,$BR57,$V$64:$V$135,BY$51)</f>
        <v>0</v>
      </c>
      <c r="BZ57" s="8">
        <f ca="1">SUMIFS($AJ$64:$AJ$135,$V$64:$V$135,$BR57,$W$64:$W$135,BZ$51)+SUMIFS($AK$64:$AK$135,$W$64:$W$135,$BR57,$V$64:$V$135,BZ$51)</f>
        <v>0</v>
      </c>
      <c r="CA57" s="8">
        <f ca="1">SUMIFS($AJ$64:$AJ$135,$V$64:$V$135,$BR57,$W$64:$W$135,CA$51)+SUMIFS($AK$64:$AK$135,$W$64:$W$135,$BR57,$V$64:$V$135,CA$51)</f>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39"/>
        <v/>
      </c>
      <c r="BS58" s="9">
        <f t="shared" ca="1" si="41"/>
        <v>0</v>
      </c>
      <c r="BT58" s="9">
        <f t="shared" ca="1" si="41"/>
        <v>0</v>
      </c>
      <c r="BU58" s="9">
        <f t="shared" ca="1" si="41"/>
        <v>0</v>
      </c>
      <c r="BV58" s="9">
        <f ca="1">SUMIFS($AJ$64:$AJ$135,$V$64:$V$135,$BR58,$W$64:$W$135,BV$51)+SUMIFS($AK$64:$AK$135,$W$64:$W$135,$BR58,$V$64:$V$135,BV$51)</f>
        <v>0</v>
      </c>
      <c r="BW58" s="9">
        <f ca="1">SUMIFS($AJ$64:$AJ$135,$V$64:$V$135,$BR58,$W$64:$W$135,BW$51)+SUMIFS($AK$64:$AK$135,$W$64:$W$135,$BR58,$V$64:$V$135,BW$51)</f>
        <v>0</v>
      </c>
      <c r="BX58" s="9">
        <f ca="1">SUMIFS($AJ$64:$AJ$135,$V$64:$V$135,$BR58,$W$64:$W$135,BX$51)+SUMIFS($AK$64:$AK$135,$W$64:$W$135,$BR58,$V$64:$V$135,BX$51)</f>
        <v>0</v>
      </c>
      <c r="BY58" s="7"/>
      <c r="BZ58" s="8">
        <f ca="1">SUMIFS($AJ$64:$AJ$135,$V$64:$V$135,$BR58,$W$64:$W$135,BZ$51)+SUMIFS($AK$64:$AK$135,$W$64:$W$135,$BR58,$V$64:$V$135,BZ$51)</f>
        <v>0</v>
      </c>
      <c r="CA58" s="8">
        <f ca="1">SUMIFS($AJ$64:$AJ$135,$V$64:$V$135,$BR58,$W$64:$W$135,CA$51)+SUMIFS($AK$64:$AK$135,$W$64:$W$135,$BR58,$V$64:$V$135,CA$51)</f>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39"/>
        <v/>
      </c>
      <c r="BS59" s="9">
        <f t="shared" ca="1" si="41"/>
        <v>0</v>
      </c>
      <c r="BT59" s="9">
        <f t="shared" ca="1" si="41"/>
        <v>0</v>
      </c>
      <c r="BU59" s="9">
        <f t="shared" ca="1" si="41"/>
        <v>0</v>
      </c>
      <c r="BV59" s="9">
        <f ca="1">SUMIFS($AJ$64:$AJ$135,$V$64:$V$135,$BR59,$W$64:$W$135,BV$51)+SUMIFS($AK$64:$AK$135,$W$64:$W$135,$BR59,$V$64:$V$135,BV$51)</f>
        <v>0</v>
      </c>
      <c r="BW59" s="9">
        <f ca="1">SUMIFS($AJ$64:$AJ$135,$V$64:$V$135,$BR59,$W$64:$W$135,BW$51)+SUMIFS($AK$64:$AK$135,$W$64:$W$135,$BR59,$V$64:$V$135,BW$51)</f>
        <v>0</v>
      </c>
      <c r="BX59" s="9">
        <f ca="1">SUMIFS($AJ$64:$AJ$135,$V$64:$V$135,$BR59,$W$64:$W$135,BX$51)+SUMIFS($AK$64:$AK$135,$W$64:$W$135,$BR59,$V$64:$V$135,BX$51)</f>
        <v>0</v>
      </c>
      <c r="BY59" s="9">
        <f ca="1">SUMIFS($AJ$64:$AJ$135,$V$64:$V$135,$BR59,$W$64:$W$135,BY$51)+SUMIFS($AK$64:$AK$135,$W$64:$W$135,$BR59,$V$64:$V$135,BY$51)</f>
        <v>0</v>
      </c>
      <c r="BZ59" s="7"/>
      <c r="CA59" s="8">
        <f ca="1">SUMIFS($AJ$64:$AJ$135,$V$64:$V$135,$BR59,$W$64:$W$135,CA$51)+SUMIFS($AK$64:$AK$135,$W$64:$W$135,$BR59,$V$64:$V$135,CA$51)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39"/>
        <v/>
      </c>
      <c r="BS60" s="9">
        <f t="shared" ca="1" si="41"/>
        <v>0</v>
      </c>
      <c r="BT60" s="9">
        <f t="shared" ca="1" si="41"/>
        <v>0</v>
      </c>
      <c r="BU60" s="9">
        <f t="shared" ca="1" si="41"/>
        <v>0</v>
      </c>
      <c r="BV60" s="9">
        <f ca="1">SUMIFS($AJ$64:$AJ$135,$V$64:$V$135,$BR60,$W$64:$W$135,BV$51)+SUMIFS($AK$64:$AK$135,$W$64:$W$135,$BR60,$V$64:$V$135,BV$51)</f>
        <v>0</v>
      </c>
      <c r="BW60" s="9">
        <f ca="1">SUMIFS($AJ$64:$AJ$135,$V$64:$V$135,$BR60,$W$64:$W$135,BW$51)+SUMIFS($AK$64:$AK$135,$W$64:$W$135,$BR60,$V$64:$V$135,BW$51)</f>
        <v>0</v>
      </c>
      <c r="BX60" s="9">
        <f ca="1">SUMIFS($AJ$64:$AJ$135,$V$64:$V$135,$BR60,$W$64:$W$135,BX$51)+SUMIFS($AK$64:$AK$135,$W$64:$W$135,$BR60,$V$64:$V$135,BX$51)</f>
        <v>0</v>
      </c>
      <c r="BY60" s="9">
        <f ca="1">SUMIFS($AJ$64:$AJ$135,$V$64:$V$135,$BR60,$W$64:$W$135,BY$51)+SUMIFS($AK$64:$AK$135,$W$64:$W$135,$BR60,$V$64:$V$135,BY$51)</f>
        <v>0</v>
      </c>
      <c r="BZ60" s="9">
        <f ca="1">SUMIFS($AJ$64:$AJ$135,$V$64:$V$135,$BR60,$W$64:$W$135,BZ$51)+SUMIFS($AK$64:$AK$135,$W$64:$W$135,$BR60,$V$64:$V$135,BZ$51)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73" t="s">
        <v>167</v>
      </c>
      <c r="X63" s="979" t="s">
        <v>374</v>
      </c>
      <c r="Y63" s="979"/>
      <c r="Z63" s="68" t="s">
        <v>153</v>
      </c>
      <c r="AA63" s="68" t="s">
        <v>16</v>
      </c>
      <c r="AB63" s="68" t="s">
        <v>372</v>
      </c>
      <c r="AC63" s="592" t="s">
        <v>370</v>
      </c>
      <c r="AD63" s="980" t="s">
        <v>376</v>
      </c>
      <c r="AE63" s="980"/>
      <c r="AF63" s="980" t="s">
        <v>378</v>
      </c>
      <c r="AG63" s="980"/>
      <c r="AH63" s="978" t="s">
        <v>372</v>
      </c>
      <c r="AI63" s="978"/>
      <c r="AJ63" s="978" t="s">
        <v>370</v>
      </c>
      <c r="AK63" s="978"/>
      <c r="AL63" s="978" t="s">
        <v>380</v>
      </c>
      <c r="AM63" s="978"/>
      <c r="AN63" s="4"/>
      <c r="AO63" s="4"/>
      <c r="AP63" s="4"/>
      <c r="AQ63" s="4"/>
      <c r="AR63" s="4"/>
    </row>
    <row r="64" spans="2:80" s="2" customFormat="1" ht="14.25" thickTop="1" thickBot="1" x14ac:dyDescent="0.25">
      <c r="F64" s="685">
        <v>1000000</v>
      </c>
      <c r="G64" s="686" t="s">
        <v>441</v>
      </c>
      <c r="H64" s="687"/>
      <c r="I64" s="687"/>
      <c r="P64" s="44" t="s">
        <v>7</v>
      </c>
      <c r="Q64" s="59" t="str">
        <f ca="1">IF('Endrunde 4'!$AS12="","",'Endrunde 4'!$AS12)</f>
        <v>Eintracht Frankfurt</v>
      </c>
      <c r="U64" s="64" t="s">
        <v>7</v>
      </c>
      <c r="V64" s="39" t="str">
        <f ca="1">'Endrunde 4'!$I12</f>
        <v/>
      </c>
      <c r="W64" s="32" t="str">
        <f ca="1">'Endrunde 4'!$K12</f>
        <v/>
      </c>
      <c r="X64" s="32" t="str">
        <f ca="1">IF(AND($AA64=1,'Endrunde 4'!$L12&lt;&gt;"",'Endrunde 4'!$N12&lt;&gt;"",ABS('Endrunde 4'!$L12-'Endrunde 4'!$N12)&gt;1),'Endrunde 4'!$L12,"")</f>
        <v/>
      </c>
      <c r="Y64" s="33" t="str">
        <f ca="1">IF(AND($AA64=1,'Endrunde 4'!$L12&lt;&gt;"",'Endrunde 4'!$N12&lt;&gt;"",ABS('Endrunde 4'!$L12-'Endrunde 4'!$N12)&gt;1),'Endrunde 4'!$N12,"")</f>
        <v/>
      </c>
      <c r="Z64" s="31" t="str">
        <f ca="1">V64&amp;W64</f>
        <v/>
      </c>
      <c r="AA64" s="32">
        <f ca="1">IF(AND(V64&lt;&gt;"",W64&lt;&gt;"",V64&lt;&gt;W64,'Endrunde 4'!$U12&lt;&gt;"",'Endrunde 4'!$W12&lt;&gt;""),1,0)</f>
        <v>0</v>
      </c>
      <c r="AB64" s="138" t="str">
        <f ca="1">IF(AA64&gt;0,AH64&amp;Sprache!$E$108&amp;AI64,"")</f>
        <v/>
      </c>
      <c r="AC64" s="35" t="str">
        <f ca="1">IF(AA64&gt;0,AJ64&amp;Sprache!$E$108&amp;AK64,"")</f>
        <v/>
      </c>
      <c r="AD64" s="39" t="str">
        <f ca="1">IF(AND($AA64=1,'Endrunde 4'!$O12&lt;&gt;"",'Endrunde 4'!$Q12&lt;&gt;"",ABS('Endrunde 4'!$O12-'Endrunde 4'!$Q12)&gt;1),'Endrunde 4'!$O12,"")</f>
        <v/>
      </c>
      <c r="AE64" s="33" t="str">
        <f ca="1">IF(AND($AA64=1,'Endrunde 4'!$O12&lt;&gt;"",'Endrunde 4'!$Q12&lt;&gt;"",ABS('Endrunde 4'!$O12-'Endrunde 4'!$Q12)&gt;1),'Endrunde 4'!$Q12,"")</f>
        <v/>
      </c>
      <c r="AF64" s="39" t="str">
        <f ca="1">IF(AND($AA64=1,'Endrunde 4'!$R12&lt;&gt;"",'Endrunde 4'!$T12&lt;&gt;"",ABS('Endrunde 4'!$R12-'Endrunde 4'!$T12)&gt;1),'Endrunde 4'!$R12,"")</f>
        <v/>
      </c>
      <c r="AG64" s="33" t="str">
        <f ca="1">IF(AND($AA64=1,'Endrunde 4'!$R12&lt;&gt;"",'Endrunde 4'!$T12&lt;&gt;"",ABS('Endrunde 4'!$R12-'Endrunde 4'!$T12)&gt;1),'Endrunde 4'!$T12,"")</f>
        <v/>
      </c>
      <c r="AH64" s="39" t="str">
        <f ca="1">IF(AA64&gt;0,SUM(X64,AD64,AF64),"")</f>
        <v/>
      </c>
      <c r="AI64" s="33" t="str">
        <f ca="1">IF(AA64&gt;0,SUM(Y64,AE64,AG64),"")</f>
        <v/>
      </c>
      <c r="AJ64" s="39">
        <f ca="1">IF('Endrunde 4'!$U12="",0,'Endrunde 4'!$U12)</f>
        <v>0</v>
      </c>
      <c r="AK64" s="33">
        <f ca="1">IF('Endrunde 4'!$W12="",0,'Endrunde 4'!$W12)</f>
        <v>0</v>
      </c>
      <c r="AL64" s="32" t="str">
        <f ca="1">IF($AA64=0,"",IF($AJ64&gt;$AK64,Einstellungen!$C$4,IF($AJ64=$AK64,1,0)))</f>
        <v/>
      </c>
      <c r="AM64" s="33" t="str">
        <f ca="1">IF($AA64=0,"",IF($AJ64&lt;$AK64,Einstellungen!$C$4,IF($AJ64=$AK64,1,0)))</f>
        <v/>
      </c>
      <c r="AN64" s="4"/>
      <c r="AO64" s="4"/>
      <c r="AP64" s="4"/>
      <c r="AQ64" s="4"/>
      <c r="AR64" s="4"/>
    </row>
    <row r="65" spans="2:43" s="2" customFormat="1" ht="13.5" thickBot="1" x14ac:dyDescent="0.25">
      <c r="F65" s="688">
        <v>1000</v>
      </c>
      <c r="G65" s="689" t="s">
        <v>442</v>
      </c>
      <c r="H65" s="690">
        <v>500</v>
      </c>
      <c r="I65" s="691" t="s">
        <v>443</v>
      </c>
      <c r="P65" s="45" t="s">
        <v>8</v>
      </c>
      <c r="Q65" s="60" t="str">
        <f ca="1">IF('Endrunde 4'!$AS13="","",'Endrunde 4'!$AS13)</f>
        <v>Mainz 05</v>
      </c>
      <c r="U65" s="65" t="s">
        <v>8</v>
      </c>
      <c r="V65" s="40" t="str">
        <f ca="1">'Endrunde 4'!$I13</f>
        <v/>
      </c>
      <c r="W65" s="13" t="str">
        <f ca="1">'Endrunde 4'!$K13</f>
        <v/>
      </c>
      <c r="X65" s="13" t="str">
        <f ca="1">IF(AND($AA65=1,'Endrunde 4'!$L13&lt;&gt;"",'Endrunde 4'!$N13&lt;&gt;"",ABS('Endrunde 4'!$L13-'Endrunde 4'!$N13)&gt;1),'Endrunde 4'!$L13,"")</f>
        <v/>
      </c>
      <c r="Y65" s="35" t="str">
        <f ca="1">IF(AND($AA65=1,'Endrunde 4'!$L13&lt;&gt;"",'Endrunde 4'!$N13&lt;&gt;"",ABS('Endrunde 4'!$L13-'Endrunde 4'!$N13)&gt;1),'Endrunde 4'!$N13,"")</f>
        <v/>
      </c>
      <c r="Z65" s="34" t="str">
        <f t="shared" ref="Z65:Z88" ca="1" si="42">V65&amp;W65</f>
        <v/>
      </c>
      <c r="AA65" s="13">
        <f ca="1">IF(AND(V65&lt;&gt;"",W65&lt;&gt;"",V65&lt;&gt;W65,'Endrunde 4'!$U13&lt;&gt;"",'Endrunde 4'!$W13&lt;&gt;""),1,0)</f>
        <v>0</v>
      </c>
      <c r="AB65" s="13" t="str">
        <f ca="1">IF(AA65&gt;0,AH65&amp;Sprache!$E$108&amp;AI65,"")</f>
        <v/>
      </c>
      <c r="AC65" s="35" t="str">
        <f ca="1">IF(AA65&gt;0,AJ65&amp;Sprache!$E$108&amp;AK65,"")</f>
        <v/>
      </c>
      <c r="AD65" s="40" t="str">
        <f ca="1">IF(AND($AA65=1,'Endrunde 4'!$O13&lt;&gt;"",'Endrunde 4'!$Q13&lt;&gt;"",ABS('Endrunde 4'!$O13-'Endrunde 4'!$Q13)&gt;1),'Endrunde 4'!$O13,"")</f>
        <v/>
      </c>
      <c r="AE65" s="35" t="str">
        <f ca="1">IF(AND($AA65=1,'Endrunde 4'!$O13&lt;&gt;"",'Endrunde 4'!$Q13&lt;&gt;"",ABS('Endrunde 4'!$O13-'Endrunde 4'!$Q13)&gt;1),'Endrunde 4'!$Q13,"")</f>
        <v/>
      </c>
      <c r="AF65" s="40" t="str">
        <f ca="1">IF(AND($AA65=1,'Endrunde 4'!$R13&lt;&gt;"",'Endrunde 4'!$T13&lt;&gt;"",ABS('Endrunde 4'!$R13-'Endrunde 4'!$T13)&gt;1),'Endrunde 4'!$R13,"")</f>
        <v/>
      </c>
      <c r="AG65" s="35" t="str">
        <f ca="1">IF(AND($AA65=1,'Endrunde 4'!$R13&lt;&gt;"",'Endrunde 4'!$T13&lt;&gt;"",ABS('Endrunde 4'!$R13-'Endrunde 4'!$T13)&gt;1),'Endrunde 4'!$T13,"")</f>
        <v/>
      </c>
      <c r="AH65" s="40" t="str">
        <f t="shared" ref="AH65:AH88" ca="1" si="43">IF(AA65&gt;0,SUM(X65,AD65,AF65),"")</f>
        <v/>
      </c>
      <c r="AI65" s="35" t="str">
        <f t="shared" ref="AI65:AI88" ca="1" si="44">IF(AA65&gt;0,SUM(Y65,AE65,AG65),"")</f>
        <v/>
      </c>
      <c r="AJ65" s="40">
        <f ca="1">IF('Endrunde 4'!$U13="",0,'Endrunde 4'!$U13)</f>
        <v>0</v>
      </c>
      <c r="AK65" s="35">
        <f ca="1">IF('Endrunde 4'!$W13="",0,'Endrunde 4'!$W13)</f>
        <v>0</v>
      </c>
      <c r="AL65" s="13" t="str">
        <f ca="1">IF($AA65=0,"",IF($AJ65&gt;$AK65,Einstellungen!$C$4,IF($AJ65=$AK65,1,0)))</f>
        <v/>
      </c>
      <c r="AM65" s="35" t="str">
        <f ca="1">IF($AA65=0,"",IF($AJ65&lt;$AK65,Einstellungen!$C$4,IF($AJ65=$AK65,1,0)))</f>
        <v/>
      </c>
      <c r="AN65" s="13"/>
      <c r="AO65" s="13"/>
      <c r="AP65" s="13"/>
      <c r="AQ65" s="13"/>
    </row>
    <row r="66" spans="2:43" s="2" customFormat="1" ht="12.75" x14ac:dyDescent="0.2">
      <c r="F66" s="688">
        <v>1</v>
      </c>
      <c r="G66" s="689" t="s">
        <v>444</v>
      </c>
      <c r="H66" s="687"/>
      <c r="I66" s="687"/>
      <c r="P66" s="45" t="s">
        <v>9</v>
      </c>
      <c r="Q66" s="60" t="str">
        <f ca="1">IF('Endrunde 4'!$AS14="","",'Endrunde 4'!$AS14)</f>
        <v>Maibach 1822 eV</v>
      </c>
      <c r="U66" s="65" t="s">
        <v>9</v>
      </c>
      <c r="V66" s="40" t="str">
        <f ca="1">'Endrunde 4'!$I14</f>
        <v>FC Barcelona</v>
      </c>
      <c r="W66" s="13" t="str">
        <f ca="1">'Endrunde 4'!$K14</f>
        <v/>
      </c>
      <c r="X66" s="13" t="str">
        <f ca="1">IF(AND($AA66=1,'Endrunde 4'!$L14&lt;&gt;"",'Endrunde 4'!$N14&lt;&gt;"",ABS('Endrunde 4'!$L14-'Endrunde 4'!$N14)&gt;1),'Endrunde 4'!$L14,"")</f>
        <v/>
      </c>
      <c r="Y66" s="35" t="str">
        <f ca="1">IF(AND($AA66=1,'Endrunde 4'!$L14&lt;&gt;"",'Endrunde 4'!$N14&lt;&gt;"",ABS('Endrunde 4'!$L14-'Endrunde 4'!$N14)&gt;1),'Endrunde 4'!$N14,"")</f>
        <v/>
      </c>
      <c r="Z66" s="34" t="str">
        <f t="shared" ca="1" si="42"/>
        <v>FC Barcelona</v>
      </c>
      <c r="AA66" s="13">
        <f ca="1">IF(AND(V66&lt;&gt;"",W66&lt;&gt;"",V66&lt;&gt;W66,'Endrunde 4'!$U14&lt;&gt;"",'Endrunde 4'!$W14&lt;&gt;""),1,0)</f>
        <v>0</v>
      </c>
      <c r="AB66" s="13" t="str">
        <f ca="1">IF(AA66&gt;0,AH66&amp;Sprache!$E$108&amp;AI66,"")</f>
        <v/>
      </c>
      <c r="AC66" s="35" t="str">
        <f ca="1">IF(AA66&gt;0,AJ66&amp;Sprache!$E$108&amp;AK66,"")</f>
        <v/>
      </c>
      <c r="AD66" s="40" t="str">
        <f ca="1">IF(AND($AA66=1,'Endrunde 4'!$O14&lt;&gt;"",'Endrunde 4'!$Q14&lt;&gt;"",ABS('Endrunde 4'!$O14-'Endrunde 4'!$Q14)&gt;1),'Endrunde 4'!$O14,"")</f>
        <v/>
      </c>
      <c r="AE66" s="35" t="str">
        <f ca="1">IF(AND($AA66=1,'Endrunde 4'!$O14&lt;&gt;"",'Endrunde 4'!$Q14&lt;&gt;"",ABS('Endrunde 4'!$O14-'Endrunde 4'!$Q14)&gt;1),'Endrunde 4'!$Q14,"")</f>
        <v/>
      </c>
      <c r="AF66" s="40" t="str">
        <f ca="1">IF(AND($AA66=1,'Endrunde 4'!$R14&lt;&gt;"",'Endrunde 4'!$T14&lt;&gt;"",ABS('Endrunde 4'!$R14-'Endrunde 4'!$T14)&gt;1),'Endrunde 4'!$R14,"")</f>
        <v/>
      </c>
      <c r="AG66" s="35" t="str">
        <f ca="1">IF(AND($AA66=1,'Endrunde 4'!$R14&lt;&gt;"",'Endrunde 4'!$T14&lt;&gt;"",ABS('Endrunde 4'!$R14-'Endrunde 4'!$T14)&gt;1),'Endrunde 4'!$T14,"")</f>
        <v/>
      </c>
      <c r="AH66" s="40" t="str">
        <f t="shared" ca="1" si="43"/>
        <v/>
      </c>
      <c r="AI66" s="35" t="str">
        <f t="shared" ca="1" si="44"/>
        <v/>
      </c>
      <c r="AJ66" s="40">
        <f ca="1">IF('Endrunde 4'!$U14="",0,'Endrunde 4'!$U14)</f>
        <v>0</v>
      </c>
      <c r="AK66" s="35">
        <f ca="1">IF('Endrunde 4'!$W14="",0,'Endrunde 4'!$W14)</f>
        <v>0</v>
      </c>
      <c r="AL66" s="13" t="str">
        <f ca="1">IF($AA66=0,"",IF($AJ66&gt;$AK66,Einstellungen!$C$4,IF($AJ66=$AK66,1,0)))</f>
        <v/>
      </c>
      <c r="AM66" s="35" t="str">
        <f ca="1">IF($AA66=0,"",IF($AJ66&lt;$AK66,Einstellungen!$C$4,IF($AJ66=$AK66,1,0)))</f>
        <v/>
      </c>
      <c r="AN66" s="13"/>
      <c r="AO66" s="13"/>
      <c r="AP66" s="13"/>
      <c r="AQ66" s="13"/>
    </row>
    <row r="67" spans="2:43" s="2" customFormat="1" ht="12.75" thickBot="1" x14ac:dyDescent="0.25">
      <c r="F67" s="692">
        <v>1E-3</v>
      </c>
      <c r="G67" s="693" t="s">
        <v>445</v>
      </c>
      <c r="H67" s="687"/>
      <c r="I67" s="687"/>
      <c r="P67" s="45" t="s">
        <v>10</v>
      </c>
      <c r="Q67" s="60" t="str">
        <f ca="1">IF('Endrunde 4'!$AS15="","",'Endrunde 4'!$AS15)</f>
        <v>Manchester City</v>
      </c>
      <c r="U67" s="65" t="s">
        <v>10</v>
      </c>
      <c r="V67" s="40" t="str">
        <f ca="1">'Endrunde 4'!$I15</f>
        <v>VFB Essenheim</v>
      </c>
      <c r="W67" s="13" t="str">
        <f ca="1">'Endrunde 4'!$K15</f>
        <v>SSV Wildbach</v>
      </c>
      <c r="X67" s="13">
        <f ca="1">IF(AND($AA67=1,'Endrunde 4'!$L15&lt;&gt;"",'Endrunde 4'!$N15&lt;&gt;"",ABS('Endrunde 4'!$L15-'Endrunde 4'!$N15)&gt;1),'Endrunde 4'!$L15,"")</f>
        <v>25</v>
      </c>
      <c r="Y67" s="35">
        <f ca="1">IF(AND($AA67=1,'Endrunde 4'!$L15&lt;&gt;"",'Endrunde 4'!$N15&lt;&gt;"",ABS('Endrunde 4'!$L15-'Endrunde 4'!$N15)&gt;1),'Endrunde 4'!$N15,"")</f>
        <v>20</v>
      </c>
      <c r="Z67" s="34" t="str">
        <f t="shared" ca="1" si="42"/>
        <v>VFB EssenheimSSV Wildbach</v>
      </c>
      <c r="AA67" s="13">
        <f ca="1">IF(AND(V67&lt;&gt;"",W67&lt;&gt;"",V67&lt;&gt;W67,'Endrunde 4'!$U15&lt;&gt;"",'Endrunde 4'!$W15&lt;&gt;""),1,0)</f>
        <v>1</v>
      </c>
      <c r="AB67" s="13" t="str">
        <f ca="1">IF(AA67&gt;0,AH67&amp;Sprache!$E$108&amp;AI67,"")</f>
        <v>50 : 37</v>
      </c>
      <c r="AC67" s="35" t="str">
        <f ca="1">IF(AA67&gt;0,AJ67&amp;Sprache!$E$108&amp;AK67,"")</f>
        <v>2 : 0</v>
      </c>
      <c r="AD67" s="40">
        <f ca="1">IF(AND($AA67=1,'Endrunde 4'!$O15&lt;&gt;"",'Endrunde 4'!$Q15&lt;&gt;"",ABS('Endrunde 4'!$O15-'Endrunde 4'!$Q15)&gt;1),'Endrunde 4'!$O15,"")</f>
        <v>25</v>
      </c>
      <c r="AE67" s="35">
        <f ca="1">IF(AND($AA67=1,'Endrunde 4'!$O15&lt;&gt;"",'Endrunde 4'!$Q15&lt;&gt;"",ABS('Endrunde 4'!$O15-'Endrunde 4'!$Q15)&gt;1),'Endrunde 4'!$Q15,"")</f>
        <v>17</v>
      </c>
      <c r="AF67" s="40" t="str">
        <f ca="1">IF(AND($AA67=1,'Endrunde 4'!$R15&lt;&gt;"",'Endrunde 4'!$T15&lt;&gt;"",ABS('Endrunde 4'!$R15-'Endrunde 4'!$T15)&gt;1),'Endrunde 4'!$R15,"")</f>
        <v/>
      </c>
      <c r="AG67" s="35" t="str">
        <f ca="1">IF(AND($AA67=1,'Endrunde 4'!$R15&lt;&gt;"",'Endrunde 4'!$T15&lt;&gt;"",ABS('Endrunde 4'!$R15-'Endrunde 4'!$T15)&gt;1),'Endrunde 4'!$T15,"")</f>
        <v/>
      </c>
      <c r="AH67" s="40">
        <f t="shared" ca="1" si="43"/>
        <v>50</v>
      </c>
      <c r="AI67" s="35">
        <f t="shared" ca="1" si="44"/>
        <v>37</v>
      </c>
      <c r="AJ67" s="40">
        <f ca="1">IF('Endrunde 4'!$U15="",0,'Endrunde 4'!$U15)</f>
        <v>2</v>
      </c>
      <c r="AK67" s="35">
        <f ca="1">IF('Endrunde 4'!$W15="",0,'Endrunde 4'!$W15)</f>
        <v>0</v>
      </c>
      <c r="AL67" s="13">
        <f ca="1">IF($AA67=0,"",IF($AJ67&gt;$AK67,Einstellungen!$C$4,IF($AJ67=$AK67,1,0)))</f>
        <v>2</v>
      </c>
      <c r="AM67" s="35">
        <f ca="1">IF($AA67=0,"",IF($AJ67&lt;$AK67,Einstellungen!$C$4,IF($AJ67=$AK67,1,0)))</f>
        <v>0</v>
      </c>
      <c r="AN67" s="13"/>
      <c r="AO67" s="13"/>
      <c r="AP67" s="13"/>
      <c r="AQ67" s="13"/>
    </row>
    <row r="68" spans="2:43" s="2" customFormat="1" x14ac:dyDescent="0.2">
      <c r="P68" s="45" t="s">
        <v>11</v>
      </c>
      <c r="Q68" s="60" t="str">
        <f>""</f>
        <v/>
      </c>
      <c r="U68" s="65" t="s">
        <v>11</v>
      </c>
      <c r="V68" s="40" t="str">
        <f ca="1">'Endrunde 4'!$I16</f>
        <v>Eintracht Frankfurt</v>
      </c>
      <c r="W68" s="13" t="str">
        <f ca="1">'Endrunde 4'!$K16</f>
        <v>Manchester City</v>
      </c>
      <c r="X68" s="13">
        <f ca="1">IF(AND($AA68=1,'Endrunde 4'!$L16&lt;&gt;"",'Endrunde 4'!$N16&lt;&gt;"",ABS('Endrunde 4'!$L16-'Endrunde 4'!$N16)&gt;1),'Endrunde 4'!$L16,"")</f>
        <v>19</v>
      </c>
      <c r="Y68" s="35">
        <f ca="1">IF(AND($AA68=1,'Endrunde 4'!$L16&lt;&gt;"",'Endrunde 4'!$N16&lt;&gt;"",ABS('Endrunde 4'!$L16-'Endrunde 4'!$N16)&gt;1),'Endrunde 4'!$N16,"")</f>
        <v>25</v>
      </c>
      <c r="Z68" s="34" t="str">
        <f t="shared" ca="1" si="42"/>
        <v>Eintracht FrankfurtManchester City</v>
      </c>
      <c r="AA68" s="13">
        <f ca="1">IF(AND(V68&lt;&gt;"",W68&lt;&gt;"",V68&lt;&gt;W68,'Endrunde 4'!$U16&lt;&gt;"",'Endrunde 4'!$W16&lt;&gt;""),1,0)</f>
        <v>1</v>
      </c>
      <c r="AB68" s="13" t="str">
        <f ca="1">IF(AA68&gt;0,AH68&amp;Sprache!$E$108&amp;AI68,"")</f>
        <v>35 : 50</v>
      </c>
      <c r="AC68" s="35" t="str">
        <f ca="1">IF(AA68&gt;0,AJ68&amp;Sprache!$E$108&amp;AK68,"")</f>
        <v>0 : 2</v>
      </c>
      <c r="AD68" s="40">
        <f ca="1">IF(AND($AA68=1,'Endrunde 4'!$O16&lt;&gt;"",'Endrunde 4'!$Q16&lt;&gt;"",ABS('Endrunde 4'!$O16-'Endrunde 4'!$Q16)&gt;1),'Endrunde 4'!$O16,"")</f>
        <v>16</v>
      </c>
      <c r="AE68" s="35">
        <f ca="1">IF(AND($AA68=1,'Endrunde 4'!$O16&lt;&gt;"",'Endrunde 4'!$Q16&lt;&gt;"",ABS('Endrunde 4'!$O16-'Endrunde 4'!$Q16)&gt;1),'Endrunde 4'!$Q16,"")</f>
        <v>25</v>
      </c>
      <c r="AF68" s="40" t="str">
        <f ca="1">IF(AND($AA68=1,'Endrunde 4'!$R16&lt;&gt;"",'Endrunde 4'!$T16&lt;&gt;"",ABS('Endrunde 4'!$R16-'Endrunde 4'!$T16)&gt;1),'Endrunde 4'!$R16,"")</f>
        <v/>
      </c>
      <c r="AG68" s="35" t="str">
        <f ca="1">IF(AND($AA68=1,'Endrunde 4'!$R16&lt;&gt;"",'Endrunde 4'!$T16&lt;&gt;"",ABS('Endrunde 4'!$R16-'Endrunde 4'!$T16)&gt;1),'Endrunde 4'!$T16,"")</f>
        <v/>
      </c>
      <c r="AH68" s="40">
        <f t="shared" ca="1" si="43"/>
        <v>35</v>
      </c>
      <c r="AI68" s="35">
        <f t="shared" ca="1" si="44"/>
        <v>50</v>
      </c>
      <c r="AJ68" s="40">
        <f ca="1">IF('Endrunde 4'!$U16="",0,'Endrunde 4'!$U16)</f>
        <v>0</v>
      </c>
      <c r="AK68" s="35">
        <f ca="1">IF('Endrunde 4'!$W16="",0,'Endrunde 4'!$W16)</f>
        <v>2</v>
      </c>
      <c r="AL68" s="13">
        <f ca="1">IF($AA68=0,"",IF($AJ68&gt;$AK68,Einstellungen!$C$4,IF($AJ68=$AK68,1,0)))</f>
        <v>0</v>
      </c>
      <c r="AM68" s="35">
        <f ca="1">IF($AA68=0,"",IF($AJ68&lt;$AK68,Einstellungen!$C$4,IF($AJ68=$AK68,1,0)))</f>
        <v>2</v>
      </c>
      <c r="AN68" s="13"/>
      <c r="AO68" s="13"/>
      <c r="AP68" s="13"/>
      <c r="AQ68" s="13"/>
    </row>
    <row r="69" spans="2:43" s="2" customFormat="1" x14ac:dyDescent="0.2">
      <c r="P69" s="45" t="s">
        <v>12</v>
      </c>
      <c r="Q69" s="60" t="str">
        <f>""</f>
        <v/>
      </c>
      <c r="U69" s="65" t="s">
        <v>12</v>
      </c>
      <c r="V69" s="40" t="str">
        <f ca="1">'Endrunde 4'!$I17</f>
        <v/>
      </c>
      <c r="W69" s="13" t="str">
        <f ca="1">'Endrunde 4'!$K17</f>
        <v/>
      </c>
      <c r="X69" s="13" t="str">
        <f ca="1">IF(AND($AA69=1,'Endrunde 4'!$L17&lt;&gt;"",'Endrunde 4'!$N17&lt;&gt;"",ABS('Endrunde 4'!$L17-'Endrunde 4'!$N17)&gt;1),'Endrunde 4'!$L17,"")</f>
        <v/>
      </c>
      <c r="Y69" s="35" t="str">
        <f ca="1">IF(AND($AA69=1,'Endrunde 4'!$L17&lt;&gt;"",'Endrunde 4'!$N17&lt;&gt;"",ABS('Endrunde 4'!$L17-'Endrunde 4'!$N17)&gt;1),'Endrunde 4'!$N17,"")</f>
        <v/>
      </c>
      <c r="Z69" s="34" t="str">
        <f t="shared" ca="1" si="42"/>
        <v/>
      </c>
      <c r="AA69" s="13">
        <f ca="1">IF(AND(V69&lt;&gt;"",W69&lt;&gt;"",V69&lt;&gt;W69,'Endrunde 4'!$U17&lt;&gt;"",'Endrunde 4'!$W17&lt;&gt;""),1,0)</f>
        <v>0</v>
      </c>
      <c r="AB69" s="13" t="str">
        <f ca="1">IF(AA69&gt;0,AH69&amp;Sprache!$E$108&amp;AI69,"")</f>
        <v/>
      </c>
      <c r="AC69" s="35" t="str">
        <f ca="1">IF(AA69&gt;0,AJ69&amp;Sprache!$E$108&amp;AK69,"")</f>
        <v/>
      </c>
      <c r="AD69" s="40" t="str">
        <f ca="1">IF(AND($AA69=1,'Endrunde 4'!$O17&lt;&gt;"",'Endrunde 4'!$Q17&lt;&gt;"",ABS('Endrunde 4'!$O17-'Endrunde 4'!$Q17)&gt;1),'Endrunde 4'!$O17,"")</f>
        <v/>
      </c>
      <c r="AE69" s="35" t="str">
        <f ca="1">IF(AND($AA69=1,'Endrunde 4'!$O17&lt;&gt;"",'Endrunde 4'!$Q17&lt;&gt;"",ABS('Endrunde 4'!$O17-'Endrunde 4'!$Q17)&gt;1),'Endrunde 4'!$Q17,"")</f>
        <v/>
      </c>
      <c r="AF69" s="40" t="str">
        <f ca="1">IF(AND($AA69=1,'Endrunde 4'!$R17&lt;&gt;"",'Endrunde 4'!$T17&lt;&gt;"",ABS('Endrunde 4'!$R17-'Endrunde 4'!$T17)&gt;1),'Endrunde 4'!$R17,"")</f>
        <v/>
      </c>
      <c r="AG69" s="35" t="str">
        <f ca="1">IF(AND($AA69=1,'Endrunde 4'!$R17&lt;&gt;"",'Endrunde 4'!$T17&lt;&gt;"",ABS('Endrunde 4'!$R17-'Endrunde 4'!$T17)&gt;1),'Endrunde 4'!$T17,"")</f>
        <v/>
      </c>
      <c r="AH69" s="40" t="str">
        <f t="shared" ca="1" si="43"/>
        <v/>
      </c>
      <c r="AI69" s="35" t="str">
        <f t="shared" ca="1" si="44"/>
        <v/>
      </c>
      <c r="AJ69" s="40">
        <f ca="1">IF('Endrunde 4'!$U17="",0,'Endrunde 4'!$U17)</f>
        <v>0</v>
      </c>
      <c r="AK69" s="35">
        <f ca="1">IF('Endrunde 4'!$W17="",0,'Endrunde 4'!$W17)</f>
        <v>0</v>
      </c>
      <c r="AL69" s="13" t="str">
        <f ca="1">IF($AA69=0,"",IF($AJ69&gt;$AK69,Einstellungen!$C$4,IF($AJ69=$AK69,1,0)))</f>
        <v/>
      </c>
      <c r="AM69" s="35" t="str">
        <f ca="1">IF($AA69=0,"",IF($AJ69&lt;$AK69,Einstellungen!$C$4,IF($AJ69=$AK69,1,0)))</f>
        <v/>
      </c>
      <c r="AN69" s="13"/>
      <c r="AO69" s="13"/>
      <c r="AP69" s="13"/>
      <c r="AQ69" s="13"/>
    </row>
    <row r="70" spans="2:43" s="2" customFormat="1" x14ac:dyDescent="0.2">
      <c r="P70" s="45" t="s">
        <v>17</v>
      </c>
      <c r="Q70" s="60" t="str">
        <f>""</f>
        <v/>
      </c>
      <c r="U70" s="65" t="s">
        <v>17</v>
      </c>
      <c r="V70" s="40" t="str">
        <f ca="1">'Endrunde 4'!$I18</f>
        <v>Inter Mailand</v>
      </c>
      <c r="W70" s="13" t="str">
        <f ca="1">'Endrunde 4'!$K18</f>
        <v/>
      </c>
      <c r="X70" s="13" t="str">
        <f ca="1">IF(AND($AA70=1,'Endrunde 4'!$L18&lt;&gt;"",'Endrunde 4'!$N18&lt;&gt;"",ABS('Endrunde 4'!$L18-'Endrunde 4'!$N18)&gt;1),'Endrunde 4'!$L18,"")</f>
        <v/>
      </c>
      <c r="Y70" s="35" t="str">
        <f ca="1">IF(AND($AA70=1,'Endrunde 4'!$L18&lt;&gt;"",'Endrunde 4'!$N18&lt;&gt;"",ABS('Endrunde 4'!$L18-'Endrunde 4'!$N18)&gt;1),'Endrunde 4'!$N18,"")</f>
        <v/>
      </c>
      <c r="Z70" s="34" t="str">
        <f t="shared" ca="1" si="42"/>
        <v>Inter Mailand</v>
      </c>
      <c r="AA70" s="13">
        <f ca="1">IF(AND(V70&lt;&gt;"",W70&lt;&gt;"",V70&lt;&gt;W70,'Endrunde 4'!$U18&lt;&gt;"",'Endrunde 4'!$W18&lt;&gt;""),1,0)</f>
        <v>0</v>
      </c>
      <c r="AB70" s="13" t="str">
        <f ca="1">IF(AA70&gt;0,AH70&amp;Sprache!$E$108&amp;AI70,"")</f>
        <v/>
      </c>
      <c r="AC70" s="35" t="str">
        <f ca="1">IF(AA70&gt;0,AJ70&amp;Sprache!$E$108&amp;AK70,"")</f>
        <v/>
      </c>
      <c r="AD70" s="40" t="str">
        <f ca="1">IF(AND($AA70=1,'Endrunde 4'!$O18&lt;&gt;"",'Endrunde 4'!$Q18&lt;&gt;"",ABS('Endrunde 4'!$O18-'Endrunde 4'!$Q18)&gt;1),'Endrunde 4'!$O18,"")</f>
        <v/>
      </c>
      <c r="AE70" s="35" t="str">
        <f ca="1">IF(AND($AA70=1,'Endrunde 4'!$O18&lt;&gt;"",'Endrunde 4'!$Q18&lt;&gt;"",ABS('Endrunde 4'!$O18-'Endrunde 4'!$Q18)&gt;1),'Endrunde 4'!$Q18,"")</f>
        <v/>
      </c>
      <c r="AF70" s="40" t="str">
        <f ca="1">IF(AND($AA70=1,'Endrunde 4'!$R18&lt;&gt;"",'Endrunde 4'!$T18&lt;&gt;"",ABS('Endrunde 4'!$R18-'Endrunde 4'!$T18)&gt;1),'Endrunde 4'!$R18,"")</f>
        <v/>
      </c>
      <c r="AG70" s="35" t="str">
        <f ca="1">IF(AND($AA70=1,'Endrunde 4'!$R18&lt;&gt;"",'Endrunde 4'!$T18&lt;&gt;"",ABS('Endrunde 4'!$R18-'Endrunde 4'!$T18)&gt;1),'Endrunde 4'!$T18,"")</f>
        <v/>
      </c>
      <c r="AH70" s="40" t="str">
        <f t="shared" ca="1" si="43"/>
        <v/>
      </c>
      <c r="AI70" s="35" t="str">
        <f t="shared" ca="1" si="44"/>
        <v/>
      </c>
      <c r="AJ70" s="40">
        <f ca="1">IF('Endrunde 4'!$U18="",0,'Endrunde 4'!$U18)</f>
        <v>0</v>
      </c>
      <c r="AK70" s="35">
        <f ca="1">IF('Endrunde 4'!$W18="",0,'Endrunde 4'!$W18)</f>
        <v>0</v>
      </c>
      <c r="AL70" s="13" t="str">
        <f ca="1">IF($AA70=0,"",IF($AJ70&gt;$AK70,Einstellungen!$C$4,IF($AJ70=$AK70,1,0)))</f>
        <v/>
      </c>
      <c r="AM70" s="35" t="str">
        <f ca="1">IF($AA70=0,"",IF($AJ70&lt;$AK70,Einstellungen!$C$4,IF($AJ70=$AK70,1,0)))</f>
        <v/>
      </c>
      <c r="AN70" s="4"/>
      <c r="AO70" s="13"/>
      <c r="AP70" s="13"/>
      <c r="AQ70" s="13"/>
    </row>
    <row r="71" spans="2:43" s="2" customFormat="1" x14ac:dyDescent="0.2">
      <c r="B71" s="4"/>
      <c r="C71" s="4"/>
      <c r="D71" s="4"/>
      <c r="E71" s="4"/>
      <c r="F71" s="4"/>
      <c r="G71" s="4"/>
      <c r="H71" s="4"/>
      <c r="I71" s="4"/>
      <c r="J71" s="4"/>
      <c r="K71" s="4"/>
      <c r="L71" s="4"/>
      <c r="M71" s="4"/>
      <c r="P71" s="45" t="s">
        <v>18</v>
      </c>
      <c r="Q71" s="60" t="str">
        <f>""</f>
        <v/>
      </c>
      <c r="U71" s="65" t="s">
        <v>18</v>
      </c>
      <c r="V71" s="40" t="str">
        <f ca="1">'Endrunde 4'!$I19</f>
        <v>FC Grönlingen</v>
      </c>
      <c r="W71" s="13" t="str">
        <f ca="1">'Endrunde 4'!$K19</f>
        <v>1. FC Riedwald</v>
      </c>
      <c r="X71" s="13">
        <f ca="1">IF(AND($AA71=1,'Endrunde 4'!$L19&lt;&gt;"",'Endrunde 4'!$N19&lt;&gt;"",ABS('Endrunde 4'!$L19-'Endrunde 4'!$N19)&gt;1),'Endrunde 4'!$L19,"")</f>
        <v>25</v>
      </c>
      <c r="Y71" s="35">
        <f ca="1">IF(AND($AA71=1,'Endrunde 4'!$L19&lt;&gt;"",'Endrunde 4'!$N19&lt;&gt;"",ABS('Endrunde 4'!$L19-'Endrunde 4'!$N19)&gt;1),'Endrunde 4'!$N19,"")</f>
        <v>23</v>
      </c>
      <c r="Z71" s="34" t="str">
        <f t="shared" ca="1" si="42"/>
        <v>FC Grönlingen1. FC Riedwald</v>
      </c>
      <c r="AA71" s="13">
        <f ca="1">IF(AND(V71&lt;&gt;"",W71&lt;&gt;"",V71&lt;&gt;W71,'Endrunde 4'!$U19&lt;&gt;"",'Endrunde 4'!$W19&lt;&gt;""),1,0)</f>
        <v>1</v>
      </c>
      <c r="AB71" s="13" t="str">
        <f ca="1">IF(AA71&gt;0,AH71&amp;Sprache!$E$108&amp;AI71,"")</f>
        <v>50 : 44</v>
      </c>
      <c r="AC71" s="35" t="str">
        <f ca="1">IF(AA71&gt;0,AJ71&amp;Sprache!$E$108&amp;AK71,"")</f>
        <v>2 : 0</v>
      </c>
      <c r="AD71" s="40">
        <f ca="1">IF(AND($AA71=1,'Endrunde 4'!$O19&lt;&gt;"",'Endrunde 4'!$Q19&lt;&gt;"",ABS('Endrunde 4'!$O19-'Endrunde 4'!$Q19)&gt;1),'Endrunde 4'!$O19,"")</f>
        <v>25</v>
      </c>
      <c r="AE71" s="35">
        <f ca="1">IF(AND($AA71=1,'Endrunde 4'!$O19&lt;&gt;"",'Endrunde 4'!$Q19&lt;&gt;"",ABS('Endrunde 4'!$O19-'Endrunde 4'!$Q19)&gt;1),'Endrunde 4'!$Q19,"")</f>
        <v>21</v>
      </c>
      <c r="AF71" s="40" t="str">
        <f ca="1">IF(AND($AA71=1,'Endrunde 4'!$R19&lt;&gt;"",'Endrunde 4'!$T19&lt;&gt;"",ABS('Endrunde 4'!$R19-'Endrunde 4'!$T19)&gt;1),'Endrunde 4'!$R19,"")</f>
        <v/>
      </c>
      <c r="AG71" s="35" t="str">
        <f ca="1">IF(AND($AA71=1,'Endrunde 4'!$R19&lt;&gt;"",'Endrunde 4'!$T19&lt;&gt;"",ABS('Endrunde 4'!$R19-'Endrunde 4'!$T19)&gt;1),'Endrunde 4'!$T19,"")</f>
        <v/>
      </c>
      <c r="AH71" s="40">
        <f t="shared" ca="1" si="43"/>
        <v>50</v>
      </c>
      <c r="AI71" s="35">
        <f t="shared" ca="1" si="44"/>
        <v>44</v>
      </c>
      <c r="AJ71" s="40">
        <f ca="1">IF('Endrunde 4'!$U19="",0,'Endrunde 4'!$U19)</f>
        <v>2</v>
      </c>
      <c r="AK71" s="35">
        <f ca="1">IF('Endrunde 4'!$W19="",0,'Endrunde 4'!$W19)</f>
        <v>0</v>
      </c>
      <c r="AL71" s="13">
        <f ca="1">IF($AA71=0,"",IF($AJ71&gt;$AK71,Einstellungen!$C$4,IF($AJ71=$AK71,1,0)))</f>
        <v>2</v>
      </c>
      <c r="AM71" s="35">
        <f ca="1">IF($AA71=0,"",IF($AJ71&lt;$AK71,Einstellungen!$C$4,IF($AJ71=$AK71,1,0)))</f>
        <v>0</v>
      </c>
      <c r="AN71" s="13"/>
      <c r="AO71" s="4"/>
      <c r="AP71" s="13"/>
      <c r="AQ71" s="13"/>
    </row>
    <row r="72" spans="2:43" s="2" customFormat="1" ht="12.75" thickBot="1" x14ac:dyDescent="0.25">
      <c r="B72" s="4"/>
      <c r="C72" s="4"/>
      <c r="D72" s="4"/>
      <c r="E72" s="4"/>
      <c r="F72" s="13"/>
      <c r="G72" s="13"/>
      <c r="H72" s="13"/>
      <c r="I72" s="13"/>
      <c r="J72" s="13"/>
      <c r="K72" s="13"/>
      <c r="L72" s="13"/>
      <c r="M72" s="13"/>
      <c r="P72" s="46" t="s">
        <v>19</v>
      </c>
      <c r="Q72" s="61" t="str">
        <f>""</f>
        <v/>
      </c>
      <c r="U72" s="65" t="s">
        <v>19</v>
      </c>
      <c r="V72" s="40" t="str">
        <f ca="1">'Endrunde 4'!$I20</f>
        <v>Mainz 05</v>
      </c>
      <c r="W72" s="13" t="str">
        <f ca="1">'Endrunde 4'!$K20</f>
        <v>Maibach 1822 eV</v>
      </c>
      <c r="X72" s="13">
        <f ca="1">IF(AND($AA72=1,'Endrunde 4'!$L20&lt;&gt;"",'Endrunde 4'!$N20&lt;&gt;"",ABS('Endrunde 4'!$L20-'Endrunde 4'!$N20)&gt;1),'Endrunde 4'!$L20,"")</f>
        <v>25</v>
      </c>
      <c r="Y72" s="35">
        <f ca="1">IF(AND($AA72=1,'Endrunde 4'!$L20&lt;&gt;"",'Endrunde 4'!$N20&lt;&gt;"",ABS('Endrunde 4'!$L20-'Endrunde 4'!$N20)&gt;1),'Endrunde 4'!$N20,"")</f>
        <v>17</v>
      </c>
      <c r="Z72" s="34" t="str">
        <f t="shared" ca="1" si="42"/>
        <v>Mainz 05Maibach 1822 eV</v>
      </c>
      <c r="AA72" s="13">
        <f ca="1">IF(AND(V72&lt;&gt;"",W72&lt;&gt;"",V72&lt;&gt;W72,'Endrunde 4'!$U20&lt;&gt;"",'Endrunde 4'!$W20&lt;&gt;""),1,0)</f>
        <v>1</v>
      </c>
      <c r="AB72" s="13" t="str">
        <f ca="1">IF(AA72&gt;0,AH72&amp;Sprache!$E$108&amp;AI72,"")</f>
        <v>50 : 39</v>
      </c>
      <c r="AC72" s="35" t="str">
        <f ca="1">IF(AA72&gt;0,AJ72&amp;Sprache!$E$108&amp;AK72,"")</f>
        <v>2 : 0</v>
      </c>
      <c r="AD72" s="40">
        <f ca="1">IF(AND($AA72=1,'Endrunde 4'!$O20&lt;&gt;"",'Endrunde 4'!$Q20&lt;&gt;"",ABS('Endrunde 4'!$O20-'Endrunde 4'!$Q20)&gt;1),'Endrunde 4'!$O20,"")</f>
        <v>25</v>
      </c>
      <c r="AE72" s="35">
        <f ca="1">IF(AND($AA72=1,'Endrunde 4'!$O20&lt;&gt;"",'Endrunde 4'!$Q20&lt;&gt;"",ABS('Endrunde 4'!$O20-'Endrunde 4'!$Q20)&gt;1),'Endrunde 4'!$Q20,"")</f>
        <v>22</v>
      </c>
      <c r="AF72" s="40" t="str">
        <f ca="1">IF(AND($AA72=1,'Endrunde 4'!$R20&lt;&gt;"",'Endrunde 4'!$T20&lt;&gt;"",ABS('Endrunde 4'!$R20-'Endrunde 4'!$T20)&gt;1),'Endrunde 4'!$R20,"")</f>
        <v/>
      </c>
      <c r="AG72" s="35" t="str">
        <f ca="1">IF(AND($AA72=1,'Endrunde 4'!$R20&lt;&gt;"",'Endrunde 4'!$T20&lt;&gt;"",ABS('Endrunde 4'!$R20-'Endrunde 4'!$T20)&gt;1),'Endrunde 4'!$T20,"")</f>
        <v/>
      </c>
      <c r="AH72" s="40">
        <f t="shared" ca="1" si="43"/>
        <v>50</v>
      </c>
      <c r="AI72" s="35">
        <f t="shared" ca="1" si="44"/>
        <v>39</v>
      </c>
      <c r="AJ72" s="40">
        <f ca="1">IF('Endrunde 4'!$U20="",0,'Endrunde 4'!$U20)</f>
        <v>2</v>
      </c>
      <c r="AK72" s="35">
        <f ca="1">IF('Endrunde 4'!$W20="",0,'Endrunde 4'!$W20)</f>
        <v>0</v>
      </c>
      <c r="AL72" s="13">
        <f ca="1">IF($AA72=0,"",IF($AJ72&gt;$AK72,Einstellungen!$C$4,IF($AJ72=$AK72,1,0)))</f>
        <v>2</v>
      </c>
      <c r="AM72" s="35">
        <f ca="1">IF($AA72=0,"",IF($AJ72&lt;$AK72,Einstellungen!$C$4,IF($AJ72=$AK72,1,0)))</f>
        <v>0</v>
      </c>
      <c r="AN72" s="13"/>
      <c r="AO72" s="13"/>
      <c r="AP72" s="4"/>
      <c r="AQ72" s="13"/>
    </row>
    <row r="73" spans="2:43" s="2" customFormat="1" ht="12.75" thickTop="1" x14ac:dyDescent="0.2">
      <c r="B73" s="4"/>
      <c r="C73" s="4"/>
      <c r="D73" s="4"/>
      <c r="E73" s="4"/>
      <c r="F73" s="13"/>
      <c r="G73" s="13"/>
      <c r="H73" s="13"/>
      <c r="I73" s="13"/>
      <c r="J73" s="13"/>
      <c r="K73" s="13"/>
      <c r="L73" s="13"/>
      <c r="M73" s="13"/>
      <c r="U73" s="65" t="s">
        <v>25</v>
      </c>
      <c r="V73" s="40" t="str">
        <f ca="1">'Endrunde 4'!$I21</f>
        <v/>
      </c>
      <c r="W73" s="13" t="str">
        <f ca="1">'Endrunde 4'!$K21</f>
        <v/>
      </c>
      <c r="X73" s="13" t="str">
        <f ca="1">IF(AND($AA73=1,'Endrunde 4'!$L21&lt;&gt;"",'Endrunde 4'!$N21&lt;&gt;"",ABS('Endrunde 4'!$L21-'Endrunde 4'!$N21)&gt;1),'Endrunde 4'!$L21,"")</f>
        <v/>
      </c>
      <c r="Y73" s="35" t="str">
        <f ca="1">IF(AND($AA73=1,'Endrunde 4'!$L21&lt;&gt;"",'Endrunde 4'!$N21&lt;&gt;"",ABS('Endrunde 4'!$L21-'Endrunde 4'!$N21)&gt;1),'Endrunde 4'!$N21,"")</f>
        <v/>
      </c>
      <c r="Z73" s="34" t="str">
        <f t="shared" ca="1" si="42"/>
        <v/>
      </c>
      <c r="AA73" s="13">
        <f ca="1">IF(AND(V73&lt;&gt;"",W73&lt;&gt;"",V73&lt;&gt;W73,'Endrunde 4'!$U21&lt;&gt;"",'Endrunde 4'!$W21&lt;&gt;""),1,0)</f>
        <v>0</v>
      </c>
      <c r="AB73" s="13" t="str">
        <f ca="1">IF(AA73&gt;0,AH73&amp;Sprache!$E$108&amp;AI73,"")</f>
        <v/>
      </c>
      <c r="AC73" s="35" t="str">
        <f ca="1">IF(AA73&gt;0,AJ73&amp;Sprache!$E$108&amp;AK73,"")</f>
        <v/>
      </c>
      <c r="AD73" s="40" t="str">
        <f ca="1">IF(AND($AA73=1,'Endrunde 4'!$O21&lt;&gt;"",'Endrunde 4'!$Q21&lt;&gt;"",ABS('Endrunde 4'!$O21-'Endrunde 4'!$Q21)&gt;1),'Endrunde 4'!$O21,"")</f>
        <v/>
      </c>
      <c r="AE73" s="35" t="str">
        <f ca="1">IF(AND($AA73=1,'Endrunde 4'!$O21&lt;&gt;"",'Endrunde 4'!$Q21&lt;&gt;"",ABS('Endrunde 4'!$O21-'Endrunde 4'!$Q21)&gt;1),'Endrunde 4'!$Q21,"")</f>
        <v/>
      </c>
      <c r="AF73" s="40" t="str">
        <f ca="1">IF(AND($AA73=1,'Endrunde 4'!$R21&lt;&gt;"",'Endrunde 4'!$T21&lt;&gt;"",ABS('Endrunde 4'!$R21-'Endrunde 4'!$T21)&gt;1),'Endrunde 4'!$R21,"")</f>
        <v/>
      </c>
      <c r="AG73" s="35" t="str">
        <f ca="1">IF(AND($AA73=1,'Endrunde 4'!$R21&lt;&gt;"",'Endrunde 4'!$T21&lt;&gt;"",ABS('Endrunde 4'!$R21-'Endrunde 4'!$T21)&gt;1),'Endrunde 4'!$T21,"")</f>
        <v/>
      </c>
      <c r="AH73" s="40" t="str">
        <f t="shared" ca="1" si="43"/>
        <v/>
      </c>
      <c r="AI73" s="35" t="str">
        <f t="shared" ca="1" si="44"/>
        <v/>
      </c>
      <c r="AJ73" s="40">
        <f ca="1">IF('Endrunde 4'!$U21="",0,'Endrunde 4'!$U21)</f>
        <v>0</v>
      </c>
      <c r="AK73" s="35">
        <f ca="1">IF('Endrunde 4'!$W21="",0,'Endrunde 4'!$W21)</f>
        <v>0</v>
      </c>
      <c r="AL73" s="13" t="str">
        <f ca="1">IF($AA73=0,"",IF($AJ73&gt;$AK73,Einstellungen!$C$4,IF($AJ73=$AK73,1,0)))</f>
        <v/>
      </c>
      <c r="AM73" s="35" t="str">
        <f ca="1">IF($AA73=0,"",IF($AJ73&lt;$AK73,Einstellungen!$C$4,IF($AJ73=$AK73,1,0)))</f>
        <v/>
      </c>
      <c r="AN73" s="13"/>
      <c r="AO73" s="13"/>
      <c r="AP73" s="13"/>
      <c r="AQ73" s="4"/>
    </row>
    <row r="74" spans="2:43" s="2" customFormat="1" x14ac:dyDescent="0.2">
      <c r="B74" s="4"/>
      <c r="C74" s="4"/>
      <c r="D74" s="4"/>
      <c r="E74" s="4"/>
      <c r="F74" s="13"/>
      <c r="G74" s="13"/>
      <c r="H74" s="13"/>
      <c r="I74" s="13"/>
      <c r="J74" s="13"/>
      <c r="K74" s="13"/>
      <c r="L74" s="13"/>
      <c r="M74" s="13"/>
      <c r="U74" s="65" t="s">
        <v>26</v>
      </c>
      <c r="V74" s="40" t="str">
        <f ca="1">'Endrunde 4'!$I22</f>
        <v>FC Barcelona</v>
      </c>
      <c r="W74" s="13" t="str">
        <f ca="1">'Endrunde 4'!$K22</f>
        <v/>
      </c>
      <c r="X74" s="13" t="str">
        <f ca="1">IF(AND($AA74=1,'Endrunde 4'!$L22&lt;&gt;"",'Endrunde 4'!$N22&lt;&gt;"",ABS('Endrunde 4'!$L22-'Endrunde 4'!$N22)&gt;1),'Endrunde 4'!$L22,"")</f>
        <v/>
      </c>
      <c r="Y74" s="35" t="str">
        <f ca="1">IF(AND($AA74=1,'Endrunde 4'!$L22&lt;&gt;"",'Endrunde 4'!$N22&lt;&gt;"",ABS('Endrunde 4'!$L22-'Endrunde 4'!$N22)&gt;1),'Endrunde 4'!$N22,"")</f>
        <v/>
      </c>
      <c r="Z74" s="34" t="str">
        <f t="shared" ca="1" si="42"/>
        <v>FC Barcelona</v>
      </c>
      <c r="AA74" s="13">
        <f ca="1">IF(AND(V74&lt;&gt;"",W74&lt;&gt;"",V74&lt;&gt;W74,'Endrunde 4'!$U22&lt;&gt;"",'Endrunde 4'!$W22&lt;&gt;""),1,0)</f>
        <v>0</v>
      </c>
      <c r="AB74" s="13" t="str">
        <f ca="1">IF(AA74&gt;0,AH74&amp;Sprache!$E$108&amp;AI74,"")</f>
        <v/>
      </c>
      <c r="AC74" s="35" t="str">
        <f ca="1">IF(AA74&gt;0,AJ74&amp;Sprache!$E$108&amp;AK74,"")</f>
        <v/>
      </c>
      <c r="AD74" s="40" t="str">
        <f ca="1">IF(AND($AA74=1,'Endrunde 4'!$O22&lt;&gt;"",'Endrunde 4'!$Q22&lt;&gt;"",ABS('Endrunde 4'!$O22-'Endrunde 4'!$Q22)&gt;1),'Endrunde 4'!$O22,"")</f>
        <v/>
      </c>
      <c r="AE74" s="35" t="str">
        <f ca="1">IF(AND($AA74=1,'Endrunde 4'!$O22&lt;&gt;"",'Endrunde 4'!$Q22&lt;&gt;"",ABS('Endrunde 4'!$O22-'Endrunde 4'!$Q22)&gt;1),'Endrunde 4'!$Q22,"")</f>
        <v/>
      </c>
      <c r="AF74" s="40" t="str">
        <f ca="1">IF(AND($AA74=1,'Endrunde 4'!$R22&lt;&gt;"",'Endrunde 4'!$T22&lt;&gt;"",ABS('Endrunde 4'!$R22-'Endrunde 4'!$T22)&gt;1),'Endrunde 4'!$R22,"")</f>
        <v/>
      </c>
      <c r="AG74" s="35" t="str">
        <f ca="1">IF(AND($AA74=1,'Endrunde 4'!$R22&lt;&gt;"",'Endrunde 4'!$T22&lt;&gt;"",ABS('Endrunde 4'!$R22-'Endrunde 4'!$T22)&gt;1),'Endrunde 4'!$T22,"")</f>
        <v/>
      </c>
      <c r="AH74" s="40" t="str">
        <f t="shared" ca="1" si="43"/>
        <v/>
      </c>
      <c r="AI74" s="35" t="str">
        <f t="shared" ca="1" si="44"/>
        <v/>
      </c>
      <c r="AJ74" s="40">
        <f ca="1">IF('Endrunde 4'!$U22="",0,'Endrunde 4'!$U22)</f>
        <v>0</v>
      </c>
      <c r="AK74" s="35">
        <f ca="1">IF('Endrunde 4'!$W22="",0,'Endrunde 4'!$W22)</f>
        <v>0</v>
      </c>
      <c r="AL74" s="13" t="str">
        <f ca="1">IF($AA74=0,"",IF($AJ74&gt;$AK74,Einstellungen!$C$4,IF($AJ74=$AK74,1,0)))</f>
        <v/>
      </c>
      <c r="AM74" s="35" t="str">
        <f ca="1">IF($AA74=0,"",IF($AJ74&lt;$AK74,Einstellungen!$C$4,IF($AJ74=$AK74,1,0)))</f>
        <v/>
      </c>
    </row>
    <row r="75" spans="2:43" s="2" customFormat="1" x14ac:dyDescent="0.2">
      <c r="B75" s="4"/>
      <c r="C75" s="4"/>
      <c r="D75" s="4"/>
      <c r="E75" s="4"/>
      <c r="F75" s="13"/>
      <c r="G75" s="13"/>
      <c r="H75" s="13"/>
      <c r="I75" s="13"/>
      <c r="J75" s="13"/>
      <c r="K75" s="13"/>
      <c r="L75" s="13"/>
      <c r="M75" s="13"/>
      <c r="U75" s="65" t="s">
        <v>27</v>
      </c>
      <c r="V75" s="40" t="str">
        <f ca="1">'Endrunde 4'!$I23</f>
        <v>VFB Essenheim</v>
      </c>
      <c r="W75" s="13" t="str">
        <f ca="1">'Endrunde 4'!$K23</f>
        <v>1. FC Riedwald</v>
      </c>
      <c r="X75" s="13">
        <f ca="1">IF(AND($AA75=1,'Endrunde 4'!$L23&lt;&gt;"",'Endrunde 4'!$N23&lt;&gt;"",ABS('Endrunde 4'!$L23-'Endrunde 4'!$N23)&gt;1),'Endrunde 4'!$L23,"")</f>
        <v>19</v>
      </c>
      <c r="Y75" s="35">
        <f ca="1">IF(AND($AA75=1,'Endrunde 4'!$L23&lt;&gt;"",'Endrunde 4'!$N23&lt;&gt;"",ABS('Endrunde 4'!$L23-'Endrunde 4'!$N23)&gt;1),'Endrunde 4'!$N23,"")</f>
        <v>25</v>
      </c>
      <c r="Z75" s="34" t="str">
        <f t="shared" ca="1" si="42"/>
        <v>VFB Essenheim1. FC Riedwald</v>
      </c>
      <c r="AA75" s="13">
        <f ca="1">IF(AND(V75&lt;&gt;"",W75&lt;&gt;"",V75&lt;&gt;W75,'Endrunde 4'!$U23&lt;&gt;"",'Endrunde 4'!$W23&lt;&gt;""),1,0)</f>
        <v>1</v>
      </c>
      <c r="AB75" s="13" t="str">
        <f ca="1">IF(AA75&gt;0,AH75&amp;Sprache!$E$108&amp;AI75,"")</f>
        <v>44 : 37</v>
      </c>
      <c r="AC75" s="35" t="str">
        <f ca="1">IF(AA75&gt;0,AJ75&amp;Sprache!$E$108&amp;AK75,"")</f>
        <v>1 : 1</v>
      </c>
      <c r="AD75" s="40">
        <f ca="1">IF(AND($AA75=1,'Endrunde 4'!$O23&lt;&gt;"",'Endrunde 4'!$Q23&lt;&gt;"",ABS('Endrunde 4'!$O23-'Endrunde 4'!$Q23)&gt;1),'Endrunde 4'!$O23,"")</f>
        <v>25</v>
      </c>
      <c r="AE75" s="35">
        <f ca="1">IF(AND($AA75=1,'Endrunde 4'!$O23&lt;&gt;"",'Endrunde 4'!$Q23&lt;&gt;"",ABS('Endrunde 4'!$O23-'Endrunde 4'!$Q23)&gt;1),'Endrunde 4'!$Q23,"")</f>
        <v>12</v>
      </c>
      <c r="AF75" s="40" t="str">
        <f ca="1">IF(AND($AA75=1,'Endrunde 4'!$R23&lt;&gt;"",'Endrunde 4'!$T23&lt;&gt;"",ABS('Endrunde 4'!$R23-'Endrunde 4'!$T23)&gt;1),'Endrunde 4'!$R23,"")</f>
        <v/>
      </c>
      <c r="AG75" s="35" t="str">
        <f ca="1">IF(AND($AA75=1,'Endrunde 4'!$R23&lt;&gt;"",'Endrunde 4'!$T23&lt;&gt;"",ABS('Endrunde 4'!$R23-'Endrunde 4'!$T23)&gt;1),'Endrunde 4'!$T23,"")</f>
        <v/>
      </c>
      <c r="AH75" s="40">
        <f t="shared" ca="1" si="43"/>
        <v>44</v>
      </c>
      <c r="AI75" s="35">
        <f t="shared" ca="1" si="44"/>
        <v>37</v>
      </c>
      <c r="AJ75" s="40">
        <f ca="1">IF('Endrunde 4'!$U23="",0,'Endrunde 4'!$U23)</f>
        <v>1</v>
      </c>
      <c r="AK75" s="35">
        <f ca="1">IF('Endrunde 4'!$W23="",0,'Endrunde 4'!$W23)</f>
        <v>1</v>
      </c>
      <c r="AL75" s="13">
        <f ca="1">IF($AA75=0,"",IF($AJ75&gt;$AK75,Einstellungen!$C$4,IF($AJ75=$AK75,1,0)))</f>
        <v>1</v>
      </c>
      <c r="AM75" s="35">
        <f ca="1">IF($AA75=0,"",IF($AJ75&lt;$AK75,Einstellungen!$C$4,IF($AJ75=$AK75,1,0)))</f>
        <v>1</v>
      </c>
    </row>
    <row r="76" spans="2:43" s="2" customFormat="1" x14ac:dyDescent="0.2">
      <c r="B76" s="4"/>
      <c r="C76" s="4"/>
      <c r="D76" s="4"/>
      <c r="E76" s="4"/>
      <c r="F76" s="13"/>
      <c r="G76" s="13"/>
      <c r="H76" s="13"/>
      <c r="I76" s="13"/>
      <c r="J76" s="13"/>
      <c r="K76" s="13"/>
      <c r="L76" s="13"/>
      <c r="M76" s="13"/>
      <c r="U76" s="65" t="s">
        <v>28</v>
      </c>
      <c r="V76" s="40" t="str">
        <f ca="1">'Endrunde 4'!$I24</f>
        <v>Eintracht Frankfurt</v>
      </c>
      <c r="W76" s="13" t="str">
        <f ca="1">'Endrunde 4'!$K24</f>
        <v>Maibach 1822 eV</v>
      </c>
      <c r="X76" s="13">
        <f ca="1">IF(AND($AA76=1,'Endrunde 4'!$L24&lt;&gt;"",'Endrunde 4'!$N24&lt;&gt;"",ABS('Endrunde 4'!$L24-'Endrunde 4'!$N24)&gt;1),'Endrunde 4'!$L24,"")</f>
        <v>13</v>
      </c>
      <c r="Y76" s="35">
        <f ca="1">IF(AND($AA76=1,'Endrunde 4'!$L24&lt;&gt;"",'Endrunde 4'!$N24&lt;&gt;"",ABS('Endrunde 4'!$L24-'Endrunde 4'!$N24)&gt;1),'Endrunde 4'!$N24,"")</f>
        <v>25</v>
      </c>
      <c r="Z76" s="34" t="str">
        <f t="shared" ca="1" si="42"/>
        <v>Eintracht FrankfurtMaibach 1822 eV</v>
      </c>
      <c r="AA76" s="13">
        <f ca="1">IF(AND(V76&lt;&gt;"",W76&lt;&gt;"",V76&lt;&gt;W76,'Endrunde 4'!$U24&lt;&gt;"",'Endrunde 4'!$W24&lt;&gt;""),1,0)</f>
        <v>1</v>
      </c>
      <c r="AB76" s="13" t="str">
        <f ca="1">IF(AA76&gt;0,AH76&amp;Sprache!$E$108&amp;AI76,"")</f>
        <v>31 : 50</v>
      </c>
      <c r="AC76" s="35" t="str">
        <f ca="1">IF(AA76&gt;0,AJ76&amp;Sprache!$E$108&amp;AK76,"")</f>
        <v>0 : 2</v>
      </c>
      <c r="AD76" s="40">
        <f ca="1">IF(AND($AA76=1,'Endrunde 4'!$O24&lt;&gt;"",'Endrunde 4'!$Q24&lt;&gt;"",ABS('Endrunde 4'!$O24-'Endrunde 4'!$Q24)&gt;1),'Endrunde 4'!$O24,"")</f>
        <v>18</v>
      </c>
      <c r="AE76" s="35">
        <f ca="1">IF(AND($AA76=1,'Endrunde 4'!$O24&lt;&gt;"",'Endrunde 4'!$Q24&lt;&gt;"",ABS('Endrunde 4'!$O24-'Endrunde 4'!$Q24)&gt;1),'Endrunde 4'!$Q24,"")</f>
        <v>25</v>
      </c>
      <c r="AF76" s="40" t="str">
        <f ca="1">IF(AND($AA76=1,'Endrunde 4'!$R24&lt;&gt;"",'Endrunde 4'!$T24&lt;&gt;"",ABS('Endrunde 4'!$R24-'Endrunde 4'!$T24)&gt;1),'Endrunde 4'!$R24,"")</f>
        <v/>
      </c>
      <c r="AG76" s="35" t="str">
        <f ca="1">IF(AND($AA76=1,'Endrunde 4'!$R24&lt;&gt;"",'Endrunde 4'!$T24&lt;&gt;"",ABS('Endrunde 4'!$R24-'Endrunde 4'!$T24)&gt;1),'Endrunde 4'!$T24,"")</f>
        <v/>
      </c>
      <c r="AH76" s="40">
        <f t="shared" ca="1" si="43"/>
        <v>31</v>
      </c>
      <c r="AI76" s="35">
        <f t="shared" ca="1" si="44"/>
        <v>50</v>
      </c>
      <c r="AJ76" s="40">
        <f ca="1">IF('Endrunde 4'!$U24="",0,'Endrunde 4'!$U24)</f>
        <v>0</v>
      </c>
      <c r="AK76" s="35">
        <f ca="1">IF('Endrunde 4'!$W24="",0,'Endrunde 4'!$W24)</f>
        <v>2</v>
      </c>
      <c r="AL76" s="13">
        <f ca="1">IF($AA76=0,"",IF($AJ76&gt;$AK76,Einstellungen!$C$4,IF($AJ76=$AK76,1,0)))</f>
        <v>0</v>
      </c>
      <c r="AM76" s="35">
        <f ca="1">IF($AA76=0,"",IF($AJ76&lt;$AK76,Einstellungen!$C$4,IF($AJ76=$AK76,1,0)))</f>
        <v>2</v>
      </c>
    </row>
    <row r="77" spans="2:43" s="2" customFormat="1" x14ac:dyDescent="0.2">
      <c r="B77" s="4"/>
      <c r="C77" s="4"/>
      <c r="D77" s="4"/>
      <c r="E77" s="4"/>
      <c r="F77" s="13"/>
      <c r="G77" s="13"/>
      <c r="H77" s="13"/>
      <c r="I77" s="13"/>
      <c r="J77" s="13"/>
      <c r="K77" s="13"/>
      <c r="L77" s="13"/>
      <c r="M77" s="13"/>
      <c r="U77" s="65" t="s">
        <v>29</v>
      </c>
      <c r="V77" s="40" t="str">
        <f ca="1">'Endrunde 4'!$I25</f>
        <v/>
      </c>
      <c r="W77" s="13" t="str">
        <f ca="1">'Endrunde 4'!$K25</f>
        <v/>
      </c>
      <c r="X77" s="13" t="str">
        <f ca="1">IF(AND($AA77=1,'Endrunde 4'!$L25&lt;&gt;"",'Endrunde 4'!$N25&lt;&gt;"",ABS('Endrunde 4'!$L25-'Endrunde 4'!$N25)&gt;1),'Endrunde 4'!$L25,"")</f>
        <v/>
      </c>
      <c r="Y77" s="35" t="str">
        <f ca="1">IF(AND($AA77=1,'Endrunde 4'!$L25&lt;&gt;"",'Endrunde 4'!$N25&lt;&gt;"",ABS('Endrunde 4'!$L25-'Endrunde 4'!$N25)&gt;1),'Endrunde 4'!$N25,"")</f>
        <v/>
      </c>
      <c r="Z77" s="34" t="str">
        <f t="shared" ca="1" si="42"/>
        <v/>
      </c>
      <c r="AA77" s="13">
        <f ca="1">IF(AND(V77&lt;&gt;"",W77&lt;&gt;"",V77&lt;&gt;W77,'Endrunde 4'!$U25&lt;&gt;"",'Endrunde 4'!$W25&lt;&gt;""),1,0)</f>
        <v>0</v>
      </c>
      <c r="AB77" s="13" t="str">
        <f ca="1">IF(AA77&gt;0,AH77&amp;Sprache!$E$108&amp;AI77,"")</f>
        <v/>
      </c>
      <c r="AC77" s="35" t="str">
        <f ca="1">IF(AA77&gt;0,AJ77&amp;Sprache!$E$108&amp;AK77,"")</f>
        <v/>
      </c>
      <c r="AD77" s="40" t="str">
        <f ca="1">IF(AND($AA77=1,'Endrunde 4'!$O25&lt;&gt;"",'Endrunde 4'!$Q25&lt;&gt;"",ABS('Endrunde 4'!$O25-'Endrunde 4'!$Q25)&gt;1),'Endrunde 4'!$O25,"")</f>
        <v/>
      </c>
      <c r="AE77" s="35" t="str">
        <f ca="1">IF(AND($AA77=1,'Endrunde 4'!$O25&lt;&gt;"",'Endrunde 4'!$Q25&lt;&gt;"",ABS('Endrunde 4'!$O25-'Endrunde 4'!$Q25)&gt;1),'Endrunde 4'!$Q25,"")</f>
        <v/>
      </c>
      <c r="AF77" s="40" t="str">
        <f ca="1">IF(AND($AA77=1,'Endrunde 4'!$R25&lt;&gt;"",'Endrunde 4'!$T25&lt;&gt;"",ABS('Endrunde 4'!$R25-'Endrunde 4'!$T25)&gt;1),'Endrunde 4'!$R25,"")</f>
        <v/>
      </c>
      <c r="AG77" s="35" t="str">
        <f ca="1">IF(AND($AA77=1,'Endrunde 4'!$R25&lt;&gt;"",'Endrunde 4'!$T25&lt;&gt;"",ABS('Endrunde 4'!$R25-'Endrunde 4'!$T25)&gt;1),'Endrunde 4'!$T25,"")</f>
        <v/>
      </c>
      <c r="AH77" s="40" t="str">
        <f t="shared" ca="1" si="43"/>
        <v/>
      </c>
      <c r="AI77" s="35" t="str">
        <f t="shared" ca="1" si="44"/>
        <v/>
      </c>
      <c r="AJ77" s="40">
        <f ca="1">IF('Endrunde 4'!$U25="",0,'Endrunde 4'!$U25)</f>
        <v>0</v>
      </c>
      <c r="AK77" s="35">
        <f ca="1">IF('Endrunde 4'!$W25="",0,'Endrunde 4'!$W25)</f>
        <v>0</v>
      </c>
      <c r="AL77" s="13" t="str">
        <f ca="1">IF($AA77=0,"",IF($AJ77&gt;$AK77,Einstellungen!$C$4,IF($AJ77=$AK77,1,0)))</f>
        <v/>
      </c>
      <c r="AM77" s="35" t="str">
        <f ca="1">IF($AA77=0,"",IF($AJ77&lt;$AK77,Einstellungen!$C$4,IF($AJ77=$AK77,1,0)))</f>
        <v/>
      </c>
    </row>
    <row r="78" spans="2:43" s="2" customFormat="1" x14ac:dyDescent="0.2">
      <c r="B78" s="4"/>
      <c r="C78" s="4"/>
      <c r="D78" s="4"/>
      <c r="E78" s="4"/>
      <c r="F78" s="13"/>
      <c r="G78" s="13"/>
      <c r="H78" s="13"/>
      <c r="I78" s="13"/>
      <c r="J78" s="13"/>
      <c r="K78" s="13"/>
      <c r="L78" s="13"/>
      <c r="M78" s="13"/>
      <c r="U78" s="65" t="s">
        <v>30</v>
      </c>
      <c r="V78" s="40" t="str">
        <f ca="1">'Endrunde 4'!$I26</f>
        <v>Inter Mailand</v>
      </c>
      <c r="W78" s="13" t="str">
        <f ca="1">'Endrunde 4'!$K26</f>
        <v/>
      </c>
      <c r="X78" s="13" t="str">
        <f ca="1">IF(AND($AA78=1,'Endrunde 4'!$L26&lt;&gt;"",'Endrunde 4'!$N26&lt;&gt;"",ABS('Endrunde 4'!$L26-'Endrunde 4'!$N26)&gt;1),'Endrunde 4'!$L26,"")</f>
        <v/>
      </c>
      <c r="Y78" s="35" t="str">
        <f ca="1">IF(AND($AA78=1,'Endrunde 4'!$L26&lt;&gt;"",'Endrunde 4'!$N26&lt;&gt;"",ABS('Endrunde 4'!$L26-'Endrunde 4'!$N26)&gt;1),'Endrunde 4'!$N26,"")</f>
        <v/>
      </c>
      <c r="Z78" s="34" t="str">
        <f t="shared" ca="1" si="42"/>
        <v>Inter Mailand</v>
      </c>
      <c r="AA78" s="13">
        <f ca="1">IF(AND(V78&lt;&gt;"",W78&lt;&gt;"",V78&lt;&gt;W78,'Endrunde 4'!$U26&lt;&gt;"",'Endrunde 4'!$W26&lt;&gt;""),1,0)</f>
        <v>0</v>
      </c>
      <c r="AB78" s="13" t="str">
        <f ca="1">IF(AA78&gt;0,AH78&amp;Sprache!$E$108&amp;AI78,"")</f>
        <v/>
      </c>
      <c r="AC78" s="35" t="str">
        <f ca="1">IF(AA78&gt;0,AJ78&amp;Sprache!$E$108&amp;AK78,"")</f>
        <v/>
      </c>
      <c r="AD78" s="40" t="str">
        <f ca="1">IF(AND($AA78=1,'Endrunde 4'!$O26&lt;&gt;"",'Endrunde 4'!$Q26&lt;&gt;"",ABS('Endrunde 4'!$O26-'Endrunde 4'!$Q26)&gt;1),'Endrunde 4'!$O26,"")</f>
        <v/>
      </c>
      <c r="AE78" s="35" t="str">
        <f ca="1">IF(AND($AA78=1,'Endrunde 4'!$O26&lt;&gt;"",'Endrunde 4'!$Q26&lt;&gt;"",ABS('Endrunde 4'!$O26-'Endrunde 4'!$Q26)&gt;1),'Endrunde 4'!$Q26,"")</f>
        <v/>
      </c>
      <c r="AF78" s="40" t="str">
        <f ca="1">IF(AND($AA78=1,'Endrunde 4'!$R26&lt;&gt;"",'Endrunde 4'!$T26&lt;&gt;"",ABS('Endrunde 4'!$R26-'Endrunde 4'!$T26)&gt;1),'Endrunde 4'!$R26,"")</f>
        <v/>
      </c>
      <c r="AG78" s="35" t="str">
        <f ca="1">IF(AND($AA78=1,'Endrunde 4'!$R26&lt;&gt;"",'Endrunde 4'!$T26&lt;&gt;"",ABS('Endrunde 4'!$R26-'Endrunde 4'!$T26)&gt;1),'Endrunde 4'!$T26,"")</f>
        <v/>
      </c>
      <c r="AH78" s="40" t="str">
        <f t="shared" ca="1" si="43"/>
        <v/>
      </c>
      <c r="AI78" s="35" t="str">
        <f t="shared" ca="1" si="44"/>
        <v/>
      </c>
      <c r="AJ78" s="40">
        <f ca="1">IF('Endrunde 4'!$U26="",0,'Endrunde 4'!$U26)</f>
        <v>0</v>
      </c>
      <c r="AK78" s="35">
        <f ca="1">IF('Endrunde 4'!$W26="",0,'Endrunde 4'!$W26)</f>
        <v>0</v>
      </c>
      <c r="AL78" s="13" t="str">
        <f ca="1">IF($AA78=0,"",IF($AJ78&gt;$AK78,Einstellungen!$C$4,IF($AJ78=$AK78,1,0)))</f>
        <v/>
      </c>
      <c r="AM78" s="35" t="str">
        <f ca="1">IF($AA78=0,"",IF($AJ78&lt;$AK78,Einstellungen!$C$4,IF($AJ78=$AK78,1,0)))</f>
        <v/>
      </c>
    </row>
    <row r="79" spans="2:43" s="2" customFormat="1" x14ac:dyDescent="0.2">
      <c r="B79" s="4"/>
      <c r="C79" s="4"/>
      <c r="D79" s="4"/>
      <c r="E79" s="4"/>
      <c r="F79" s="13"/>
      <c r="G79" s="13"/>
      <c r="H79" s="13"/>
      <c r="I79" s="13"/>
      <c r="J79" s="13"/>
      <c r="K79" s="13"/>
      <c r="L79" s="13"/>
      <c r="M79" s="13"/>
      <c r="U79" s="65" t="s">
        <v>31</v>
      </c>
      <c r="V79" s="40" t="str">
        <f ca="1">'Endrunde 4'!$I27</f>
        <v>FC Grönlingen</v>
      </c>
      <c r="W79" s="13" t="str">
        <f ca="1">'Endrunde 4'!$K27</f>
        <v>SSV Wildbach</v>
      </c>
      <c r="X79" s="13">
        <f ca="1">IF(AND($AA79=1,'Endrunde 4'!$L27&lt;&gt;"",'Endrunde 4'!$N27&lt;&gt;"",ABS('Endrunde 4'!$L27-'Endrunde 4'!$N27)&gt;1),'Endrunde 4'!$L27,"")</f>
        <v>22</v>
      </c>
      <c r="Y79" s="35">
        <f ca="1">IF(AND($AA79=1,'Endrunde 4'!$L27&lt;&gt;"",'Endrunde 4'!$N27&lt;&gt;"",ABS('Endrunde 4'!$L27-'Endrunde 4'!$N27)&gt;1),'Endrunde 4'!$N27,"")</f>
        <v>25</v>
      </c>
      <c r="Z79" s="34" t="str">
        <f t="shared" ca="1" si="42"/>
        <v>FC GrönlingenSSV Wildbach</v>
      </c>
      <c r="AA79" s="13">
        <f ca="1">IF(AND(V79&lt;&gt;"",W79&lt;&gt;"",V79&lt;&gt;W79,'Endrunde 4'!$U27&lt;&gt;"",'Endrunde 4'!$W27&lt;&gt;""),1,0)</f>
        <v>1</v>
      </c>
      <c r="AB79" s="13" t="str">
        <f ca="1">IF(AA79&gt;0,AH79&amp;Sprache!$E$108&amp;AI79,"")</f>
        <v>47 : 45</v>
      </c>
      <c r="AC79" s="35" t="str">
        <f ca="1">IF(AA79&gt;0,AJ79&amp;Sprache!$E$108&amp;AK79,"")</f>
        <v>1 : 1</v>
      </c>
      <c r="AD79" s="40">
        <f ca="1">IF(AND($AA79=1,'Endrunde 4'!$O27&lt;&gt;"",'Endrunde 4'!$Q27&lt;&gt;"",ABS('Endrunde 4'!$O27-'Endrunde 4'!$Q27)&gt;1),'Endrunde 4'!$O27,"")</f>
        <v>25</v>
      </c>
      <c r="AE79" s="35">
        <f ca="1">IF(AND($AA79=1,'Endrunde 4'!$O27&lt;&gt;"",'Endrunde 4'!$Q27&lt;&gt;"",ABS('Endrunde 4'!$O27-'Endrunde 4'!$Q27)&gt;1),'Endrunde 4'!$Q27,"")</f>
        <v>20</v>
      </c>
      <c r="AF79" s="40" t="str">
        <f ca="1">IF(AND($AA79=1,'Endrunde 4'!$R27&lt;&gt;"",'Endrunde 4'!$T27&lt;&gt;"",ABS('Endrunde 4'!$R27-'Endrunde 4'!$T27)&gt;1),'Endrunde 4'!$R27,"")</f>
        <v/>
      </c>
      <c r="AG79" s="35" t="str">
        <f ca="1">IF(AND($AA79=1,'Endrunde 4'!$R27&lt;&gt;"",'Endrunde 4'!$T27&lt;&gt;"",ABS('Endrunde 4'!$R27-'Endrunde 4'!$T27)&gt;1),'Endrunde 4'!$T27,"")</f>
        <v/>
      </c>
      <c r="AH79" s="40">
        <f t="shared" ca="1" si="43"/>
        <v>47</v>
      </c>
      <c r="AI79" s="35">
        <f t="shared" ca="1" si="44"/>
        <v>45</v>
      </c>
      <c r="AJ79" s="40">
        <f ca="1">IF('Endrunde 4'!$U27="",0,'Endrunde 4'!$U27)</f>
        <v>1</v>
      </c>
      <c r="AK79" s="35">
        <f ca="1">IF('Endrunde 4'!$W27="",0,'Endrunde 4'!$W27)</f>
        <v>1</v>
      </c>
      <c r="AL79" s="13">
        <f ca="1">IF($AA79=0,"",IF($AJ79&gt;$AK79,Einstellungen!$C$4,IF($AJ79=$AK79,1,0)))</f>
        <v>1</v>
      </c>
      <c r="AM79" s="35">
        <f ca="1">IF($AA79=0,"",IF($AJ79&lt;$AK79,Einstellungen!$C$4,IF($AJ79=$AK79,1,0)))</f>
        <v>1</v>
      </c>
    </row>
    <row r="80" spans="2:43" s="2" customFormat="1" x14ac:dyDescent="0.2">
      <c r="B80" s="4"/>
      <c r="C80" s="4"/>
      <c r="D80" s="4"/>
      <c r="E80" s="4"/>
      <c r="F80" s="13"/>
      <c r="G80" s="13"/>
      <c r="H80" s="13"/>
      <c r="I80" s="13"/>
      <c r="J80" s="13"/>
      <c r="K80" s="13"/>
      <c r="L80" s="13"/>
      <c r="M80" s="13"/>
      <c r="U80" s="65" t="s">
        <v>32</v>
      </c>
      <c r="V80" s="40" t="str">
        <f ca="1">'Endrunde 4'!$I28</f>
        <v>Mainz 05</v>
      </c>
      <c r="W80" s="13" t="str">
        <f ca="1">'Endrunde 4'!$K28</f>
        <v>Manchester City</v>
      </c>
      <c r="X80" s="13">
        <f ca="1">IF(AND($AA80=1,'Endrunde 4'!$L28&lt;&gt;"",'Endrunde 4'!$N28&lt;&gt;"",ABS('Endrunde 4'!$L28-'Endrunde 4'!$N28)&gt;1),'Endrunde 4'!$L28,"")</f>
        <v>19</v>
      </c>
      <c r="Y80" s="35">
        <f ca="1">IF(AND($AA80=1,'Endrunde 4'!$L28&lt;&gt;"",'Endrunde 4'!$N28&lt;&gt;"",ABS('Endrunde 4'!$L28-'Endrunde 4'!$N28)&gt;1),'Endrunde 4'!$N28,"")</f>
        <v>25</v>
      </c>
      <c r="Z80" s="34" t="str">
        <f t="shared" ca="1" si="42"/>
        <v>Mainz 05Manchester City</v>
      </c>
      <c r="AA80" s="13">
        <f ca="1">IF(AND(V80&lt;&gt;"",W80&lt;&gt;"",V80&lt;&gt;W80,'Endrunde 4'!$U28&lt;&gt;"",'Endrunde 4'!$W28&lt;&gt;""),1,0)</f>
        <v>1</v>
      </c>
      <c r="AB80" s="13" t="str">
        <f ca="1">IF(AA80&gt;0,AH80&amp;Sprache!$E$108&amp;AI80,"")</f>
        <v>44 : 44</v>
      </c>
      <c r="AC80" s="35" t="str">
        <f ca="1">IF(AA80&gt;0,AJ80&amp;Sprache!$E$108&amp;AK80,"")</f>
        <v>1 : 1</v>
      </c>
      <c r="AD80" s="40">
        <f ca="1">IF(AND($AA80=1,'Endrunde 4'!$O28&lt;&gt;"",'Endrunde 4'!$Q28&lt;&gt;"",ABS('Endrunde 4'!$O28-'Endrunde 4'!$Q28)&gt;1),'Endrunde 4'!$O28,"")</f>
        <v>25</v>
      </c>
      <c r="AE80" s="35">
        <f ca="1">IF(AND($AA80=1,'Endrunde 4'!$O28&lt;&gt;"",'Endrunde 4'!$Q28&lt;&gt;"",ABS('Endrunde 4'!$O28-'Endrunde 4'!$Q28)&gt;1),'Endrunde 4'!$Q28,"")</f>
        <v>19</v>
      </c>
      <c r="AF80" s="40" t="str">
        <f ca="1">IF(AND($AA80=1,'Endrunde 4'!$R28&lt;&gt;"",'Endrunde 4'!$T28&lt;&gt;"",ABS('Endrunde 4'!$R28-'Endrunde 4'!$T28)&gt;1),'Endrunde 4'!$R28,"")</f>
        <v/>
      </c>
      <c r="AG80" s="35" t="str">
        <f ca="1">IF(AND($AA80=1,'Endrunde 4'!$R28&lt;&gt;"",'Endrunde 4'!$T28&lt;&gt;"",ABS('Endrunde 4'!$R28-'Endrunde 4'!$T28)&gt;1),'Endrunde 4'!$T28,"")</f>
        <v/>
      </c>
      <c r="AH80" s="40">
        <f t="shared" ca="1" si="43"/>
        <v>44</v>
      </c>
      <c r="AI80" s="35">
        <f t="shared" ca="1" si="44"/>
        <v>44</v>
      </c>
      <c r="AJ80" s="40">
        <f ca="1">IF('Endrunde 4'!$U28="",0,'Endrunde 4'!$U28)</f>
        <v>1</v>
      </c>
      <c r="AK80" s="35">
        <f ca="1">IF('Endrunde 4'!$W28="",0,'Endrunde 4'!$W28)</f>
        <v>1</v>
      </c>
      <c r="AL80" s="13">
        <f ca="1">IF($AA80=0,"",IF($AJ80&gt;$AK80,Einstellungen!$C$4,IF($AJ80=$AK80,1,0)))</f>
        <v>1</v>
      </c>
      <c r="AM80" s="35">
        <f ca="1">IF($AA80=0,"",IF($AJ80&lt;$AK80,Einstellungen!$C$4,IF($AJ80=$AK80,1,0)))</f>
        <v>1</v>
      </c>
    </row>
    <row r="81" spans="2:39" s="2" customFormat="1" x14ac:dyDescent="0.2">
      <c r="B81" s="4"/>
      <c r="C81" s="4"/>
      <c r="D81" s="4"/>
      <c r="E81" s="4"/>
      <c r="F81" s="13"/>
      <c r="G81" s="13"/>
      <c r="H81" s="13"/>
      <c r="I81" s="13"/>
      <c r="J81" s="13"/>
      <c r="K81" s="13"/>
      <c r="L81" s="13"/>
      <c r="M81" s="13"/>
      <c r="U81" s="65" t="s">
        <v>33</v>
      </c>
      <c r="V81" s="40" t="str">
        <f ca="1">'Endrunde 4'!$I29</f>
        <v/>
      </c>
      <c r="W81" s="13" t="str">
        <f ca="1">'Endrunde 4'!$K29</f>
        <v/>
      </c>
      <c r="X81" s="13" t="str">
        <f ca="1">IF(AND($AA81=1,'Endrunde 4'!$L29&lt;&gt;"",'Endrunde 4'!$N29&lt;&gt;"",ABS('Endrunde 4'!$L29-'Endrunde 4'!$N29)&gt;1),'Endrunde 4'!$L29,"")</f>
        <v/>
      </c>
      <c r="Y81" s="35" t="str">
        <f ca="1">IF(AND($AA81=1,'Endrunde 4'!$L29&lt;&gt;"",'Endrunde 4'!$N29&lt;&gt;"",ABS('Endrunde 4'!$L29-'Endrunde 4'!$N29)&gt;1),'Endrunde 4'!$N29,"")</f>
        <v/>
      </c>
      <c r="Z81" s="34" t="str">
        <f t="shared" ca="1" si="42"/>
        <v/>
      </c>
      <c r="AA81" s="13">
        <f ca="1">IF(AND(V81&lt;&gt;"",W81&lt;&gt;"",V81&lt;&gt;W81,'Endrunde 4'!$U29&lt;&gt;"",'Endrunde 4'!$W29&lt;&gt;""),1,0)</f>
        <v>0</v>
      </c>
      <c r="AB81" s="13" t="str">
        <f ca="1">IF(AA81&gt;0,AH81&amp;Sprache!$E$108&amp;AI81,"")</f>
        <v/>
      </c>
      <c r="AC81" s="35" t="str">
        <f ca="1">IF(AA81&gt;0,AJ81&amp;Sprache!$E$108&amp;AK81,"")</f>
        <v/>
      </c>
      <c r="AD81" s="40" t="str">
        <f ca="1">IF(AND($AA81=1,'Endrunde 4'!$O29&lt;&gt;"",'Endrunde 4'!$Q29&lt;&gt;"",ABS('Endrunde 4'!$O29-'Endrunde 4'!$Q29)&gt;1),'Endrunde 4'!$O29,"")</f>
        <v/>
      </c>
      <c r="AE81" s="35" t="str">
        <f ca="1">IF(AND($AA81=1,'Endrunde 4'!$O29&lt;&gt;"",'Endrunde 4'!$Q29&lt;&gt;"",ABS('Endrunde 4'!$O29-'Endrunde 4'!$Q29)&gt;1),'Endrunde 4'!$Q29,"")</f>
        <v/>
      </c>
      <c r="AF81" s="40" t="str">
        <f ca="1">IF(AND($AA81=1,'Endrunde 4'!$R29&lt;&gt;"",'Endrunde 4'!$T29&lt;&gt;"",ABS('Endrunde 4'!$R29-'Endrunde 4'!$T29)&gt;1),'Endrunde 4'!$R29,"")</f>
        <v/>
      </c>
      <c r="AG81" s="35" t="str">
        <f ca="1">IF(AND($AA81=1,'Endrunde 4'!$R29&lt;&gt;"",'Endrunde 4'!$T29&lt;&gt;"",ABS('Endrunde 4'!$R29-'Endrunde 4'!$T29)&gt;1),'Endrunde 4'!$T29,"")</f>
        <v/>
      </c>
      <c r="AH81" s="40" t="str">
        <f t="shared" ca="1" si="43"/>
        <v/>
      </c>
      <c r="AI81" s="35" t="str">
        <f t="shared" ca="1" si="44"/>
        <v/>
      </c>
      <c r="AJ81" s="40">
        <f ca="1">IF('Endrunde 4'!$U29="",0,'Endrunde 4'!$U29)</f>
        <v>0</v>
      </c>
      <c r="AK81" s="35">
        <f ca="1">IF('Endrunde 4'!$W29="",0,'Endrunde 4'!$W29)</f>
        <v>0</v>
      </c>
      <c r="AL81" s="13" t="str">
        <f ca="1">IF($AA81=0,"",IF($AJ81&gt;$AK81,Einstellungen!$C$4,IF($AJ81=$AK81,1,0)))</f>
        <v/>
      </c>
      <c r="AM81" s="35" t="str">
        <f ca="1">IF($AA81=0,"",IF($AJ81&lt;$AK81,Einstellungen!$C$4,IF($AJ81=$AK81,1,0)))</f>
        <v/>
      </c>
    </row>
    <row r="82" spans="2:39" s="2" customFormat="1" x14ac:dyDescent="0.2">
      <c r="B82" s="4"/>
      <c r="C82" s="4"/>
      <c r="D82" s="4"/>
      <c r="E82" s="4"/>
      <c r="F82" s="13"/>
      <c r="G82" s="13"/>
      <c r="H82" s="13"/>
      <c r="I82" s="13"/>
      <c r="J82" s="13"/>
      <c r="K82" s="13"/>
      <c r="L82" s="13"/>
      <c r="M82" s="13"/>
      <c r="U82" s="65" t="s">
        <v>34</v>
      </c>
      <c r="V82" s="40" t="str">
        <f ca="1">'Endrunde 4'!$I30</f>
        <v/>
      </c>
      <c r="W82" s="13" t="str">
        <f ca="1">'Endrunde 4'!$K30</f>
        <v/>
      </c>
      <c r="X82" s="13" t="str">
        <f ca="1">IF(AND($AA82=1,'Endrunde 4'!$L30&lt;&gt;"",'Endrunde 4'!$N30&lt;&gt;"",ABS('Endrunde 4'!$L30-'Endrunde 4'!$N30)&gt;1),'Endrunde 4'!$L30,"")</f>
        <v/>
      </c>
      <c r="Y82" s="35" t="str">
        <f ca="1">IF(AND($AA82=1,'Endrunde 4'!$L30&lt;&gt;"",'Endrunde 4'!$N30&lt;&gt;"",ABS('Endrunde 4'!$L30-'Endrunde 4'!$N30)&gt;1),'Endrunde 4'!$N30,"")</f>
        <v/>
      </c>
      <c r="Z82" s="34" t="str">
        <f t="shared" ca="1" si="42"/>
        <v/>
      </c>
      <c r="AA82" s="13">
        <f ca="1">IF(AND(V82&lt;&gt;"",W82&lt;&gt;"",V82&lt;&gt;W82,'Endrunde 4'!$U30&lt;&gt;"",'Endrunde 4'!$W30&lt;&gt;""),1,0)</f>
        <v>0</v>
      </c>
      <c r="AB82" s="13" t="str">
        <f ca="1">IF(AA82&gt;0,AH82&amp;Sprache!$E$108&amp;AI82,"")</f>
        <v/>
      </c>
      <c r="AC82" s="35" t="str">
        <f ca="1">IF(AA82&gt;0,AJ82&amp;Sprache!$E$108&amp;AK82,"")</f>
        <v/>
      </c>
      <c r="AD82" s="40" t="str">
        <f ca="1">IF(AND($AA82=1,'Endrunde 4'!$O30&lt;&gt;"",'Endrunde 4'!$Q30&lt;&gt;"",ABS('Endrunde 4'!$O30-'Endrunde 4'!$Q30)&gt;1),'Endrunde 4'!$O30,"")</f>
        <v/>
      </c>
      <c r="AE82" s="35" t="str">
        <f ca="1">IF(AND($AA82=1,'Endrunde 4'!$O30&lt;&gt;"",'Endrunde 4'!$Q30&lt;&gt;"",ABS('Endrunde 4'!$O30-'Endrunde 4'!$Q30)&gt;1),'Endrunde 4'!$Q30,"")</f>
        <v/>
      </c>
      <c r="AF82" s="40" t="str">
        <f ca="1">IF(AND($AA82=1,'Endrunde 4'!$R30&lt;&gt;"",'Endrunde 4'!$T30&lt;&gt;"",ABS('Endrunde 4'!$R30-'Endrunde 4'!$T30)&gt;1),'Endrunde 4'!$R30,"")</f>
        <v/>
      </c>
      <c r="AG82" s="35" t="str">
        <f ca="1">IF(AND($AA82=1,'Endrunde 4'!$R30&lt;&gt;"",'Endrunde 4'!$T30&lt;&gt;"",ABS('Endrunde 4'!$R30-'Endrunde 4'!$T30)&gt;1),'Endrunde 4'!$T30,"")</f>
        <v/>
      </c>
      <c r="AH82" s="40" t="str">
        <f t="shared" ca="1" si="43"/>
        <v/>
      </c>
      <c r="AI82" s="35" t="str">
        <f t="shared" ca="1" si="44"/>
        <v/>
      </c>
      <c r="AJ82" s="40">
        <f ca="1">IF('Endrunde 4'!$U30="",0,'Endrunde 4'!$U30)</f>
        <v>0</v>
      </c>
      <c r="AK82" s="35">
        <f ca="1">IF('Endrunde 4'!$W30="",0,'Endrunde 4'!$W30)</f>
        <v>0</v>
      </c>
      <c r="AL82" s="13" t="str">
        <f ca="1">IF($AA82=0,"",IF($AJ82&gt;$AK82,Einstellungen!$C$4,IF($AJ82=$AK82,1,0)))</f>
        <v/>
      </c>
      <c r="AM82" s="35" t="str">
        <f ca="1">IF($AA82=0,"",IF($AJ82&lt;$AK82,Einstellungen!$C$4,IF($AJ82=$AK82,1,0)))</f>
        <v/>
      </c>
    </row>
    <row r="83" spans="2:39" s="2" customFormat="1" x14ac:dyDescent="0.2">
      <c r="B83" s="4"/>
      <c r="C83" s="4"/>
      <c r="D83" s="4"/>
      <c r="E83" s="4"/>
      <c r="F83" s="13"/>
      <c r="G83" s="13"/>
      <c r="H83" s="13"/>
      <c r="I83" s="13"/>
      <c r="J83" s="13"/>
      <c r="K83" s="13"/>
      <c r="L83" s="13"/>
      <c r="M83" s="13"/>
      <c r="U83" s="65" t="s">
        <v>35</v>
      </c>
      <c r="V83" s="40" t="str">
        <f ca="1">'Endrunde 4'!$I31</f>
        <v>1. FC Riedwald</v>
      </c>
      <c r="W83" s="13" t="str">
        <f ca="1">'Endrunde 4'!$K31</f>
        <v>SSV Wildbach</v>
      </c>
      <c r="X83" s="13">
        <f ca="1">IF(AND($AA83=1,'Endrunde 4'!$L31&lt;&gt;"",'Endrunde 4'!$N31&lt;&gt;"",ABS('Endrunde 4'!$L31-'Endrunde 4'!$N31)&gt;1),'Endrunde 4'!$L31,"")</f>
        <v>14</v>
      </c>
      <c r="Y83" s="35">
        <f ca="1">IF(AND($AA83=1,'Endrunde 4'!$L31&lt;&gt;"",'Endrunde 4'!$N31&lt;&gt;"",ABS('Endrunde 4'!$L31-'Endrunde 4'!$N31)&gt;1),'Endrunde 4'!$N31,"")</f>
        <v>25</v>
      </c>
      <c r="Z83" s="34" t="str">
        <f t="shared" ca="1" si="42"/>
        <v>1. FC RiedwaldSSV Wildbach</v>
      </c>
      <c r="AA83" s="13">
        <f ca="1">IF(AND(V83&lt;&gt;"",W83&lt;&gt;"",V83&lt;&gt;W83,'Endrunde 4'!$U31&lt;&gt;"",'Endrunde 4'!$W31&lt;&gt;""),1,0)</f>
        <v>1</v>
      </c>
      <c r="AB83" s="13" t="str">
        <f ca="1">IF(AA83&gt;0,AH83&amp;Sprache!$E$108&amp;AI83,"")</f>
        <v>39 : 48</v>
      </c>
      <c r="AC83" s="35" t="str">
        <f ca="1">IF(AA83&gt;0,AJ83&amp;Sprache!$E$108&amp;AK83,"")</f>
        <v>1 : 1</v>
      </c>
      <c r="AD83" s="40">
        <f ca="1">IF(AND($AA83=1,'Endrunde 4'!$O31&lt;&gt;"",'Endrunde 4'!$Q31&lt;&gt;"",ABS('Endrunde 4'!$O31-'Endrunde 4'!$Q31)&gt;1),'Endrunde 4'!$O31,"")</f>
        <v>25</v>
      </c>
      <c r="AE83" s="35">
        <f ca="1">IF(AND($AA83=1,'Endrunde 4'!$O31&lt;&gt;"",'Endrunde 4'!$Q31&lt;&gt;"",ABS('Endrunde 4'!$O31-'Endrunde 4'!$Q31)&gt;1),'Endrunde 4'!$Q31,"")</f>
        <v>23</v>
      </c>
      <c r="AF83" s="40" t="str">
        <f ca="1">IF(AND($AA83=1,'Endrunde 4'!$R31&lt;&gt;"",'Endrunde 4'!$T31&lt;&gt;"",ABS('Endrunde 4'!$R31-'Endrunde 4'!$T31)&gt;1),'Endrunde 4'!$R31,"")</f>
        <v/>
      </c>
      <c r="AG83" s="35" t="str">
        <f ca="1">IF(AND($AA83=1,'Endrunde 4'!$R31&lt;&gt;"",'Endrunde 4'!$T31&lt;&gt;"",ABS('Endrunde 4'!$R31-'Endrunde 4'!$T31)&gt;1),'Endrunde 4'!$T31,"")</f>
        <v/>
      </c>
      <c r="AH83" s="40">
        <f t="shared" ca="1" si="43"/>
        <v>39</v>
      </c>
      <c r="AI83" s="35">
        <f t="shared" ca="1" si="44"/>
        <v>48</v>
      </c>
      <c r="AJ83" s="40">
        <f ca="1">IF('Endrunde 4'!$U31="",0,'Endrunde 4'!$U31)</f>
        <v>1</v>
      </c>
      <c r="AK83" s="35">
        <f ca="1">IF('Endrunde 4'!$W31="",0,'Endrunde 4'!$W31)</f>
        <v>1</v>
      </c>
      <c r="AL83" s="13">
        <f ca="1">IF($AA83=0,"",IF($AJ83&gt;$AK83,Einstellungen!$C$4,IF($AJ83=$AK83,1,0)))</f>
        <v>1</v>
      </c>
      <c r="AM83" s="35">
        <f ca="1">IF($AA83=0,"",IF($AJ83&lt;$AK83,Einstellungen!$C$4,IF($AJ83=$AK83,1,0)))</f>
        <v>1</v>
      </c>
    </row>
    <row r="84" spans="2:39" s="2" customFormat="1" x14ac:dyDescent="0.2">
      <c r="B84" s="4"/>
      <c r="C84" s="4"/>
      <c r="D84" s="4"/>
      <c r="E84" s="4"/>
      <c r="F84" s="13"/>
      <c r="G84" s="13"/>
      <c r="H84" s="13"/>
      <c r="I84" s="13"/>
      <c r="J84" s="13"/>
      <c r="K84" s="13"/>
      <c r="L84" s="13"/>
      <c r="M84" s="13"/>
      <c r="U84" s="65" t="s">
        <v>36</v>
      </c>
      <c r="V84" s="40" t="str">
        <f ca="1">'Endrunde 4'!$I32</f>
        <v>Maibach 1822 eV</v>
      </c>
      <c r="W84" s="13" t="str">
        <f ca="1">'Endrunde 4'!$K32</f>
        <v>Manchester City</v>
      </c>
      <c r="X84" s="13">
        <f ca="1">IF(AND($AA84=1,'Endrunde 4'!$L32&lt;&gt;"",'Endrunde 4'!$N32&lt;&gt;"",ABS('Endrunde 4'!$L32-'Endrunde 4'!$N32)&gt;1),'Endrunde 4'!$L32,"")</f>
        <v>21</v>
      </c>
      <c r="Y84" s="35">
        <f ca="1">IF(AND($AA84=1,'Endrunde 4'!$L32&lt;&gt;"",'Endrunde 4'!$N32&lt;&gt;"",ABS('Endrunde 4'!$L32-'Endrunde 4'!$N32)&gt;1),'Endrunde 4'!$N32,"")</f>
        <v>25</v>
      </c>
      <c r="Z84" s="34" t="str">
        <f t="shared" ca="1" si="42"/>
        <v>Maibach 1822 eVManchester City</v>
      </c>
      <c r="AA84" s="13">
        <f ca="1">IF(AND(V84&lt;&gt;"",W84&lt;&gt;"",V84&lt;&gt;W84,'Endrunde 4'!$U32&lt;&gt;"",'Endrunde 4'!$W32&lt;&gt;""),1,0)</f>
        <v>1</v>
      </c>
      <c r="AB84" s="13" t="str">
        <f ca="1">IF(AA84&gt;0,AH84&amp;Sprache!$E$108&amp;AI84,"")</f>
        <v>46 : 42</v>
      </c>
      <c r="AC84" s="35" t="str">
        <f ca="1">IF(AA84&gt;0,AJ84&amp;Sprache!$E$108&amp;AK84,"")</f>
        <v>1 : 1</v>
      </c>
      <c r="AD84" s="40">
        <f ca="1">IF(AND($AA84=1,'Endrunde 4'!$O32&lt;&gt;"",'Endrunde 4'!$Q32&lt;&gt;"",ABS('Endrunde 4'!$O32-'Endrunde 4'!$Q32)&gt;1),'Endrunde 4'!$O32,"")</f>
        <v>25</v>
      </c>
      <c r="AE84" s="35">
        <f ca="1">IF(AND($AA84=1,'Endrunde 4'!$O32&lt;&gt;"",'Endrunde 4'!$Q32&lt;&gt;"",ABS('Endrunde 4'!$O32-'Endrunde 4'!$Q32)&gt;1),'Endrunde 4'!$Q32,"")</f>
        <v>17</v>
      </c>
      <c r="AF84" s="40" t="str">
        <f ca="1">IF(AND($AA84=1,'Endrunde 4'!$R32&lt;&gt;"",'Endrunde 4'!$T32&lt;&gt;"",ABS('Endrunde 4'!$R32-'Endrunde 4'!$T32)&gt;1),'Endrunde 4'!$R32,"")</f>
        <v/>
      </c>
      <c r="AG84" s="35" t="str">
        <f ca="1">IF(AND($AA84=1,'Endrunde 4'!$R32&lt;&gt;"",'Endrunde 4'!$T32&lt;&gt;"",ABS('Endrunde 4'!$R32-'Endrunde 4'!$T32)&gt;1),'Endrunde 4'!$T32,"")</f>
        <v/>
      </c>
      <c r="AH84" s="40">
        <f t="shared" ca="1" si="43"/>
        <v>46</v>
      </c>
      <c r="AI84" s="35">
        <f t="shared" ca="1" si="44"/>
        <v>42</v>
      </c>
      <c r="AJ84" s="40">
        <f ca="1">IF('Endrunde 4'!$U32="",0,'Endrunde 4'!$U32)</f>
        <v>1</v>
      </c>
      <c r="AK84" s="35">
        <f ca="1">IF('Endrunde 4'!$W32="",0,'Endrunde 4'!$W32)</f>
        <v>1</v>
      </c>
      <c r="AL84" s="13">
        <f ca="1">IF($AA84=0,"",IF($AJ84&gt;$AK84,Einstellungen!$C$4,IF($AJ84=$AK84,1,0)))</f>
        <v>1</v>
      </c>
      <c r="AM84" s="35">
        <f ca="1">IF($AA84=0,"",IF($AJ84&lt;$AK84,Einstellungen!$C$4,IF($AJ84=$AK84,1,0)))</f>
        <v>1</v>
      </c>
    </row>
    <row r="85" spans="2:39" s="2" customFormat="1" x14ac:dyDescent="0.2">
      <c r="B85" s="4"/>
      <c r="C85" s="4"/>
      <c r="D85" s="4"/>
      <c r="E85" s="4"/>
      <c r="F85" s="13"/>
      <c r="G85" s="13"/>
      <c r="H85" s="13"/>
      <c r="I85" s="13"/>
      <c r="J85" s="13"/>
      <c r="K85" s="13"/>
      <c r="L85" s="13"/>
      <c r="M85" s="13"/>
      <c r="U85" s="65" t="s">
        <v>37</v>
      </c>
      <c r="V85" s="40" t="str">
        <f ca="1">'Endrunde 4'!$I33</f>
        <v/>
      </c>
      <c r="W85" s="13" t="str">
        <f ca="1">'Endrunde 4'!$K33</f>
        <v/>
      </c>
      <c r="X85" s="13" t="str">
        <f ca="1">IF(AND($AA85=1,'Endrunde 4'!$L33&lt;&gt;"",'Endrunde 4'!$N33&lt;&gt;"",ABS('Endrunde 4'!$L33-'Endrunde 4'!$N33)&gt;1),'Endrunde 4'!$L33,"")</f>
        <v/>
      </c>
      <c r="Y85" s="35" t="str">
        <f ca="1">IF(AND($AA85=1,'Endrunde 4'!$L33&lt;&gt;"",'Endrunde 4'!$N33&lt;&gt;"",ABS('Endrunde 4'!$L33-'Endrunde 4'!$N33)&gt;1),'Endrunde 4'!$N33,"")</f>
        <v/>
      </c>
      <c r="Z85" s="34" t="str">
        <f t="shared" ca="1" si="42"/>
        <v/>
      </c>
      <c r="AA85" s="13">
        <f ca="1">IF(AND(V85&lt;&gt;"",W85&lt;&gt;"",V85&lt;&gt;W85,'Endrunde 4'!$U33&lt;&gt;"",'Endrunde 4'!$W33&lt;&gt;""),1,0)</f>
        <v>0</v>
      </c>
      <c r="AB85" s="13" t="str">
        <f ca="1">IF(AA85&gt;0,AH85&amp;Sprache!$E$108&amp;AI85,"")</f>
        <v/>
      </c>
      <c r="AC85" s="35" t="str">
        <f ca="1">IF(AA85&gt;0,AJ85&amp;Sprache!$E$108&amp;AK85,"")</f>
        <v/>
      </c>
      <c r="AD85" s="40" t="str">
        <f ca="1">IF(AND($AA85=1,'Endrunde 4'!$O33&lt;&gt;"",'Endrunde 4'!$Q33&lt;&gt;"",ABS('Endrunde 4'!$O33-'Endrunde 4'!$Q33)&gt;1),'Endrunde 4'!$O33,"")</f>
        <v/>
      </c>
      <c r="AE85" s="35" t="str">
        <f ca="1">IF(AND($AA85=1,'Endrunde 4'!$O33&lt;&gt;"",'Endrunde 4'!$Q33&lt;&gt;"",ABS('Endrunde 4'!$O33-'Endrunde 4'!$Q33)&gt;1),'Endrunde 4'!$Q33,"")</f>
        <v/>
      </c>
      <c r="AF85" s="40" t="str">
        <f ca="1">IF(AND($AA85=1,'Endrunde 4'!$R33&lt;&gt;"",'Endrunde 4'!$T33&lt;&gt;"",ABS('Endrunde 4'!$R33-'Endrunde 4'!$T33)&gt;1),'Endrunde 4'!$R33,"")</f>
        <v/>
      </c>
      <c r="AG85" s="35" t="str">
        <f ca="1">IF(AND($AA85=1,'Endrunde 4'!$R33&lt;&gt;"",'Endrunde 4'!$T33&lt;&gt;"",ABS('Endrunde 4'!$R33-'Endrunde 4'!$T33)&gt;1),'Endrunde 4'!$T33,"")</f>
        <v/>
      </c>
      <c r="AH85" s="40" t="str">
        <f t="shared" ca="1" si="43"/>
        <v/>
      </c>
      <c r="AI85" s="35" t="str">
        <f t="shared" ca="1" si="44"/>
        <v/>
      </c>
      <c r="AJ85" s="40">
        <f ca="1">IF('Endrunde 4'!$U33="",0,'Endrunde 4'!$U33)</f>
        <v>0</v>
      </c>
      <c r="AK85" s="35">
        <f ca="1">IF('Endrunde 4'!$W33="",0,'Endrunde 4'!$W33)</f>
        <v>0</v>
      </c>
      <c r="AL85" s="13" t="str">
        <f ca="1">IF($AA85=0,"",IF($AJ85&gt;$AK85,Einstellungen!$C$4,IF($AJ85=$AK85,1,0)))</f>
        <v/>
      </c>
      <c r="AM85" s="35" t="str">
        <f ca="1">IF($AA85=0,"",IF($AJ85&lt;$AK85,Einstellungen!$C$4,IF($AJ85=$AK85,1,0)))</f>
        <v/>
      </c>
    </row>
    <row r="86" spans="2:39" s="2" customFormat="1" x14ac:dyDescent="0.2">
      <c r="B86" s="4"/>
      <c r="C86" s="4"/>
      <c r="D86" s="4"/>
      <c r="E86" s="4"/>
      <c r="F86" s="13"/>
      <c r="G86" s="13"/>
      <c r="H86" s="13"/>
      <c r="I86" s="13"/>
      <c r="J86" s="13"/>
      <c r="K86" s="13"/>
      <c r="L86" s="13"/>
      <c r="M86" s="13"/>
      <c r="U86" s="65" t="s">
        <v>38</v>
      </c>
      <c r="V86" s="40" t="str">
        <f ca="1">'Endrunde 4'!$I34</f>
        <v>FC Barcelona</v>
      </c>
      <c r="W86" s="13" t="str">
        <f ca="1">'Endrunde 4'!$K34</f>
        <v>Inter Mailand</v>
      </c>
      <c r="X86" s="13">
        <f ca="1">IF(AND($AA86=1,'Endrunde 4'!$L34&lt;&gt;"",'Endrunde 4'!$N34&lt;&gt;"",ABS('Endrunde 4'!$L34-'Endrunde 4'!$N34)&gt;1),'Endrunde 4'!$L34,"")</f>
        <v>20</v>
      </c>
      <c r="Y86" s="35">
        <f ca="1">IF(AND($AA86=1,'Endrunde 4'!$L34&lt;&gt;"",'Endrunde 4'!$N34&lt;&gt;"",ABS('Endrunde 4'!$L34-'Endrunde 4'!$N34)&gt;1),'Endrunde 4'!$N34,"")</f>
        <v>25</v>
      </c>
      <c r="Z86" s="34" t="str">
        <f t="shared" ca="1" si="42"/>
        <v>FC BarcelonaInter Mailand</v>
      </c>
      <c r="AA86" s="13">
        <f ca="1">IF(AND(V86&lt;&gt;"",W86&lt;&gt;"",V86&lt;&gt;W86,'Endrunde 4'!$U34&lt;&gt;"",'Endrunde 4'!$W34&lt;&gt;""),1,0)</f>
        <v>1</v>
      </c>
      <c r="AB86" s="13" t="str">
        <f ca="1">IF(AA86&gt;0,AH86&amp;Sprache!$E$108&amp;AI86,"")</f>
        <v>70 : 65</v>
      </c>
      <c r="AC86" s="35" t="str">
        <f ca="1">IF(AA86&gt;0,AJ86&amp;Sprache!$E$108&amp;AK86,"")</f>
        <v>2 : 1</v>
      </c>
      <c r="AD86" s="40">
        <f ca="1">IF(AND($AA86=1,'Endrunde 4'!$O34&lt;&gt;"",'Endrunde 4'!$Q34&lt;&gt;"",ABS('Endrunde 4'!$O34-'Endrunde 4'!$Q34)&gt;1),'Endrunde 4'!$O34,"")</f>
        <v>25</v>
      </c>
      <c r="AE86" s="35">
        <f ca="1">IF(AND($AA86=1,'Endrunde 4'!$O34&lt;&gt;"",'Endrunde 4'!$Q34&lt;&gt;"",ABS('Endrunde 4'!$O34-'Endrunde 4'!$Q34)&gt;1),'Endrunde 4'!$Q34,"")</f>
        <v>18</v>
      </c>
      <c r="AF86" s="40">
        <f ca="1">IF(AND($AA86=1,'Endrunde 4'!$R34&lt;&gt;"",'Endrunde 4'!$T34&lt;&gt;"",ABS('Endrunde 4'!$R34-'Endrunde 4'!$T34)&gt;1),'Endrunde 4'!$R34,"")</f>
        <v>25</v>
      </c>
      <c r="AG86" s="35">
        <f ca="1">IF(AND($AA86=1,'Endrunde 4'!$R34&lt;&gt;"",'Endrunde 4'!$T34&lt;&gt;"",ABS('Endrunde 4'!$R34-'Endrunde 4'!$T34)&gt;1),'Endrunde 4'!$T34,"")</f>
        <v>22</v>
      </c>
      <c r="AH86" s="40">
        <f t="shared" ca="1" si="43"/>
        <v>70</v>
      </c>
      <c r="AI86" s="35">
        <f t="shared" ca="1" si="44"/>
        <v>65</v>
      </c>
      <c r="AJ86" s="40">
        <f ca="1">IF('Endrunde 4'!$U34="",0,'Endrunde 4'!$U34)</f>
        <v>2</v>
      </c>
      <c r="AK86" s="35">
        <f ca="1">IF('Endrunde 4'!$W34="",0,'Endrunde 4'!$W34)</f>
        <v>1</v>
      </c>
      <c r="AL86" s="13">
        <f ca="1">IF($AA86=0,"",IF($AJ86&gt;$AK86,Einstellungen!$C$4,IF($AJ86=$AK86,1,0)))</f>
        <v>2</v>
      </c>
      <c r="AM86" s="35">
        <f ca="1">IF($AA86=0,"",IF($AJ86&lt;$AK86,Einstellungen!$C$4,IF($AJ86=$AK86,1,0)))</f>
        <v>0</v>
      </c>
    </row>
    <row r="87" spans="2:39" s="2" customFormat="1" x14ac:dyDescent="0.2">
      <c r="B87" s="4"/>
      <c r="C87" s="4"/>
      <c r="D87" s="4"/>
      <c r="E87" s="4"/>
      <c r="F87" s="13"/>
      <c r="G87" s="13"/>
      <c r="H87" s="13"/>
      <c r="I87" s="13"/>
      <c r="J87" s="13"/>
      <c r="K87" s="13"/>
      <c r="L87" s="13"/>
      <c r="M87" s="13"/>
      <c r="U87" s="65" t="s">
        <v>39</v>
      </c>
      <c r="V87" s="40" t="str">
        <f ca="1">'Endrunde 4'!$I35</f>
        <v>VFB Essenheim</v>
      </c>
      <c r="W87" s="13" t="str">
        <f ca="1">'Endrunde 4'!$K35</f>
        <v>FC Grönlingen</v>
      </c>
      <c r="X87" s="13">
        <f ca="1">IF(AND($AA87=1,'Endrunde 4'!$L35&lt;&gt;"",'Endrunde 4'!$N35&lt;&gt;"",ABS('Endrunde 4'!$L35-'Endrunde 4'!$N35)&gt;1),'Endrunde 4'!$L35,"")</f>
        <v>25</v>
      </c>
      <c r="Y87" s="35">
        <f ca="1">IF(AND($AA87=1,'Endrunde 4'!$L35&lt;&gt;"",'Endrunde 4'!$N35&lt;&gt;"",ABS('Endrunde 4'!$L35-'Endrunde 4'!$N35)&gt;1),'Endrunde 4'!$N35,"")</f>
        <v>20</v>
      </c>
      <c r="Z87" s="34" t="str">
        <f t="shared" ca="1" si="42"/>
        <v>VFB EssenheimFC Grönlingen</v>
      </c>
      <c r="AA87" s="13">
        <f ca="1">IF(AND(V87&lt;&gt;"",W87&lt;&gt;"",V87&lt;&gt;W87,'Endrunde 4'!$U35&lt;&gt;"",'Endrunde 4'!$W35&lt;&gt;""),1,0)</f>
        <v>1</v>
      </c>
      <c r="AB87" s="13" t="str">
        <f ca="1">IF(AA87&gt;0,AH87&amp;Sprache!$E$108&amp;AI87,"")</f>
        <v>50 : 39</v>
      </c>
      <c r="AC87" s="35" t="str">
        <f ca="1">IF(AA87&gt;0,AJ87&amp;Sprache!$E$108&amp;AK87,"")</f>
        <v>2 : 0</v>
      </c>
      <c r="AD87" s="40">
        <f ca="1">IF(AND($AA87=1,'Endrunde 4'!$O35&lt;&gt;"",'Endrunde 4'!$Q35&lt;&gt;"",ABS('Endrunde 4'!$O35-'Endrunde 4'!$Q35)&gt;1),'Endrunde 4'!$O35,"")</f>
        <v>25</v>
      </c>
      <c r="AE87" s="35">
        <f ca="1">IF(AND($AA87=1,'Endrunde 4'!$O35&lt;&gt;"",'Endrunde 4'!$Q35&lt;&gt;"",ABS('Endrunde 4'!$O35-'Endrunde 4'!$Q35)&gt;1),'Endrunde 4'!$Q35,"")</f>
        <v>19</v>
      </c>
      <c r="AF87" s="40" t="str">
        <f ca="1">IF(AND($AA87=1,'Endrunde 4'!$R35&lt;&gt;"",'Endrunde 4'!$T35&lt;&gt;"",ABS('Endrunde 4'!$R35-'Endrunde 4'!$T35)&gt;1),'Endrunde 4'!$R35,"")</f>
        <v/>
      </c>
      <c r="AG87" s="35" t="str">
        <f ca="1">IF(AND($AA87=1,'Endrunde 4'!$R35&lt;&gt;"",'Endrunde 4'!$T35&lt;&gt;"",ABS('Endrunde 4'!$R35-'Endrunde 4'!$T35)&gt;1),'Endrunde 4'!$T35,"")</f>
        <v/>
      </c>
      <c r="AH87" s="40">
        <f t="shared" ca="1" si="43"/>
        <v>50</v>
      </c>
      <c r="AI87" s="35">
        <f t="shared" ca="1" si="44"/>
        <v>39</v>
      </c>
      <c r="AJ87" s="40">
        <f ca="1">IF('Endrunde 4'!$U35="",0,'Endrunde 4'!$U35)</f>
        <v>2</v>
      </c>
      <c r="AK87" s="35">
        <f ca="1">IF('Endrunde 4'!$W35="",0,'Endrunde 4'!$W35)</f>
        <v>0</v>
      </c>
      <c r="AL87" s="13">
        <f ca="1">IF($AA87=0,"",IF($AJ87&gt;$AK87,Einstellungen!$C$4,IF($AJ87=$AK87,1,0)))</f>
        <v>2</v>
      </c>
      <c r="AM87" s="35">
        <f ca="1">IF($AA87=0,"",IF($AJ87&lt;$AK87,Einstellungen!$C$4,IF($AJ87=$AK87,1,0)))</f>
        <v>0</v>
      </c>
    </row>
    <row r="88" spans="2:39" s="2" customFormat="1" ht="12.75" thickBot="1" x14ac:dyDescent="0.25">
      <c r="B88" s="4"/>
      <c r="C88" s="4"/>
      <c r="D88" s="4"/>
      <c r="E88" s="4"/>
      <c r="F88" s="13"/>
      <c r="G88" s="13"/>
      <c r="H88" s="13"/>
      <c r="I88" s="13"/>
      <c r="J88" s="13"/>
      <c r="K88" s="13"/>
      <c r="L88" s="13"/>
      <c r="M88" s="13"/>
      <c r="U88" s="754" t="s">
        <v>40</v>
      </c>
      <c r="V88" s="755" t="str">
        <f ca="1">'Endrunde 4'!$I36</f>
        <v>Eintracht Frankfurt</v>
      </c>
      <c r="W88" s="756" t="str">
        <f ca="1">'Endrunde 4'!$K36</f>
        <v>Mainz 05</v>
      </c>
      <c r="X88" s="756">
        <f ca="1">IF(AND($AA88=1,'Endrunde 4'!$L36&lt;&gt;"",'Endrunde 4'!$N36&lt;&gt;"",ABS('Endrunde 4'!$L36-'Endrunde 4'!$N36)&gt;1),'Endrunde 4'!$L36,"")</f>
        <v>25</v>
      </c>
      <c r="Y88" s="757">
        <f ca="1">IF(AND($AA88=1,'Endrunde 4'!$L36&lt;&gt;"",'Endrunde 4'!$N36&lt;&gt;"",ABS('Endrunde 4'!$L36-'Endrunde 4'!$N36)&gt;1),'Endrunde 4'!$N36,"")</f>
        <v>13</v>
      </c>
      <c r="Z88" s="758" t="str">
        <f t="shared" ca="1" si="42"/>
        <v>Eintracht FrankfurtMainz 05</v>
      </c>
      <c r="AA88" s="756">
        <f ca="1">IF(AND(V88&lt;&gt;"",W88&lt;&gt;"",V88&lt;&gt;W88,'Endrunde 4'!$U36&lt;&gt;"",'Endrunde 4'!$W36&lt;&gt;""),1,0)</f>
        <v>1</v>
      </c>
      <c r="AB88" s="756" t="str">
        <f ca="1">IF(AA88&gt;0,AH88&amp;Sprache!$E$108&amp;AI88,"")</f>
        <v>50 : 33</v>
      </c>
      <c r="AC88" s="757" t="str">
        <f ca="1">IF(AA88&gt;0,AJ88&amp;Sprache!$E$108&amp;AK88,"")</f>
        <v>2 : 0</v>
      </c>
      <c r="AD88" s="755">
        <f ca="1">IF(AND($AA88=1,'Endrunde 4'!$O36&lt;&gt;"",'Endrunde 4'!$Q36&lt;&gt;"",ABS('Endrunde 4'!$O36-'Endrunde 4'!$Q36)&gt;1),'Endrunde 4'!$O36,"")</f>
        <v>25</v>
      </c>
      <c r="AE88" s="757">
        <f ca="1">IF(AND($AA88=1,'Endrunde 4'!$O36&lt;&gt;"",'Endrunde 4'!$Q36&lt;&gt;"",ABS('Endrunde 4'!$O36-'Endrunde 4'!$Q36)&gt;1),'Endrunde 4'!$Q36,"")</f>
        <v>20</v>
      </c>
      <c r="AF88" s="755" t="str">
        <f ca="1">IF(AND($AA88=1,'Endrunde 4'!$R36&lt;&gt;"",'Endrunde 4'!$T36&lt;&gt;"",ABS('Endrunde 4'!$R36-'Endrunde 4'!$T36)&gt;1),'Endrunde 4'!$R36,"")</f>
        <v/>
      </c>
      <c r="AG88" s="757" t="str">
        <f ca="1">IF(AND($AA88=1,'Endrunde 4'!$R36&lt;&gt;"",'Endrunde 4'!$T36&lt;&gt;"",ABS('Endrunde 4'!$R36-'Endrunde 4'!$T36)&gt;1),'Endrunde 4'!$T36,"")</f>
        <v/>
      </c>
      <c r="AH88" s="755">
        <f t="shared" ca="1" si="43"/>
        <v>50</v>
      </c>
      <c r="AI88" s="757">
        <f t="shared" ca="1" si="44"/>
        <v>33</v>
      </c>
      <c r="AJ88" s="755">
        <f ca="1">IF('Endrunde 4'!$U36="",0,'Endrunde 4'!$U36)</f>
        <v>2</v>
      </c>
      <c r="AK88" s="757">
        <f ca="1">IF('Endrunde 4'!$W36="",0,'Endrunde 4'!$W36)</f>
        <v>0</v>
      </c>
      <c r="AL88" s="756">
        <f ca="1">IF($AA88=0,"",IF($AJ88&gt;$AK88,Einstellungen!$C$4,IF($AJ88=$AK88,1,0)))</f>
        <v>2</v>
      </c>
      <c r="AM88" s="757">
        <f ca="1">IF($AA88=0,"",IF($AJ88&lt;$AK88,Einstellungen!$C$4,IF($AJ88=$AK88,1,0)))</f>
        <v>0</v>
      </c>
    </row>
    <row r="89" spans="2:39" s="2" customFormat="1" ht="12.75" thickTop="1" x14ac:dyDescent="0.2">
      <c r="B89" s="4"/>
      <c r="C89" s="4"/>
      <c r="D89" s="4"/>
      <c r="E89" s="4"/>
      <c r="F89" s="13"/>
      <c r="G89" s="13"/>
      <c r="H89" s="13"/>
      <c r="I89" s="13"/>
      <c r="J89" s="13"/>
      <c r="K89" s="13"/>
      <c r="L89" s="13"/>
      <c r="M89" s="13"/>
      <c r="U89" s="65" t="s">
        <v>41</v>
      </c>
      <c r="V89" s="40" t="str">
        <f>""</f>
        <v/>
      </c>
      <c r="W89" s="13" t="str">
        <f>""</f>
        <v/>
      </c>
      <c r="X89" s="13" t="str">
        <f>""</f>
        <v/>
      </c>
      <c r="Y89" s="35" t="str">
        <f>""</f>
        <v/>
      </c>
      <c r="Z89" s="34" t="str">
        <f>""</f>
        <v/>
      </c>
      <c r="AA89" s="13">
        <v>0</v>
      </c>
      <c r="AB89" s="13" t="str">
        <f>""</f>
        <v/>
      </c>
      <c r="AC89" s="35"/>
      <c r="AD89" s="40" t="str">
        <f>""</f>
        <v/>
      </c>
      <c r="AE89" s="35" t="str">
        <f>""</f>
        <v/>
      </c>
      <c r="AF89" s="40" t="str">
        <f>""</f>
        <v/>
      </c>
      <c r="AG89" s="35" t="str">
        <f>""</f>
        <v/>
      </c>
      <c r="AH89" s="40" t="str">
        <f>""</f>
        <v/>
      </c>
      <c r="AI89" s="35" t="str">
        <f>""</f>
        <v/>
      </c>
      <c r="AJ89" s="40"/>
      <c r="AK89" s="35"/>
      <c r="AL89" s="13" t="str">
        <f>""</f>
        <v/>
      </c>
      <c r="AM89" s="35" t="str">
        <f>""</f>
        <v/>
      </c>
    </row>
    <row r="90" spans="2:39" s="2" customFormat="1" x14ac:dyDescent="0.2">
      <c r="B90" s="4"/>
      <c r="C90" s="4"/>
      <c r="D90" s="4"/>
      <c r="E90" s="4"/>
      <c r="F90" s="13"/>
      <c r="G90" s="13"/>
      <c r="H90" s="13"/>
      <c r="I90" s="13"/>
      <c r="J90" s="13"/>
      <c r="K90" s="13"/>
      <c r="L90" s="13"/>
      <c r="M90" s="13"/>
      <c r="U90" s="65" t="s">
        <v>42</v>
      </c>
      <c r="V90" s="40" t="str">
        <f>""</f>
        <v/>
      </c>
      <c r="W90" s="13" t="str">
        <f>""</f>
        <v/>
      </c>
      <c r="X90" s="13" t="str">
        <f>""</f>
        <v/>
      </c>
      <c r="Y90" s="35" t="str">
        <f>""</f>
        <v/>
      </c>
      <c r="Z90" s="34" t="str">
        <f>""</f>
        <v/>
      </c>
      <c r="AA90" s="13">
        <v>0</v>
      </c>
      <c r="AB90" s="13" t="str">
        <f>""</f>
        <v/>
      </c>
      <c r="AC90" s="35"/>
      <c r="AD90" s="40" t="str">
        <f>""</f>
        <v/>
      </c>
      <c r="AE90" s="35" t="str">
        <f>""</f>
        <v/>
      </c>
      <c r="AF90" s="40" t="str">
        <f>""</f>
        <v/>
      </c>
      <c r="AG90" s="35" t="str">
        <f>""</f>
        <v/>
      </c>
      <c r="AH90" s="40" t="str">
        <f>""</f>
        <v/>
      </c>
      <c r="AI90" s="35" t="str">
        <f>""</f>
        <v/>
      </c>
      <c r="AJ90" s="40"/>
      <c r="AK90" s="35"/>
      <c r="AL90" s="13" t="str">
        <f>""</f>
        <v/>
      </c>
      <c r="AM90" s="35" t="str">
        <f>""</f>
        <v/>
      </c>
    </row>
    <row r="91" spans="2:39" s="2" customFormat="1" x14ac:dyDescent="0.2">
      <c r="B91" s="4"/>
      <c r="C91" s="4"/>
      <c r="D91" s="4"/>
      <c r="E91" s="4"/>
      <c r="F91" s="13"/>
      <c r="G91" s="13"/>
      <c r="H91" s="13"/>
      <c r="I91" s="13"/>
      <c r="J91" s="13"/>
      <c r="K91" s="13"/>
      <c r="L91" s="13"/>
      <c r="M91" s="13"/>
      <c r="U91" s="65" t="s">
        <v>43</v>
      </c>
      <c r="V91" s="40" t="str">
        <f>""</f>
        <v/>
      </c>
      <c r="W91" s="13" t="str">
        <f>""</f>
        <v/>
      </c>
      <c r="X91" s="13" t="str">
        <f>""</f>
        <v/>
      </c>
      <c r="Y91" s="35" t="str">
        <f>""</f>
        <v/>
      </c>
      <c r="Z91" s="34" t="str">
        <f>""</f>
        <v/>
      </c>
      <c r="AA91" s="13">
        <v>0</v>
      </c>
      <c r="AB91" s="13" t="str">
        <f>""</f>
        <v/>
      </c>
      <c r="AC91" s="35"/>
      <c r="AD91" s="40" t="str">
        <f>""</f>
        <v/>
      </c>
      <c r="AE91" s="35" t="str">
        <f>""</f>
        <v/>
      </c>
      <c r="AF91" s="40" t="str">
        <f>""</f>
        <v/>
      </c>
      <c r="AG91" s="35" t="str">
        <f>""</f>
        <v/>
      </c>
      <c r="AH91" s="40" t="str">
        <f>""</f>
        <v/>
      </c>
      <c r="AI91" s="35" t="str">
        <f>""</f>
        <v/>
      </c>
      <c r="AJ91" s="40"/>
      <c r="AK91" s="35"/>
      <c r="AL91" s="13" t="str">
        <f>""</f>
        <v/>
      </c>
      <c r="AM91" s="35" t="str">
        <f>""</f>
        <v/>
      </c>
    </row>
    <row r="92" spans="2:39" s="2" customFormat="1" x14ac:dyDescent="0.2">
      <c r="B92" s="4"/>
      <c r="C92" s="4"/>
      <c r="D92" s="4"/>
      <c r="E92" s="4"/>
      <c r="F92" s="13"/>
      <c r="G92" s="13"/>
      <c r="H92" s="13"/>
      <c r="I92" s="13"/>
      <c r="J92" s="13"/>
      <c r="K92" s="13"/>
      <c r="L92" s="13"/>
      <c r="M92" s="13"/>
      <c r="U92" s="65" t="s">
        <v>44</v>
      </c>
      <c r="V92" s="40" t="str">
        <f>""</f>
        <v/>
      </c>
      <c r="W92" s="13" t="str">
        <f>""</f>
        <v/>
      </c>
      <c r="X92" s="13" t="str">
        <f>""</f>
        <v/>
      </c>
      <c r="Y92" s="35" t="str">
        <f>""</f>
        <v/>
      </c>
      <c r="Z92" s="34" t="str">
        <f>""</f>
        <v/>
      </c>
      <c r="AA92" s="13">
        <v>0</v>
      </c>
      <c r="AB92" s="13" t="str">
        <f>""</f>
        <v/>
      </c>
      <c r="AC92" s="35"/>
      <c r="AD92" s="40" t="str">
        <f>""</f>
        <v/>
      </c>
      <c r="AE92" s="35" t="str">
        <f>""</f>
        <v/>
      </c>
      <c r="AF92" s="40" t="str">
        <f>""</f>
        <v/>
      </c>
      <c r="AG92" s="35" t="str">
        <f>""</f>
        <v/>
      </c>
      <c r="AH92" s="40" t="str">
        <f>""</f>
        <v/>
      </c>
      <c r="AI92" s="35" t="str">
        <f>""</f>
        <v/>
      </c>
      <c r="AJ92" s="40"/>
      <c r="AK92" s="35"/>
      <c r="AL92" s="13" t="str">
        <f>""</f>
        <v/>
      </c>
      <c r="AM92" s="35" t="str">
        <f>""</f>
        <v/>
      </c>
    </row>
    <row r="93" spans="2:39" s="2" customFormat="1" x14ac:dyDescent="0.2">
      <c r="B93" s="4"/>
      <c r="C93" s="4"/>
      <c r="D93" s="4"/>
      <c r="E93" s="4"/>
      <c r="F93" s="13"/>
      <c r="G93" s="13"/>
      <c r="H93" s="13"/>
      <c r="I93" s="13"/>
      <c r="J93" s="13"/>
      <c r="K93" s="13"/>
      <c r="L93" s="13"/>
      <c r="M93" s="13"/>
      <c r="U93" s="65" t="s">
        <v>45</v>
      </c>
      <c r="V93" s="40" t="str">
        <f>""</f>
        <v/>
      </c>
      <c r="W93" s="13" t="str">
        <f>""</f>
        <v/>
      </c>
      <c r="X93" s="13" t="str">
        <f>""</f>
        <v/>
      </c>
      <c r="Y93" s="35" t="str">
        <f>""</f>
        <v/>
      </c>
      <c r="Z93" s="34" t="str">
        <f>""</f>
        <v/>
      </c>
      <c r="AA93" s="13">
        <v>0</v>
      </c>
      <c r="AB93" s="13" t="str">
        <f>""</f>
        <v/>
      </c>
      <c r="AC93" s="35"/>
      <c r="AD93" s="40" t="str">
        <f>""</f>
        <v/>
      </c>
      <c r="AE93" s="35" t="str">
        <f>""</f>
        <v/>
      </c>
      <c r="AF93" s="40" t="str">
        <f>""</f>
        <v/>
      </c>
      <c r="AG93" s="35" t="str">
        <f>""</f>
        <v/>
      </c>
      <c r="AH93" s="40" t="str">
        <f>""</f>
        <v/>
      </c>
      <c r="AI93" s="35" t="str">
        <f>""</f>
        <v/>
      </c>
      <c r="AJ93" s="40"/>
      <c r="AK93" s="35"/>
      <c r="AL93" s="13" t="str">
        <f>""</f>
        <v/>
      </c>
      <c r="AM93" s="35" t="str">
        <f>""</f>
        <v/>
      </c>
    </row>
    <row r="94" spans="2:39" s="2" customFormat="1" x14ac:dyDescent="0.2">
      <c r="B94" s="4"/>
      <c r="C94" s="4"/>
      <c r="D94" s="4"/>
      <c r="E94" s="4"/>
      <c r="F94" s="13"/>
      <c r="G94" s="13"/>
      <c r="H94" s="13"/>
      <c r="I94" s="13"/>
      <c r="J94" s="13"/>
      <c r="K94" s="13"/>
      <c r="L94" s="13"/>
      <c r="M94" s="13"/>
      <c r="U94" s="65" t="s">
        <v>46</v>
      </c>
      <c r="V94" s="40" t="str">
        <f>""</f>
        <v/>
      </c>
      <c r="W94" s="13" t="str">
        <f>""</f>
        <v/>
      </c>
      <c r="X94" s="13" t="str">
        <f>""</f>
        <v/>
      </c>
      <c r="Y94" s="35" t="str">
        <f>""</f>
        <v/>
      </c>
      <c r="Z94" s="34" t="str">
        <f>""</f>
        <v/>
      </c>
      <c r="AA94" s="13">
        <v>0</v>
      </c>
      <c r="AB94" s="13" t="str">
        <f>""</f>
        <v/>
      </c>
      <c r="AC94" s="35"/>
      <c r="AD94" s="40" t="str">
        <f>""</f>
        <v/>
      </c>
      <c r="AE94" s="35" t="str">
        <f>""</f>
        <v/>
      </c>
      <c r="AF94" s="40" t="str">
        <f>""</f>
        <v/>
      </c>
      <c r="AG94" s="35" t="str">
        <f>""</f>
        <v/>
      </c>
      <c r="AH94" s="40" t="str">
        <f>""</f>
        <v/>
      </c>
      <c r="AI94" s="35" t="str">
        <f>""</f>
        <v/>
      </c>
      <c r="AJ94" s="40"/>
      <c r="AK94" s="35"/>
      <c r="AL94" s="13" t="str">
        <f>""</f>
        <v/>
      </c>
      <c r="AM94" s="35" t="str">
        <f>""</f>
        <v/>
      </c>
    </row>
    <row r="95" spans="2:39" s="2" customFormat="1" x14ac:dyDescent="0.2">
      <c r="B95" s="4"/>
      <c r="C95" s="4"/>
      <c r="D95" s="4"/>
      <c r="E95" s="4"/>
      <c r="F95" s="13"/>
      <c r="G95" s="13"/>
      <c r="H95" s="13"/>
      <c r="I95" s="13"/>
      <c r="J95" s="13"/>
      <c r="K95" s="13"/>
      <c r="L95" s="13"/>
      <c r="M95" s="13"/>
      <c r="U95" s="65" t="s">
        <v>47</v>
      </c>
      <c r="V95" s="40" t="str">
        <f>""</f>
        <v/>
      </c>
      <c r="W95" s="13" t="str">
        <f>""</f>
        <v/>
      </c>
      <c r="X95" s="13" t="str">
        <f>""</f>
        <v/>
      </c>
      <c r="Y95" s="35" t="str">
        <f>""</f>
        <v/>
      </c>
      <c r="Z95" s="34" t="str">
        <f>""</f>
        <v/>
      </c>
      <c r="AA95" s="13">
        <v>0</v>
      </c>
      <c r="AB95" s="13" t="str">
        <f>""</f>
        <v/>
      </c>
      <c r="AC95" s="35"/>
      <c r="AD95" s="40" t="str">
        <f>""</f>
        <v/>
      </c>
      <c r="AE95" s="35" t="str">
        <f>""</f>
        <v/>
      </c>
      <c r="AF95" s="40" t="str">
        <f>""</f>
        <v/>
      </c>
      <c r="AG95" s="35" t="str">
        <f>""</f>
        <v/>
      </c>
      <c r="AH95" s="40" t="str">
        <f>""</f>
        <v/>
      </c>
      <c r="AI95" s="35" t="str">
        <f>""</f>
        <v/>
      </c>
      <c r="AJ95" s="40"/>
      <c r="AK95" s="35"/>
      <c r="AL95" s="13" t="str">
        <f>""</f>
        <v/>
      </c>
      <c r="AM95" s="35" t="str">
        <f>""</f>
        <v/>
      </c>
    </row>
    <row r="96" spans="2:39" s="2" customFormat="1" x14ac:dyDescent="0.2">
      <c r="B96" s="4"/>
      <c r="C96" s="4"/>
      <c r="D96" s="4"/>
      <c r="E96" s="4"/>
      <c r="F96" s="13"/>
      <c r="G96" s="13"/>
      <c r="H96" s="13"/>
      <c r="I96" s="13"/>
      <c r="J96" s="13"/>
      <c r="K96" s="13"/>
      <c r="L96" s="13"/>
      <c r="M96" s="13"/>
      <c r="U96" s="65" t="s">
        <v>48</v>
      </c>
      <c r="V96" s="40" t="str">
        <f>""</f>
        <v/>
      </c>
      <c r="W96" s="13" t="str">
        <f>""</f>
        <v/>
      </c>
      <c r="X96" s="13" t="str">
        <f>""</f>
        <v/>
      </c>
      <c r="Y96" s="35" t="str">
        <f>""</f>
        <v/>
      </c>
      <c r="Z96" s="34" t="str">
        <f>""</f>
        <v/>
      </c>
      <c r="AA96" s="13">
        <v>0</v>
      </c>
      <c r="AB96" s="13" t="str">
        <f>""</f>
        <v/>
      </c>
      <c r="AC96" s="35"/>
      <c r="AD96" s="40" t="str">
        <f>""</f>
        <v/>
      </c>
      <c r="AE96" s="35" t="str">
        <f>""</f>
        <v/>
      </c>
      <c r="AF96" s="40" t="str">
        <f>""</f>
        <v/>
      </c>
      <c r="AG96" s="35" t="str">
        <f>""</f>
        <v/>
      </c>
      <c r="AH96" s="40" t="str">
        <f>""</f>
        <v/>
      </c>
      <c r="AI96" s="35" t="str">
        <f>""</f>
        <v/>
      </c>
      <c r="AJ96" s="40"/>
      <c r="AK96" s="35"/>
      <c r="AL96" s="13" t="str">
        <f>""</f>
        <v/>
      </c>
      <c r="AM96" s="35" t="str">
        <f>""</f>
        <v/>
      </c>
    </row>
    <row r="97" spans="2:39" s="2" customFormat="1" x14ac:dyDescent="0.2">
      <c r="B97" s="4"/>
      <c r="C97" s="4"/>
      <c r="D97" s="4"/>
      <c r="E97" s="4"/>
      <c r="F97" s="13"/>
      <c r="G97" s="13"/>
      <c r="H97" s="13"/>
      <c r="I97" s="13"/>
      <c r="J97" s="13"/>
      <c r="K97" s="13"/>
      <c r="L97" s="13"/>
      <c r="M97" s="13"/>
      <c r="U97" s="65" t="s">
        <v>49</v>
      </c>
      <c r="V97" s="40" t="str">
        <f>""</f>
        <v/>
      </c>
      <c r="W97" s="13" t="str">
        <f>""</f>
        <v/>
      </c>
      <c r="X97" s="13" t="str">
        <f>""</f>
        <v/>
      </c>
      <c r="Y97" s="35" t="str">
        <f>""</f>
        <v/>
      </c>
      <c r="Z97" s="34" t="str">
        <f>""</f>
        <v/>
      </c>
      <c r="AA97" s="13">
        <v>0</v>
      </c>
      <c r="AB97" s="13" t="str">
        <f>""</f>
        <v/>
      </c>
      <c r="AC97" s="35"/>
      <c r="AD97" s="40" t="str">
        <f>""</f>
        <v/>
      </c>
      <c r="AE97" s="35" t="str">
        <f>""</f>
        <v/>
      </c>
      <c r="AF97" s="40" t="str">
        <f>""</f>
        <v/>
      </c>
      <c r="AG97" s="35" t="str">
        <f>""</f>
        <v/>
      </c>
      <c r="AH97" s="40" t="str">
        <f>""</f>
        <v/>
      </c>
      <c r="AI97" s="35" t="str">
        <f>""</f>
        <v/>
      </c>
      <c r="AJ97" s="40"/>
      <c r="AK97" s="35"/>
      <c r="AL97" s="13" t="str">
        <f>""</f>
        <v/>
      </c>
      <c r="AM97" s="35" t="str">
        <f>""</f>
        <v/>
      </c>
    </row>
    <row r="98" spans="2:39" s="2" customFormat="1" x14ac:dyDescent="0.2">
      <c r="B98" s="4"/>
      <c r="C98" s="4"/>
      <c r="D98" s="4"/>
      <c r="E98" s="4"/>
      <c r="F98" s="13"/>
      <c r="G98" s="13"/>
      <c r="H98" s="13"/>
      <c r="I98" s="13"/>
      <c r="J98" s="13"/>
      <c r="K98" s="13"/>
      <c r="L98" s="13"/>
      <c r="M98" s="13"/>
      <c r="U98" s="65" t="s">
        <v>50</v>
      </c>
      <c r="V98" s="40" t="str">
        <f>""</f>
        <v/>
      </c>
      <c r="W98" s="13" t="str">
        <f>""</f>
        <v/>
      </c>
      <c r="X98" s="13" t="str">
        <f>""</f>
        <v/>
      </c>
      <c r="Y98" s="35" t="str">
        <f>""</f>
        <v/>
      </c>
      <c r="Z98" s="34" t="str">
        <f>""</f>
        <v/>
      </c>
      <c r="AA98" s="13">
        <v>0</v>
      </c>
      <c r="AB98" s="13" t="str">
        <f>""</f>
        <v/>
      </c>
      <c r="AC98" s="35"/>
      <c r="AD98" s="40" t="str">
        <f>""</f>
        <v/>
      </c>
      <c r="AE98" s="35" t="str">
        <f>""</f>
        <v/>
      </c>
      <c r="AF98" s="40" t="str">
        <f>""</f>
        <v/>
      </c>
      <c r="AG98" s="35" t="str">
        <f>""</f>
        <v/>
      </c>
      <c r="AH98" s="40" t="str">
        <f>""</f>
        <v/>
      </c>
      <c r="AI98" s="35" t="str">
        <f>""</f>
        <v/>
      </c>
      <c r="AJ98" s="40"/>
      <c r="AK98" s="35"/>
      <c r="AL98" s="13" t="str">
        <f>""</f>
        <v/>
      </c>
      <c r="AM98" s="35" t="str">
        <f>""</f>
        <v/>
      </c>
    </row>
    <row r="99" spans="2:39" s="2" customFormat="1" x14ac:dyDescent="0.2">
      <c r="B99" s="4"/>
      <c r="C99" s="4"/>
      <c r="D99" s="4"/>
      <c r="E99" s="4"/>
      <c r="F99" s="13"/>
      <c r="G99" s="13"/>
      <c r="H99" s="13"/>
      <c r="I99" s="13"/>
      <c r="J99" s="13"/>
      <c r="K99" s="13"/>
      <c r="L99" s="13"/>
      <c r="M99" s="13"/>
      <c r="U99" s="65" t="s">
        <v>51</v>
      </c>
      <c r="V99" s="40" t="str">
        <f>""</f>
        <v/>
      </c>
      <c r="W99" s="13" t="str">
        <f>""</f>
        <v/>
      </c>
      <c r="X99" s="13" t="str">
        <f>""</f>
        <v/>
      </c>
      <c r="Y99" s="35" t="str">
        <f>""</f>
        <v/>
      </c>
      <c r="Z99" s="34" t="str">
        <f>""</f>
        <v/>
      </c>
      <c r="AA99" s="13">
        <v>0</v>
      </c>
      <c r="AB99" s="13" t="str">
        <f>""</f>
        <v/>
      </c>
      <c r="AC99" s="35"/>
      <c r="AD99" s="40" t="str">
        <f>""</f>
        <v/>
      </c>
      <c r="AE99" s="35" t="str">
        <f>""</f>
        <v/>
      </c>
      <c r="AF99" s="40" t="str">
        <f>""</f>
        <v/>
      </c>
      <c r="AG99" s="35" t="str">
        <f>""</f>
        <v/>
      </c>
      <c r="AH99" s="40" t="str">
        <f>""</f>
        <v/>
      </c>
      <c r="AI99" s="35" t="str">
        <f>""</f>
        <v/>
      </c>
      <c r="AJ99" s="40"/>
      <c r="AK99" s="35"/>
      <c r="AL99" s="13" t="str">
        <f>""</f>
        <v/>
      </c>
      <c r="AM99" s="35" t="str">
        <f>""</f>
        <v/>
      </c>
    </row>
    <row r="100" spans="2:39" s="2" customFormat="1" x14ac:dyDescent="0.2">
      <c r="B100" s="4"/>
      <c r="C100" s="4"/>
      <c r="D100" s="4"/>
      <c r="E100" s="4"/>
      <c r="F100" s="13"/>
      <c r="G100" s="13"/>
      <c r="H100" s="13"/>
      <c r="I100" s="13"/>
      <c r="J100" s="13"/>
      <c r="K100" s="13"/>
      <c r="L100" s="13"/>
      <c r="M100" s="13"/>
      <c r="U100" s="65" t="s">
        <v>58</v>
      </c>
      <c r="V100" s="40" t="str">
        <f>""</f>
        <v/>
      </c>
      <c r="W100" s="13" t="str">
        <f>""</f>
        <v/>
      </c>
      <c r="X100" s="13" t="str">
        <f>""</f>
        <v/>
      </c>
      <c r="Y100" s="35" t="str">
        <f>""</f>
        <v/>
      </c>
      <c r="Z100" s="34" t="str">
        <f>""</f>
        <v/>
      </c>
      <c r="AA100" s="13">
        <v>0</v>
      </c>
      <c r="AB100" s="13" t="str">
        <f>""</f>
        <v/>
      </c>
      <c r="AC100" s="35"/>
      <c r="AD100" s="40" t="str">
        <f>""</f>
        <v/>
      </c>
      <c r="AE100" s="35" t="str">
        <f>""</f>
        <v/>
      </c>
      <c r="AF100" s="40" t="str">
        <f>""</f>
        <v/>
      </c>
      <c r="AG100" s="35" t="str">
        <f>""</f>
        <v/>
      </c>
      <c r="AH100" s="40" t="str">
        <f>""</f>
        <v/>
      </c>
      <c r="AI100" s="35" t="str">
        <f>""</f>
        <v/>
      </c>
      <c r="AJ100" s="40"/>
      <c r="AK100" s="35"/>
      <c r="AL100" s="13" t="str">
        <f>""</f>
        <v/>
      </c>
      <c r="AM100" s="35" t="str">
        <f>""</f>
        <v/>
      </c>
    </row>
    <row r="101" spans="2:39" s="2" customFormat="1" x14ac:dyDescent="0.2">
      <c r="B101" s="4"/>
      <c r="C101" s="4"/>
      <c r="D101" s="4"/>
      <c r="E101" s="4"/>
      <c r="F101" s="13"/>
      <c r="G101" s="13"/>
      <c r="H101" s="13"/>
      <c r="I101" s="13"/>
      <c r="J101" s="13"/>
      <c r="K101" s="13"/>
      <c r="L101" s="13"/>
      <c r="M101" s="13"/>
      <c r="U101" s="65" t="s">
        <v>59</v>
      </c>
      <c r="V101" s="40" t="str">
        <f>""</f>
        <v/>
      </c>
      <c r="W101" s="13" t="str">
        <f>""</f>
        <v/>
      </c>
      <c r="X101" s="13" t="str">
        <f>""</f>
        <v/>
      </c>
      <c r="Y101" s="35" t="str">
        <f>""</f>
        <v/>
      </c>
      <c r="Z101" s="34" t="str">
        <f>""</f>
        <v/>
      </c>
      <c r="AA101" s="13">
        <v>0</v>
      </c>
      <c r="AB101" s="13" t="str">
        <f>""</f>
        <v/>
      </c>
      <c r="AC101" s="35"/>
      <c r="AD101" s="40" t="str">
        <f>""</f>
        <v/>
      </c>
      <c r="AE101" s="35" t="str">
        <f>""</f>
        <v/>
      </c>
      <c r="AF101" s="40" t="str">
        <f>""</f>
        <v/>
      </c>
      <c r="AG101" s="35" t="str">
        <f>""</f>
        <v/>
      </c>
      <c r="AH101" s="40" t="str">
        <f>""</f>
        <v/>
      </c>
      <c r="AI101" s="35" t="str">
        <f>""</f>
        <v/>
      </c>
      <c r="AJ101" s="40"/>
      <c r="AK101" s="35"/>
      <c r="AL101" s="13" t="str">
        <f>""</f>
        <v/>
      </c>
      <c r="AM101" s="35" t="str">
        <f>""</f>
        <v/>
      </c>
    </row>
    <row r="102" spans="2:39" s="2" customFormat="1" x14ac:dyDescent="0.2">
      <c r="B102" s="4"/>
      <c r="C102" s="4"/>
      <c r="D102" s="4"/>
      <c r="E102" s="4"/>
      <c r="F102" s="13"/>
      <c r="G102" s="13"/>
      <c r="H102" s="13"/>
      <c r="I102" s="13"/>
      <c r="J102" s="13"/>
      <c r="K102" s="13"/>
      <c r="L102" s="13"/>
      <c r="M102" s="13"/>
      <c r="U102" s="65" t="s">
        <v>60</v>
      </c>
      <c r="V102" s="40" t="str">
        <f>""</f>
        <v/>
      </c>
      <c r="W102" s="13" t="str">
        <f>""</f>
        <v/>
      </c>
      <c r="X102" s="13" t="str">
        <f>""</f>
        <v/>
      </c>
      <c r="Y102" s="35" t="str">
        <f>""</f>
        <v/>
      </c>
      <c r="Z102" s="34" t="str">
        <f>""</f>
        <v/>
      </c>
      <c r="AA102" s="13">
        <v>0</v>
      </c>
      <c r="AB102" s="13" t="str">
        <f>""</f>
        <v/>
      </c>
      <c r="AC102" s="35"/>
      <c r="AD102" s="40" t="str">
        <f>""</f>
        <v/>
      </c>
      <c r="AE102" s="35" t="str">
        <f>""</f>
        <v/>
      </c>
      <c r="AF102" s="40" t="str">
        <f>""</f>
        <v/>
      </c>
      <c r="AG102" s="35" t="str">
        <f>""</f>
        <v/>
      </c>
      <c r="AH102" s="40" t="str">
        <f>""</f>
        <v/>
      </c>
      <c r="AI102" s="35" t="str">
        <f>""</f>
        <v/>
      </c>
      <c r="AJ102" s="40"/>
      <c r="AK102" s="35"/>
      <c r="AL102" s="13" t="str">
        <f>""</f>
        <v/>
      </c>
      <c r="AM102" s="35" t="str">
        <f>""</f>
        <v/>
      </c>
    </row>
    <row r="103" spans="2:39" s="2" customFormat="1" x14ac:dyDescent="0.2">
      <c r="B103" s="4"/>
      <c r="C103" s="4"/>
      <c r="D103" s="4"/>
      <c r="E103" s="4"/>
      <c r="F103" s="13"/>
      <c r="G103" s="13"/>
      <c r="H103" s="13"/>
      <c r="I103" s="13"/>
      <c r="J103" s="13"/>
      <c r="K103" s="13"/>
      <c r="L103" s="13"/>
      <c r="M103" s="13"/>
      <c r="U103" s="65" t="s">
        <v>61</v>
      </c>
      <c r="V103" s="40" t="str">
        <f>""</f>
        <v/>
      </c>
      <c r="W103" s="13" t="str">
        <f>""</f>
        <v/>
      </c>
      <c r="X103" s="13" t="str">
        <f>""</f>
        <v/>
      </c>
      <c r="Y103" s="35" t="str">
        <f>""</f>
        <v/>
      </c>
      <c r="Z103" s="34" t="str">
        <f>""</f>
        <v/>
      </c>
      <c r="AA103" s="13">
        <v>0</v>
      </c>
      <c r="AB103" s="13" t="str">
        <f>""</f>
        <v/>
      </c>
      <c r="AC103" s="35"/>
      <c r="AD103" s="40" t="str">
        <f>""</f>
        <v/>
      </c>
      <c r="AE103" s="35" t="str">
        <f>""</f>
        <v/>
      </c>
      <c r="AF103" s="40" t="str">
        <f>""</f>
        <v/>
      </c>
      <c r="AG103" s="35" t="str">
        <f>""</f>
        <v/>
      </c>
      <c r="AH103" s="40" t="str">
        <f>""</f>
        <v/>
      </c>
      <c r="AI103" s="35" t="str">
        <f>""</f>
        <v/>
      </c>
      <c r="AJ103" s="40"/>
      <c r="AK103" s="35"/>
      <c r="AL103" s="13" t="str">
        <f>""</f>
        <v/>
      </c>
      <c r="AM103" s="35" t="str">
        <f>""</f>
        <v/>
      </c>
    </row>
    <row r="104" spans="2:39" s="2" customFormat="1" x14ac:dyDescent="0.2">
      <c r="B104" s="4"/>
      <c r="C104" s="4"/>
      <c r="D104" s="4"/>
      <c r="E104" s="4"/>
      <c r="F104" s="13"/>
      <c r="G104" s="13"/>
      <c r="H104" s="13"/>
      <c r="I104" s="13"/>
      <c r="J104" s="13"/>
      <c r="K104" s="13"/>
      <c r="L104" s="13"/>
      <c r="M104" s="13"/>
      <c r="U104" s="65" t="s">
        <v>62</v>
      </c>
      <c r="V104" s="40" t="str">
        <f>""</f>
        <v/>
      </c>
      <c r="W104" s="13" t="str">
        <f>""</f>
        <v/>
      </c>
      <c r="X104" s="13" t="str">
        <f>""</f>
        <v/>
      </c>
      <c r="Y104" s="35" t="str">
        <f>""</f>
        <v/>
      </c>
      <c r="Z104" s="34" t="str">
        <f>""</f>
        <v/>
      </c>
      <c r="AA104" s="13">
        <v>0</v>
      </c>
      <c r="AB104" s="13" t="str">
        <f>""</f>
        <v/>
      </c>
      <c r="AC104" s="35"/>
      <c r="AD104" s="40" t="str">
        <f>""</f>
        <v/>
      </c>
      <c r="AE104" s="35" t="str">
        <f>""</f>
        <v/>
      </c>
      <c r="AF104" s="40" t="str">
        <f>""</f>
        <v/>
      </c>
      <c r="AG104" s="35" t="str">
        <f>""</f>
        <v/>
      </c>
      <c r="AH104" s="40" t="str">
        <f>""</f>
        <v/>
      </c>
      <c r="AI104" s="35" t="str">
        <f>""</f>
        <v/>
      </c>
      <c r="AJ104" s="40"/>
      <c r="AK104" s="35"/>
      <c r="AL104" s="13" t="str">
        <f>""</f>
        <v/>
      </c>
      <c r="AM104" s="35" t="str">
        <f>""</f>
        <v/>
      </c>
    </row>
    <row r="105" spans="2:39" s="2" customFormat="1" x14ac:dyDescent="0.2">
      <c r="B105" s="4"/>
      <c r="C105" s="4"/>
      <c r="D105" s="4"/>
      <c r="E105" s="4"/>
      <c r="F105" s="13"/>
      <c r="G105" s="13"/>
      <c r="H105" s="13"/>
      <c r="I105" s="13"/>
      <c r="J105" s="13"/>
      <c r="K105" s="13"/>
      <c r="L105" s="13"/>
      <c r="M105" s="13"/>
      <c r="U105" s="65" t="s">
        <v>63</v>
      </c>
      <c r="V105" s="40" t="str">
        <f>""</f>
        <v/>
      </c>
      <c r="W105" s="13" t="str">
        <f>""</f>
        <v/>
      </c>
      <c r="X105" s="13" t="str">
        <f>""</f>
        <v/>
      </c>
      <c r="Y105" s="35" t="str">
        <f>""</f>
        <v/>
      </c>
      <c r="Z105" s="34" t="str">
        <f>""</f>
        <v/>
      </c>
      <c r="AA105" s="13">
        <v>0</v>
      </c>
      <c r="AB105" s="13" t="str">
        <f>""</f>
        <v/>
      </c>
      <c r="AC105" s="35"/>
      <c r="AD105" s="40" t="str">
        <f>""</f>
        <v/>
      </c>
      <c r="AE105" s="35" t="str">
        <f>""</f>
        <v/>
      </c>
      <c r="AF105" s="40" t="str">
        <f>""</f>
        <v/>
      </c>
      <c r="AG105" s="35" t="str">
        <f>""</f>
        <v/>
      </c>
      <c r="AH105" s="40" t="str">
        <f>""</f>
        <v/>
      </c>
      <c r="AI105" s="35" t="str">
        <f>""</f>
        <v/>
      </c>
      <c r="AJ105" s="40"/>
      <c r="AK105" s="35"/>
      <c r="AL105" s="13" t="str">
        <f>""</f>
        <v/>
      </c>
      <c r="AM105" s="35" t="str">
        <f>""</f>
        <v/>
      </c>
    </row>
    <row r="106" spans="2:39" s="2" customFormat="1" x14ac:dyDescent="0.2">
      <c r="B106" s="4"/>
      <c r="C106" s="4"/>
      <c r="D106" s="4"/>
      <c r="E106" s="4"/>
      <c r="F106" s="13"/>
      <c r="G106" s="13"/>
      <c r="H106" s="13"/>
      <c r="I106" s="13"/>
      <c r="J106" s="13"/>
      <c r="K106" s="13"/>
      <c r="L106" s="13"/>
      <c r="M106" s="13"/>
      <c r="U106" s="65" t="s">
        <v>64</v>
      </c>
      <c r="V106" s="40" t="str">
        <f>""</f>
        <v/>
      </c>
      <c r="W106" s="13" t="str">
        <f>""</f>
        <v/>
      </c>
      <c r="X106" s="13" t="str">
        <f>""</f>
        <v/>
      </c>
      <c r="Y106" s="35" t="str">
        <f>""</f>
        <v/>
      </c>
      <c r="Z106" s="34" t="str">
        <f>""</f>
        <v/>
      </c>
      <c r="AA106" s="13">
        <v>0</v>
      </c>
      <c r="AB106" s="13" t="str">
        <f>""</f>
        <v/>
      </c>
      <c r="AC106" s="35"/>
      <c r="AD106" s="40" t="str">
        <f>""</f>
        <v/>
      </c>
      <c r="AE106" s="35" t="str">
        <f>""</f>
        <v/>
      </c>
      <c r="AF106" s="40" t="str">
        <f>""</f>
        <v/>
      </c>
      <c r="AG106" s="35" t="str">
        <f>""</f>
        <v/>
      </c>
      <c r="AH106" s="40" t="str">
        <f>""</f>
        <v/>
      </c>
      <c r="AI106" s="35" t="str">
        <f>""</f>
        <v/>
      </c>
      <c r="AJ106" s="40"/>
      <c r="AK106" s="35"/>
      <c r="AL106" s="13" t="str">
        <f>""</f>
        <v/>
      </c>
      <c r="AM106" s="35" t="str">
        <f>""</f>
        <v/>
      </c>
    </row>
    <row r="107" spans="2:39" s="2" customFormat="1" x14ac:dyDescent="0.2">
      <c r="B107" s="4"/>
      <c r="C107" s="4"/>
      <c r="D107" s="4"/>
      <c r="E107" s="4"/>
      <c r="F107" s="13"/>
      <c r="G107" s="13"/>
      <c r="H107" s="13"/>
      <c r="I107" s="13"/>
      <c r="J107" s="13"/>
      <c r="K107" s="13"/>
      <c r="L107" s="13"/>
      <c r="M107" s="13"/>
      <c r="U107" s="65" t="s">
        <v>65</v>
      </c>
      <c r="V107" s="40" t="str">
        <f>""</f>
        <v/>
      </c>
      <c r="W107" s="13" t="str">
        <f>""</f>
        <v/>
      </c>
      <c r="X107" s="13" t="str">
        <f>""</f>
        <v/>
      </c>
      <c r="Y107" s="35" t="str">
        <f>""</f>
        <v/>
      </c>
      <c r="Z107" s="34" t="str">
        <f>""</f>
        <v/>
      </c>
      <c r="AA107" s="13">
        <v>0</v>
      </c>
      <c r="AB107" s="13" t="str">
        <f>""</f>
        <v/>
      </c>
      <c r="AC107" s="35"/>
      <c r="AD107" s="40" t="str">
        <f>""</f>
        <v/>
      </c>
      <c r="AE107" s="35" t="str">
        <f>""</f>
        <v/>
      </c>
      <c r="AF107" s="40" t="str">
        <f>""</f>
        <v/>
      </c>
      <c r="AG107" s="35" t="str">
        <f>""</f>
        <v/>
      </c>
      <c r="AH107" s="40" t="str">
        <f>""</f>
        <v/>
      </c>
      <c r="AI107" s="35" t="str">
        <f>""</f>
        <v/>
      </c>
      <c r="AJ107" s="40"/>
      <c r="AK107" s="35"/>
      <c r="AL107" s="13" t="str">
        <f>""</f>
        <v/>
      </c>
      <c r="AM107" s="35" t="str">
        <f>""</f>
        <v/>
      </c>
    </row>
    <row r="108" spans="2:39" s="2" customFormat="1" x14ac:dyDescent="0.2">
      <c r="B108" s="4"/>
      <c r="C108" s="4"/>
      <c r="D108" s="4"/>
      <c r="E108" s="4"/>
      <c r="F108" s="13"/>
      <c r="G108" s="13"/>
      <c r="H108" s="13"/>
      <c r="I108" s="13"/>
      <c r="J108" s="13"/>
      <c r="K108" s="13"/>
      <c r="L108" s="13"/>
      <c r="M108" s="13"/>
      <c r="U108" s="65" t="s">
        <v>66</v>
      </c>
      <c r="V108" s="40" t="str">
        <f>""</f>
        <v/>
      </c>
      <c r="W108" s="13" t="str">
        <f>""</f>
        <v/>
      </c>
      <c r="X108" s="13" t="str">
        <f>""</f>
        <v/>
      </c>
      <c r="Y108" s="35" t="str">
        <f>""</f>
        <v/>
      </c>
      <c r="Z108" s="34" t="str">
        <f>""</f>
        <v/>
      </c>
      <c r="AA108" s="13">
        <v>0</v>
      </c>
      <c r="AB108" s="13" t="str">
        <f>""</f>
        <v/>
      </c>
      <c r="AC108" s="35"/>
      <c r="AD108" s="40" t="str">
        <f>""</f>
        <v/>
      </c>
      <c r="AE108" s="35" t="str">
        <f>""</f>
        <v/>
      </c>
      <c r="AF108" s="40" t="str">
        <f>""</f>
        <v/>
      </c>
      <c r="AG108" s="35" t="str">
        <f>""</f>
        <v/>
      </c>
      <c r="AH108" s="40" t="str">
        <f>""</f>
        <v/>
      </c>
      <c r="AI108" s="35" t="str">
        <f>""</f>
        <v/>
      </c>
      <c r="AJ108" s="40"/>
      <c r="AK108" s="35"/>
      <c r="AL108" s="13" t="str">
        <f>""</f>
        <v/>
      </c>
      <c r="AM108" s="35" t="str">
        <f>""</f>
        <v/>
      </c>
    </row>
    <row r="109" spans="2:39" s="2" customFormat="1" x14ac:dyDescent="0.2">
      <c r="B109" s="4"/>
      <c r="C109" s="4"/>
      <c r="D109" s="4"/>
      <c r="E109" s="4"/>
      <c r="F109" s="13"/>
      <c r="G109" s="13"/>
      <c r="H109" s="13"/>
      <c r="I109" s="13"/>
      <c r="J109" s="13"/>
      <c r="K109" s="13"/>
      <c r="L109" s="13"/>
      <c r="M109" s="13"/>
      <c r="U109" s="65" t="s">
        <v>67</v>
      </c>
      <c r="V109" s="40" t="str">
        <f>""</f>
        <v/>
      </c>
      <c r="W109" s="13" t="str">
        <f>""</f>
        <v/>
      </c>
      <c r="X109" s="13" t="str">
        <f>""</f>
        <v/>
      </c>
      <c r="Y109" s="35" t="str">
        <f>""</f>
        <v/>
      </c>
      <c r="Z109" s="34" t="str">
        <f>""</f>
        <v/>
      </c>
      <c r="AA109" s="13">
        <v>0</v>
      </c>
      <c r="AB109" s="13" t="str">
        <f>""</f>
        <v/>
      </c>
      <c r="AC109" s="35"/>
      <c r="AD109" s="40" t="str">
        <f>""</f>
        <v/>
      </c>
      <c r="AE109" s="35" t="str">
        <f>""</f>
        <v/>
      </c>
      <c r="AF109" s="40" t="str">
        <f>""</f>
        <v/>
      </c>
      <c r="AG109" s="35" t="str">
        <f>""</f>
        <v/>
      </c>
      <c r="AH109" s="40" t="str">
        <f>""</f>
        <v/>
      </c>
      <c r="AI109" s="35" t="str">
        <f>""</f>
        <v/>
      </c>
      <c r="AJ109" s="40"/>
      <c r="AK109" s="35"/>
      <c r="AL109" s="13" t="str">
        <f>""</f>
        <v/>
      </c>
      <c r="AM109" s="35" t="str">
        <f>""</f>
        <v/>
      </c>
    </row>
    <row r="110" spans="2:39" s="2" customFormat="1" x14ac:dyDescent="0.2">
      <c r="B110" s="4"/>
      <c r="C110" s="4"/>
      <c r="D110" s="4"/>
      <c r="E110" s="4"/>
      <c r="F110" s="13"/>
      <c r="G110" s="13"/>
      <c r="H110" s="13"/>
      <c r="I110" s="13"/>
      <c r="J110" s="13"/>
      <c r="K110" s="13"/>
      <c r="L110" s="13"/>
      <c r="M110" s="13"/>
      <c r="U110" s="65" t="s">
        <v>68</v>
      </c>
      <c r="V110" s="40" t="str">
        <f>""</f>
        <v/>
      </c>
      <c r="W110" s="13" t="str">
        <f>""</f>
        <v/>
      </c>
      <c r="X110" s="13" t="str">
        <f>""</f>
        <v/>
      </c>
      <c r="Y110" s="35" t="str">
        <f>""</f>
        <v/>
      </c>
      <c r="Z110" s="34" t="str">
        <f>""</f>
        <v/>
      </c>
      <c r="AA110" s="13">
        <v>0</v>
      </c>
      <c r="AB110" s="13" t="str">
        <f>""</f>
        <v/>
      </c>
      <c r="AC110" s="35"/>
      <c r="AD110" s="40" t="str">
        <f>""</f>
        <v/>
      </c>
      <c r="AE110" s="35" t="str">
        <f>""</f>
        <v/>
      </c>
      <c r="AF110" s="40" t="str">
        <f>""</f>
        <v/>
      </c>
      <c r="AG110" s="35" t="str">
        <f>""</f>
        <v/>
      </c>
      <c r="AH110" s="40" t="str">
        <f>""</f>
        <v/>
      </c>
      <c r="AI110" s="35" t="str">
        <f>""</f>
        <v/>
      </c>
      <c r="AJ110" s="40"/>
      <c r="AK110" s="35"/>
      <c r="AL110" s="13" t="str">
        <f>""</f>
        <v/>
      </c>
      <c r="AM110" s="35" t="str">
        <f>""</f>
        <v/>
      </c>
    </row>
    <row r="111" spans="2:39" s="2" customFormat="1" x14ac:dyDescent="0.2">
      <c r="B111" s="4"/>
      <c r="C111" s="4"/>
      <c r="D111" s="4"/>
      <c r="E111" s="4"/>
      <c r="F111" s="13"/>
      <c r="G111" s="13"/>
      <c r="H111" s="13"/>
      <c r="I111" s="13"/>
      <c r="J111" s="13"/>
      <c r="K111" s="13"/>
      <c r="L111" s="13"/>
      <c r="M111" s="13"/>
      <c r="U111" s="65" t="s">
        <v>69</v>
      </c>
      <c r="V111" s="40" t="str">
        <f>""</f>
        <v/>
      </c>
      <c r="W111" s="13" t="str">
        <f>""</f>
        <v/>
      </c>
      <c r="X111" s="13" t="str">
        <f>""</f>
        <v/>
      </c>
      <c r="Y111" s="35" t="str">
        <f>""</f>
        <v/>
      </c>
      <c r="Z111" s="34" t="str">
        <f>""</f>
        <v/>
      </c>
      <c r="AA111" s="13">
        <v>0</v>
      </c>
      <c r="AB111" s="13" t="str">
        <f>""</f>
        <v/>
      </c>
      <c r="AC111" s="35"/>
      <c r="AD111" s="40" t="str">
        <f>""</f>
        <v/>
      </c>
      <c r="AE111" s="35" t="str">
        <f>""</f>
        <v/>
      </c>
      <c r="AF111" s="40" t="str">
        <f>""</f>
        <v/>
      </c>
      <c r="AG111" s="35" t="str">
        <f>""</f>
        <v/>
      </c>
      <c r="AH111" s="40" t="str">
        <f>""</f>
        <v/>
      </c>
      <c r="AI111" s="35" t="str">
        <f>""</f>
        <v/>
      </c>
      <c r="AJ111" s="40"/>
      <c r="AK111" s="35"/>
      <c r="AL111" s="13" t="str">
        <f>""</f>
        <v/>
      </c>
      <c r="AM111" s="35" t="str">
        <f>""</f>
        <v/>
      </c>
    </row>
    <row r="112" spans="2:39" s="2" customFormat="1" x14ac:dyDescent="0.2">
      <c r="B112" s="4"/>
      <c r="C112" s="4"/>
      <c r="D112" s="4"/>
      <c r="E112" s="4"/>
      <c r="F112" s="13"/>
      <c r="G112" s="13"/>
      <c r="H112" s="13"/>
      <c r="I112" s="13"/>
      <c r="J112" s="13"/>
      <c r="K112" s="13"/>
      <c r="L112" s="13"/>
      <c r="M112" s="13"/>
      <c r="U112" s="65" t="s">
        <v>70</v>
      </c>
      <c r="V112" s="40" t="str">
        <f>""</f>
        <v/>
      </c>
      <c r="W112" s="13" t="str">
        <f>""</f>
        <v/>
      </c>
      <c r="X112" s="13" t="str">
        <f>""</f>
        <v/>
      </c>
      <c r="Y112" s="35" t="str">
        <f>""</f>
        <v/>
      </c>
      <c r="Z112" s="34" t="str">
        <f>""</f>
        <v/>
      </c>
      <c r="AA112" s="13">
        <v>0</v>
      </c>
      <c r="AB112" s="13" t="str">
        <f>""</f>
        <v/>
      </c>
      <c r="AC112" s="35"/>
      <c r="AD112" s="40" t="str">
        <f>""</f>
        <v/>
      </c>
      <c r="AE112" s="35" t="str">
        <f>""</f>
        <v/>
      </c>
      <c r="AF112" s="40" t="str">
        <f>""</f>
        <v/>
      </c>
      <c r="AG112" s="35" t="str">
        <f>""</f>
        <v/>
      </c>
      <c r="AH112" s="40" t="str">
        <f>""</f>
        <v/>
      </c>
      <c r="AI112" s="35" t="str">
        <f>""</f>
        <v/>
      </c>
      <c r="AJ112" s="40"/>
      <c r="AK112" s="35"/>
      <c r="AL112" s="13" t="str">
        <f>""</f>
        <v/>
      </c>
      <c r="AM112" s="35" t="str">
        <f>""</f>
        <v/>
      </c>
    </row>
    <row r="113" spans="2:39" s="2" customFormat="1" x14ac:dyDescent="0.2">
      <c r="B113" s="4"/>
      <c r="C113" s="4"/>
      <c r="D113" s="4"/>
      <c r="E113" s="4"/>
      <c r="F113" s="13"/>
      <c r="G113" s="13"/>
      <c r="H113" s="13"/>
      <c r="I113" s="13"/>
      <c r="J113" s="13"/>
      <c r="K113" s="13"/>
      <c r="L113" s="13"/>
      <c r="M113" s="13"/>
      <c r="U113" s="65" t="s">
        <v>71</v>
      </c>
      <c r="V113" s="40" t="str">
        <f>""</f>
        <v/>
      </c>
      <c r="W113" s="13" t="str">
        <f>""</f>
        <v/>
      </c>
      <c r="X113" s="13" t="str">
        <f>""</f>
        <v/>
      </c>
      <c r="Y113" s="35" t="str">
        <f>""</f>
        <v/>
      </c>
      <c r="Z113" s="34" t="str">
        <f>""</f>
        <v/>
      </c>
      <c r="AA113" s="13">
        <v>0</v>
      </c>
      <c r="AB113" s="13" t="str">
        <f>""</f>
        <v/>
      </c>
      <c r="AC113" s="35"/>
      <c r="AD113" s="40" t="str">
        <f>""</f>
        <v/>
      </c>
      <c r="AE113" s="35" t="str">
        <f>""</f>
        <v/>
      </c>
      <c r="AF113" s="40" t="str">
        <f>""</f>
        <v/>
      </c>
      <c r="AG113" s="35" t="str">
        <f>""</f>
        <v/>
      </c>
      <c r="AH113" s="40" t="str">
        <f>""</f>
        <v/>
      </c>
      <c r="AI113" s="35" t="str">
        <f>""</f>
        <v/>
      </c>
      <c r="AJ113" s="40"/>
      <c r="AK113" s="35"/>
      <c r="AL113" s="13" t="str">
        <f>""</f>
        <v/>
      </c>
      <c r="AM113" s="35" t="str">
        <f>""</f>
        <v/>
      </c>
    </row>
    <row r="114" spans="2:39" s="2" customFormat="1" x14ac:dyDescent="0.2">
      <c r="B114" s="4"/>
      <c r="C114" s="4"/>
      <c r="D114" s="4"/>
      <c r="E114" s="4"/>
      <c r="F114" s="13"/>
      <c r="G114" s="13"/>
      <c r="H114" s="13"/>
      <c r="I114" s="13"/>
      <c r="J114" s="13"/>
      <c r="K114" s="13"/>
      <c r="L114" s="13"/>
      <c r="M114" s="13"/>
      <c r="U114" s="65" t="s">
        <v>72</v>
      </c>
      <c r="V114" s="40" t="str">
        <f>""</f>
        <v/>
      </c>
      <c r="W114" s="13" t="str">
        <f>""</f>
        <v/>
      </c>
      <c r="X114" s="13" t="str">
        <f>""</f>
        <v/>
      </c>
      <c r="Y114" s="35" t="str">
        <f>""</f>
        <v/>
      </c>
      <c r="Z114" s="34" t="str">
        <f>""</f>
        <v/>
      </c>
      <c r="AA114" s="13">
        <v>0</v>
      </c>
      <c r="AB114" s="13" t="str">
        <f>""</f>
        <v/>
      </c>
      <c r="AC114" s="35"/>
      <c r="AD114" s="40" t="str">
        <f>""</f>
        <v/>
      </c>
      <c r="AE114" s="35" t="str">
        <f>""</f>
        <v/>
      </c>
      <c r="AF114" s="40" t="str">
        <f>""</f>
        <v/>
      </c>
      <c r="AG114" s="35" t="str">
        <f>""</f>
        <v/>
      </c>
      <c r="AH114" s="40" t="str">
        <f>""</f>
        <v/>
      </c>
      <c r="AI114" s="35" t="str">
        <f>""</f>
        <v/>
      </c>
      <c r="AJ114" s="40"/>
      <c r="AK114" s="35"/>
      <c r="AL114" s="13" t="str">
        <f>""</f>
        <v/>
      </c>
      <c r="AM114" s="35" t="str">
        <f>""</f>
        <v/>
      </c>
    </row>
    <row r="115" spans="2:39" s="2" customFormat="1" x14ac:dyDescent="0.2">
      <c r="B115" s="4"/>
      <c r="C115" s="4"/>
      <c r="D115" s="4"/>
      <c r="E115" s="4"/>
      <c r="F115" s="13"/>
      <c r="G115" s="13"/>
      <c r="H115" s="13"/>
      <c r="I115" s="13"/>
      <c r="J115" s="13"/>
      <c r="K115" s="13"/>
      <c r="L115" s="13"/>
      <c r="M115" s="13"/>
      <c r="U115" s="65" t="s">
        <v>73</v>
      </c>
      <c r="V115" s="40" t="str">
        <f>""</f>
        <v/>
      </c>
      <c r="W115" s="13" t="str">
        <f>""</f>
        <v/>
      </c>
      <c r="X115" s="13" t="str">
        <f>""</f>
        <v/>
      </c>
      <c r="Y115" s="35" t="str">
        <f>""</f>
        <v/>
      </c>
      <c r="Z115" s="34" t="str">
        <f>""</f>
        <v/>
      </c>
      <c r="AA115" s="13">
        <v>0</v>
      </c>
      <c r="AB115" s="13" t="str">
        <f>""</f>
        <v/>
      </c>
      <c r="AC115" s="35"/>
      <c r="AD115" s="40" t="str">
        <f>""</f>
        <v/>
      </c>
      <c r="AE115" s="35" t="str">
        <f>""</f>
        <v/>
      </c>
      <c r="AF115" s="40" t="str">
        <f>""</f>
        <v/>
      </c>
      <c r="AG115" s="35" t="str">
        <f>""</f>
        <v/>
      </c>
      <c r="AH115" s="40" t="str">
        <f>""</f>
        <v/>
      </c>
      <c r="AI115" s="35" t="str">
        <f>""</f>
        <v/>
      </c>
      <c r="AJ115" s="40"/>
      <c r="AK115" s="35"/>
      <c r="AL115" s="13" t="str">
        <f>""</f>
        <v/>
      </c>
      <c r="AM115" s="35" t="str">
        <f>""</f>
        <v/>
      </c>
    </row>
    <row r="116" spans="2:39" s="2" customFormat="1" x14ac:dyDescent="0.2">
      <c r="B116" s="4"/>
      <c r="C116" s="4"/>
      <c r="D116" s="4"/>
      <c r="E116" s="4"/>
      <c r="F116" s="13"/>
      <c r="G116" s="13"/>
      <c r="H116" s="13"/>
      <c r="I116" s="13"/>
      <c r="J116" s="13"/>
      <c r="K116" s="13"/>
      <c r="L116" s="13"/>
      <c r="M116" s="13"/>
      <c r="U116" s="65" t="s">
        <v>74</v>
      </c>
      <c r="V116" s="40" t="str">
        <f>""</f>
        <v/>
      </c>
      <c r="W116" s="13" t="str">
        <f>""</f>
        <v/>
      </c>
      <c r="X116" s="13" t="str">
        <f>""</f>
        <v/>
      </c>
      <c r="Y116" s="35" t="str">
        <f>""</f>
        <v/>
      </c>
      <c r="Z116" s="34" t="str">
        <f>""</f>
        <v/>
      </c>
      <c r="AA116" s="13">
        <v>0</v>
      </c>
      <c r="AB116" s="13" t="str">
        <f>""</f>
        <v/>
      </c>
      <c r="AC116" s="35"/>
      <c r="AD116" s="40" t="str">
        <f>""</f>
        <v/>
      </c>
      <c r="AE116" s="35" t="str">
        <f>""</f>
        <v/>
      </c>
      <c r="AF116" s="40" t="str">
        <f>""</f>
        <v/>
      </c>
      <c r="AG116" s="35" t="str">
        <f>""</f>
        <v/>
      </c>
      <c r="AH116" s="40" t="str">
        <f>""</f>
        <v/>
      </c>
      <c r="AI116" s="35" t="str">
        <f>""</f>
        <v/>
      </c>
      <c r="AJ116" s="40"/>
      <c r="AK116" s="35"/>
      <c r="AL116" s="13" t="str">
        <f>""</f>
        <v/>
      </c>
      <c r="AM116" s="35" t="str">
        <f>""</f>
        <v/>
      </c>
    </row>
    <row r="117" spans="2:39" s="2" customFormat="1" x14ac:dyDescent="0.2">
      <c r="B117" s="4"/>
      <c r="C117" s="4"/>
      <c r="D117" s="4"/>
      <c r="E117" s="4"/>
      <c r="F117" s="13"/>
      <c r="G117" s="13"/>
      <c r="H117" s="13"/>
      <c r="I117" s="13"/>
      <c r="J117" s="13"/>
      <c r="K117" s="13"/>
      <c r="L117" s="13"/>
      <c r="M117" s="13"/>
      <c r="U117" s="65" t="s">
        <v>75</v>
      </c>
      <c r="V117" s="40" t="str">
        <f>""</f>
        <v/>
      </c>
      <c r="W117" s="13" t="str">
        <f>""</f>
        <v/>
      </c>
      <c r="X117" s="13" t="str">
        <f>""</f>
        <v/>
      </c>
      <c r="Y117" s="35" t="str">
        <f>""</f>
        <v/>
      </c>
      <c r="Z117" s="34" t="str">
        <f>""</f>
        <v/>
      </c>
      <c r="AA117" s="13">
        <v>0</v>
      </c>
      <c r="AB117" s="13" t="str">
        <f>""</f>
        <v/>
      </c>
      <c r="AC117" s="35"/>
      <c r="AD117" s="40" t="str">
        <f>""</f>
        <v/>
      </c>
      <c r="AE117" s="35" t="str">
        <f>""</f>
        <v/>
      </c>
      <c r="AF117" s="40" t="str">
        <f>""</f>
        <v/>
      </c>
      <c r="AG117" s="35" t="str">
        <f>""</f>
        <v/>
      </c>
      <c r="AH117" s="40" t="str">
        <f>""</f>
        <v/>
      </c>
      <c r="AI117" s="35" t="str">
        <f>""</f>
        <v/>
      </c>
      <c r="AJ117" s="40"/>
      <c r="AK117" s="35"/>
      <c r="AL117" s="13" t="str">
        <f>""</f>
        <v/>
      </c>
      <c r="AM117" s="35" t="str">
        <f>""</f>
        <v/>
      </c>
    </row>
    <row r="118" spans="2:39" s="2" customFormat="1" x14ac:dyDescent="0.2">
      <c r="B118" s="4"/>
      <c r="C118" s="4"/>
      <c r="D118" s="4"/>
      <c r="E118" s="4"/>
      <c r="F118" s="13"/>
      <c r="G118" s="13"/>
      <c r="H118" s="13"/>
      <c r="I118" s="13"/>
      <c r="J118" s="13"/>
      <c r="K118" s="13"/>
      <c r="L118" s="13"/>
      <c r="M118" s="13"/>
      <c r="U118" s="65" t="s">
        <v>76</v>
      </c>
      <c r="V118" s="40" t="str">
        <f>""</f>
        <v/>
      </c>
      <c r="W118" s="13" t="str">
        <f>""</f>
        <v/>
      </c>
      <c r="X118" s="13" t="str">
        <f>""</f>
        <v/>
      </c>
      <c r="Y118" s="35" t="str">
        <f>""</f>
        <v/>
      </c>
      <c r="Z118" s="34" t="str">
        <f>""</f>
        <v/>
      </c>
      <c r="AA118" s="13">
        <v>0</v>
      </c>
      <c r="AB118" s="13" t="str">
        <f>""</f>
        <v/>
      </c>
      <c r="AC118" s="35"/>
      <c r="AD118" s="40" t="str">
        <f>""</f>
        <v/>
      </c>
      <c r="AE118" s="35" t="str">
        <f>""</f>
        <v/>
      </c>
      <c r="AF118" s="40" t="str">
        <f>""</f>
        <v/>
      </c>
      <c r="AG118" s="35" t="str">
        <f>""</f>
        <v/>
      </c>
      <c r="AH118" s="40" t="str">
        <f>""</f>
        <v/>
      </c>
      <c r="AI118" s="35" t="str">
        <f>""</f>
        <v/>
      </c>
      <c r="AJ118" s="40"/>
      <c r="AK118" s="35"/>
      <c r="AL118" s="13" t="str">
        <f>""</f>
        <v/>
      </c>
      <c r="AM118" s="35" t="str">
        <f>""</f>
        <v/>
      </c>
    </row>
    <row r="119" spans="2:39" s="2" customFormat="1" x14ac:dyDescent="0.2">
      <c r="B119" s="4"/>
      <c r="C119" s="4"/>
      <c r="D119" s="4"/>
      <c r="E119" s="4"/>
      <c r="F119" s="13"/>
      <c r="G119" s="13"/>
      <c r="H119" s="13"/>
      <c r="I119" s="13"/>
      <c r="J119" s="13"/>
      <c r="K119" s="13"/>
      <c r="L119" s="13"/>
      <c r="M119" s="13"/>
      <c r="U119" s="65" t="s">
        <v>77</v>
      </c>
      <c r="V119" s="40" t="str">
        <f>""</f>
        <v/>
      </c>
      <c r="W119" s="13" t="str">
        <f>""</f>
        <v/>
      </c>
      <c r="X119" s="13" t="str">
        <f>""</f>
        <v/>
      </c>
      <c r="Y119" s="35" t="str">
        <f>""</f>
        <v/>
      </c>
      <c r="Z119" s="34" t="str">
        <f>""</f>
        <v/>
      </c>
      <c r="AA119" s="13">
        <v>0</v>
      </c>
      <c r="AB119" s="13" t="str">
        <f>""</f>
        <v/>
      </c>
      <c r="AC119" s="35"/>
      <c r="AD119" s="40" t="str">
        <f>""</f>
        <v/>
      </c>
      <c r="AE119" s="35" t="str">
        <f>""</f>
        <v/>
      </c>
      <c r="AF119" s="40" t="str">
        <f>""</f>
        <v/>
      </c>
      <c r="AG119" s="35" t="str">
        <f>""</f>
        <v/>
      </c>
      <c r="AH119" s="40" t="str">
        <f>""</f>
        <v/>
      </c>
      <c r="AI119" s="35" t="str">
        <f>""</f>
        <v/>
      </c>
      <c r="AJ119" s="40"/>
      <c r="AK119" s="35"/>
      <c r="AL119" s="13" t="str">
        <f>""</f>
        <v/>
      </c>
      <c r="AM119" s="35" t="str">
        <f>""</f>
        <v/>
      </c>
    </row>
    <row r="120" spans="2:39" s="2" customFormat="1" x14ac:dyDescent="0.2">
      <c r="B120" s="4"/>
      <c r="C120" s="4"/>
      <c r="D120" s="4"/>
      <c r="E120" s="4"/>
      <c r="F120" s="13"/>
      <c r="G120" s="13"/>
      <c r="H120" s="13"/>
      <c r="I120" s="13"/>
      <c r="J120" s="13"/>
      <c r="K120" s="13"/>
      <c r="L120" s="13"/>
      <c r="M120" s="13"/>
      <c r="U120" s="65" t="s">
        <v>78</v>
      </c>
      <c r="V120" s="40" t="str">
        <f>""</f>
        <v/>
      </c>
      <c r="W120" s="13" t="str">
        <f>""</f>
        <v/>
      </c>
      <c r="X120" s="13" t="str">
        <f>""</f>
        <v/>
      </c>
      <c r="Y120" s="35" t="str">
        <f>""</f>
        <v/>
      </c>
      <c r="Z120" s="34" t="str">
        <f>""</f>
        <v/>
      </c>
      <c r="AA120" s="13">
        <v>0</v>
      </c>
      <c r="AB120" s="13" t="str">
        <f>""</f>
        <v/>
      </c>
      <c r="AC120" s="35"/>
      <c r="AD120" s="40" t="str">
        <f>""</f>
        <v/>
      </c>
      <c r="AE120" s="35" t="str">
        <f>""</f>
        <v/>
      </c>
      <c r="AF120" s="40" t="str">
        <f>""</f>
        <v/>
      </c>
      <c r="AG120" s="35" t="str">
        <f>""</f>
        <v/>
      </c>
      <c r="AH120" s="40" t="str">
        <f>""</f>
        <v/>
      </c>
      <c r="AI120" s="35" t="str">
        <f>""</f>
        <v/>
      </c>
      <c r="AJ120" s="40"/>
      <c r="AK120" s="35"/>
      <c r="AL120" s="13" t="str">
        <f>""</f>
        <v/>
      </c>
      <c r="AM120" s="35" t="str">
        <f>""</f>
        <v/>
      </c>
    </row>
    <row r="121" spans="2:39" s="2" customFormat="1" x14ac:dyDescent="0.2">
      <c r="B121" s="4"/>
      <c r="C121" s="4"/>
      <c r="D121" s="4"/>
      <c r="E121" s="4"/>
      <c r="F121" s="13"/>
      <c r="G121" s="13"/>
      <c r="H121" s="13"/>
      <c r="I121" s="13"/>
      <c r="J121" s="13"/>
      <c r="K121" s="13"/>
      <c r="L121" s="13"/>
      <c r="M121" s="13"/>
      <c r="U121" s="65" t="s">
        <v>79</v>
      </c>
      <c r="V121" s="40" t="str">
        <f>""</f>
        <v/>
      </c>
      <c r="W121" s="13" t="str">
        <f>""</f>
        <v/>
      </c>
      <c r="X121" s="13" t="str">
        <f>""</f>
        <v/>
      </c>
      <c r="Y121" s="35" t="str">
        <f>""</f>
        <v/>
      </c>
      <c r="Z121" s="34" t="str">
        <f>""</f>
        <v/>
      </c>
      <c r="AA121" s="13">
        <v>0</v>
      </c>
      <c r="AB121" s="13" t="str">
        <f>""</f>
        <v/>
      </c>
      <c r="AC121" s="35"/>
      <c r="AD121" s="40" t="str">
        <f>""</f>
        <v/>
      </c>
      <c r="AE121" s="35" t="str">
        <f>""</f>
        <v/>
      </c>
      <c r="AF121" s="40" t="str">
        <f>""</f>
        <v/>
      </c>
      <c r="AG121" s="35" t="str">
        <f>""</f>
        <v/>
      </c>
      <c r="AH121" s="40" t="str">
        <f>""</f>
        <v/>
      </c>
      <c r="AI121" s="35" t="str">
        <f>""</f>
        <v/>
      </c>
      <c r="AJ121" s="40"/>
      <c r="AK121" s="35"/>
      <c r="AL121" s="13" t="str">
        <f>""</f>
        <v/>
      </c>
      <c r="AM121" s="35" t="str">
        <f>""</f>
        <v/>
      </c>
    </row>
    <row r="122" spans="2:39" s="2" customFormat="1" x14ac:dyDescent="0.2">
      <c r="B122" s="4"/>
      <c r="C122" s="4"/>
      <c r="D122" s="4"/>
      <c r="E122" s="4"/>
      <c r="F122" s="13"/>
      <c r="G122" s="13"/>
      <c r="H122" s="13"/>
      <c r="I122" s="13"/>
      <c r="J122" s="13"/>
      <c r="K122" s="13"/>
      <c r="L122" s="13"/>
      <c r="M122" s="13"/>
      <c r="U122" s="65" t="s">
        <v>80</v>
      </c>
      <c r="V122" s="40" t="str">
        <f>""</f>
        <v/>
      </c>
      <c r="W122" s="13" t="str">
        <f>""</f>
        <v/>
      </c>
      <c r="X122" s="13" t="str">
        <f>""</f>
        <v/>
      </c>
      <c r="Y122" s="35" t="str">
        <f>""</f>
        <v/>
      </c>
      <c r="Z122" s="34" t="str">
        <f>""</f>
        <v/>
      </c>
      <c r="AA122" s="13">
        <v>0</v>
      </c>
      <c r="AB122" s="13" t="str">
        <f>""</f>
        <v/>
      </c>
      <c r="AC122" s="35"/>
      <c r="AD122" s="40" t="str">
        <f>""</f>
        <v/>
      </c>
      <c r="AE122" s="35" t="str">
        <f>""</f>
        <v/>
      </c>
      <c r="AF122" s="40" t="str">
        <f>""</f>
        <v/>
      </c>
      <c r="AG122" s="35" t="str">
        <f>""</f>
        <v/>
      </c>
      <c r="AH122" s="40" t="str">
        <f>""</f>
        <v/>
      </c>
      <c r="AI122" s="35" t="str">
        <f>""</f>
        <v/>
      </c>
      <c r="AJ122" s="40"/>
      <c r="AK122" s="35"/>
      <c r="AL122" s="13" t="str">
        <f>""</f>
        <v/>
      </c>
      <c r="AM122" s="35" t="str">
        <f>""</f>
        <v/>
      </c>
    </row>
    <row r="123" spans="2:39" s="2" customFormat="1" x14ac:dyDescent="0.2">
      <c r="B123" s="4"/>
      <c r="C123" s="4"/>
      <c r="D123" s="4"/>
      <c r="E123" s="4"/>
      <c r="F123" s="13"/>
      <c r="G123" s="13"/>
      <c r="H123" s="13"/>
      <c r="I123" s="13"/>
      <c r="J123" s="13"/>
      <c r="K123" s="13"/>
      <c r="L123" s="13"/>
      <c r="M123" s="13"/>
      <c r="U123" s="65" t="s">
        <v>81</v>
      </c>
      <c r="V123" s="40" t="str">
        <f>""</f>
        <v/>
      </c>
      <c r="W123" s="13" t="str">
        <f>""</f>
        <v/>
      </c>
      <c r="X123" s="13" t="str">
        <f>""</f>
        <v/>
      </c>
      <c r="Y123" s="35" t="str">
        <f>""</f>
        <v/>
      </c>
      <c r="Z123" s="34" t="str">
        <f>""</f>
        <v/>
      </c>
      <c r="AA123" s="13">
        <v>0</v>
      </c>
      <c r="AB123" s="13" t="str">
        <f>""</f>
        <v/>
      </c>
      <c r="AC123" s="35"/>
      <c r="AD123" s="40" t="str">
        <f>""</f>
        <v/>
      </c>
      <c r="AE123" s="35" t="str">
        <f>""</f>
        <v/>
      </c>
      <c r="AF123" s="40" t="str">
        <f>""</f>
        <v/>
      </c>
      <c r="AG123" s="35" t="str">
        <f>""</f>
        <v/>
      </c>
      <c r="AH123" s="40" t="str">
        <f>""</f>
        <v/>
      </c>
      <c r="AI123" s="35" t="str">
        <f>""</f>
        <v/>
      </c>
      <c r="AJ123" s="40"/>
      <c r="AK123" s="35"/>
      <c r="AL123" s="13" t="str">
        <f>""</f>
        <v/>
      </c>
      <c r="AM123" s="35" t="str">
        <f>""</f>
        <v/>
      </c>
    </row>
    <row r="124" spans="2:39" s="2" customFormat="1" x14ac:dyDescent="0.2">
      <c r="B124" s="4"/>
      <c r="C124" s="4"/>
      <c r="D124" s="4"/>
      <c r="E124" s="4"/>
      <c r="F124" s="13"/>
      <c r="G124" s="13"/>
      <c r="H124" s="13"/>
      <c r="I124" s="13"/>
      <c r="J124" s="13"/>
      <c r="K124" s="13"/>
      <c r="L124" s="13"/>
      <c r="M124" s="13"/>
      <c r="U124" s="65" t="s">
        <v>82</v>
      </c>
      <c r="V124" s="40" t="str">
        <f>""</f>
        <v/>
      </c>
      <c r="W124" s="13" t="str">
        <f>""</f>
        <v/>
      </c>
      <c r="X124" s="13" t="str">
        <f>""</f>
        <v/>
      </c>
      <c r="Y124" s="35" t="str">
        <f>""</f>
        <v/>
      </c>
      <c r="Z124" s="34" t="str">
        <f>""</f>
        <v/>
      </c>
      <c r="AA124" s="13">
        <v>0</v>
      </c>
      <c r="AB124" s="13" t="str">
        <f>""</f>
        <v/>
      </c>
      <c r="AC124" s="35"/>
      <c r="AD124" s="40" t="str">
        <f>""</f>
        <v/>
      </c>
      <c r="AE124" s="35" t="str">
        <f>""</f>
        <v/>
      </c>
      <c r="AF124" s="40" t="str">
        <f>""</f>
        <v/>
      </c>
      <c r="AG124" s="35" t="str">
        <f>""</f>
        <v/>
      </c>
      <c r="AH124" s="40" t="str">
        <f>""</f>
        <v/>
      </c>
      <c r="AI124" s="35" t="str">
        <f>""</f>
        <v/>
      </c>
      <c r="AJ124" s="40"/>
      <c r="AK124" s="35"/>
      <c r="AL124" s="13" t="str">
        <f>""</f>
        <v/>
      </c>
      <c r="AM124" s="35" t="str">
        <f>""</f>
        <v/>
      </c>
    </row>
    <row r="125" spans="2:39" s="2" customFormat="1" x14ac:dyDescent="0.2">
      <c r="B125" s="4"/>
      <c r="C125" s="4"/>
      <c r="D125" s="4"/>
      <c r="E125" s="4"/>
      <c r="F125" s="13"/>
      <c r="G125" s="13"/>
      <c r="H125" s="13"/>
      <c r="I125" s="13"/>
      <c r="J125" s="13"/>
      <c r="K125" s="13"/>
      <c r="L125" s="13"/>
      <c r="M125" s="13"/>
      <c r="U125" s="65" t="s">
        <v>83</v>
      </c>
      <c r="V125" s="40" t="str">
        <f>""</f>
        <v/>
      </c>
      <c r="W125" s="13" t="str">
        <f>""</f>
        <v/>
      </c>
      <c r="X125" s="13" t="str">
        <f>""</f>
        <v/>
      </c>
      <c r="Y125" s="35" t="str">
        <f>""</f>
        <v/>
      </c>
      <c r="Z125" s="34" t="str">
        <f>""</f>
        <v/>
      </c>
      <c r="AA125" s="13">
        <v>0</v>
      </c>
      <c r="AB125" s="13" t="str">
        <f>""</f>
        <v/>
      </c>
      <c r="AC125" s="35"/>
      <c r="AD125" s="40" t="str">
        <f>""</f>
        <v/>
      </c>
      <c r="AE125" s="35" t="str">
        <f>""</f>
        <v/>
      </c>
      <c r="AF125" s="40" t="str">
        <f>""</f>
        <v/>
      </c>
      <c r="AG125" s="35" t="str">
        <f>""</f>
        <v/>
      </c>
      <c r="AH125" s="40" t="str">
        <f>""</f>
        <v/>
      </c>
      <c r="AI125" s="35" t="str">
        <f>""</f>
        <v/>
      </c>
      <c r="AJ125" s="40"/>
      <c r="AK125" s="35"/>
      <c r="AL125" s="13" t="str">
        <f>""</f>
        <v/>
      </c>
      <c r="AM125" s="35" t="str">
        <f>""</f>
        <v/>
      </c>
    </row>
    <row r="126" spans="2:39" s="2" customFormat="1" x14ac:dyDescent="0.2">
      <c r="B126" s="4"/>
      <c r="C126" s="4"/>
      <c r="D126" s="4"/>
      <c r="E126" s="4"/>
      <c r="F126" s="13"/>
      <c r="G126" s="13"/>
      <c r="H126" s="13"/>
      <c r="I126" s="13"/>
      <c r="J126" s="13"/>
      <c r="K126" s="13"/>
      <c r="L126" s="13"/>
      <c r="M126" s="13"/>
      <c r="U126" s="65" t="s">
        <v>84</v>
      </c>
      <c r="V126" s="40" t="str">
        <f>""</f>
        <v/>
      </c>
      <c r="W126" s="13" t="str">
        <f>""</f>
        <v/>
      </c>
      <c r="X126" s="13" t="str">
        <f>""</f>
        <v/>
      </c>
      <c r="Y126" s="35" t="str">
        <f>""</f>
        <v/>
      </c>
      <c r="Z126" s="34" t="str">
        <f>""</f>
        <v/>
      </c>
      <c r="AA126" s="13">
        <v>0</v>
      </c>
      <c r="AB126" s="13" t="str">
        <f>""</f>
        <v/>
      </c>
      <c r="AC126" s="35"/>
      <c r="AD126" s="40" t="str">
        <f>""</f>
        <v/>
      </c>
      <c r="AE126" s="35" t="str">
        <f>""</f>
        <v/>
      </c>
      <c r="AF126" s="40" t="str">
        <f>""</f>
        <v/>
      </c>
      <c r="AG126" s="35" t="str">
        <f>""</f>
        <v/>
      </c>
      <c r="AH126" s="40" t="str">
        <f>""</f>
        <v/>
      </c>
      <c r="AI126" s="35" t="str">
        <f>""</f>
        <v/>
      </c>
      <c r="AJ126" s="40"/>
      <c r="AK126" s="35"/>
      <c r="AL126" s="13" t="str">
        <f>""</f>
        <v/>
      </c>
      <c r="AM126" s="35" t="str">
        <f>""</f>
        <v/>
      </c>
    </row>
    <row r="127" spans="2:39" s="2" customFormat="1" x14ac:dyDescent="0.2">
      <c r="B127" s="4"/>
      <c r="C127" s="4"/>
      <c r="D127" s="4"/>
      <c r="E127" s="4"/>
      <c r="F127" s="13"/>
      <c r="G127" s="13"/>
      <c r="H127" s="13"/>
      <c r="I127" s="13"/>
      <c r="J127" s="13"/>
      <c r="K127" s="13"/>
      <c r="L127" s="13"/>
      <c r="M127" s="13"/>
      <c r="U127" s="65" t="s">
        <v>85</v>
      </c>
      <c r="V127" s="40" t="str">
        <f>""</f>
        <v/>
      </c>
      <c r="W127" s="13" t="str">
        <f>""</f>
        <v/>
      </c>
      <c r="X127" s="13" t="str">
        <f>""</f>
        <v/>
      </c>
      <c r="Y127" s="35" t="str">
        <f>""</f>
        <v/>
      </c>
      <c r="Z127" s="34" t="str">
        <f>""</f>
        <v/>
      </c>
      <c r="AA127" s="13">
        <v>0</v>
      </c>
      <c r="AB127" s="13" t="str">
        <f>""</f>
        <v/>
      </c>
      <c r="AC127" s="35"/>
      <c r="AD127" s="40" t="str">
        <f>""</f>
        <v/>
      </c>
      <c r="AE127" s="35" t="str">
        <f>""</f>
        <v/>
      </c>
      <c r="AF127" s="40" t="str">
        <f>""</f>
        <v/>
      </c>
      <c r="AG127" s="35" t="str">
        <f>""</f>
        <v/>
      </c>
      <c r="AH127" s="40" t="str">
        <f>""</f>
        <v/>
      </c>
      <c r="AI127" s="35" t="str">
        <f>""</f>
        <v/>
      </c>
      <c r="AJ127" s="40"/>
      <c r="AK127" s="35"/>
      <c r="AL127" s="13" t="str">
        <f>""</f>
        <v/>
      </c>
      <c r="AM127" s="35" t="str">
        <f>""</f>
        <v/>
      </c>
    </row>
    <row r="128" spans="2:39" s="2" customFormat="1" x14ac:dyDescent="0.2">
      <c r="B128" s="4"/>
      <c r="C128" s="4"/>
      <c r="D128" s="4"/>
      <c r="E128" s="4"/>
      <c r="F128" s="13"/>
      <c r="G128" s="13"/>
      <c r="H128" s="13"/>
      <c r="I128" s="13"/>
      <c r="J128" s="13"/>
      <c r="K128" s="13"/>
      <c r="L128" s="13"/>
      <c r="M128" s="13"/>
      <c r="U128" s="65" t="s">
        <v>86</v>
      </c>
      <c r="V128" s="40" t="str">
        <f>""</f>
        <v/>
      </c>
      <c r="W128" s="13" t="str">
        <f>""</f>
        <v/>
      </c>
      <c r="X128" s="13" t="str">
        <f>""</f>
        <v/>
      </c>
      <c r="Y128" s="35" t="str">
        <f>""</f>
        <v/>
      </c>
      <c r="Z128" s="34" t="str">
        <f>""</f>
        <v/>
      </c>
      <c r="AA128" s="13">
        <v>0</v>
      </c>
      <c r="AB128" s="13" t="str">
        <f>""</f>
        <v/>
      </c>
      <c r="AC128" s="35"/>
      <c r="AD128" s="40" t="str">
        <f>""</f>
        <v/>
      </c>
      <c r="AE128" s="35" t="str">
        <f>""</f>
        <v/>
      </c>
      <c r="AF128" s="40" t="str">
        <f>""</f>
        <v/>
      </c>
      <c r="AG128" s="35" t="str">
        <f>""</f>
        <v/>
      </c>
      <c r="AH128" s="40" t="str">
        <f>""</f>
        <v/>
      </c>
      <c r="AI128" s="35" t="str">
        <f>""</f>
        <v/>
      </c>
      <c r="AJ128" s="40"/>
      <c r="AK128" s="35"/>
      <c r="AL128" s="13" t="str">
        <f>""</f>
        <v/>
      </c>
      <c r="AM128" s="35" t="str">
        <f>""</f>
        <v/>
      </c>
    </row>
    <row r="129" spans="2:39" s="2" customFormat="1" x14ac:dyDescent="0.2">
      <c r="B129" s="4"/>
      <c r="C129" s="4"/>
      <c r="D129" s="4"/>
      <c r="E129" s="4"/>
      <c r="F129" s="13"/>
      <c r="G129" s="13"/>
      <c r="H129" s="13"/>
      <c r="I129" s="13"/>
      <c r="J129" s="13"/>
      <c r="K129" s="13"/>
      <c r="L129" s="13"/>
      <c r="M129" s="13"/>
      <c r="U129" s="65" t="s">
        <v>87</v>
      </c>
      <c r="V129" s="40" t="str">
        <f>""</f>
        <v/>
      </c>
      <c r="W129" s="13" t="str">
        <f>""</f>
        <v/>
      </c>
      <c r="X129" s="13" t="str">
        <f>""</f>
        <v/>
      </c>
      <c r="Y129" s="35" t="str">
        <f>""</f>
        <v/>
      </c>
      <c r="Z129" s="34" t="str">
        <f>""</f>
        <v/>
      </c>
      <c r="AA129" s="13">
        <v>0</v>
      </c>
      <c r="AB129" s="13" t="str">
        <f>""</f>
        <v/>
      </c>
      <c r="AC129" s="35"/>
      <c r="AD129" s="40" t="str">
        <f>""</f>
        <v/>
      </c>
      <c r="AE129" s="35" t="str">
        <f>""</f>
        <v/>
      </c>
      <c r="AF129" s="40" t="str">
        <f>""</f>
        <v/>
      </c>
      <c r="AG129" s="35" t="str">
        <f>""</f>
        <v/>
      </c>
      <c r="AH129" s="40" t="str">
        <f>""</f>
        <v/>
      </c>
      <c r="AI129" s="35" t="str">
        <f>""</f>
        <v/>
      </c>
      <c r="AJ129" s="40"/>
      <c r="AK129" s="35"/>
      <c r="AL129" s="13" t="str">
        <f>""</f>
        <v/>
      </c>
      <c r="AM129" s="35" t="str">
        <f>""</f>
        <v/>
      </c>
    </row>
    <row r="130" spans="2:39" s="2" customFormat="1" x14ac:dyDescent="0.2">
      <c r="B130" s="4"/>
      <c r="C130" s="4"/>
      <c r="D130" s="4"/>
      <c r="E130" s="4"/>
      <c r="F130" s="13"/>
      <c r="G130" s="13"/>
      <c r="H130" s="13"/>
      <c r="I130" s="13"/>
      <c r="J130" s="13"/>
      <c r="K130" s="13"/>
      <c r="L130" s="13"/>
      <c r="M130" s="13"/>
      <c r="U130" s="65" t="s">
        <v>88</v>
      </c>
      <c r="V130" s="40" t="str">
        <f>""</f>
        <v/>
      </c>
      <c r="W130" s="13" t="str">
        <f>""</f>
        <v/>
      </c>
      <c r="X130" s="13" t="str">
        <f>""</f>
        <v/>
      </c>
      <c r="Y130" s="35" t="str">
        <f>""</f>
        <v/>
      </c>
      <c r="Z130" s="34" t="str">
        <f>""</f>
        <v/>
      </c>
      <c r="AA130" s="13">
        <v>0</v>
      </c>
      <c r="AB130" s="13" t="str">
        <f>""</f>
        <v/>
      </c>
      <c r="AC130" s="35"/>
      <c r="AD130" s="40" t="str">
        <f>""</f>
        <v/>
      </c>
      <c r="AE130" s="35" t="str">
        <f>""</f>
        <v/>
      </c>
      <c r="AF130" s="40" t="str">
        <f>""</f>
        <v/>
      </c>
      <c r="AG130" s="35" t="str">
        <f>""</f>
        <v/>
      </c>
      <c r="AH130" s="40" t="str">
        <f>""</f>
        <v/>
      </c>
      <c r="AI130" s="35" t="str">
        <f>""</f>
        <v/>
      </c>
      <c r="AJ130" s="40"/>
      <c r="AK130" s="35"/>
      <c r="AL130" s="13" t="str">
        <f>""</f>
        <v/>
      </c>
      <c r="AM130" s="35" t="str">
        <f>""</f>
        <v/>
      </c>
    </row>
    <row r="131" spans="2:39" s="2" customFormat="1" x14ac:dyDescent="0.2">
      <c r="B131" s="4"/>
      <c r="C131" s="4"/>
      <c r="D131" s="4"/>
      <c r="E131" s="4"/>
      <c r="F131" s="13"/>
      <c r="G131" s="13"/>
      <c r="H131" s="13"/>
      <c r="I131" s="13"/>
      <c r="J131" s="13"/>
      <c r="K131" s="13"/>
      <c r="L131" s="13"/>
      <c r="M131" s="13"/>
      <c r="U131" s="65" t="s">
        <v>89</v>
      </c>
      <c r="V131" s="40" t="str">
        <f>""</f>
        <v/>
      </c>
      <c r="W131" s="13" t="str">
        <f>""</f>
        <v/>
      </c>
      <c r="X131" s="13" t="str">
        <f>""</f>
        <v/>
      </c>
      <c r="Y131" s="35" t="str">
        <f>""</f>
        <v/>
      </c>
      <c r="Z131" s="34" t="str">
        <f>""</f>
        <v/>
      </c>
      <c r="AA131" s="13">
        <v>0</v>
      </c>
      <c r="AB131" s="13" t="str">
        <f>""</f>
        <v/>
      </c>
      <c r="AC131" s="35"/>
      <c r="AD131" s="40" t="str">
        <f>""</f>
        <v/>
      </c>
      <c r="AE131" s="35" t="str">
        <f>""</f>
        <v/>
      </c>
      <c r="AF131" s="40" t="str">
        <f>""</f>
        <v/>
      </c>
      <c r="AG131" s="35" t="str">
        <f>""</f>
        <v/>
      </c>
      <c r="AH131" s="40" t="str">
        <f>""</f>
        <v/>
      </c>
      <c r="AI131" s="35" t="str">
        <f>""</f>
        <v/>
      </c>
      <c r="AJ131" s="40"/>
      <c r="AK131" s="35"/>
      <c r="AL131" s="13" t="str">
        <f>""</f>
        <v/>
      </c>
      <c r="AM131" s="35" t="str">
        <f>""</f>
        <v/>
      </c>
    </row>
    <row r="132" spans="2:39" s="2" customFormat="1" x14ac:dyDescent="0.2">
      <c r="B132" s="4"/>
      <c r="C132" s="4"/>
      <c r="D132" s="4"/>
      <c r="E132" s="4"/>
      <c r="F132" s="13"/>
      <c r="G132" s="13"/>
      <c r="H132" s="13"/>
      <c r="I132" s="13"/>
      <c r="J132" s="13"/>
      <c r="K132" s="13"/>
      <c r="L132" s="13"/>
      <c r="M132" s="13"/>
      <c r="U132" s="65" t="s">
        <v>90</v>
      </c>
      <c r="V132" s="40" t="str">
        <f>""</f>
        <v/>
      </c>
      <c r="W132" s="13" t="str">
        <f>""</f>
        <v/>
      </c>
      <c r="X132" s="13" t="str">
        <f>""</f>
        <v/>
      </c>
      <c r="Y132" s="35" t="str">
        <f>""</f>
        <v/>
      </c>
      <c r="Z132" s="34" t="str">
        <f>""</f>
        <v/>
      </c>
      <c r="AA132" s="13">
        <v>0</v>
      </c>
      <c r="AB132" s="13" t="str">
        <f>""</f>
        <v/>
      </c>
      <c r="AC132" s="35"/>
      <c r="AD132" s="40" t="str">
        <f>""</f>
        <v/>
      </c>
      <c r="AE132" s="35" t="str">
        <f>""</f>
        <v/>
      </c>
      <c r="AF132" s="40" t="str">
        <f>""</f>
        <v/>
      </c>
      <c r="AG132" s="35" t="str">
        <f>""</f>
        <v/>
      </c>
      <c r="AH132" s="40" t="str">
        <f>""</f>
        <v/>
      </c>
      <c r="AI132" s="35" t="str">
        <f>""</f>
        <v/>
      </c>
      <c r="AJ132" s="40"/>
      <c r="AK132" s="35"/>
      <c r="AL132" s="13" t="str">
        <f>""</f>
        <v/>
      </c>
      <c r="AM132" s="35" t="str">
        <f>""</f>
        <v/>
      </c>
    </row>
    <row r="133" spans="2:39" s="2" customFormat="1" x14ac:dyDescent="0.2">
      <c r="B133" s="4"/>
      <c r="C133" s="4"/>
      <c r="D133" s="4"/>
      <c r="E133" s="4"/>
      <c r="F133" s="13"/>
      <c r="G133" s="13"/>
      <c r="H133" s="13"/>
      <c r="I133" s="13"/>
      <c r="J133" s="13"/>
      <c r="K133" s="13"/>
      <c r="L133" s="13"/>
      <c r="M133" s="13"/>
      <c r="U133" s="65" t="s">
        <v>91</v>
      </c>
      <c r="V133" s="40" t="str">
        <f>""</f>
        <v/>
      </c>
      <c r="W133" s="13" t="str">
        <f>""</f>
        <v/>
      </c>
      <c r="X133" s="13" t="str">
        <f>""</f>
        <v/>
      </c>
      <c r="Y133" s="35" t="str">
        <f>""</f>
        <v/>
      </c>
      <c r="Z133" s="34" t="str">
        <f>""</f>
        <v/>
      </c>
      <c r="AA133" s="13">
        <v>0</v>
      </c>
      <c r="AB133" s="13" t="str">
        <f>""</f>
        <v/>
      </c>
      <c r="AC133" s="35"/>
      <c r="AD133" s="40" t="str">
        <f>""</f>
        <v/>
      </c>
      <c r="AE133" s="35" t="str">
        <f>""</f>
        <v/>
      </c>
      <c r="AF133" s="40" t="str">
        <f>""</f>
        <v/>
      </c>
      <c r="AG133" s="35" t="str">
        <f>""</f>
        <v/>
      </c>
      <c r="AH133" s="40" t="str">
        <f>""</f>
        <v/>
      </c>
      <c r="AI133" s="35" t="str">
        <f>""</f>
        <v/>
      </c>
      <c r="AJ133" s="40"/>
      <c r="AK133" s="35"/>
      <c r="AL133" s="13" t="str">
        <f>""</f>
        <v/>
      </c>
      <c r="AM133" s="35" t="str">
        <f>""</f>
        <v/>
      </c>
    </row>
    <row r="134" spans="2:39" s="2" customFormat="1" x14ac:dyDescent="0.2">
      <c r="B134" s="4"/>
      <c r="C134" s="4"/>
      <c r="D134" s="4"/>
      <c r="E134" s="4"/>
      <c r="F134" s="13"/>
      <c r="G134" s="13"/>
      <c r="H134" s="13"/>
      <c r="I134" s="13"/>
      <c r="J134" s="13"/>
      <c r="K134" s="13"/>
      <c r="L134" s="13"/>
      <c r="M134" s="13"/>
      <c r="U134" s="65" t="s">
        <v>92</v>
      </c>
      <c r="V134" s="40" t="str">
        <f>""</f>
        <v/>
      </c>
      <c r="W134" s="13" t="str">
        <f>""</f>
        <v/>
      </c>
      <c r="X134" s="13" t="str">
        <f>""</f>
        <v/>
      </c>
      <c r="Y134" s="35" t="str">
        <f>""</f>
        <v/>
      </c>
      <c r="Z134" s="34" t="str">
        <f>""</f>
        <v/>
      </c>
      <c r="AA134" s="13">
        <v>0</v>
      </c>
      <c r="AB134" s="13" t="str">
        <f>""</f>
        <v/>
      </c>
      <c r="AC134" s="35"/>
      <c r="AD134" s="40" t="str">
        <f>""</f>
        <v/>
      </c>
      <c r="AE134" s="35" t="str">
        <f>""</f>
        <v/>
      </c>
      <c r="AF134" s="40" t="str">
        <f>""</f>
        <v/>
      </c>
      <c r="AG134" s="35" t="str">
        <f>""</f>
        <v/>
      </c>
      <c r="AH134" s="40" t="str">
        <f>""</f>
        <v/>
      </c>
      <c r="AI134" s="35" t="str">
        <f>""</f>
        <v/>
      </c>
      <c r="AJ134" s="40"/>
      <c r="AK134" s="35"/>
      <c r="AL134" s="13" t="str">
        <f>""</f>
        <v/>
      </c>
      <c r="AM134" s="35" t="str">
        <f>""</f>
        <v/>
      </c>
    </row>
    <row r="135" spans="2:39" s="2" customFormat="1" ht="12.75" thickBot="1" x14ac:dyDescent="0.25">
      <c r="B135" s="4"/>
      <c r="C135" s="4"/>
      <c r="D135" s="4"/>
      <c r="E135" s="4"/>
      <c r="F135" s="13"/>
      <c r="G135" s="13"/>
      <c r="H135" s="13"/>
      <c r="I135" s="13"/>
      <c r="J135" s="13"/>
      <c r="K135" s="13"/>
      <c r="L135" s="13"/>
      <c r="M135" s="13"/>
      <c r="U135" s="66" t="s">
        <v>93</v>
      </c>
      <c r="V135" s="41" t="str">
        <f>""</f>
        <v/>
      </c>
      <c r="W135" s="37" t="str">
        <f>""</f>
        <v/>
      </c>
      <c r="X135" s="37" t="str">
        <f>""</f>
        <v/>
      </c>
      <c r="Y135" s="38" t="str">
        <f>""</f>
        <v/>
      </c>
      <c r="Z135" s="36" t="str">
        <f>""</f>
        <v/>
      </c>
      <c r="AA135" s="37">
        <v>0</v>
      </c>
      <c r="AB135" s="37" t="str">
        <f>""</f>
        <v/>
      </c>
      <c r="AC135" s="38"/>
      <c r="AD135" s="41" t="str">
        <f>""</f>
        <v/>
      </c>
      <c r="AE135" s="38" t="str">
        <f>""</f>
        <v/>
      </c>
      <c r="AF135" s="41" t="str">
        <f>""</f>
        <v/>
      </c>
      <c r="AG135" s="38" t="str">
        <f>""</f>
        <v/>
      </c>
      <c r="AH135" s="41" t="str">
        <f>""</f>
        <v/>
      </c>
      <c r="AI135" s="38" t="str">
        <f>""</f>
        <v/>
      </c>
      <c r="AJ135" s="41"/>
      <c r="AK135" s="38"/>
      <c r="AL135" s="37" t="str">
        <f>""</f>
        <v/>
      </c>
      <c r="AM135" s="38" t="str">
        <f>""</f>
        <v/>
      </c>
    </row>
    <row r="136" spans="2:39" s="2" customFormat="1" ht="12.75" thickTop="1" x14ac:dyDescent="0.2">
      <c r="B136" s="4"/>
      <c r="C136" s="4"/>
      <c r="D136" s="4"/>
      <c r="E136" s="4"/>
      <c r="F136" s="13"/>
      <c r="G136" s="13"/>
      <c r="H136" s="13"/>
      <c r="I136" s="13"/>
      <c r="J136" s="13"/>
      <c r="K136" s="13"/>
      <c r="L136" s="13"/>
      <c r="M136" s="13"/>
      <c r="Y136" s="65" t="s">
        <v>7</v>
      </c>
      <c r="Z136" s="31" t="str">
        <f ca="1">W64&amp;V64</f>
        <v/>
      </c>
      <c r="AA136" s="32">
        <f ca="1">AA64</f>
        <v>0</v>
      </c>
      <c r="AB136" s="32" t="str">
        <f ca="1">IF(AA64&gt;0,AI64&amp;Sprache!$E$108&amp;AH64,"")</f>
        <v/>
      </c>
      <c r="AC136" s="593" t="str">
        <f ca="1">IF(AA64&gt;0,AK64&amp;Sprache!$E$108&amp;AJ64,"")</f>
        <v/>
      </c>
      <c r="AD136" s="32"/>
    </row>
    <row r="137" spans="2:39" x14ac:dyDescent="0.2">
      <c r="Y137" s="65" t="s">
        <v>8</v>
      </c>
      <c r="Z137" s="34" t="str">
        <f ca="1">W65&amp;V65</f>
        <v/>
      </c>
      <c r="AA137" s="13">
        <f t="shared" ref="AA137:AA160" ca="1" si="45">AA65</f>
        <v>0</v>
      </c>
      <c r="AB137" s="13" t="str">
        <f ca="1">IF(AA65&gt;0,AI65&amp;Sprache!$E$108&amp;AH65,"")</f>
        <v/>
      </c>
      <c r="AC137" s="594" t="str">
        <f ca="1">IF(AA65&gt;0,AK65&amp;Sprache!$E$108&amp;AJ65,"")</f>
        <v/>
      </c>
      <c r="AD137" s="13"/>
    </row>
    <row r="138" spans="2:39" x14ac:dyDescent="0.2">
      <c r="Y138" s="65" t="s">
        <v>9</v>
      </c>
      <c r="Z138" s="34" t="str">
        <f t="shared" ref="Z138:Z160" ca="1" si="46">W66&amp;V66</f>
        <v>FC Barcelona</v>
      </c>
      <c r="AA138" s="13">
        <f t="shared" ca="1" si="45"/>
        <v>0</v>
      </c>
      <c r="AB138" s="13" t="str">
        <f ca="1">IF(AA66&gt;0,AI66&amp;Sprache!$E$108&amp;AH66,"")</f>
        <v/>
      </c>
      <c r="AC138" s="594" t="str">
        <f ca="1">IF(AA66&gt;0,AK66&amp;Sprache!$E$108&amp;AJ66,"")</f>
        <v/>
      </c>
      <c r="AD138" s="13"/>
    </row>
    <row r="139" spans="2:39" x14ac:dyDescent="0.2">
      <c r="Y139" s="65" t="s">
        <v>10</v>
      </c>
      <c r="Z139" s="34" t="str">
        <f t="shared" ca="1" si="46"/>
        <v>SSV WildbachVFB Essenheim</v>
      </c>
      <c r="AA139" s="13">
        <f t="shared" ca="1" si="45"/>
        <v>1</v>
      </c>
      <c r="AB139" s="13" t="str">
        <f ca="1">IF(AA67&gt;0,AI67&amp;Sprache!$E$108&amp;AH67,"")</f>
        <v>37 : 50</v>
      </c>
      <c r="AC139" s="594" t="str">
        <f ca="1">IF(AA67&gt;0,AK67&amp;Sprache!$E$108&amp;AJ67,"")</f>
        <v>0 : 2</v>
      </c>
      <c r="AD139" s="13"/>
    </row>
    <row r="140" spans="2:39" x14ac:dyDescent="0.2">
      <c r="Y140" s="65" t="s">
        <v>11</v>
      </c>
      <c r="Z140" s="34" t="str">
        <f t="shared" ca="1" si="46"/>
        <v>Manchester CityEintracht Frankfurt</v>
      </c>
      <c r="AA140" s="13">
        <f t="shared" ca="1" si="45"/>
        <v>1</v>
      </c>
      <c r="AB140" s="13" t="str">
        <f ca="1">IF(AA68&gt;0,AI68&amp;Sprache!$E$108&amp;AH68,"")</f>
        <v>50 : 35</v>
      </c>
      <c r="AC140" s="594" t="str">
        <f ca="1">IF(AA68&gt;0,AK68&amp;Sprache!$E$108&amp;AJ68,"")</f>
        <v>2 : 0</v>
      </c>
      <c r="AD140" s="13"/>
    </row>
    <row r="141" spans="2:39" x14ac:dyDescent="0.2">
      <c r="Y141" s="65" t="s">
        <v>12</v>
      </c>
      <c r="Z141" s="34" t="str">
        <f t="shared" ca="1" si="46"/>
        <v/>
      </c>
      <c r="AA141" s="13">
        <f t="shared" ca="1" si="45"/>
        <v>0</v>
      </c>
      <c r="AB141" s="13" t="str">
        <f ca="1">IF(AA69&gt;0,AI69&amp;Sprache!$E$108&amp;AH69,"")</f>
        <v/>
      </c>
      <c r="AC141" s="594" t="str">
        <f ca="1">IF(AA69&gt;0,AK69&amp;Sprache!$E$108&amp;AJ69,"")</f>
        <v/>
      </c>
      <c r="AD141" s="13"/>
    </row>
    <row r="142" spans="2:39" x14ac:dyDescent="0.2">
      <c r="Y142" s="65" t="s">
        <v>17</v>
      </c>
      <c r="Z142" s="34" t="str">
        <f t="shared" ca="1" si="46"/>
        <v>Inter Mailand</v>
      </c>
      <c r="AA142" s="13">
        <f t="shared" ca="1" si="45"/>
        <v>0</v>
      </c>
      <c r="AB142" s="13" t="str">
        <f ca="1">IF(AA70&gt;0,AI70&amp;Sprache!$E$108&amp;AH70,"")</f>
        <v/>
      </c>
      <c r="AC142" s="594" t="str">
        <f ca="1">IF(AA70&gt;0,AK70&amp;Sprache!$E$108&amp;AJ70,"")</f>
        <v/>
      </c>
      <c r="AD142" s="13"/>
    </row>
    <row r="143" spans="2:39" x14ac:dyDescent="0.2">
      <c r="Y143" s="65" t="s">
        <v>18</v>
      </c>
      <c r="Z143" s="34" t="str">
        <f t="shared" ca="1" si="46"/>
        <v>1. FC RiedwaldFC Grönlingen</v>
      </c>
      <c r="AA143" s="13">
        <f t="shared" ca="1" si="45"/>
        <v>1</v>
      </c>
      <c r="AB143" s="13" t="str">
        <f ca="1">IF(AA71&gt;0,AI71&amp;Sprache!$E$108&amp;AH71,"")</f>
        <v>44 : 50</v>
      </c>
      <c r="AC143" s="594" t="str">
        <f ca="1">IF(AA71&gt;0,AK71&amp;Sprache!$E$108&amp;AJ71,"")</f>
        <v>0 : 2</v>
      </c>
      <c r="AD143" s="13"/>
    </row>
    <row r="144" spans="2:39" x14ac:dyDescent="0.2">
      <c r="Y144" s="65" t="s">
        <v>19</v>
      </c>
      <c r="Z144" s="34" t="str">
        <f t="shared" ca="1" si="46"/>
        <v>Maibach 1822 eVMainz 05</v>
      </c>
      <c r="AA144" s="13">
        <f t="shared" ca="1" si="45"/>
        <v>1</v>
      </c>
      <c r="AB144" s="13" t="str">
        <f ca="1">IF(AA72&gt;0,AI72&amp;Sprache!$E$108&amp;AH72,"")</f>
        <v>39 : 50</v>
      </c>
      <c r="AC144" s="594" t="str">
        <f ca="1">IF(AA72&gt;0,AK72&amp;Sprache!$E$108&amp;AJ72,"")</f>
        <v>0 : 2</v>
      </c>
      <c r="AD144" s="13"/>
    </row>
    <row r="145" spans="25:30" x14ac:dyDescent="0.2">
      <c r="Y145" s="65" t="s">
        <v>25</v>
      </c>
      <c r="Z145" s="34" t="str">
        <f t="shared" ca="1" si="46"/>
        <v/>
      </c>
      <c r="AA145" s="13">
        <f t="shared" ca="1" si="45"/>
        <v>0</v>
      </c>
      <c r="AB145" s="13" t="str">
        <f ca="1">IF(AA73&gt;0,AI73&amp;Sprache!$E$108&amp;AH73,"")</f>
        <v/>
      </c>
      <c r="AC145" s="594" t="str">
        <f ca="1">IF(AA73&gt;0,AK73&amp;Sprache!$E$108&amp;AJ73,"")</f>
        <v/>
      </c>
      <c r="AD145" s="13"/>
    </row>
    <row r="146" spans="25:30" x14ac:dyDescent="0.2">
      <c r="Y146" s="65" t="s">
        <v>26</v>
      </c>
      <c r="Z146" s="34" t="str">
        <f t="shared" ca="1" si="46"/>
        <v>FC Barcelona</v>
      </c>
      <c r="AA146" s="13">
        <f t="shared" ca="1" si="45"/>
        <v>0</v>
      </c>
      <c r="AB146" s="13" t="str">
        <f ca="1">IF(AA74&gt;0,AI74&amp;Sprache!$E$108&amp;AH74,"")</f>
        <v/>
      </c>
      <c r="AC146" s="594" t="str">
        <f ca="1">IF(AA74&gt;0,AK74&amp;Sprache!$E$108&amp;AJ74,"")</f>
        <v/>
      </c>
      <c r="AD146" s="13"/>
    </row>
    <row r="147" spans="25:30" x14ac:dyDescent="0.2">
      <c r="Y147" s="65" t="s">
        <v>27</v>
      </c>
      <c r="Z147" s="34" t="str">
        <f t="shared" ca="1" si="46"/>
        <v>1. FC RiedwaldVFB Essenheim</v>
      </c>
      <c r="AA147" s="13">
        <f t="shared" ca="1" si="45"/>
        <v>1</v>
      </c>
      <c r="AB147" s="13" t="str">
        <f ca="1">IF(AA75&gt;0,AI75&amp;Sprache!$E$108&amp;AH75,"")</f>
        <v>37 : 44</v>
      </c>
      <c r="AC147" s="594" t="str">
        <f ca="1">IF(AA75&gt;0,AK75&amp;Sprache!$E$108&amp;AJ75,"")</f>
        <v>1 : 1</v>
      </c>
      <c r="AD147" s="13"/>
    </row>
    <row r="148" spans="25:30" x14ac:dyDescent="0.2">
      <c r="Y148" s="65" t="s">
        <v>28</v>
      </c>
      <c r="Z148" s="34" t="str">
        <f t="shared" ca="1" si="46"/>
        <v>Maibach 1822 eVEintracht Frankfurt</v>
      </c>
      <c r="AA148" s="13">
        <f t="shared" ca="1" si="45"/>
        <v>1</v>
      </c>
      <c r="AB148" s="13" t="str">
        <f ca="1">IF(AA76&gt;0,AI76&amp;Sprache!$E$108&amp;AH76,"")</f>
        <v>50 : 31</v>
      </c>
      <c r="AC148" s="594" t="str">
        <f ca="1">IF(AA76&gt;0,AK76&amp;Sprache!$E$108&amp;AJ76,"")</f>
        <v>2 : 0</v>
      </c>
      <c r="AD148" s="13"/>
    </row>
    <row r="149" spans="25:30" x14ac:dyDescent="0.2">
      <c r="Y149" s="65" t="s">
        <v>29</v>
      </c>
      <c r="Z149" s="34" t="str">
        <f t="shared" ca="1" si="46"/>
        <v/>
      </c>
      <c r="AA149" s="13">
        <f t="shared" ca="1" si="45"/>
        <v>0</v>
      </c>
      <c r="AB149" s="13" t="str">
        <f ca="1">IF(AA77&gt;0,AI77&amp;Sprache!$E$108&amp;AH77,"")</f>
        <v/>
      </c>
      <c r="AC149" s="594" t="str">
        <f ca="1">IF(AA77&gt;0,AK77&amp;Sprache!$E$108&amp;AJ77,"")</f>
        <v/>
      </c>
      <c r="AD149" s="13"/>
    </row>
    <row r="150" spans="25:30" x14ac:dyDescent="0.2">
      <c r="Y150" s="65" t="s">
        <v>30</v>
      </c>
      <c r="Z150" s="34" t="str">
        <f t="shared" ca="1" si="46"/>
        <v>Inter Mailand</v>
      </c>
      <c r="AA150" s="13">
        <f t="shared" ca="1" si="45"/>
        <v>0</v>
      </c>
      <c r="AB150" s="13" t="str">
        <f ca="1">IF(AA78&gt;0,AI78&amp;Sprache!$E$108&amp;AH78,"")</f>
        <v/>
      </c>
      <c r="AC150" s="594" t="str">
        <f ca="1">IF(AA78&gt;0,AK78&amp;Sprache!$E$108&amp;AJ78,"")</f>
        <v/>
      </c>
      <c r="AD150" s="13"/>
    </row>
    <row r="151" spans="25:30" x14ac:dyDescent="0.2">
      <c r="Y151" s="65" t="s">
        <v>31</v>
      </c>
      <c r="Z151" s="34" t="str">
        <f t="shared" ca="1" si="46"/>
        <v>SSV WildbachFC Grönlingen</v>
      </c>
      <c r="AA151" s="13">
        <f t="shared" ca="1" si="45"/>
        <v>1</v>
      </c>
      <c r="AB151" s="13" t="str">
        <f ca="1">IF(AA79&gt;0,AI79&amp;Sprache!$E$108&amp;AH79,"")</f>
        <v>45 : 47</v>
      </c>
      <c r="AC151" s="594" t="str">
        <f ca="1">IF(AA79&gt;0,AK79&amp;Sprache!$E$108&amp;AJ79,"")</f>
        <v>1 : 1</v>
      </c>
      <c r="AD151" s="13"/>
    </row>
    <row r="152" spans="25:30" x14ac:dyDescent="0.2">
      <c r="Y152" s="65" t="s">
        <v>32</v>
      </c>
      <c r="Z152" s="34" t="str">
        <f t="shared" ca="1" si="46"/>
        <v>Manchester CityMainz 05</v>
      </c>
      <c r="AA152" s="13">
        <f t="shared" ca="1" si="45"/>
        <v>1</v>
      </c>
      <c r="AB152" s="13" t="str">
        <f ca="1">IF(AA80&gt;0,AI80&amp;Sprache!$E$108&amp;AH80,"")</f>
        <v>44 : 44</v>
      </c>
      <c r="AC152" s="594" t="str">
        <f ca="1">IF(AA80&gt;0,AK80&amp;Sprache!$E$108&amp;AJ80,"")</f>
        <v>1 : 1</v>
      </c>
      <c r="AD152" s="13"/>
    </row>
    <row r="153" spans="25:30" x14ac:dyDescent="0.2">
      <c r="Y153" s="65" t="s">
        <v>33</v>
      </c>
      <c r="Z153" s="34" t="str">
        <f t="shared" ca="1" si="46"/>
        <v/>
      </c>
      <c r="AA153" s="13">
        <f t="shared" ca="1" si="45"/>
        <v>0</v>
      </c>
      <c r="AB153" s="13" t="str">
        <f ca="1">IF(AA81&gt;0,AI81&amp;Sprache!$E$108&amp;AH81,"")</f>
        <v/>
      </c>
      <c r="AC153" s="594" t="str">
        <f ca="1">IF(AA81&gt;0,AK81&amp;Sprache!$E$108&amp;AJ81,"")</f>
        <v/>
      </c>
      <c r="AD153" s="13"/>
    </row>
    <row r="154" spans="25:30" x14ac:dyDescent="0.2">
      <c r="Y154" s="65" t="s">
        <v>34</v>
      </c>
      <c r="Z154" s="34" t="str">
        <f t="shared" ca="1" si="46"/>
        <v/>
      </c>
      <c r="AA154" s="13">
        <f t="shared" ca="1" si="45"/>
        <v>0</v>
      </c>
      <c r="AB154" s="13" t="str">
        <f ca="1">IF(AA82&gt;0,AI82&amp;Sprache!$E$108&amp;AH82,"")</f>
        <v/>
      </c>
      <c r="AC154" s="594" t="str">
        <f ca="1">IF(AA82&gt;0,AK82&amp;Sprache!$E$108&amp;AJ82,"")</f>
        <v/>
      </c>
      <c r="AD154" s="13"/>
    </row>
    <row r="155" spans="25:30" x14ac:dyDescent="0.2">
      <c r="Y155" s="65" t="s">
        <v>35</v>
      </c>
      <c r="Z155" s="34" t="str">
        <f t="shared" ca="1" si="46"/>
        <v>SSV Wildbach1. FC Riedwald</v>
      </c>
      <c r="AA155" s="13">
        <f t="shared" ca="1" si="45"/>
        <v>1</v>
      </c>
      <c r="AB155" s="13" t="str">
        <f ca="1">IF(AA83&gt;0,AI83&amp;Sprache!$E$108&amp;AH83,"")</f>
        <v>48 : 39</v>
      </c>
      <c r="AC155" s="594" t="str">
        <f ca="1">IF(AA83&gt;0,AK83&amp;Sprache!$E$108&amp;AJ83,"")</f>
        <v>1 : 1</v>
      </c>
      <c r="AD155" s="13"/>
    </row>
    <row r="156" spans="25:30" x14ac:dyDescent="0.2">
      <c r="Y156" s="65" t="s">
        <v>36</v>
      </c>
      <c r="Z156" s="34" t="str">
        <f t="shared" ca="1" si="46"/>
        <v>Manchester CityMaibach 1822 eV</v>
      </c>
      <c r="AA156" s="13">
        <f t="shared" ca="1" si="45"/>
        <v>1</v>
      </c>
      <c r="AB156" s="13" t="str">
        <f ca="1">IF(AA84&gt;0,AI84&amp;Sprache!$E$108&amp;AH84,"")</f>
        <v>42 : 46</v>
      </c>
      <c r="AC156" s="594" t="str">
        <f ca="1">IF(AA84&gt;0,AK84&amp;Sprache!$E$108&amp;AJ84,"")</f>
        <v>1 : 1</v>
      </c>
      <c r="AD156" s="13"/>
    </row>
    <row r="157" spans="25:30" x14ac:dyDescent="0.2">
      <c r="Y157" s="65" t="s">
        <v>37</v>
      </c>
      <c r="Z157" s="34" t="str">
        <f t="shared" ca="1" si="46"/>
        <v/>
      </c>
      <c r="AA157" s="13">
        <f t="shared" ca="1" si="45"/>
        <v>0</v>
      </c>
      <c r="AB157" s="13" t="str">
        <f ca="1">IF(AA85&gt;0,AI85&amp;Sprache!$E$108&amp;AH85,"")</f>
        <v/>
      </c>
      <c r="AC157" s="594" t="str">
        <f ca="1">IF(AA85&gt;0,AK85&amp;Sprache!$E$108&amp;AJ85,"")</f>
        <v/>
      </c>
      <c r="AD157" s="13"/>
    </row>
    <row r="158" spans="25:30" x14ac:dyDescent="0.2">
      <c r="Y158" s="65" t="s">
        <v>38</v>
      </c>
      <c r="Z158" s="34" t="str">
        <f t="shared" ca="1" si="46"/>
        <v>Inter MailandFC Barcelona</v>
      </c>
      <c r="AA158" s="13">
        <f t="shared" ca="1" si="45"/>
        <v>1</v>
      </c>
      <c r="AB158" s="13" t="str">
        <f ca="1">IF(AA86&gt;0,AI86&amp;Sprache!$E$108&amp;AH86,"")</f>
        <v>65 : 70</v>
      </c>
      <c r="AC158" s="594" t="str">
        <f ca="1">IF(AA86&gt;0,AK86&amp;Sprache!$E$108&amp;AJ86,"")</f>
        <v>1 : 2</v>
      </c>
      <c r="AD158" s="13"/>
    </row>
    <row r="159" spans="25:30" x14ac:dyDescent="0.2">
      <c r="Y159" s="65" t="s">
        <v>39</v>
      </c>
      <c r="Z159" s="34" t="str">
        <f t="shared" ca="1" si="46"/>
        <v>FC GrönlingenVFB Essenheim</v>
      </c>
      <c r="AA159" s="13">
        <f t="shared" ca="1" si="45"/>
        <v>1</v>
      </c>
      <c r="AB159" s="13" t="str">
        <f ca="1">IF(AA87&gt;0,AI87&amp;Sprache!$E$108&amp;AH87,"")</f>
        <v>39 : 50</v>
      </c>
      <c r="AC159" s="594" t="str">
        <f ca="1">IF(AA87&gt;0,AK87&amp;Sprache!$E$108&amp;AJ87,"")</f>
        <v>0 : 2</v>
      </c>
      <c r="AD159" s="13"/>
    </row>
    <row r="160" spans="25:30" ht="12.75" thickBot="1" x14ac:dyDescent="0.25">
      <c r="Y160" s="754" t="s">
        <v>40</v>
      </c>
      <c r="Z160" s="758" t="str">
        <f t="shared" ca="1" si="46"/>
        <v>Mainz 05Eintracht Frankfurt</v>
      </c>
      <c r="AA160" s="756">
        <f t="shared" ca="1" si="45"/>
        <v>1</v>
      </c>
      <c r="AB160" s="756" t="str">
        <f ca="1">IF(AA88&gt;0,AI88&amp;Sprache!$E$108&amp;AH88,"")</f>
        <v>33 : 50</v>
      </c>
      <c r="AC160" s="759" t="str">
        <f ca="1">IF(AA88&gt;0,AK88&amp;Sprache!$E$108&amp;AJ88,"")</f>
        <v>0 : 2</v>
      </c>
      <c r="AD160" s="13"/>
    </row>
    <row r="161" spans="25:30" ht="12.75" thickTop="1" x14ac:dyDescent="0.2">
      <c r="Y161" s="65" t="s">
        <v>41</v>
      </c>
      <c r="Z161" s="34" t="str">
        <f>""</f>
        <v/>
      </c>
      <c r="AA161" s="13">
        <v>0</v>
      </c>
      <c r="AB161" s="13" t="str">
        <f>""</f>
        <v/>
      </c>
      <c r="AC161" s="594" t="str">
        <f>""</f>
        <v/>
      </c>
      <c r="AD161" s="13"/>
    </row>
    <row r="162" spans="25:30" x14ac:dyDescent="0.2">
      <c r="Y162" s="65" t="s">
        <v>42</v>
      </c>
      <c r="Z162" s="34" t="str">
        <f>""</f>
        <v/>
      </c>
      <c r="AA162" s="13">
        <v>0</v>
      </c>
      <c r="AB162" s="13" t="str">
        <f>""</f>
        <v/>
      </c>
      <c r="AC162" s="594" t="str">
        <f>""</f>
        <v/>
      </c>
      <c r="AD162" s="13"/>
    </row>
    <row r="163" spans="25:30" x14ac:dyDescent="0.2">
      <c r="Y163" s="65" t="s">
        <v>43</v>
      </c>
      <c r="Z163" s="34" t="str">
        <f>""</f>
        <v/>
      </c>
      <c r="AA163" s="13">
        <v>0</v>
      </c>
      <c r="AB163" s="13" t="str">
        <f>""</f>
        <v/>
      </c>
      <c r="AC163" s="594" t="str">
        <f>""</f>
        <v/>
      </c>
      <c r="AD163" s="13"/>
    </row>
    <row r="164" spans="25:30" x14ac:dyDescent="0.2">
      <c r="Y164" s="65" t="s">
        <v>44</v>
      </c>
      <c r="Z164" s="34" t="str">
        <f>""</f>
        <v/>
      </c>
      <c r="AA164" s="13">
        <v>0</v>
      </c>
      <c r="AB164" s="13" t="str">
        <f>""</f>
        <v/>
      </c>
      <c r="AC164" s="594" t="str">
        <f>""</f>
        <v/>
      </c>
      <c r="AD164" s="13"/>
    </row>
    <row r="165" spans="25:30" x14ac:dyDescent="0.2">
      <c r="Y165" s="65" t="s">
        <v>45</v>
      </c>
      <c r="Z165" s="34" t="str">
        <f>""</f>
        <v/>
      </c>
      <c r="AA165" s="13">
        <v>0</v>
      </c>
      <c r="AB165" s="13" t="str">
        <f>""</f>
        <v/>
      </c>
      <c r="AC165" s="594" t="str">
        <f>""</f>
        <v/>
      </c>
      <c r="AD165" s="13"/>
    </row>
    <row r="166" spans="25:30" x14ac:dyDescent="0.2">
      <c r="Y166" s="65" t="s">
        <v>46</v>
      </c>
      <c r="Z166" s="34" t="str">
        <f>""</f>
        <v/>
      </c>
      <c r="AA166" s="13">
        <v>0</v>
      </c>
      <c r="AB166" s="13" t="str">
        <f>""</f>
        <v/>
      </c>
      <c r="AC166" s="594" t="str">
        <f>""</f>
        <v/>
      </c>
      <c r="AD166" s="13"/>
    </row>
    <row r="167" spans="25:30" x14ac:dyDescent="0.2">
      <c r="Y167" s="65" t="s">
        <v>47</v>
      </c>
      <c r="Z167" s="34" t="str">
        <f>""</f>
        <v/>
      </c>
      <c r="AA167" s="13">
        <v>0</v>
      </c>
      <c r="AB167" s="13" t="str">
        <f>""</f>
        <v/>
      </c>
      <c r="AC167" s="594" t="str">
        <f>""</f>
        <v/>
      </c>
      <c r="AD167" s="13"/>
    </row>
    <row r="168" spans="25:30" x14ac:dyDescent="0.2">
      <c r="Y168" s="65" t="s">
        <v>48</v>
      </c>
      <c r="Z168" s="34" t="str">
        <f>""</f>
        <v/>
      </c>
      <c r="AA168" s="13">
        <v>0</v>
      </c>
      <c r="AB168" s="13" t="str">
        <f>""</f>
        <v/>
      </c>
      <c r="AC168" s="594" t="str">
        <f>""</f>
        <v/>
      </c>
      <c r="AD168" s="13"/>
    </row>
    <row r="169" spans="25:30" x14ac:dyDescent="0.2">
      <c r="Y169" s="65" t="s">
        <v>49</v>
      </c>
      <c r="Z169" s="34" t="str">
        <f>""</f>
        <v/>
      </c>
      <c r="AA169" s="13">
        <v>0</v>
      </c>
      <c r="AB169" s="13" t="str">
        <f>""</f>
        <v/>
      </c>
      <c r="AC169" s="594" t="str">
        <f>""</f>
        <v/>
      </c>
      <c r="AD169" s="13"/>
    </row>
    <row r="170" spans="25:30" x14ac:dyDescent="0.2">
      <c r="Y170" s="65" t="s">
        <v>50</v>
      </c>
      <c r="Z170" s="34" t="str">
        <f>""</f>
        <v/>
      </c>
      <c r="AA170" s="13">
        <v>0</v>
      </c>
      <c r="AB170" s="13" t="str">
        <f>""</f>
        <v/>
      </c>
      <c r="AC170" s="594" t="str">
        <f>""</f>
        <v/>
      </c>
      <c r="AD170" s="13"/>
    </row>
    <row r="171" spans="25:30" x14ac:dyDescent="0.2">
      <c r="Y171" s="65" t="s">
        <v>51</v>
      </c>
      <c r="Z171" s="34" t="str">
        <f>""</f>
        <v/>
      </c>
      <c r="AA171" s="13">
        <v>0</v>
      </c>
      <c r="AB171" s="13" t="str">
        <f>""</f>
        <v/>
      </c>
      <c r="AC171" s="594" t="str">
        <f>""</f>
        <v/>
      </c>
      <c r="AD171" s="13"/>
    </row>
    <row r="172" spans="25:30" x14ac:dyDescent="0.2">
      <c r="Y172" s="65" t="s">
        <v>58</v>
      </c>
      <c r="Z172" s="34" t="str">
        <f>""</f>
        <v/>
      </c>
      <c r="AA172" s="13">
        <v>0</v>
      </c>
      <c r="AB172" s="13" t="str">
        <f>""</f>
        <v/>
      </c>
      <c r="AC172" s="594" t="str">
        <f>""</f>
        <v/>
      </c>
      <c r="AD172" s="13"/>
    </row>
    <row r="173" spans="25:30" x14ac:dyDescent="0.2">
      <c r="Y173" s="65" t="s">
        <v>59</v>
      </c>
      <c r="Z173" s="34" t="str">
        <f>""</f>
        <v/>
      </c>
      <c r="AA173" s="13">
        <v>0</v>
      </c>
      <c r="AB173" s="13" t="str">
        <f>""</f>
        <v/>
      </c>
      <c r="AC173" s="594" t="str">
        <f>""</f>
        <v/>
      </c>
      <c r="AD173" s="13"/>
    </row>
    <row r="174" spans="25:30" x14ac:dyDescent="0.2">
      <c r="Y174" s="65" t="s">
        <v>60</v>
      </c>
      <c r="Z174" s="34" t="str">
        <f>""</f>
        <v/>
      </c>
      <c r="AA174" s="13">
        <v>0</v>
      </c>
      <c r="AB174" s="13" t="str">
        <f>""</f>
        <v/>
      </c>
      <c r="AC174" s="594" t="str">
        <f>""</f>
        <v/>
      </c>
      <c r="AD174" s="13"/>
    </row>
    <row r="175" spans="25:30" x14ac:dyDescent="0.2">
      <c r="Y175" s="65" t="s">
        <v>61</v>
      </c>
      <c r="Z175" s="34" t="str">
        <f>""</f>
        <v/>
      </c>
      <c r="AA175" s="13">
        <v>0</v>
      </c>
      <c r="AB175" s="13" t="str">
        <f>""</f>
        <v/>
      </c>
      <c r="AC175" s="594" t="str">
        <f>""</f>
        <v/>
      </c>
      <c r="AD175" s="13"/>
    </row>
    <row r="176" spans="25:30" x14ac:dyDescent="0.2">
      <c r="Y176" s="65" t="s">
        <v>62</v>
      </c>
      <c r="Z176" s="34" t="str">
        <f>""</f>
        <v/>
      </c>
      <c r="AA176" s="13">
        <v>0</v>
      </c>
      <c r="AB176" s="13" t="str">
        <f>""</f>
        <v/>
      </c>
      <c r="AC176" s="594" t="str">
        <f>""</f>
        <v/>
      </c>
      <c r="AD176" s="13"/>
    </row>
    <row r="177" spans="25:30" x14ac:dyDescent="0.2">
      <c r="Y177" s="65" t="s">
        <v>63</v>
      </c>
      <c r="Z177" s="34" t="str">
        <f>""</f>
        <v/>
      </c>
      <c r="AA177" s="13">
        <v>0</v>
      </c>
      <c r="AB177" s="13" t="str">
        <f>""</f>
        <v/>
      </c>
      <c r="AC177" s="594" t="str">
        <f>""</f>
        <v/>
      </c>
      <c r="AD177" s="13"/>
    </row>
    <row r="178" spans="25:30" x14ac:dyDescent="0.2">
      <c r="Y178" s="65" t="s">
        <v>64</v>
      </c>
      <c r="Z178" s="34" t="str">
        <f>""</f>
        <v/>
      </c>
      <c r="AA178" s="13">
        <v>0</v>
      </c>
      <c r="AB178" s="13" t="str">
        <f>""</f>
        <v/>
      </c>
      <c r="AC178" s="594" t="str">
        <f>""</f>
        <v/>
      </c>
      <c r="AD178" s="13"/>
    </row>
    <row r="179" spans="25:30" x14ac:dyDescent="0.2">
      <c r="Y179" s="65" t="s">
        <v>65</v>
      </c>
      <c r="Z179" s="34" t="str">
        <f>""</f>
        <v/>
      </c>
      <c r="AA179" s="13">
        <v>0</v>
      </c>
      <c r="AB179" s="13" t="str">
        <f>""</f>
        <v/>
      </c>
      <c r="AC179" s="594" t="str">
        <f>""</f>
        <v/>
      </c>
      <c r="AD179" s="13"/>
    </row>
    <row r="180" spans="25:30" x14ac:dyDescent="0.2">
      <c r="Y180" s="65" t="s">
        <v>66</v>
      </c>
      <c r="Z180" s="34" t="str">
        <f>""</f>
        <v/>
      </c>
      <c r="AA180" s="13">
        <v>0</v>
      </c>
      <c r="AB180" s="13" t="str">
        <f>""</f>
        <v/>
      </c>
      <c r="AC180" s="594" t="str">
        <f>""</f>
        <v/>
      </c>
      <c r="AD180" s="13"/>
    </row>
    <row r="181" spans="25:30" x14ac:dyDescent="0.2">
      <c r="Y181" s="65" t="s">
        <v>67</v>
      </c>
      <c r="Z181" s="34" t="str">
        <f>""</f>
        <v/>
      </c>
      <c r="AA181" s="13">
        <v>0</v>
      </c>
      <c r="AB181" s="13" t="str">
        <f>""</f>
        <v/>
      </c>
      <c r="AC181" s="594" t="str">
        <f>""</f>
        <v/>
      </c>
      <c r="AD181" s="13"/>
    </row>
    <row r="182" spans="25:30" x14ac:dyDescent="0.2">
      <c r="Y182" s="65" t="s">
        <v>68</v>
      </c>
      <c r="Z182" s="34" t="str">
        <f>""</f>
        <v/>
      </c>
      <c r="AA182" s="13">
        <v>0</v>
      </c>
      <c r="AB182" s="13" t="str">
        <f>""</f>
        <v/>
      </c>
      <c r="AC182" s="594" t="str">
        <f>""</f>
        <v/>
      </c>
      <c r="AD182" s="13"/>
    </row>
    <row r="183" spans="25:30" x14ac:dyDescent="0.2">
      <c r="Y183" s="65" t="s">
        <v>69</v>
      </c>
      <c r="Z183" s="34" t="str">
        <f>""</f>
        <v/>
      </c>
      <c r="AA183" s="13">
        <v>0</v>
      </c>
      <c r="AB183" s="13" t="str">
        <f>""</f>
        <v/>
      </c>
      <c r="AC183" s="594" t="str">
        <f>""</f>
        <v/>
      </c>
      <c r="AD183" s="13"/>
    </row>
    <row r="184" spans="25:30" x14ac:dyDescent="0.2">
      <c r="Y184" s="65" t="s">
        <v>70</v>
      </c>
      <c r="Z184" s="34" t="str">
        <f>""</f>
        <v/>
      </c>
      <c r="AA184" s="13">
        <v>0</v>
      </c>
      <c r="AB184" s="13" t="str">
        <f>""</f>
        <v/>
      </c>
      <c r="AC184" s="594" t="str">
        <f>""</f>
        <v/>
      </c>
      <c r="AD184" s="13"/>
    </row>
    <row r="185" spans="25:30" x14ac:dyDescent="0.2">
      <c r="Y185" s="65" t="s">
        <v>71</v>
      </c>
      <c r="Z185" s="34" t="str">
        <f>""</f>
        <v/>
      </c>
      <c r="AA185" s="13">
        <v>0</v>
      </c>
      <c r="AB185" s="13" t="str">
        <f>""</f>
        <v/>
      </c>
      <c r="AC185" s="594" t="str">
        <f>""</f>
        <v/>
      </c>
      <c r="AD185" s="13"/>
    </row>
    <row r="186" spans="25:30" x14ac:dyDescent="0.2">
      <c r="Y186" s="65" t="s">
        <v>72</v>
      </c>
      <c r="Z186" s="34" t="str">
        <f>""</f>
        <v/>
      </c>
      <c r="AA186" s="13">
        <v>0</v>
      </c>
      <c r="AB186" s="13" t="str">
        <f>""</f>
        <v/>
      </c>
      <c r="AC186" s="594" t="str">
        <f>""</f>
        <v/>
      </c>
      <c r="AD186" s="13"/>
    </row>
    <row r="187" spans="25:30" x14ac:dyDescent="0.2">
      <c r="Y187" s="65" t="s">
        <v>73</v>
      </c>
      <c r="Z187" s="34" t="str">
        <f>""</f>
        <v/>
      </c>
      <c r="AA187" s="13">
        <v>0</v>
      </c>
      <c r="AB187" s="13" t="str">
        <f>""</f>
        <v/>
      </c>
      <c r="AC187" s="594" t="str">
        <f>""</f>
        <v/>
      </c>
      <c r="AD187" s="13"/>
    </row>
    <row r="188" spans="25:30" x14ac:dyDescent="0.2">
      <c r="Y188" s="65" t="s">
        <v>74</v>
      </c>
      <c r="Z188" s="34" t="str">
        <f>""</f>
        <v/>
      </c>
      <c r="AA188" s="13">
        <v>0</v>
      </c>
      <c r="AB188" s="13" t="str">
        <f>""</f>
        <v/>
      </c>
      <c r="AC188" s="594" t="str">
        <f>""</f>
        <v/>
      </c>
      <c r="AD188" s="13"/>
    </row>
    <row r="189" spans="25:30" x14ac:dyDescent="0.2">
      <c r="Y189" s="65" t="s">
        <v>75</v>
      </c>
      <c r="Z189" s="34" t="str">
        <f>""</f>
        <v/>
      </c>
      <c r="AA189" s="13">
        <v>0</v>
      </c>
      <c r="AB189" s="13" t="str">
        <f>""</f>
        <v/>
      </c>
      <c r="AC189" s="594" t="str">
        <f>""</f>
        <v/>
      </c>
      <c r="AD189" s="13"/>
    </row>
    <row r="190" spans="25:30" x14ac:dyDescent="0.2">
      <c r="Y190" s="65" t="s">
        <v>76</v>
      </c>
      <c r="Z190" s="34" t="str">
        <f>""</f>
        <v/>
      </c>
      <c r="AA190" s="13">
        <v>0</v>
      </c>
      <c r="AB190" s="13" t="str">
        <f>""</f>
        <v/>
      </c>
      <c r="AC190" s="594" t="str">
        <f>""</f>
        <v/>
      </c>
      <c r="AD190" s="13"/>
    </row>
    <row r="191" spans="25:30" x14ac:dyDescent="0.2">
      <c r="Y191" s="65" t="s">
        <v>77</v>
      </c>
      <c r="Z191" s="34" t="str">
        <f>""</f>
        <v/>
      </c>
      <c r="AA191" s="13">
        <v>0</v>
      </c>
      <c r="AB191" s="13" t="str">
        <f>""</f>
        <v/>
      </c>
      <c r="AC191" s="594" t="str">
        <f>""</f>
        <v/>
      </c>
      <c r="AD191" s="13"/>
    </row>
    <row r="192" spans="25:30" x14ac:dyDescent="0.2">
      <c r="Y192" s="65" t="s">
        <v>78</v>
      </c>
      <c r="Z192" s="34" t="str">
        <f>""</f>
        <v/>
      </c>
      <c r="AA192" s="13">
        <v>0</v>
      </c>
      <c r="AB192" s="13" t="str">
        <f>""</f>
        <v/>
      </c>
      <c r="AC192" s="594" t="str">
        <f>""</f>
        <v/>
      </c>
      <c r="AD192" s="13"/>
    </row>
    <row r="193" spans="25:30" x14ac:dyDescent="0.2">
      <c r="Y193" s="65" t="s">
        <v>79</v>
      </c>
      <c r="Z193" s="34" t="str">
        <f>""</f>
        <v/>
      </c>
      <c r="AA193" s="13">
        <v>0</v>
      </c>
      <c r="AB193" s="13" t="str">
        <f>""</f>
        <v/>
      </c>
      <c r="AC193" s="594" t="str">
        <f>""</f>
        <v/>
      </c>
      <c r="AD193" s="13"/>
    </row>
    <row r="194" spans="25:30" x14ac:dyDescent="0.2">
      <c r="Y194" s="65" t="s">
        <v>80</v>
      </c>
      <c r="Z194" s="34" t="str">
        <f>""</f>
        <v/>
      </c>
      <c r="AA194" s="13">
        <v>0</v>
      </c>
      <c r="AB194" s="13" t="str">
        <f>""</f>
        <v/>
      </c>
      <c r="AC194" s="594" t="str">
        <f>""</f>
        <v/>
      </c>
      <c r="AD194" s="13"/>
    </row>
    <row r="195" spans="25:30" x14ac:dyDescent="0.2">
      <c r="Y195" s="65" t="s">
        <v>81</v>
      </c>
      <c r="Z195" s="34" t="str">
        <f>""</f>
        <v/>
      </c>
      <c r="AA195" s="13">
        <v>0</v>
      </c>
      <c r="AB195" s="13" t="str">
        <f>""</f>
        <v/>
      </c>
      <c r="AC195" s="594" t="str">
        <f>""</f>
        <v/>
      </c>
      <c r="AD195" s="13"/>
    </row>
    <row r="196" spans="25:30" x14ac:dyDescent="0.2">
      <c r="Y196" s="65" t="s">
        <v>82</v>
      </c>
      <c r="Z196" s="34" t="str">
        <f>""</f>
        <v/>
      </c>
      <c r="AA196" s="13">
        <v>0</v>
      </c>
      <c r="AB196" s="13" t="str">
        <f>""</f>
        <v/>
      </c>
      <c r="AC196" s="594" t="str">
        <f>""</f>
        <v/>
      </c>
      <c r="AD196" s="13"/>
    </row>
    <row r="197" spans="25:30" x14ac:dyDescent="0.2">
      <c r="Y197" s="65" t="s">
        <v>83</v>
      </c>
      <c r="Z197" s="34" t="str">
        <f>""</f>
        <v/>
      </c>
      <c r="AA197" s="13">
        <v>0</v>
      </c>
      <c r="AB197" s="13" t="str">
        <f>""</f>
        <v/>
      </c>
      <c r="AC197" s="594" t="str">
        <f>""</f>
        <v/>
      </c>
      <c r="AD197" s="13"/>
    </row>
    <row r="198" spans="25:30" x14ac:dyDescent="0.2">
      <c r="Y198" s="65" t="s">
        <v>84</v>
      </c>
      <c r="Z198" s="34" t="str">
        <f>""</f>
        <v/>
      </c>
      <c r="AA198" s="13">
        <v>0</v>
      </c>
      <c r="AB198" s="13" t="str">
        <f>""</f>
        <v/>
      </c>
      <c r="AC198" s="594" t="str">
        <f>""</f>
        <v/>
      </c>
      <c r="AD198" s="13"/>
    </row>
    <row r="199" spans="25:30" x14ac:dyDescent="0.2">
      <c r="Y199" s="65" t="s">
        <v>85</v>
      </c>
      <c r="Z199" s="34" t="str">
        <f>""</f>
        <v/>
      </c>
      <c r="AA199" s="13">
        <v>0</v>
      </c>
      <c r="AB199" s="13" t="str">
        <f>""</f>
        <v/>
      </c>
      <c r="AC199" s="594" t="str">
        <f>""</f>
        <v/>
      </c>
      <c r="AD199" s="13"/>
    </row>
    <row r="200" spans="25:30" x14ac:dyDescent="0.2">
      <c r="Y200" s="65" t="s">
        <v>86</v>
      </c>
      <c r="Z200" s="34" t="str">
        <f>""</f>
        <v/>
      </c>
      <c r="AA200" s="13">
        <v>0</v>
      </c>
      <c r="AB200" s="13" t="str">
        <f>""</f>
        <v/>
      </c>
      <c r="AC200" s="594" t="str">
        <f>""</f>
        <v/>
      </c>
      <c r="AD200" s="13"/>
    </row>
    <row r="201" spans="25:30" x14ac:dyDescent="0.2">
      <c r="Y201" s="65" t="s">
        <v>87</v>
      </c>
      <c r="Z201" s="34" t="str">
        <f>""</f>
        <v/>
      </c>
      <c r="AA201" s="13">
        <v>0</v>
      </c>
      <c r="AB201" s="13" t="str">
        <f>""</f>
        <v/>
      </c>
      <c r="AC201" s="594" t="str">
        <f>""</f>
        <v/>
      </c>
      <c r="AD201" s="13"/>
    </row>
    <row r="202" spans="25:30" x14ac:dyDescent="0.2">
      <c r="Y202" s="65" t="s">
        <v>88</v>
      </c>
      <c r="Z202" s="34" t="str">
        <f>""</f>
        <v/>
      </c>
      <c r="AA202" s="13">
        <v>0</v>
      </c>
      <c r="AB202" s="13" t="str">
        <f>""</f>
        <v/>
      </c>
      <c r="AC202" s="594" t="str">
        <f>""</f>
        <v/>
      </c>
      <c r="AD202" s="13"/>
    </row>
    <row r="203" spans="25:30" x14ac:dyDescent="0.2">
      <c r="Y203" s="65" t="s">
        <v>89</v>
      </c>
      <c r="Z203" s="34" t="str">
        <f>""</f>
        <v/>
      </c>
      <c r="AA203" s="13">
        <v>0</v>
      </c>
      <c r="AB203" s="13" t="str">
        <f>""</f>
        <v/>
      </c>
      <c r="AC203" s="594" t="str">
        <f>""</f>
        <v/>
      </c>
      <c r="AD203" s="13"/>
    </row>
    <row r="204" spans="25:30" x14ac:dyDescent="0.2">
      <c r="Y204" s="65" t="s">
        <v>90</v>
      </c>
      <c r="Z204" s="34" t="str">
        <f>""</f>
        <v/>
      </c>
      <c r="AA204" s="13">
        <v>0</v>
      </c>
      <c r="AB204" s="13" t="str">
        <f>""</f>
        <v/>
      </c>
      <c r="AC204" s="594" t="str">
        <f>""</f>
        <v/>
      </c>
      <c r="AD204" s="13"/>
    </row>
    <row r="205" spans="25:30" x14ac:dyDescent="0.2">
      <c r="Y205" s="65" t="s">
        <v>91</v>
      </c>
      <c r="Z205" s="34" t="str">
        <f>""</f>
        <v/>
      </c>
      <c r="AA205" s="13">
        <v>0</v>
      </c>
      <c r="AB205" s="13" t="str">
        <f>""</f>
        <v/>
      </c>
      <c r="AC205" s="594" t="str">
        <f>""</f>
        <v/>
      </c>
      <c r="AD205" s="13"/>
    </row>
    <row r="206" spans="25:30" x14ac:dyDescent="0.2">
      <c r="Y206" s="65" t="s">
        <v>92</v>
      </c>
      <c r="Z206" s="34" t="str">
        <f>""</f>
        <v/>
      </c>
      <c r="AA206" s="13">
        <v>0</v>
      </c>
      <c r="AB206" s="13" t="str">
        <f>""</f>
        <v/>
      </c>
      <c r="AC206" s="594" t="str">
        <f>""</f>
        <v/>
      </c>
      <c r="AD206" s="13"/>
    </row>
    <row r="207" spans="25:30" ht="12.75" thickBot="1" x14ac:dyDescent="0.25">
      <c r="Y207" s="66" t="s">
        <v>93</v>
      </c>
      <c r="Z207" s="36" t="str">
        <f>""</f>
        <v/>
      </c>
      <c r="AA207" s="37">
        <v>0</v>
      </c>
      <c r="AB207" s="37" t="str">
        <f>""</f>
        <v/>
      </c>
      <c r="AC207" s="595" t="str">
        <f>""</f>
        <v/>
      </c>
      <c r="AD207" s="40"/>
    </row>
    <row r="208" spans="25:30" ht="12.75" thickTop="1" x14ac:dyDescent="0.2"/>
  </sheetData>
  <mergeCells count="18">
    <mergeCell ref="AL63:AM63"/>
    <mergeCell ref="E29:L29"/>
    <mergeCell ref="M29:T29"/>
    <mergeCell ref="U29:AB29"/>
    <mergeCell ref="AC29:AJ29"/>
    <mergeCell ref="AK29:AR29"/>
    <mergeCell ref="X63:Y63"/>
    <mergeCell ref="AD63:AE63"/>
    <mergeCell ref="AF63:AG63"/>
    <mergeCell ref="AH63:AI63"/>
    <mergeCell ref="AJ63:AK63"/>
    <mergeCell ref="AS29:AZ29"/>
    <mergeCell ref="BA29:BH29"/>
    <mergeCell ref="BI29:BP29"/>
    <mergeCell ref="W3:AA3"/>
    <mergeCell ref="AB3:AF3"/>
    <mergeCell ref="AG3:AK3"/>
    <mergeCell ref="AL3:AP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5B315-6B92-43FC-8138-AF47BCABC26B}">
  <dimension ref="A1:G146"/>
  <sheetViews>
    <sheetView workbookViewId="0"/>
  </sheetViews>
  <sheetFormatPr baseColWidth="10" defaultRowHeight="12.75" x14ac:dyDescent="0.2"/>
  <cols>
    <col min="3" max="3" width="24.42578125" customWidth="1"/>
    <col min="7" max="7" width="14.28515625" customWidth="1"/>
  </cols>
  <sheetData>
    <row r="1" spans="2:7" ht="13.5" thickBot="1" x14ac:dyDescent="0.25"/>
    <row r="2" spans="2:7" ht="24.75" customHeight="1" thickTop="1" thickBot="1" x14ac:dyDescent="0.25">
      <c r="E2" s="366">
        <f ca="1">COUNTIF($C$3:$C$146,"")</f>
        <v>0</v>
      </c>
      <c r="F2" s="366">
        <f t="array" aca="1" ref="F2" ca="1">SUMPRODUCT(($C$3:$C$146&lt;&gt;"")/($D$3:$D$146+($C$3:$C$146="")))</f>
        <v>144</v>
      </c>
      <c r="G2" s="367" t="str">
        <f ca="1">IF(E2+F2&lt;144,"FEHLER","okay")</f>
        <v>okay</v>
      </c>
    </row>
    <row r="3" spans="2:7" ht="13.5" thickTop="1" x14ac:dyDescent="0.2">
      <c r="B3" s="150">
        <v>1</v>
      </c>
      <c r="C3" t="str">
        <f ca="1">IF(OR(Planung!$L6="",Planung!$N6=""),"Z"&amp;ROW($M6),Planung!$I6&amp;Planung!$F6)</f>
        <v>A50,375</v>
      </c>
      <c r="D3" s="150">
        <f t="array" aca="1" ref="D3:D146" ca="1">COUNTIF($C$3:$C$146,$C$3:$C$146)</f>
        <v>1</v>
      </c>
      <c r="E3" s="150" t="e">
        <f ca="1">IF($F$8&gt;72,$F$8-72,$F$8)</f>
        <v>#NUM!</v>
      </c>
      <c r="F3" s="347" t="s">
        <v>276</v>
      </c>
    </row>
    <row r="4" spans="2:7" x14ac:dyDescent="0.2">
      <c r="B4" s="150">
        <v>2</v>
      </c>
      <c r="C4" t="str">
        <f ca="1">IF(OR(Planung!$L7="",Planung!$N7=""),"Z"&amp;ROW($M7),Planung!$I7&amp;Planung!$F7)</f>
        <v>B50,375</v>
      </c>
      <c r="D4" s="150">
        <f ca="1"/>
        <v>1</v>
      </c>
      <c r="E4" s="150" t="e">
        <f ca="1">IF($F$9&gt;72,$F$9-72,$F$9)</f>
        <v>#NUM!</v>
      </c>
      <c r="F4" s="347" t="s">
        <v>277</v>
      </c>
    </row>
    <row r="5" spans="2:7" x14ac:dyDescent="0.2">
      <c r="B5" s="150">
        <v>3</v>
      </c>
      <c r="C5" t="str">
        <f ca="1">IF(OR(Planung!$L8="",Planung!$N8=""),"Z"&amp;ROW($M8),Planung!$I8&amp;Planung!$F8)</f>
        <v>A30,375</v>
      </c>
      <c r="D5" s="150">
        <f ca="1"/>
        <v>1</v>
      </c>
      <c r="E5" s="347" t="str">
        <f t="array" aca="1" ref="E5" ca="1">VLOOKUP(MATCH($E$7,$D$3:$D$146,0),$B$3:$C$146,2,0)</f>
        <v>A50,375</v>
      </c>
      <c r="F5" s="387" t="s">
        <v>278</v>
      </c>
    </row>
    <row r="6" spans="2:7" ht="13.5" thickBot="1" x14ac:dyDescent="0.25">
      <c r="B6" s="150">
        <v>4</v>
      </c>
      <c r="C6" t="str">
        <f ca="1">IF(OR(Planung!$L9="",Planung!$N9=""),"Z"&amp;ROW($M9),Planung!$I9&amp;Planung!$F9)</f>
        <v>B30,375</v>
      </c>
      <c r="D6" s="150">
        <f ca="1"/>
        <v>1</v>
      </c>
      <c r="E6" s="150" t="str">
        <f ca="1">LEFT($E$5,2)</f>
        <v>A5</v>
      </c>
      <c r="F6" s="150"/>
    </row>
    <row r="7" spans="2:7" ht="13.5" thickBot="1" x14ac:dyDescent="0.25">
      <c r="B7" s="150">
        <v>5</v>
      </c>
      <c r="C7" t="str">
        <f ca="1">IF(OR(Planung!$L10="",Planung!$N10=""),"Z"&amp;ROW($M10),Planung!$I10&amp;Planung!$F10)</f>
        <v>A50,399305555555556</v>
      </c>
      <c r="D7" s="150">
        <f ca="1"/>
        <v>1</v>
      </c>
      <c r="E7" s="396">
        <f ca="1">MAX($D$3:$D$146)</f>
        <v>1</v>
      </c>
    </row>
    <row r="8" spans="2:7" x14ac:dyDescent="0.2">
      <c r="B8" s="150">
        <v>6</v>
      </c>
      <c r="C8" t="str">
        <f ca="1">IF(OR(Planung!$L11="",Planung!$N11=""),"Z"&amp;ROW($M11),Planung!$I11&amp;Planung!$F11)</f>
        <v>B50,399305555555556</v>
      </c>
      <c r="D8" s="150">
        <f ca="1"/>
        <v>1</v>
      </c>
      <c r="E8" s="150">
        <f ca="1">MATCH($E$7,$D$3:$D$146,0)</f>
        <v>1</v>
      </c>
      <c r="F8" s="150" t="e">
        <f ca="1">IF($E$8&lt;$E$9,$E$8,$E$9)</f>
        <v>#NUM!</v>
      </c>
    </row>
    <row r="9" spans="2:7" x14ac:dyDescent="0.2">
      <c r="B9" s="150">
        <v>7</v>
      </c>
      <c r="C9" t="str">
        <f ca="1">IF(OR(Planung!$L12="",Planung!$N12=""),"Z"&amp;ROW($M12),Planung!$I12&amp;Planung!$F12)</f>
        <v>A20,399305555555556</v>
      </c>
      <c r="D9" s="150">
        <f ca="1"/>
        <v>1</v>
      </c>
      <c r="E9" s="150" t="e">
        <f t="array" aca="1" ref="E9" ca="1">INDEX($B$3:$B$146,SMALL(IF($E$5=$C$3:$C$146,ROW($C$3:$C$146)-ROW($C$3)+1),2))</f>
        <v>#NUM!</v>
      </c>
      <c r="F9" s="150" t="e">
        <f ca="1">IF($E$8&gt;$E$9,$E$8,$E$9)</f>
        <v>#NUM!</v>
      </c>
    </row>
    <row r="10" spans="2:7" x14ac:dyDescent="0.2">
      <c r="B10" s="150">
        <v>8</v>
      </c>
      <c r="C10" t="str">
        <f ca="1">IF(OR(Planung!$L13="",Planung!$N13=""),"Z"&amp;ROW($M13),Planung!$I13&amp;Planung!$F13)</f>
        <v>B20,399305555555556</v>
      </c>
      <c r="D10" s="150">
        <f ca="1"/>
        <v>1</v>
      </c>
    </row>
    <row r="11" spans="2:7" x14ac:dyDescent="0.2">
      <c r="B11" s="150">
        <v>9</v>
      </c>
      <c r="C11" t="str">
        <f ca="1">IF(OR(Planung!$L14="",Planung!$N14=""),"Z"&amp;ROW($M14),Planung!$I14&amp;Planung!$F14)</f>
        <v>A10,423611111111111</v>
      </c>
      <c r="D11" s="150">
        <f ca="1"/>
        <v>1</v>
      </c>
    </row>
    <row r="12" spans="2:7" x14ac:dyDescent="0.2">
      <c r="B12" s="150">
        <v>10</v>
      </c>
      <c r="C12" t="str">
        <f ca="1">IF(OR(Planung!$L15="",Planung!$N15=""),"Z"&amp;ROW($M15),Planung!$I15&amp;Planung!$F15)</f>
        <v>B10,423611111111111</v>
      </c>
      <c r="D12" s="150">
        <f ca="1"/>
        <v>1</v>
      </c>
    </row>
    <row r="13" spans="2:7" x14ac:dyDescent="0.2">
      <c r="B13" s="150">
        <v>11</v>
      </c>
      <c r="C13" t="str">
        <f ca="1">IF(OR(Planung!$L16="",Planung!$N16=""),"Z"&amp;ROW($M16),Planung!$I16&amp;Planung!$F16)</f>
        <v>A30,423611111111111</v>
      </c>
      <c r="D13" s="150">
        <f ca="1"/>
        <v>1</v>
      </c>
    </row>
    <row r="14" spans="2:7" x14ac:dyDescent="0.2">
      <c r="B14" s="150">
        <v>12</v>
      </c>
      <c r="C14" t="str">
        <f ca="1">IF(OR(Planung!$L17="",Planung!$N17=""),"Z"&amp;ROW($M17),Planung!$I17&amp;Planung!$F17)</f>
        <v>B30,423611111111111</v>
      </c>
      <c r="D14" s="150">
        <f ca="1"/>
        <v>1</v>
      </c>
    </row>
    <row r="15" spans="2:7" x14ac:dyDescent="0.2">
      <c r="B15" s="150">
        <v>13</v>
      </c>
      <c r="C15" t="str">
        <f ca="1">IF(OR(Planung!$L18="",Planung!$N18=""),"Z"&amp;ROW($M18),Planung!$I18&amp;Planung!$F18)</f>
        <v>A20,447916666666667</v>
      </c>
      <c r="D15" s="150">
        <f ca="1"/>
        <v>1</v>
      </c>
    </row>
    <row r="16" spans="2:7" x14ac:dyDescent="0.2">
      <c r="B16" s="150">
        <v>14</v>
      </c>
      <c r="C16" t="str">
        <f ca="1">IF(OR(Planung!$L19="",Planung!$N19=""),"Z"&amp;ROW($M19),Planung!$I19&amp;Planung!$F19)</f>
        <v>B20,447916666666667</v>
      </c>
      <c r="D16" s="150">
        <f ca="1"/>
        <v>1</v>
      </c>
    </row>
    <row r="17" spans="1:7" x14ac:dyDescent="0.2">
      <c r="B17" s="150">
        <v>15</v>
      </c>
      <c r="C17" t="str">
        <f ca="1">IF(OR(Planung!$L20="",Planung!$N20=""),"Z"&amp;ROW($M20),Planung!$I20&amp;Planung!$F20)</f>
        <v>A30,447916666666667</v>
      </c>
      <c r="D17" s="150">
        <f ca="1"/>
        <v>1</v>
      </c>
    </row>
    <row r="18" spans="1:7" x14ac:dyDescent="0.2">
      <c r="B18" s="150">
        <v>16</v>
      </c>
      <c r="C18" t="str">
        <f ca="1">IF(OR(Planung!$L21="",Planung!$N21=""),"Z"&amp;ROW($M21),Planung!$I21&amp;Planung!$F21)</f>
        <v>B30,447916666666667</v>
      </c>
      <c r="D18" s="150">
        <f ca="1"/>
        <v>1</v>
      </c>
    </row>
    <row r="19" spans="1:7" x14ac:dyDescent="0.2">
      <c r="B19" s="150">
        <v>17</v>
      </c>
      <c r="C19" t="str">
        <f ca="1">IF(OR(Planung!$L22="",Planung!$N22=""),"Z"&amp;ROW($M22),Planung!$I22&amp;Planung!$F22)</f>
        <v>A40,472222222222222</v>
      </c>
      <c r="D19" s="150">
        <f ca="1"/>
        <v>1</v>
      </c>
    </row>
    <row r="20" spans="1:7" x14ac:dyDescent="0.2">
      <c r="B20" s="150">
        <v>18</v>
      </c>
      <c r="C20" t="str">
        <f ca="1">IF(OR(Planung!$L23="",Planung!$N23=""),"Z"&amp;ROW($M23),Planung!$I23&amp;Planung!$F23)</f>
        <v>B40,472222222222222</v>
      </c>
      <c r="D20" s="150">
        <f ca="1"/>
        <v>1</v>
      </c>
    </row>
    <row r="21" spans="1:7" x14ac:dyDescent="0.2">
      <c r="B21" s="150">
        <v>19</v>
      </c>
      <c r="C21" t="str">
        <f ca="1">IF(OR(Planung!$L24="",Planung!$N24=""),"Z"&amp;ROW($M24),Planung!$I24&amp;Planung!$F24)</f>
        <v>A10,472222222222222</v>
      </c>
      <c r="D21" s="150">
        <f ca="1"/>
        <v>1</v>
      </c>
      <c r="G21" s="826" t="s">
        <v>253</v>
      </c>
    </row>
    <row r="22" spans="1:7" x14ac:dyDescent="0.2">
      <c r="B22" s="150">
        <v>20</v>
      </c>
      <c r="C22" t="str">
        <f ca="1">IF(OR(Planung!$L25="",Planung!$N25=""),"Z"&amp;ROW($M25),Planung!$I25&amp;Planung!$F25)</f>
        <v>B10,472222222222222</v>
      </c>
      <c r="D22" s="150">
        <f ca="1"/>
        <v>1</v>
      </c>
      <c r="G22" s="826"/>
    </row>
    <row r="23" spans="1:7" x14ac:dyDescent="0.2">
      <c r="B23" s="150">
        <v>21</v>
      </c>
      <c r="C23" t="str">
        <f ca="1">IF(OR(Planung!$L26="",Planung!$N26=""),"Z"&amp;ROW($M26),Planung!$I26&amp;Planung!$F26)</f>
        <v>Z26</v>
      </c>
      <c r="D23" s="150">
        <f ca="1"/>
        <v>1</v>
      </c>
      <c r="G23" s="826" t="s">
        <v>254</v>
      </c>
    </row>
    <row r="24" spans="1:7" x14ac:dyDescent="0.2">
      <c r="B24" s="150">
        <v>22</v>
      </c>
      <c r="C24" t="str">
        <f ca="1">IF(OR(Planung!$L27="",Planung!$N27=""),"Z"&amp;ROW($M27),Planung!$I27&amp;Planung!$F27)</f>
        <v>Z27</v>
      </c>
      <c r="D24" s="150">
        <f ca="1"/>
        <v>1</v>
      </c>
      <c r="G24" s="826"/>
    </row>
    <row r="25" spans="1:7" x14ac:dyDescent="0.2">
      <c r="B25" s="150">
        <v>23</v>
      </c>
      <c r="C25" t="str">
        <f ca="1">IF(OR(Planung!$L28="",Planung!$N28=""),"Z"&amp;ROW($M28),Planung!$I28&amp;Planung!$F28)</f>
        <v>Z28</v>
      </c>
      <c r="D25" s="150">
        <f ca="1"/>
        <v>1</v>
      </c>
      <c r="G25" s="826" t="s">
        <v>255</v>
      </c>
    </row>
    <row r="26" spans="1:7" x14ac:dyDescent="0.2">
      <c r="B26" s="150">
        <v>24</v>
      </c>
      <c r="C26" t="str">
        <f ca="1">IF(OR(Planung!$L29="",Planung!$N29=""),"Z"&amp;ROW($M29),Planung!$I29&amp;Planung!$F29)</f>
        <v>Z29</v>
      </c>
      <c r="D26" s="150">
        <f ca="1"/>
        <v>1</v>
      </c>
      <c r="G26" s="826"/>
    </row>
    <row r="27" spans="1:7" x14ac:dyDescent="0.2">
      <c r="B27" s="150">
        <v>25</v>
      </c>
      <c r="C27" t="str">
        <f ca="1">IF(OR(Planung!$L30="",Planung!$N30=""),"Z"&amp;ROW($M30),Planung!$I30&amp;Planung!$F30)</f>
        <v>Z30</v>
      </c>
      <c r="D27" s="150">
        <f ca="1"/>
        <v>1</v>
      </c>
      <c r="G27" s="826" t="s">
        <v>256</v>
      </c>
    </row>
    <row r="28" spans="1:7" x14ac:dyDescent="0.2">
      <c r="B28" s="150">
        <v>26</v>
      </c>
      <c r="C28" t="str">
        <f ca="1">IF(OR(Planung!$L31="",Planung!$N31=""),"Z"&amp;ROW($M31),Planung!$I31&amp;Planung!$F31)</f>
        <v>Z31</v>
      </c>
      <c r="D28" s="150">
        <f ca="1"/>
        <v>1</v>
      </c>
      <c r="G28" s="826"/>
    </row>
    <row r="29" spans="1:7" x14ac:dyDescent="0.2">
      <c r="B29" s="150">
        <v>27</v>
      </c>
      <c r="C29" t="str">
        <f ca="1">IF(OR(Planung!$L32="",Planung!$N32=""),"Z"&amp;ROW($M32),Planung!$I32&amp;Planung!$F32)</f>
        <v>Z32</v>
      </c>
      <c r="D29" s="150">
        <f ca="1"/>
        <v>1</v>
      </c>
      <c r="G29" s="826" t="s">
        <v>318</v>
      </c>
    </row>
    <row r="30" spans="1:7" x14ac:dyDescent="0.2">
      <c r="B30" s="150">
        <v>28</v>
      </c>
      <c r="C30" t="str">
        <f ca="1">IF(OR(Planung!$L33="",Planung!$N33=""),"Z"&amp;ROW($M33),Planung!$I33&amp;Planung!$F33)</f>
        <v>Z33</v>
      </c>
      <c r="D30" s="150">
        <f ca="1"/>
        <v>1</v>
      </c>
      <c r="G30" s="826"/>
    </row>
    <row r="31" spans="1:7" x14ac:dyDescent="0.2">
      <c r="B31" s="150">
        <v>29</v>
      </c>
      <c r="C31" t="str">
        <f ca="1">IF(OR(Planung!$L34="",Planung!$N34=""),"Z"&amp;ROW($M34),Planung!$I34&amp;Planung!$F34)</f>
        <v>Z34</v>
      </c>
      <c r="D31" s="150">
        <f ca="1"/>
        <v>1</v>
      </c>
      <c r="G31" s="150"/>
    </row>
    <row r="32" spans="1:7" x14ac:dyDescent="0.2">
      <c r="A32" s="260"/>
      <c r="B32" s="259">
        <v>30</v>
      </c>
      <c r="C32" t="str">
        <f ca="1">IF(OR(Planung!$L35="",Planung!$N35=""),"Z"&amp;ROW($M35),Planung!$I35&amp;Planung!$F35)</f>
        <v>Z35</v>
      </c>
      <c r="D32" s="150">
        <f ca="1"/>
        <v>1</v>
      </c>
      <c r="G32" s="150"/>
    </row>
    <row r="33" spans="1:7" x14ac:dyDescent="0.2">
      <c r="A33" s="259"/>
      <c r="B33" s="259">
        <v>31</v>
      </c>
      <c r="C33" t="str">
        <f ca="1">IF(OR(Planung!$L36="",Planung!$N36=""),"Z"&amp;ROW($M36),Planung!$I36&amp;Planung!$F36)</f>
        <v>Z36</v>
      </c>
      <c r="D33" s="150">
        <f ca="1"/>
        <v>1</v>
      </c>
      <c r="G33" s="826" t="s">
        <v>257</v>
      </c>
    </row>
    <row r="34" spans="1:7" x14ac:dyDescent="0.2">
      <c r="A34" s="150"/>
      <c r="B34" s="150">
        <v>32</v>
      </c>
      <c r="C34" t="str">
        <f ca="1">IF(OR(Planung!$L37="",Planung!$N37=""),"Z"&amp;ROW($M37),Planung!$I37&amp;Planung!$F37)</f>
        <v>Z37</v>
      </c>
      <c r="D34" s="150">
        <f ca="1"/>
        <v>1</v>
      </c>
      <c r="G34" s="826"/>
    </row>
    <row r="35" spans="1:7" x14ac:dyDescent="0.2">
      <c r="A35" s="150"/>
      <c r="B35" s="150">
        <v>33</v>
      </c>
      <c r="C35" t="str">
        <f ca="1">IF(OR(Planung!$L38="",Planung!$N38=""),"Z"&amp;ROW($M38),Planung!$I38&amp;Planung!$F38)</f>
        <v>Z38</v>
      </c>
      <c r="D35" s="150">
        <f ca="1"/>
        <v>1</v>
      </c>
      <c r="G35" s="826" t="s">
        <v>258</v>
      </c>
    </row>
    <row r="36" spans="1:7" x14ac:dyDescent="0.2">
      <c r="A36" s="150"/>
      <c r="B36" s="150">
        <v>34</v>
      </c>
      <c r="C36" t="str">
        <f ca="1">IF(OR(Planung!$L39="",Planung!$N39=""),"Z"&amp;ROW($M39),Planung!$I39&amp;Planung!$F39)</f>
        <v>Z39</v>
      </c>
      <c r="D36" s="150">
        <f ca="1"/>
        <v>1</v>
      </c>
      <c r="G36" s="826"/>
    </row>
    <row r="37" spans="1:7" x14ac:dyDescent="0.2">
      <c r="A37" s="150"/>
      <c r="B37" s="150">
        <v>35</v>
      </c>
      <c r="C37" t="str">
        <f ca="1">IF(OR(Planung!$L40="",Planung!$N40=""),"Z"&amp;ROW($M40),Planung!$I40&amp;Planung!$F40)</f>
        <v>Z40</v>
      </c>
      <c r="D37" s="150">
        <f ca="1"/>
        <v>1</v>
      </c>
      <c r="G37" s="826" t="s">
        <v>260</v>
      </c>
    </row>
    <row r="38" spans="1:7" x14ac:dyDescent="0.2">
      <c r="A38" s="150"/>
      <c r="B38" s="150">
        <v>36</v>
      </c>
      <c r="C38" t="str">
        <f ca="1">IF(OR(Planung!$L41="",Planung!$N41=""),"Z"&amp;ROW($M41),Planung!$I41&amp;Planung!$F41)</f>
        <v>Z41</v>
      </c>
      <c r="D38" s="150">
        <f ca="1"/>
        <v>1</v>
      </c>
      <c r="G38" s="826"/>
    </row>
    <row r="39" spans="1:7" x14ac:dyDescent="0.2">
      <c r="A39" s="150"/>
      <c r="B39" s="150">
        <v>37</v>
      </c>
      <c r="C39" t="str">
        <f ca="1">IF(OR(Planung!$L42="",Planung!$N42=""),"Z"&amp;ROW($M42),Planung!$I42&amp;Planung!$F42)</f>
        <v>Z42</v>
      </c>
      <c r="D39" s="150">
        <f ca="1"/>
        <v>1</v>
      </c>
      <c r="G39" s="826" t="s">
        <v>259</v>
      </c>
    </row>
    <row r="40" spans="1:7" x14ac:dyDescent="0.2">
      <c r="A40" s="150"/>
      <c r="B40" s="150">
        <v>38</v>
      </c>
      <c r="C40" t="str">
        <f ca="1">IF(OR(Planung!$L43="",Planung!$N43=""),"Z"&amp;ROW($M43),Planung!$I43&amp;Planung!$F43)</f>
        <v>Z43</v>
      </c>
      <c r="D40" s="150">
        <f ca="1"/>
        <v>1</v>
      </c>
      <c r="G40" s="826"/>
    </row>
    <row r="41" spans="1:7" x14ac:dyDescent="0.2">
      <c r="A41" s="150"/>
      <c r="B41" s="150">
        <v>39</v>
      </c>
      <c r="C41" t="str">
        <f ca="1">IF(OR(Planung!$L44="",Planung!$N44=""),"Z"&amp;ROW($M44),Planung!$I44&amp;Planung!$F44)</f>
        <v>Z44</v>
      </c>
      <c r="D41" s="150">
        <f ca="1"/>
        <v>1</v>
      </c>
      <c r="G41" s="826" t="s">
        <v>261</v>
      </c>
    </row>
    <row r="42" spans="1:7" x14ac:dyDescent="0.2">
      <c r="A42" s="150"/>
      <c r="B42" s="150">
        <v>40</v>
      </c>
      <c r="C42" t="str">
        <f ca="1">IF(OR(Planung!$L45="",Planung!$N45=""),"Z"&amp;ROW($M45),Planung!$I45&amp;Planung!$F45)</f>
        <v>Z45</v>
      </c>
      <c r="D42" s="150">
        <f ca="1"/>
        <v>1</v>
      </c>
      <c r="G42" s="826"/>
    </row>
    <row r="43" spans="1:7" x14ac:dyDescent="0.2">
      <c r="A43" s="150"/>
      <c r="B43" s="150">
        <v>41</v>
      </c>
      <c r="C43" t="str">
        <f ca="1">IF(OR(Planung!$L46="",Planung!$N46=""),"Z"&amp;ROW($M46),Planung!$I46&amp;Planung!$F46)</f>
        <v>Z46</v>
      </c>
      <c r="D43" s="150">
        <f ca="1"/>
        <v>1</v>
      </c>
    </row>
    <row r="44" spans="1:7" x14ac:dyDescent="0.2">
      <c r="A44" s="150"/>
      <c r="B44" s="150">
        <v>42</v>
      </c>
      <c r="C44" t="str">
        <f ca="1">IF(OR(Planung!$L47="",Planung!$N47=""),"Z"&amp;ROW($M47),Planung!$I47&amp;Planung!$F47)</f>
        <v>Z47</v>
      </c>
      <c r="D44" s="150">
        <f ca="1"/>
        <v>1</v>
      </c>
    </row>
    <row r="45" spans="1:7" x14ac:dyDescent="0.2">
      <c r="A45" s="150"/>
      <c r="B45" s="150">
        <v>43</v>
      </c>
      <c r="C45" t="str">
        <f ca="1">IF(OR(Planung!$L48="",Planung!$N48=""),"Z"&amp;ROW($M48),Planung!$I48&amp;Planung!$F48)</f>
        <v>Z48</v>
      </c>
      <c r="D45" s="150">
        <f ca="1"/>
        <v>1</v>
      </c>
    </row>
    <row r="46" spans="1:7" x14ac:dyDescent="0.2">
      <c r="A46" s="150"/>
      <c r="B46" s="150">
        <v>44</v>
      </c>
      <c r="C46" t="str">
        <f ca="1">IF(OR(Planung!$L49="",Planung!$N49=""),"Z"&amp;ROW($M49),Planung!$I49&amp;Planung!$F49)</f>
        <v>Z49</v>
      </c>
      <c r="D46" s="150">
        <f ca="1"/>
        <v>1</v>
      </c>
    </row>
    <row r="47" spans="1:7" x14ac:dyDescent="0.2">
      <c r="A47" s="150"/>
      <c r="B47" s="150">
        <v>45</v>
      </c>
      <c r="C47" t="str">
        <f ca="1">IF(OR(Planung!$L50="",Planung!$N50=""),"Z"&amp;ROW($M50),Planung!$I50&amp;Planung!$F50)</f>
        <v>Z50</v>
      </c>
      <c r="D47" s="150">
        <f ca="1"/>
        <v>1</v>
      </c>
    </row>
    <row r="48" spans="1:7" x14ac:dyDescent="0.2">
      <c r="A48" s="150"/>
      <c r="B48" s="150">
        <v>46</v>
      </c>
      <c r="C48" t="str">
        <f ca="1">IF(OR(Planung!$L51="",Planung!$N51=""),"Z"&amp;ROW($M51),Planung!$I51&amp;Planung!$F51)</f>
        <v>Z51</v>
      </c>
      <c r="D48" s="150">
        <f ca="1"/>
        <v>1</v>
      </c>
    </row>
    <row r="49" spans="1:4" x14ac:dyDescent="0.2">
      <c r="A49" s="150"/>
      <c r="B49" s="150">
        <v>47</v>
      </c>
      <c r="C49" t="str">
        <f ca="1">IF(OR(Planung!$L52="",Planung!$N52=""),"Z"&amp;ROW($M52),Planung!$I52&amp;Planung!$F52)</f>
        <v>Z52</v>
      </c>
      <c r="D49" s="150">
        <f ca="1"/>
        <v>1</v>
      </c>
    </row>
    <row r="50" spans="1:4" x14ac:dyDescent="0.2">
      <c r="A50" s="150"/>
      <c r="B50" s="150">
        <v>48</v>
      </c>
      <c r="C50" t="str">
        <f ca="1">IF(OR(Planung!$L53="",Planung!$N53=""),"Z"&amp;ROW($M53),Planung!$I53&amp;Planung!$F53)</f>
        <v>Z53</v>
      </c>
      <c r="D50" s="150">
        <f ca="1"/>
        <v>1</v>
      </c>
    </row>
    <row r="51" spans="1:4" x14ac:dyDescent="0.2">
      <c r="A51" s="150"/>
      <c r="B51" s="150">
        <v>49</v>
      </c>
      <c r="C51" t="str">
        <f ca="1">IF(OR(Planung!$L54="",Planung!$N54=""),"Z"&amp;ROW($M54),Planung!$I54&amp;Planung!$F54)</f>
        <v>Z54</v>
      </c>
      <c r="D51" s="150">
        <f ca="1"/>
        <v>1</v>
      </c>
    </row>
    <row r="52" spans="1:4" x14ac:dyDescent="0.2">
      <c r="A52" s="150"/>
      <c r="B52" s="150">
        <v>50</v>
      </c>
      <c r="C52" t="str">
        <f ca="1">IF(OR(Planung!$L55="",Planung!$N55=""),"Z"&amp;ROW($M55),Planung!$I55&amp;Planung!$F55)</f>
        <v>Z55</v>
      </c>
      <c r="D52" s="150">
        <f ca="1"/>
        <v>1</v>
      </c>
    </row>
    <row r="53" spans="1:4" x14ac:dyDescent="0.2">
      <c r="A53" s="150"/>
      <c r="B53" s="150">
        <v>51</v>
      </c>
      <c r="C53" t="str">
        <f ca="1">IF(OR(Planung!$L56="",Planung!$N56=""),"Z"&amp;ROW($M56),Planung!$I56&amp;Planung!$F56)</f>
        <v>Z56</v>
      </c>
      <c r="D53" s="150">
        <f ca="1"/>
        <v>1</v>
      </c>
    </row>
    <row r="54" spans="1:4" x14ac:dyDescent="0.2">
      <c r="A54" s="150"/>
      <c r="B54" s="150">
        <v>52</v>
      </c>
      <c r="C54" t="str">
        <f ca="1">IF(OR(Planung!$L57="",Planung!$N57=""),"Z"&amp;ROW($M57),Planung!$I57&amp;Planung!$F57)</f>
        <v>Z57</v>
      </c>
      <c r="D54" s="150">
        <f ca="1"/>
        <v>1</v>
      </c>
    </row>
    <row r="55" spans="1:4" x14ac:dyDescent="0.2">
      <c r="A55" s="150"/>
      <c r="B55" s="150">
        <v>53</v>
      </c>
      <c r="C55" t="str">
        <f ca="1">IF(OR(Planung!$L58="",Planung!$N58=""),"Z"&amp;ROW($M58),Planung!$I58&amp;Planung!$F58)</f>
        <v>Z58</v>
      </c>
      <c r="D55" s="150">
        <f ca="1"/>
        <v>1</v>
      </c>
    </row>
    <row r="56" spans="1:4" x14ac:dyDescent="0.2">
      <c r="A56" s="150"/>
      <c r="B56" s="150">
        <v>54</v>
      </c>
      <c r="C56" t="str">
        <f ca="1">IF(OR(Planung!$L59="",Planung!$N59=""),"Z"&amp;ROW($M59),Planung!$I59&amp;Planung!$F59)</f>
        <v>Z59</v>
      </c>
      <c r="D56" s="150">
        <f ca="1"/>
        <v>1</v>
      </c>
    </row>
    <row r="57" spans="1:4" x14ac:dyDescent="0.2">
      <c r="A57" s="150"/>
      <c r="B57" s="150">
        <v>55</v>
      </c>
      <c r="C57" t="str">
        <f ca="1">IF(OR(Planung!$L60="",Planung!$N60=""),"Z"&amp;ROW($M60),Planung!$I60&amp;Planung!$F60)</f>
        <v>Z60</v>
      </c>
      <c r="D57" s="150">
        <f ca="1"/>
        <v>1</v>
      </c>
    </row>
    <row r="58" spans="1:4" x14ac:dyDescent="0.2">
      <c r="A58" s="150"/>
      <c r="B58" s="150">
        <v>56</v>
      </c>
      <c r="C58" t="str">
        <f ca="1">IF(OR(Planung!$L61="",Planung!$N61=""),"Z"&amp;ROW($M61),Planung!$I61&amp;Planung!$F61)</f>
        <v>Z61</v>
      </c>
      <c r="D58" s="150">
        <f ca="1"/>
        <v>1</v>
      </c>
    </row>
    <row r="59" spans="1:4" x14ac:dyDescent="0.2">
      <c r="A59" s="150"/>
      <c r="B59" s="150">
        <v>57</v>
      </c>
      <c r="C59" t="str">
        <f ca="1">IF(OR(Planung!$L62="",Planung!$N62=""),"Z"&amp;ROW($M62),Planung!$I62&amp;Planung!$F62)</f>
        <v>Z62</v>
      </c>
      <c r="D59" s="150">
        <f ca="1"/>
        <v>1</v>
      </c>
    </row>
    <row r="60" spans="1:4" x14ac:dyDescent="0.2">
      <c r="A60" s="150"/>
      <c r="B60" s="150">
        <v>58</v>
      </c>
      <c r="C60" t="str">
        <f ca="1">IF(OR(Planung!$L63="",Planung!$N63=""),"Z"&amp;ROW($M63),Planung!$I63&amp;Planung!$F63)</f>
        <v>Z63</v>
      </c>
      <c r="D60" s="150">
        <f ca="1"/>
        <v>1</v>
      </c>
    </row>
    <row r="61" spans="1:4" x14ac:dyDescent="0.2">
      <c r="A61" s="150"/>
      <c r="B61" s="150">
        <v>59</v>
      </c>
      <c r="C61" t="str">
        <f ca="1">IF(OR(Planung!$L64="",Planung!$N64=""),"Z"&amp;ROW($M64),Planung!$I64&amp;Planung!$F64)</f>
        <v>Z64</v>
      </c>
      <c r="D61" s="150">
        <f ca="1"/>
        <v>1</v>
      </c>
    </row>
    <row r="62" spans="1:4" x14ac:dyDescent="0.2">
      <c r="A62" s="150"/>
      <c r="B62" s="150">
        <v>60</v>
      </c>
      <c r="C62" t="str">
        <f ca="1">IF(OR(Planung!$L65="",Planung!$N65=""),"Z"&amp;ROW($M65),Planung!$I65&amp;Planung!$F65)</f>
        <v>Z65</v>
      </c>
      <c r="D62" s="150">
        <f ca="1"/>
        <v>1</v>
      </c>
    </row>
    <row r="63" spans="1:4" x14ac:dyDescent="0.2">
      <c r="B63" s="150">
        <v>61</v>
      </c>
      <c r="C63" t="str">
        <f ca="1">IF(OR(Planung!$L66="",Planung!$N66=""),"Z"&amp;ROW($M66),Planung!$I66&amp;Planung!$F66)</f>
        <v>Z66</v>
      </c>
      <c r="D63" s="150">
        <f ca="1"/>
        <v>1</v>
      </c>
    </row>
    <row r="64" spans="1:4" x14ac:dyDescent="0.2">
      <c r="B64" s="150">
        <v>62</v>
      </c>
      <c r="C64" t="str">
        <f ca="1">IF(OR(Planung!$L67="",Planung!$N67=""),"Z"&amp;ROW($M67),Planung!$I67&amp;Planung!$F67)</f>
        <v>Z67</v>
      </c>
      <c r="D64" s="150">
        <f ca="1"/>
        <v>1</v>
      </c>
    </row>
    <row r="65" spans="1:4" x14ac:dyDescent="0.2">
      <c r="B65" s="150">
        <v>63</v>
      </c>
      <c r="C65" t="str">
        <f ca="1">IF(OR(Planung!$L68="",Planung!$N68=""),"Z"&amp;ROW($M68),Planung!$I68&amp;Planung!$F68)</f>
        <v>Z68</v>
      </c>
      <c r="D65" s="150">
        <f ca="1"/>
        <v>1</v>
      </c>
    </row>
    <row r="66" spans="1:4" x14ac:dyDescent="0.2">
      <c r="B66" s="150">
        <v>64</v>
      </c>
      <c r="C66" t="str">
        <f ca="1">IF(OR(Planung!$L69="",Planung!$N69=""),"Z"&amp;ROW($M69),Planung!$I69&amp;Planung!$F69)</f>
        <v>Z69</v>
      </c>
      <c r="D66" s="150">
        <f ca="1"/>
        <v>1</v>
      </c>
    </row>
    <row r="67" spans="1:4" x14ac:dyDescent="0.2">
      <c r="B67" s="150">
        <v>65</v>
      </c>
      <c r="C67" t="str">
        <f ca="1">IF(OR(Planung!$L70="",Planung!$N70=""),"Z"&amp;ROW($M70),Planung!$I70&amp;Planung!$F70)</f>
        <v>Z70</v>
      </c>
      <c r="D67" s="150">
        <f ca="1"/>
        <v>1</v>
      </c>
    </row>
    <row r="68" spans="1:4" x14ac:dyDescent="0.2">
      <c r="B68" s="150">
        <v>66</v>
      </c>
      <c r="C68" t="str">
        <f ca="1">IF(OR(Planung!$L71="",Planung!$N71=""),"Z"&amp;ROW($M71),Planung!$I71&amp;Planung!$F71)</f>
        <v>Z71</v>
      </c>
      <c r="D68" s="150">
        <f ca="1"/>
        <v>1</v>
      </c>
    </row>
    <row r="69" spans="1:4" x14ac:dyDescent="0.2">
      <c r="B69" s="150">
        <v>67</v>
      </c>
      <c r="C69" t="str">
        <f ca="1">IF(OR(Planung!$L72="",Planung!$N72=""),"Z"&amp;ROW($M72),Planung!$I72&amp;Planung!$F72)</f>
        <v>Z72</v>
      </c>
      <c r="D69" s="150">
        <f ca="1"/>
        <v>1</v>
      </c>
    </row>
    <row r="70" spans="1:4" x14ac:dyDescent="0.2">
      <c r="B70" s="150">
        <v>68</v>
      </c>
      <c r="C70" t="str">
        <f ca="1">IF(OR(Planung!$L73="",Planung!$N73=""),"Z"&amp;ROW($M73),Planung!$I73&amp;Planung!$F73)</f>
        <v>Z73</v>
      </c>
      <c r="D70" s="150">
        <f ca="1"/>
        <v>1</v>
      </c>
    </row>
    <row r="71" spans="1:4" x14ac:dyDescent="0.2">
      <c r="B71" s="150">
        <v>69</v>
      </c>
      <c r="C71" t="str">
        <f ca="1">IF(OR(Planung!$L74="",Planung!$N74=""),"Z"&amp;ROW($M74),Planung!$I74&amp;Planung!$F74)</f>
        <v>Z74</v>
      </c>
      <c r="D71" s="150">
        <f ca="1"/>
        <v>1</v>
      </c>
    </row>
    <row r="72" spans="1:4" x14ac:dyDescent="0.2">
      <c r="B72" s="150">
        <v>70</v>
      </c>
      <c r="C72" t="str">
        <f ca="1">IF(OR(Planung!$L75="",Planung!$N75=""),"Z"&amp;ROW($M75),Planung!$I75&amp;Planung!$F75)</f>
        <v>Z75</v>
      </c>
      <c r="D72" s="150">
        <f ca="1"/>
        <v>1</v>
      </c>
    </row>
    <row r="73" spans="1:4" x14ac:dyDescent="0.2">
      <c r="B73" s="150">
        <v>71</v>
      </c>
      <c r="C73" t="str">
        <f ca="1">IF(OR(Planung!$L76="",Planung!$N76=""),"Z"&amp;ROW($M76),Planung!$I76&amp;Planung!$F76)</f>
        <v>Z76</v>
      </c>
      <c r="D73" s="150">
        <f ca="1"/>
        <v>1</v>
      </c>
    </row>
    <row r="74" spans="1:4" ht="13.5" thickBot="1" x14ac:dyDescent="0.25">
      <c r="A74" s="260"/>
      <c r="B74" s="393">
        <v>72</v>
      </c>
      <c r="C74" s="392" t="str">
        <f ca="1">IF(OR(Planung!$L77="",Planung!$N77=""),"Z"&amp;ROW($M77),Planung!$I77&amp;Planung!$F77)</f>
        <v>Z77</v>
      </c>
      <c r="D74" s="393">
        <f ca="1"/>
        <v>1</v>
      </c>
    </row>
    <row r="75" spans="1:4" x14ac:dyDescent="0.2">
      <c r="A75" s="150"/>
      <c r="B75" s="150">
        <v>73</v>
      </c>
      <c r="C75" t="str">
        <f ca="1">IF(OR(Planung!$L6="",Planung!$N6=""),"ZZ"&amp;ROW($M6)+100,Planung!$K6&amp;Planung!$F6)</f>
        <v>A20,375</v>
      </c>
      <c r="D75" s="150">
        <f ca="1"/>
        <v>1</v>
      </c>
    </row>
    <row r="76" spans="1:4" x14ac:dyDescent="0.2">
      <c r="B76" s="150">
        <v>74</v>
      </c>
      <c r="C76" t="str">
        <f ca="1">IF(OR(Planung!$L7="",Planung!$N7=""),"ZZ"&amp;ROW($M7)+100,Planung!$K7&amp;Planung!$F7)</f>
        <v>B20,375</v>
      </c>
      <c r="D76" s="150">
        <f ca="1"/>
        <v>1</v>
      </c>
    </row>
    <row r="77" spans="1:4" x14ac:dyDescent="0.2">
      <c r="B77" s="150">
        <v>75</v>
      </c>
      <c r="C77" t="str">
        <f ca="1">IF(OR(Planung!$L8="",Planung!$N8=""),"ZZ"&amp;ROW($M8)+100,Planung!$K8&amp;Planung!$F8)</f>
        <v>A40,375</v>
      </c>
      <c r="D77" s="150">
        <f ca="1"/>
        <v>1</v>
      </c>
    </row>
    <row r="78" spans="1:4" x14ac:dyDescent="0.2">
      <c r="B78" s="150">
        <v>76</v>
      </c>
      <c r="C78" t="str">
        <f ca="1">IF(OR(Planung!$L9="",Planung!$N9=""),"ZZ"&amp;ROW($M9)+100,Planung!$K9&amp;Planung!$F9)</f>
        <v>B40,375</v>
      </c>
      <c r="D78" s="150">
        <f ca="1"/>
        <v>1</v>
      </c>
    </row>
    <row r="79" spans="1:4" x14ac:dyDescent="0.2">
      <c r="B79" s="150">
        <v>77</v>
      </c>
      <c r="C79" t="str">
        <f ca="1">IF(OR(Planung!$L10="",Planung!$N10=""),"ZZ"&amp;ROW($M10)+100,Planung!$K10&amp;Planung!$F10)</f>
        <v>A10,399305555555556</v>
      </c>
      <c r="D79" s="150">
        <f ca="1"/>
        <v>1</v>
      </c>
    </row>
    <row r="80" spans="1:4" x14ac:dyDescent="0.2">
      <c r="B80" s="150">
        <v>78</v>
      </c>
      <c r="C80" t="str">
        <f ca="1">IF(OR(Planung!$L11="",Planung!$N11=""),"ZZ"&amp;ROW($M11)+100,Planung!$K11&amp;Planung!$F11)</f>
        <v>B10,399305555555556</v>
      </c>
      <c r="D80" s="150">
        <f ca="1"/>
        <v>1</v>
      </c>
    </row>
    <row r="81" spans="2:4" x14ac:dyDescent="0.2">
      <c r="B81" s="150">
        <v>79</v>
      </c>
      <c r="C81" t="str">
        <f ca="1">IF(OR(Planung!$L12="",Planung!$N12=""),"ZZ"&amp;ROW($M12)+100,Planung!$K12&amp;Planung!$F12)</f>
        <v>A30,399305555555556</v>
      </c>
      <c r="D81" s="150">
        <f ca="1"/>
        <v>1</v>
      </c>
    </row>
    <row r="82" spans="2:4" x14ac:dyDescent="0.2">
      <c r="B82" s="150">
        <v>80</v>
      </c>
      <c r="C82" t="str">
        <f ca="1">IF(OR(Planung!$L13="",Planung!$N13=""),"ZZ"&amp;ROW($M13)+100,Planung!$K13&amp;Planung!$F13)</f>
        <v>B30,399305555555556</v>
      </c>
      <c r="D82" s="150">
        <f ca="1"/>
        <v>1</v>
      </c>
    </row>
    <row r="83" spans="2:4" x14ac:dyDescent="0.2">
      <c r="B83" s="150">
        <v>81</v>
      </c>
      <c r="C83" t="str">
        <f ca="1">IF(OR(Planung!$L14="",Planung!$N14=""),"ZZ"&amp;ROW($M14)+100,Planung!$K14&amp;Planung!$F14)</f>
        <v>A40,423611111111111</v>
      </c>
      <c r="D83" s="150">
        <f ca="1"/>
        <v>1</v>
      </c>
    </row>
    <row r="84" spans="2:4" x14ac:dyDescent="0.2">
      <c r="B84" s="150">
        <v>82</v>
      </c>
      <c r="C84" t="str">
        <f ca="1">IF(OR(Planung!$L15="",Planung!$N15=""),"ZZ"&amp;ROW($M15)+100,Planung!$K15&amp;Planung!$F15)</f>
        <v>B40,423611111111111</v>
      </c>
      <c r="D84" s="150">
        <f ca="1"/>
        <v>1</v>
      </c>
    </row>
    <row r="85" spans="2:4" x14ac:dyDescent="0.2">
      <c r="B85" s="150">
        <v>83</v>
      </c>
      <c r="C85" t="str">
        <f ca="1">IF(OR(Planung!$L16="",Planung!$N16=""),"ZZ"&amp;ROW($M16)+100,Planung!$K16&amp;Planung!$F16)</f>
        <v>A50,423611111111111</v>
      </c>
      <c r="D85" s="150">
        <f ca="1"/>
        <v>1</v>
      </c>
    </row>
    <row r="86" spans="2:4" x14ac:dyDescent="0.2">
      <c r="B86" s="150">
        <v>84</v>
      </c>
      <c r="C86" t="str">
        <f ca="1">IF(OR(Planung!$L17="",Planung!$N17=""),"ZZ"&amp;ROW($M17)+100,Planung!$K17&amp;Planung!$F17)</f>
        <v>B50,423611111111111</v>
      </c>
      <c r="D86" s="150">
        <f ca="1"/>
        <v>1</v>
      </c>
    </row>
    <row r="87" spans="2:4" x14ac:dyDescent="0.2">
      <c r="B87" s="150">
        <v>85</v>
      </c>
      <c r="C87" t="str">
        <f ca="1">IF(OR(Planung!$L18="",Planung!$N18=""),"ZZ"&amp;ROW($M18)+100,Planung!$K18&amp;Planung!$F18)</f>
        <v>A40,447916666666667</v>
      </c>
      <c r="D87" s="150">
        <f ca="1"/>
        <v>1</v>
      </c>
    </row>
    <row r="88" spans="2:4" x14ac:dyDescent="0.2">
      <c r="B88" s="150">
        <v>86</v>
      </c>
      <c r="C88" t="str">
        <f ca="1">IF(OR(Planung!$L19="",Planung!$N19=""),"ZZ"&amp;ROW($M19)+100,Planung!$K19&amp;Planung!$F19)</f>
        <v>B40,447916666666667</v>
      </c>
      <c r="D88" s="150">
        <f ca="1"/>
        <v>1</v>
      </c>
    </row>
    <row r="89" spans="2:4" x14ac:dyDescent="0.2">
      <c r="B89" s="150">
        <v>87</v>
      </c>
      <c r="C89" t="str">
        <f ca="1">IF(OR(Planung!$L20="",Planung!$N20=""),"ZZ"&amp;ROW($M20)+100,Planung!$K20&amp;Planung!$F20)</f>
        <v>A10,447916666666667</v>
      </c>
      <c r="D89" s="150">
        <f ca="1"/>
        <v>1</v>
      </c>
    </row>
    <row r="90" spans="2:4" x14ac:dyDescent="0.2">
      <c r="B90" s="150">
        <v>88</v>
      </c>
      <c r="C90" t="str">
        <f ca="1">IF(OR(Planung!$L21="",Planung!$N21=""),"ZZ"&amp;ROW($M21)+100,Planung!$K21&amp;Planung!$F21)</f>
        <v>B10,447916666666667</v>
      </c>
      <c r="D90" s="150">
        <f ca="1"/>
        <v>1</v>
      </c>
    </row>
    <row r="91" spans="2:4" x14ac:dyDescent="0.2">
      <c r="B91" s="150">
        <v>89</v>
      </c>
      <c r="C91" t="str">
        <f ca="1">IF(OR(Planung!$L22="",Planung!$N22=""),"ZZ"&amp;ROW($M22)+100,Planung!$K22&amp;Planung!$F22)</f>
        <v>A50,472222222222222</v>
      </c>
      <c r="D91" s="150">
        <f ca="1"/>
        <v>1</v>
      </c>
    </row>
    <row r="92" spans="2:4" x14ac:dyDescent="0.2">
      <c r="B92" s="150">
        <v>90</v>
      </c>
      <c r="C92" t="str">
        <f ca="1">IF(OR(Planung!$L23="",Planung!$N23=""),"ZZ"&amp;ROW($M23)+100,Planung!$K23&amp;Planung!$F23)</f>
        <v>B50,472222222222222</v>
      </c>
      <c r="D92" s="150">
        <f ca="1"/>
        <v>1</v>
      </c>
    </row>
    <row r="93" spans="2:4" x14ac:dyDescent="0.2">
      <c r="B93" s="150">
        <v>91</v>
      </c>
      <c r="C93" t="str">
        <f ca="1">IF(OR(Planung!$L24="",Planung!$N24=""),"ZZ"&amp;ROW($M24)+100,Planung!$K24&amp;Planung!$F24)</f>
        <v>A20,472222222222222</v>
      </c>
      <c r="D93" s="150">
        <f ca="1"/>
        <v>1</v>
      </c>
    </row>
    <row r="94" spans="2:4" x14ac:dyDescent="0.2">
      <c r="B94" s="150">
        <v>92</v>
      </c>
      <c r="C94" t="str">
        <f ca="1">IF(OR(Planung!$L25="",Planung!$N25=""),"ZZ"&amp;ROW($M25)+100,Planung!$K25&amp;Planung!$F25)</f>
        <v>B20,472222222222222</v>
      </c>
      <c r="D94" s="150">
        <f ca="1"/>
        <v>1</v>
      </c>
    </row>
    <row r="95" spans="2:4" x14ac:dyDescent="0.2">
      <c r="B95" s="150">
        <v>93</v>
      </c>
      <c r="C95" t="str">
        <f ca="1">IF(OR(Planung!$L26="",Planung!$N26=""),"ZZ"&amp;ROW($M26)+100,Planung!$K26&amp;Planung!$F26)</f>
        <v>ZZ126</v>
      </c>
      <c r="D95" s="150">
        <f ca="1"/>
        <v>1</v>
      </c>
    </row>
    <row r="96" spans="2:4" x14ac:dyDescent="0.2">
      <c r="B96" s="150">
        <v>94</v>
      </c>
      <c r="C96" t="str">
        <f ca="1">IF(OR(Planung!$L27="",Planung!$N27=""),"ZZ"&amp;ROW($M27)+100,Planung!$K27&amp;Planung!$F27)</f>
        <v>ZZ127</v>
      </c>
      <c r="D96" s="150">
        <f ca="1"/>
        <v>1</v>
      </c>
    </row>
    <row r="97" spans="2:4" x14ac:dyDescent="0.2">
      <c r="B97" s="150">
        <v>95</v>
      </c>
      <c r="C97" t="str">
        <f ca="1">IF(OR(Planung!$L28="",Planung!$N28=""),"ZZ"&amp;ROW($M28)+100,Planung!$K28&amp;Planung!$F28)</f>
        <v>ZZ128</v>
      </c>
      <c r="D97" s="150">
        <f ca="1"/>
        <v>1</v>
      </c>
    </row>
    <row r="98" spans="2:4" x14ac:dyDescent="0.2">
      <c r="B98" s="150">
        <v>96</v>
      </c>
      <c r="C98" t="str">
        <f ca="1">IF(OR(Planung!$L29="",Planung!$N29=""),"ZZ"&amp;ROW($M29)+100,Planung!$K29&amp;Planung!$F29)</f>
        <v>ZZ129</v>
      </c>
      <c r="D98" s="150">
        <f ca="1"/>
        <v>1</v>
      </c>
    </row>
    <row r="99" spans="2:4" x14ac:dyDescent="0.2">
      <c r="B99" s="150">
        <v>97</v>
      </c>
      <c r="C99" t="str">
        <f ca="1">IF(OR(Planung!$L30="",Planung!$N30=""),"ZZ"&amp;ROW($M30)+100,Planung!$K30&amp;Planung!$F30)</f>
        <v>ZZ130</v>
      </c>
      <c r="D99" s="150">
        <f ca="1"/>
        <v>1</v>
      </c>
    </row>
    <row r="100" spans="2:4" x14ac:dyDescent="0.2">
      <c r="B100" s="150">
        <v>98</v>
      </c>
      <c r="C100" t="str">
        <f ca="1">IF(OR(Planung!$L31="",Planung!$N31=""),"ZZ"&amp;ROW($M31)+100,Planung!$K31&amp;Planung!$F31)</f>
        <v>ZZ131</v>
      </c>
      <c r="D100" s="150">
        <f ca="1"/>
        <v>1</v>
      </c>
    </row>
    <row r="101" spans="2:4" x14ac:dyDescent="0.2">
      <c r="B101" s="150">
        <v>99</v>
      </c>
      <c r="C101" t="str">
        <f ca="1">IF(OR(Planung!$L32="",Planung!$N32=""),"ZZ"&amp;ROW($M32)+100,Planung!$K32&amp;Planung!$F32)</f>
        <v>ZZ132</v>
      </c>
      <c r="D101" s="150">
        <f ca="1"/>
        <v>1</v>
      </c>
    </row>
    <row r="102" spans="2:4" x14ac:dyDescent="0.2">
      <c r="B102" s="150">
        <v>100</v>
      </c>
      <c r="C102" t="str">
        <f ca="1">IF(OR(Planung!$L33="",Planung!$N33=""),"ZZ"&amp;ROW($M33)+100,Planung!$K33&amp;Planung!$F33)</f>
        <v>ZZ133</v>
      </c>
      <c r="D102" s="150">
        <f ca="1"/>
        <v>1</v>
      </c>
    </row>
    <row r="103" spans="2:4" x14ac:dyDescent="0.2">
      <c r="B103" s="150">
        <v>101</v>
      </c>
      <c r="C103" t="str">
        <f ca="1">IF(OR(Planung!$L34="",Planung!$N34=""),"ZZ"&amp;ROW($M34)+100,Planung!$K34&amp;Planung!$F34)</f>
        <v>ZZ134</v>
      </c>
      <c r="D103" s="150">
        <f ca="1"/>
        <v>1</v>
      </c>
    </row>
    <row r="104" spans="2:4" x14ac:dyDescent="0.2">
      <c r="B104" s="150">
        <v>102</v>
      </c>
      <c r="C104" t="str">
        <f ca="1">IF(OR(Planung!$L35="",Planung!$N35=""),"ZZ"&amp;ROW($M35)+100,Planung!$K35&amp;Planung!$F35)</f>
        <v>ZZ135</v>
      </c>
      <c r="D104" s="150">
        <f ca="1"/>
        <v>1</v>
      </c>
    </row>
    <row r="105" spans="2:4" x14ac:dyDescent="0.2">
      <c r="B105" s="150">
        <v>103</v>
      </c>
      <c r="C105" t="str">
        <f ca="1">IF(OR(Planung!$L36="",Planung!$N36=""),"ZZ"&amp;ROW($M36)+100,Planung!$K36&amp;Planung!$F36)</f>
        <v>ZZ136</v>
      </c>
      <c r="D105" s="150">
        <f ca="1"/>
        <v>1</v>
      </c>
    </row>
    <row r="106" spans="2:4" x14ac:dyDescent="0.2">
      <c r="B106" s="150">
        <v>104</v>
      </c>
      <c r="C106" t="str">
        <f ca="1">IF(OR(Planung!$L37="",Planung!$N37=""),"ZZ"&amp;ROW($M37)+100,Planung!$K37&amp;Planung!$F37)</f>
        <v>ZZ137</v>
      </c>
      <c r="D106" s="150">
        <f ca="1"/>
        <v>1</v>
      </c>
    </row>
    <row r="107" spans="2:4" x14ac:dyDescent="0.2">
      <c r="B107" s="150">
        <v>105</v>
      </c>
      <c r="C107" t="str">
        <f ca="1">IF(OR(Planung!$L38="",Planung!$N38=""),"ZZ"&amp;ROW($M38)+100,Planung!$K38&amp;Planung!$F38)</f>
        <v>ZZ138</v>
      </c>
      <c r="D107" s="150">
        <f ca="1"/>
        <v>1</v>
      </c>
    </row>
    <row r="108" spans="2:4" x14ac:dyDescent="0.2">
      <c r="B108" s="150">
        <v>106</v>
      </c>
      <c r="C108" t="str">
        <f ca="1">IF(OR(Planung!$L39="",Planung!$N39=""),"ZZ"&amp;ROW($M39)+100,Planung!$K39&amp;Planung!$F39)</f>
        <v>ZZ139</v>
      </c>
      <c r="D108" s="150">
        <f ca="1"/>
        <v>1</v>
      </c>
    </row>
    <row r="109" spans="2:4" x14ac:dyDescent="0.2">
      <c r="B109" s="150">
        <v>107</v>
      </c>
      <c r="C109" t="str">
        <f ca="1">IF(OR(Planung!$L40="",Planung!$N40=""),"ZZ"&amp;ROW($M40)+100,Planung!$K40&amp;Planung!$F40)</f>
        <v>ZZ140</v>
      </c>
      <c r="D109" s="150">
        <f ca="1"/>
        <v>1</v>
      </c>
    </row>
    <row r="110" spans="2:4" x14ac:dyDescent="0.2">
      <c r="B110" s="150">
        <v>108</v>
      </c>
      <c r="C110" t="str">
        <f ca="1">IF(OR(Planung!$L41="",Planung!$N41=""),"ZZ"&amp;ROW($M41)+100,Planung!$K41&amp;Planung!$F41)</f>
        <v>ZZ141</v>
      </c>
      <c r="D110" s="150">
        <f ca="1"/>
        <v>1</v>
      </c>
    </row>
    <row r="111" spans="2:4" x14ac:dyDescent="0.2">
      <c r="B111" s="150">
        <v>109</v>
      </c>
      <c r="C111" t="str">
        <f ca="1">IF(OR(Planung!$L42="",Planung!$N42=""),"ZZ"&amp;ROW($M42)+100,Planung!$K42&amp;Planung!$F42)</f>
        <v>ZZ142</v>
      </c>
      <c r="D111" s="150">
        <f ca="1"/>
        <v>1</v>
      </c>
    </row>
    <row r="112" spans="2:4" x14ac:dyDescent="0.2">
      <c r="B112" s="150">
        <v>110</v>
      </c>
      <c r="C112" t="str">
        <f ca="1">IF(OR(Planung!$L43="",Planung!$N43=""),"ZZ"&amp;ROW($M43)+100,Planung!$K43&amp;Planung!$F43)</f>
        <v>ZZ143</v>
      </c>
      <c r="D112" s="150">
        <f ca="1"/>
        <v>1</v>
      </c>
    </row>
    <row r="113" spans="2:4" x14ac:dyDescent="0.2">
      <c r="B113" s="150">
        <v>111</v>
      </c>
      <c r="C113" t="str">
        <f ca="1">IF(OR(Planung!$L44="",Planung!$N44=""),"ZZ"&amp;ROW($M44)+100,Planung!$K44&amp;Planung!$F44)</f>
        <v>ZZ144</v>
      </c>
      <c r="D113" s="150">
        <f ca="1"/>
        <v>1</v>
      </c>
    </row>
    <row r="114" spans="2:4" x14ac:dyDescent="0.2">
      <c r="B114" s="150">
        <v>112</v>
      </c>
      <c r="C114" t="str">
        <f ca="1">IF(OR(Planung!$L45="",Planung!$N45=""),"ZZ"&amp;ROW($M45)+100,Planung!$K45&amp;Planung!$F45)</f>
        <v>ZZ145</v>
      </c>
      <c r="D114" s="150">
        <f ca="1"/>
        <v>1</v>
      </c>
    </row>
    <row r="115" spans="2:4" x14ac:dyDescent="0.2">
      <c r="B115" s="150">
        <v>113</v>
      </c>
      <c r="C115" t="str">
        <f ca="1">IF(OR(Planung!$L46="",Planung!$N46=""),"ZZ"&amp;ROW($M46)+100,Planung!$K46&amp;Planung!$F46)</f>
        <v>ZZ146</v>
      </c>
      <c r="D115" s="150">
        <f ca="1"/>
        <v>1</v>
      </c>
    </row>
    <row r="116" spans="2:4" x14ac:dyDescent="0.2">
      <c r="B116" s="150">
        <v>114</v>
      </c>
      <c r="C116" t="str">
        <f ca="1">IF(OR(Planung!$L47="",Planung!$N47=""),"ZZ"&amp;ROW($M47)+100,Planung!$K47&amp;Planung!$F47)</f>
        <v>ZZ147</v>
      </c>
      <c r="D116" s="150">
        <f ca="1"/>
        <v>1</v>
      </c>
    </row>
    <row r="117" spans="2:4" x14ac:dyDescent="0.2">
      <c r="B117" s="150">
        <v>115</v>
      </c>
      <c r="C117" t="str">
        <f ca="1">IF(OR(Planung!$L48="",Planung!$N48=""),"ZZ"&amp;ROW($M48)+100,Planung!$K48&amp;Planung!$F48)</f>
        <v>ZZ148</v>
      </c>
      <c r="D117" s="150">
        <f ca="1"/>
        <v>1</v>
      </c>
    </row>
    <row r="118" spans="2:4" x14ac:dyDescent="0.2">
      <c r="B118" s="150">
        <v>116</v>
      </c>
      <c r="C118" t="str">
        <f ca="1">IF(OR(Planung!$L49="",Planung!$N49=""),"ZZ"&amp;ROW($M49)+100,Planung!$K49&amp;Planung!$F49)</f>
        <v>ZZ149</v>
      </c>
      <c r="D118" s="150">
        <f ca="1"/>
        <v>1</v>
      </c>
    </row>
    <row r="119" spans="2:4" x14ac:dyDescent="0.2">
      <c r="B119" s="150">
        <v>117</v>
      </c>
      <c r="C119" t="str">
        <f ca="1">IF(OR(Planung!$L50="",Planung!$N50=""),"ZZ"&amp;ROW($M50)+100,Planung!$K50&amp;Planung!$F50)</f>
        <v>ZZ150</v>
      </c>
      <c r="D119" s="150">
        <f ca="1"/>
        <v>1</v>
      </c>
    </row>
    <row r="120" spans="2:4" x14ac:dyDescent="0.2">
      <c r="B120" s="150">
        <v>118</v>
      </c>
      <c r="C120" t="str">
        <f ca="1">IF(OR(Planung!$L51="",Planung!$N51=""),"ZZ"&amp;ROW($M51)+100,Planung!$K51&amp;Planung!$F51)</f>
        <v>ZZ151</v>
      </c>
      <c r="D120" s="150">
        <f ca="1"/>
        <v>1</v>
      </c>
    </row>
    <row r="121" spans="2:4" x14ac:dyDescent="0.2">
      <c r="B121" s="150">
        <v>119</v>
      </c>
      <c r="C121" t="str">
        <f ca="1">IF(OR(Planung!$L52="",Planung!$N52=""),"ZZ"&amp;ROW($M52)+100,Planung!$K52&amp;Planung!$F52)</f>
        <v>ZZ152</v>
      </c>
      <c r="D121" s="150">
        <f ca="1"/>
        <v>1</v>
      </c>
    </row>
    <row r="122" spans="2:4" x14ac:dyDescent="0.2">
      <c r="B122" s="150">
        <v>120</v>
      </c>
      <c r="C122" t="str">
        <f ca="1">IF(OR(Planung!$L53="",Planung!$N53=""),"ZZ"&amp;ROW($M53)+100,Planung!$K53&amp;Planung!$F53)</f>
        <v>ZZ153</v>
      </c>
      <c r="D122" s="150">
        <f ca="1"/>
        <v>1</v>
      </c>
    </row>
    <row r="123" spans="2:4" x14ac:dyDescent="0.2">
      <c r="B123" s="150">
        <v>121</v>
      </c>
      <c r="C123" t="str">
        <f ca="1">IF(OR(Planung!$L54="",Planung!$N54=""),"ZZ"&amp;ROW($M54)+100,Planung!$K54&amp;Planung!$F54)</f>
        <v>ZZ154</v>
      </c>
      <c r="D123" s="150">
        <f ca="1"/>
        <v>1</v>
      </c>
    </row>
    <row r="124" spans="2:4" x14ac:dyDescent="0.2">
      <c r="B124" s="150">
        <v>122</v>
      </c>
      <c r="C124" t="str">
        <f ca="1">IF(OR(Planung!$L55="",Planung!$N55=""),"ZZ"&amp;ROW($M55)+100,Planung!$K55&amp;Planung!$F55)</f>
        <v>ZZ155</v>
      </c>
      <c r="D124" s="150">
        <f ca="1"/>
        <v>1</v>
      </c>
    </row>
    <row r="125" spans="2:4" x14ac:dyDescent="0.2">
      <c r="B125" s="150">
        <v>123</v>
      </c>
      <c r="C125" t="str">
        <f ca="1">IF(OR(Planung!$L56="",Planung!$N56=""),"ZZ"&amp;ROW($M56)+100,Planung!$K56&amp;Planung!$F56)</f>
        <v>ZZ156</v>
      </c>
      <c r="D125" s="150">
        <f ca="1"/>
        <v>1</v>
      </c>
    </row>
    <row r="126" spans="2:4" x14ac:dyDescent="0.2">
      <c r="B126" s="150">
        <v>124</v>
      </c>
      <c r="C126" t="str">
        <f ca="1">IF(OR(Planung!$L57="",Planung!$N57=""),"ZZ"&amp;ROW($M57)+100,Planung!$K57&amp;Planung!$F57)</f>
        <v>ZZ157</v>
      </c>
      <c r="D126" s="150">
        <f ca="1"/>
        <v>1</v>
      </c>
    </row>
    <row r="127" spans="2:4" x14ac:dyDescent="0.2">
      <c r="B127" s="150">
        <v>125</v>
      </c>
      <c r="C127" t="str">
        <f ca="1">IF(OR(Planung!$L58="",Planung!$N58=""),"ZZ"&amp;ROW($M58)+100,Planung!$K58&amp;Planung!$F58)</f>
        <v>ZZ158</v>
      </c>
      <c r="D127" s="150">
        <f ca="1"/>
        <v>1</v>
      </c>
    </row>
    <row r="128" spans="2:4" x14ac:dyDescent="0.2">
      <c r="B128" s="150">
        <v>126</v>
      </c>
      <c r="C128" t="str">
        <f ca="1">IF(OR(Planung!$L59="",Planung!$N59=""),"ZZ"&amp;ROW($M59)+100,Planung!$K59&amp;Planung!$F59)</f>
        <v>ZZ159</v>
      </c>
      <c r="D128" s="150">
        <f ca="1"/>
        <v>1</v>
      </c>
    </row>
    <row r="129" spans="2:4" x14ac:dyDescent="0.2">
      <c r="B129" s="150">
        <v>127</v>
      </c>
      <c r="C129" t="str">
        <f ca="1">IF(OR(Planung!$L60="",Planung!$N60=""),"ZZ"&amp;ROW($M60)+100,Planung!$K60&amp;Planung!$F60)</f>
        <v>ZZ160</v>
      </c>
      <c r="D129" s="150">
        <f ca="1"/>
        <v>1</v>
      </c>
    </row>
    <row r="130" spans="2:4" x14ac:dyDescent="0.2">
      <c r="B130" s="150">
        <v>128</v>
      </c>
      <c r="C130" t="str">
        <f ca="1">IF(OR(Planung!$L61="",Planung!$N61=""),"ZZ"&amp;ROW($M61)+100,Planung!$K61&amp;Planung!$F61)</f>
        <v>ZZ161</v>
      </c>
      <c r="D130" s="150">
        <f ca="1"/>
        <v>1</v>
      </c>
    </row>
    <row r="131" spans="2:4" x14ac:dyDescent="0.2">
      <c r="B131" s="150">
        <v>129</v>
      </c>
      <c r="C131" t="str">
        <f ca="1">IF(OR(Planung!$L62="",Planung!$N62=""),"ZZ"&amp;ROW($M62)+100,Planung!$K62&amp;Planung!$F62)</f>
        <v>ZZ162</v>
      </c>
      <c r="D131" s="150">
        <f ca="1"/>
        <v>1</v>
      </c>
    </row>
    <row r="132" spans="2:4" x14ac:dyDescent="0.2">
      <c r="B132" s="150">
        <v>130</v>
      </c>
      <c r="C132" t="str">
        <f ca="1">IF(OR(Planung!$L63="",Planung!$N63=""),"ZZ"&amp;ROW($M63)+100,Planung!$K63&amp;Planung!$F63)</f>
        <v>ZZ163</v>
      </c>
      <c r="D132" s="150">
        <f ca="1"/>
        <v>1</v>
      </c>
    </row>
    <row r="133" spans="2:4" x14ac:dyDescent="0.2">
      <c r="B133" s="150">
        <v>131</v>
      </c>
      <c r="C133" t="str">
        <f ca="1">IF(OR(Planung!$L64="",Planung!$N64=""),"ZZ"&amp;ROW($M64)+100,Planung!$K64&amp;Planung!$F64)</f>
        <v>ZZ164</v>
      </c>
      <c r="D133" s="150">
        <f ca="1"/>
        <v>1</v>
      </c>
    </row>
    <row r="134" spans="2:4" x14ac:dyDescent="0.2">
      <c r="B134" s="150">
        <v>132</v>
      </c>
      <c r="C134" t="str">
        <f ca="1">IF(OR(Planung!$L65="",Planung!$N65=""),"ZZ"&amp;ROW($M65)+100,Planung!$K65&amp;Planung!$F65)</f>
        <v>ZZ165</v>
      </c>
      <c r="D134" s="150">
        <f ca="1"/>
        <v>1</v>
      </c>
    </row>
    <row r="135" spans="2:4" x14ac:dyDescent="0.2">
      <c r="B135" s="150">
        <v>133</v>
      </c>
      <c r="C135" t="str">
        <f ca="1">IF(OR(Planung!$L66="",Planung!$N66=""),"ZZ"&amp;ROW($M66)+100,Planung!$K66&amp;Planung!$F66)</f>
        <v>ZZ166</v>
      </c>
      <c r="D135" s="150">
        <f ca="1"/>
        <v>1</v>
      </c>
    </row>
    <row r="136" spans="2:4" x14ac:dyDescent="0.2">
      <c r="B136" s="150">
        <v>134</v>
      </c>
      <c r="C136" t="str">
        <f ca="1">IF(OR(Planung!$L67="",Planung!$N67=""),"ZZ"&amp;ROW($M67)+100,Planung!$K67&amp;Planung!$F67)</f>
        <v>ZZ167</v>
      </c>
      <c r="D136" s="150">
        <f ca="1"/>
        <v>1</v>
      </c>
    </row>
    <row r="137" spans="2:4" x14ac:dyDescent="0.2">
      <c r="B137" s="150">
        <v>135</v>
      </c>
      <c r="C137" t="str">
        <f ca="1">IF(OR(Planung!$L68="",Planung!$N68=""),"ZZ"&amp;ROW($M68)+100,Planung!$K68&amp;Planung!$F68)</f>
        <v>ZZ168</v>
      </c>
      <c r="D137" s="150">
        <f ca="1"/>
        <v>1</v>
      </c>
    </row>
    <row r="138" spans="2:4" x14ac:dyDescent="0.2">
      <c r="B138" s="150">
        <v>136</v>
      </c>
      <c r="C138" t="str">
        <f ca="1">IF(OR(Planung!$L69="",Planung!$N69=""),"ZZ"&amp;ROW($M69)+100,Planung!$K69&amp;Planung!$F69)</f>
        <v>ZZ169</v>
      </c>
      <c r="D138" s="150">
        <f ca="1"/>
        <v>1</v>
      </c>
    </row>
    <row r="139" spans="2:4" x14ac:dyDescent="0.2">
      <c r="B139" s="150">
        <v>137</v>
      </c>
      <c r="C139" t="str">
        <f ca="1">IF(OR(Planung!$L70="",Planung!$N70=""),"ZZ"&amp;ROW($M70)+100,Planung!$K70&amp;Planung!$F70)</f>
        <v>ZZ170</v>
      </c>
      <c r="D139" s="150">
        <f ca="1"/>
        <v>1</v>
      </c>
    </row>
    <row r="140" spans="2:4" x14ac:dyDescent="0.2">
      <c r="B140" s="150">
        <v>138</v>
      </c>
      <c r="C140" t="str">
        <f ca="1">IF(OR(Planung!$L71="",Planung!$N71=""),"ZZ"&amp;ROW($M71)+100,Planung!$K71&amp;Planung!$F71)</f>
        <v>ZZ171</v>
      </c>
      <c r="D140" s="150">
        <f ca="1"/>
        <v>1</v>
      </c>
    </row>
    <row r="141" spans="2:4" x14ac:dyDescent="0.2">
      <c r="B141" s="150">
        <v>139</v>
      </c>
      <c r="C141" t="str">
        <f ca="1">IF(OR(Planung!$L72="",Planung!$N72=""),"ZZ"&amp;ROW($M72)+100,Planung!$K72&amp;Planung!$F72)</f>
        <v>ZZ172</v>
      </c>
      <c r="D141" s="150">
        <f ca="1"/>
        <v>1</v>
      </c>
    </row>
    <row r="142" spans="2:4" x14ac:dyDescent="0.2">
      <c r="B142" s="150">
        <v>140</v>
      </c>
      <c r="C142" t="str">
        <f ca="1">IF(OR(Planung!$L73="",Planung!$N73=""),"ZZ"&amp;ROW($M73)+100,Planung!$K73&amp;Planung!$F73)</f>
        <v>ZZ173</v>
      </c>
      <c r="D142" s="150">
        <f ca="1"/>
        <v>1</v>
      </c>
    </row>
    <row r="143" spans="2:4" x14ac:dyDescent="0.2">
      <c r="B143" s="150">
        <v>141</v>
      </c>
      <c r="C143" t="str">
        <f ca="1">IF(OR(Planung!$L74="",Planung!$N74=""),"ZZ"&amp;ROW($M74)+100,Planung!$K74&amp;Planung!$F74)</f>
        <v>ZZ174</v>
      </c>
      <c r="D143" s="150">
        <f ca="1"/>
        <v>1</v>
      </c>
    </row>
    <row r="144" spans="2:4" x14ac:dyDescent="0.2">
      <c r="B144" s="150">
        <v>142</v>
      </c>
      <c r="C144" t="str">
        <f ca="1">IF(OR(Planung!$L75="",Planung!$N75=""),"ZZ"&amp;ROW($M75)+100,Planung!$K75&amp;Planung!$F75)</f>
        <v>ZZ175</v>
      </c>
      <c r="D144" s="150">
        <f ca="1"/>
        <v>1</v>
      </c>
    </row>
    <row r="145" spans="2:4" x14ac:dyDescent="0.2">
      <c r="B145" s="150">
        <v>143</v>
      </c>
      <c r="C145" t="str">
        <f ca="1">IF(OR(Planung!$L76="",Planung!$N76=""),"ZZ"&amp;ROW($M76)+100,Planung!$K76&amp;Planung!$F76)</f>
        <v>ZZ176</v>
      </c>
      <c r="D145" s="150">
        <f ca="1"/>
        <v>1</v>
      </c>
    </row>
    <row r="146" spans="2:4" x14ac:dyDescent="0.2">
      <c r="B146" s="150">
        <v>144</v>
      </c>
      <c r="C146" t="str">
        <f ca="1">IF(OR(Planung!$L77="",Planung!$N77=""),"ZZ"&amp;ROW($M77)+100,Planung!$K77&amp;Planung!$F77)</f>
        <v>ZZ177</v>
      </c>
      <c r="D146" s="150">
        <f ca="1"/>
        <v>1</v>
      </c>
    </row>
  </sheetData>
  <mergeCells count="10">
    <mergeCell ref="G35:G36"/>
    <mergeCell ref="G37:G38"/>
    <mergeCell ref="G39:G40"/>
    <mergeCell ref="G41:G42"/>
    <mergeCell ref="G21:G22"/>
    <mergeCell ref="G23:G24"/>
    <mergeCell ref="G25:G26"/>
    <mergeCell ref="G27:G28"/>
    <mergeCell ref="G29:G30"/>
    <mergeCell ref="G33:G34"/>
  </mergeCells>
  <conditionalFormatting sqref="G2">
    <cfRule type="expression" dxfId="69" priority="9">
      <formula>G2="FEHLER"</formula>
    </cfRule>
  </conditionalFormatting>
  <conditionalFormatting sqref="C3:C73">
    <cfRule type="duplicateValues" dxfId="68" priority="8"/>
  </conditionalFormatting>
  <conditionalFormatting sqref="E3">
    <cfRule type="cellIs" dxfId="67" priority="5" operator="greaterThan">
      <formula>0</formula>
    </cfRule>
  </conditionalFormatting>
  <conditionalFormatting sqref="E4">
    <cfRule type="cellIs" dxfId="66" priority="4" operator="greaterThan">
      <formula>0</formula>
    </cfRule>
  </conditionalFormatting>
  <conditionalFormatting sqref="E7">
    <cfRule type="expression" dxfId="65" priority="3">
      <formula>E7="FEHLER"</formula>
    </cfRule>
  </conditionalFormatting>
  <conditionalFormatting sqref="C75:C146">
    <cfRule type="duplicateValues" dxfId="64" priority="1"/>
  </conditionalFormatting>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01DC9-F0AC-42FA-9808-2B76ABCEF7E0}">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9.8554687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50" s="2" customFormat="1" x14ac:dyDescent="0.2">
      <c r="Z1" s="1"/>
    </row>
    <row r="2" spans="1:50" s="2" customFormat="1" x14ac:dyDescent="0.2">
      <c r="B2" s="13"/>
      <c r="C2" s="13"/>
      <c r="D2" s="13"/>
      <c r="E2" s="13"/>
      <c r="F2" s="1"/>
      <c r="G2" s="1"/>
      <c r="H2" s="1"/>
      <c r="I2" s="1"/>
      <c r="J2" s="1"/>
      <c r="K2" s="1"/>
      <c r="L2" s="1"/>
      <c r="M2" s="1"/>
      <c r="N2" s="13"/>
      <c r="O2" s="1"/>
      <c r="P2" s="1"/>
      <c r="Q2" s="1"/>
      <c r="W2" s="2" t="s">
        <v>148</v>
      </c>
      <c r="AS2" s="1"/>
      <c r="AT2" s="1"/>
      <c r="AU2" s="1"/>
      <c r="AV2" s="1" t="s">
        <v>385</v>
      </c>
      <c r="AW2" s="1"/>
      <c r="AX2" s="1"/>
    </row>
    <row r="3" spans="1:50" s="2" customFormat="1" ht="13.5" customHeight="1" thickBot="1" x14ac:dyDescent="0.25">
      <c r="B3" s="1"/>
      <c r="C3" s="13"/>
      <c r="D3" s="13"/>
      <c r="E3" s="13"/>
      <c r="F3" s="13"/>
      <c r="G3" s="68" t="s">
        <v>107</v>
      </c>
      <c r="H3" s="68" t="s">
        <v>108</v>
      </c>
      <c r="I3" s="729" t="s">
        <v>381</v>
      </c>
      <c r="J3" s="729" t="s">
        <v>110</v>
      </c>
      <c r="K3" s="729" t="s">
        <v>103</v>
      </c>
      <c r="L3" s="28" t="s">
        <v>104</v>
      </c>
      <c r="M3" s="28" t="s">
        <v>105</v>
      </c>
      <c r="N3" s="28" t="s">
        <v>106</v>
      </c>
      <c r="O3" s="107"/>
      <c r="P3" s="108"/>
      <c r="Q3" s="108"/>
      <c r="R3" s="108"/>
      <c r="S3" s="108"/>
      <c r="T3" s="108"/>
      <c r="U3" s="108"/>
      <c r="V3" s="108"/>
      <c r="W3" s="976"/>
      <c r="X3" s="977"/>
      <c r="Y3" s="977"/>
      <c r="Z3" s="977"/>
      <c r="AA3" s="977"/>
      <c r="AB3" s="976"/>
      <c r="AC3" s="977"/>
      <c r="AD3" s="977"/>
      <c r="AE3" s="977"/>
      <c r="AF3" s="977"/>
      <c r="AG3" s="976"/>
      <c r="AH3" s="977"/>
      <c r="AI3" s="977"/>
      <c r="AJ3" s="977"/>
      <c r="AK3" s="977"/>
      <c r="AL3" s="976"/>
      <c r="AM3" s="977"/>
      <c r="AN3" s="977"/>
      <c r="AO3" s="977"/>
      <c r="AP3" s="977"/>
      <c r="AS3" s="28" t="s">
        <v>386</v>
      </c>
      <c r="AT3" s="28" t="s">
        <v>387</v>
      </c>
      <c r="AU3" s="28" t="s">
        <v>388</v>
      </c>
      <c r="AV3" s="28" t="s">
        <v>389</v>
      </c>
      <c r="AW3" s="28"/>
      <c r="AX3" s="28" t="s">
        <v>390</v>
      </c>
    </row>
    <row r="4" spans="1:50" s="2" customFormat="1" ht="12.75" thickTop="1" x14ac:dyDescent="0.2">
      <c r="A4" s="214"/>
      <c r="B4" s="1">
        <v>1</v>
      </c>
      <c r="C4" s="21">
        <f ca="1">RANK(D4,$D$4:$D$12,1)</f>
        <v>1</v>
      </c>
      <c r="D4" s="13">
        <f ca="1">E4+ROW()/1000+(F4="")*10</f>
        <v>1.004</v>
      </c>
      <c r="E4" s="219">
        <f ca="1">IF($AI$15,RANK(AH17,AH$17:AH$25,1),RANK(X17,X$17:X$25,1))</f>
        <v>1</v>
      </c>
      <c r="F4" s="1" t="str">
        <f ca="1">$Q64</f>
        <v>VFB Essenheim</v>
      </c>
      <c r="G4" s="1">
        <f ca="1">SUMIFS($AH$64:$AH$135,$V$64:$V$135,$F4)+SUMIFS($AI$64:$AI$135,$W$64:$W$135,$F4)</f>
        <v>144</v>
      </c>
      <c r="H4" s="1">
        <f ca="1">SUMIFS($AI$64:$AI$135,$V$64:$V$135,$F4)+SUMIFS($AH$64:$AH$135,$W$64:$W$135,$F4)</f>
        <v>113</v>
      </c>
      <c r="I4" s="13">
        <f ca="1">IF(Einstellungen!$G$24,G4-H4,IF(H4=0,IF(G4=0,0,Einstellungen!$F$24),G4/H4))</f>
        <v>31</v>
      </c>
      <c r="J4" s="1">
        <f ca="1">$L4*Einstellungen!$C$4+$M4</f>
        <v>5</v>
      </c>
      <c r="K4" s="1">
        <f ca="1">SUMPRODUCT(($V$64:$V$135=F4)*($AJ$64:$AJ$135&lt;&gt;"")*$AA$64:$AA$135)+SUMPRODUCT(($W$64:$W$135=F4)*($AK$64:$AK$135&lt;&gt;"")*$AA$64:$AA$135)</f>
        <v>3</v>
      </c>
      <c r="L4" s="1">
        <f ca="1">SUMPRODUCT(($V$64:$V$135=F4)*($AJ$64:$AJ$135&gt;$AK$64:$AK$135)*$AA$64:$AA$135)+SUMPRODUCT(($W$64:$W$135=F4)*($AJ$64:$AJ$135&lt;$AK$64:$AK$135)*$AA$64:$AA$135)</f>
        <v>2</v>
      </c>
      <c r="M4" s="1">
        <f ca="1">SUMPRODUCT(($V$64:$W$135=F4)*($AJ$64:$AJ$135=$AK$64:$AK$135)*$AA$64:$AA$135)</f>
        <v>1</v>
      </c>
      <c r="N4" s="1">
        <f ca="1">K4-L4-M4</f>
        <v>0</v>
      </c>
      <c r="O4" s="116"/>
      <c r="P4" s="116"/>
      <c r="Q4" s="116"/>
      <c r="R4" s="116"/>
      <c r="V4" s="1"/>
      <c r="W4" s="456"/>
      <c r="X4" s="457"/>
      <c r="Y4" s="458"/>
      <c r="Z4" s="458"/>
      <c r="AA4" s="460"/>
      <c r="AB4" s="456"/>
      <c r="AC4" s="457"/>
      <c r="AD4" s="479"/>
      <c r="AE4" s="458"/>
      <c r="AF4" s="458"/>
      <c r="AG4" s="456"/>
      <c r="AH4" s="457"/>
      <c r="AI4" s="479"/>
      <c r="AJ4" s="458"/>
      <c r="AK4" s="460"/>
      <c r="AL4" s="457"/>
      <c r="AM4" s="457"/>
      <c r="AN4" s="479"/>
      <c r="AO4" s="458"/>
      <c r="AP4" s="460"/>
      <c r="AS4" s="1">
        <f ca="1">SUMPRODUCT(($V$64:$V$135=F4)*$AK$64:$AK$135)+SUMPRODUCT(($W$64:$W$135=F4)*$AJ$64:$AJ$135)</f>
        <v>1</v>
      </c>
      <c r="AT4" s="1">
        <f ca="1">SUMPRODUCT(($V$64:$V$135=F4)*$AJ$64:$AJ$135)+SUMPRODUCT(($W$64:$W$135=F4)*$AK$64:$AK$135)</f>
        <v>5</v>
      </c>
      <c r="AU4" s="1">
        <f ca="1">AT4-AS4</f>
        <v>4</v>
      </c>
      <c r="AV4" s="1">
        <f ca="1">IF(Einstellungen!$G$24,$I4,ROUND($I4,Einstellungen!$H$24))</f>
        <v>31</v>
      </c>
      <c r="AW4" s="1">
        <f ca="1">I4-(F4="")*10000</f>
        <v>31</v>
      </c>
      <c r="AX4" s="1">
        <f ca="1" xml:space="preserve"> RANK(AW4,$AW$4:$AW$12,1)</f>
        <v>9</v>
      </c>
    </row>
    <row r="5" spans="1:50" s="2" customFormat="1" x14ac:dyDescent="0.2">
      <c r="A5" s="214"/>
      <c r="B5" s="1">
        <v>2</v>
      </c>
      <c r="C5" s="22">
        <f t="shared" ref="C5:C12" ca="1" si="0">RANK(D5,$D$4:$D$12,1)</f>
        <v>2</v>
      </c>
      <c r="D5" s="13">
        <f t="shared" ref="D5:D12" ca="1" si="1">E5+ROW()/1000+(F5="")*10</f>
        <v>2.0049999999999999</v>
      </c>
      <c r="E5" s="219">
        <f t="shared" ref="E5:E12" ca="1" si="2">IF($AI$15,RANK(AH18,AH$17:AH$25,1),RANK(X18,X$17:X$25,1))</f>
        <v>2</v>
      </c>
      <c r="F5" s="1" t="str">
        <f t="shared" ref="F5:F12" ca="1" si="3">$Q65</f>
        <v>FC Grönlingen</v>
      </c>
      <c r="G5" s="1">
        <f t="shared" ref="G5:G12" ca="1" si="4">SUMIFS($AH$64:$AH$135,$V$64:$V$135,$F5)+SUMIFS($AI$64:$AI$135,$W$64:$W$135,$F5)</f>
        <v>136</v>
      </c>
      <c r="H5" s="1">
        <f t="shared" ref="H5:H12" ca="1" si="5">SUMIFS($AI$64:$AI$135,$V$64:$V$135,$F5)+SUMIFS($AH$64:$AH$135,$W$64:$W$135,$F5)</f>
        <v>139</v>
      </c>
      <c r="I5" s="13">
        <f ca="1">IF(Einstellungen!$G$24,G5-H5,IF(H5=0,IF(G5=0,0,Einstellungen!$F$24),G5/H5))</f>
        <v>-3</v>
      </c>
      <c r="J5" s="1">
        <f ca="1">$L5*Einstellungen!$C$4+$M5</f>
        <v>3</v>
      </c>
      <c r="K5" s="1">
        <f t="shared" ref="K5:K12" ca="1" si="6">SUMPRODUCT(($V$64:$V$135=F5)*($AJ$64:$AJ$135&lt;&gt;"")*$AA$64:$AA$135)+SUMPRODUCT(($W$64:$W$135=F5)*($AK$64:$AK$135&lt;&gt;"")*$AA$64:$AA$135)</f>
        <v>3</v>
      </c>
      <c r="L5" s="1">
        <f t="shared" ref="L5:L12" ca="1" si="7">SUMPRODUCT(($V$64:$V$135=F5)*($AJ$64:$AJ$135&gt;$AK$64:$AK$135)*$AA$64:$AA$135)+SUMPRODUCT(($W$64:$W$135=F5)*($AJ$64:$AJ$135&lt;$AK$64:$AK$135)*$AA$64:$AA$135)</f>
        <v>1</v>
      </c>
      <c r="M5" s="1">
        <f t="shared" ref="M5:M12" ca="1" si="8">SUMPRODUCT(($V$64:$W$135=F5)*($AJ$64:$AJ$135=$AK$64:$AK$135)*$AA$64:$AA$135)</f>
        <v>1</v>
      </c>
      <c r="N5" s="1">
        <f t="shared" ref="N5:N12" ca="1" si="9">K5-L5-M5</f>
        <v>1</v>
      </c>
      <c r="O5" s="24"/>
      <c r="P5" s="25"/>
      <c r="V5" s="1"/>
      <c r="W5" s="461"/>
      <c r="X5" s="462"/>
      <c r="Y5" s="459"/>
      <c r="Z5" s="459"/>
      <c r="AA5" s="464"/>
      <c r="AB5" s="461"/>
      <c r="AC5" s="462"/>
      <c r="AD5" s="463"/>
      <c r="AE5" s="459"/>
      <c r="AF5" s="459"/>
      <c r="AG5" s="461"/>
      <c r="AH5" s="462"/>
      <c r="AI5" s="463"/>
      <c r="AJ5" s="459"/>
      <c r="AK5" s="464"/>
      <c r="AL5" s="462"/>
      <c r="AM5" s="462"/>
      <c r="AN5" s="463"/>
      <c r="AO5" s="459"/>
      <c r="AP5" s="464"/>
      <c r="AS5" s="1">
        <f t="shared" ref="AS5:AS12" ca="1" si="10">SUMPRODUCT(($V$64:$V$135=F5)*$AK$64:$AK$135)+SUMPRODUCT(($W$64:$W$135=F5)*$AJ$64:$AJ$135)</f>
        <v>3</v>
      </c>
      <c r="AT5" s="1">
        <f t="shared" ref="AT5:AT12" ca="1" si="11">SUMPRODUCT(($V$64:$V$135=F5)*$AJ$64:$AJ$135)+SUMPRODUCT(($W$64:$W$135=F5)*$AK$64:$AK$135)</f>
        <v>3</v>
      </c>
      <c r="AU5" s="1">
        <f t="shared" ref="AU5:AU12" ca="1" si="12">AT5-AS5</f>
        <v>0</v>
      </c>
      <c r="AV5" s="1">
        <f ca="1">IF(Einstellungen!$G$24,$I5,ROUND($I5,Einstellungen!$H$24))</f>
        <v>-3</v>
      </c>
      <c r="AW5" s="1">
        <f t="shared" ref="AW5:AW12" ca="1" si="13">I5-(F5="")*10000</f>
        <v>-3</v>
      </c>
      <c r="AX5" s="1">
        <f t="shared" ref="AX5:AX12" ca="1" si="14" xml:space="preserve"> RANK(AW5,$AW$4:$AW$12,1)</f>
        <v>8</v>
      </c>
    </row>
    <row r="6" spans="1:50" s="2" customFormat="1" x14ac:dyDescent="0.2">
      <c r="A6" s="214"/>
      <c r="B6" s="1">
        <v>3</v>
      </c>
      <c r="C6" s="22">
        <f t="shared" ca="1" si="0"/>
        <v>4</v>
      </c>
      <c r="D6" s="13">
        <f t="shared" ca="1" si="1"/>
        <v>4.0060000000000002</v>
      </c>
      <c r="E6" s="219">
        <f t="shared" ca="1" si="2"/>
        <v>4</v>
      </c>
      <c r="F6" s="1" t="str">
        <f t="shared" ca="1" si="3"/>
        <v>1. FC Riedwald</v>
      </c>
      <c r="G6" s="1">
        <f t="shared" ca="1" si="4"/>
        <v>120</v>
      </c>
      <c r="H6" s="1">
        <f t="shared" ca="1" si="5"/>
        <v>142</v>
      </c>
      <c r="I6" s="13">
        <f ca="1">IF(Einstellungen!$G$24,G6-H6,IF(H6=0,IF(G6=0,0,Einstellungen!$F$24),G6/H6))</f>
        <v>-22</v>
      </c>
      <c r="J6" s="1">
        <f ca="1">$L6*Einstellungen!$C$4+$M6</f>
        <v>2</v>
      </c>
      <c r="K6" s="1">
        <f t="shared" ca="1" si="6"/>
        <v>3</v>
      </c>
      <c r="L6" s="1">
        <f t="shared" ca="1" si="7"/>
        <v>0</v>
      </c>
      <c r="M6" s="1">
        <f t="shared" ca="1" si="8"/>
        <v>2</v>
      </c>
      <c r="N6" s="1">
        <f t="shared" ca="1" si="9"/>
        <v>1</v>
      </c>
      <c r="O6" s="24"/>
      <c r="P6" s="25"/>
      <c r="V6" s="1"/>
      <c r="W6" s="461"/>
      <c r="X6" s="462"/>
      <c r="Y6" s="459"/>
      <c r="Z6" s="459"/>
      <c r="AA6" s="464"/>
      <c r="AB6" s="461"/>
      <c r="AC6" s="462"/>
      <c r="AD6" s="463"/>
      <c r="AE6" s="459"/>
      <c r="AF6" s="459"/>
      <c r="AG6" s="461"/>
      <c r="AH6" s="462"/>
      <c r="AI6" s="463"/>
      <c r="AJ6" s="459"/>
      <c r="AK6" s="464"/>
      <c r="AL6" s="462"/>
      <c r="AM6" s="462"/>
      <c r="AN6" s="463"/>
      <c r="AO6" s="459"/>
      <c r="AP6" s="464"/>
      <c r="AS6" s="1">
        <f t="shared" ca="1" si="10"/>
        <v>4</v>
      </c>
      <c r="AT6" s="1">
        <f t="shared" ca="1" si="11"/>
        <v>2</v>
      </c>
      <c r="AU6" s="1">
        <f t="shared" ca="1" si="12"/>
        <v>-2</v>
      </c>
      <c r="AV6" s="1">
        <f ca="1">IF(Einstellungen!$G$24,$I6,ROUND($I6,Einstellungen!$H$24))</f>
        <v>-22</v>
      </c>
      <c r="AW6" s="1">
        <f t="shared" ca="1" si="13"/>
        <v>-22</v>
      </c>
      <c r="AX6" s="1">
        <f t="shared" ca="1" si="14"/>
        <v>6</v>
      </c>
    </row>
    <row r="7" spans="1:50" s="2" customFormat="1" x14ac:dyDescent="0.2">
      <c r="A7" s="214"/>
      <c r="B7" s="1">
        <v>4</v>
      </c>
      <c r="C7" s="22">
        <f t="shared" ca="1" si="0"/>
        <v>3</v>
      </c>
      <c r="D7" s="13">
        <f t="shared" ca="1" si="1"/>
        <v>3.0070000000000001</v>
      </c>
      <c r="E7" s="219">
        <f t="shared" ca="1" si="2"/>
        <v>3</v>
      </c>
      <c r="F7" s="1" t="str">
        <f t="shared" ca="1" si="3"/>
        <v>SSV Wildbach</v>
      </c>
      <c r="G7" s="1">
        <f t="shared" ca="1" si="4"/>
        <v>130</v>
      </c>
      <c r="H7" s="1">
        <f t="shared" ca="1" si="5"/>
        <v>136</v>
      </c>
      <c r="I7" s="13">
        <f ca="1">IF(Einstellungen!$G$24,G7-H7,IF(H7=0,IF(G7=0,0,Einstellungen!$F$24),G7/H7))</f>
        <v>-6</v>
      </c>
      <c r="J7" s="1">
        <f ca="1">$L7*Einstellungen!$C$4+$M7</f>
        <v>2</v>
      </c>
      <c r="K7" s="1">
        <f t="shared" ca="1" si="6"/>
        <v>3</v>
      </c>
      <c r="L7" s="1">
        <f t="shared" ca="1" si="7"/>
        <v>0</v>
      </c>
      <c r="M7" s="1">
        <f t="shared" ca="1" si="8"/>
        <v>2</v>
      </c>
      <c r="N7" s="1">
        <f t="shared" ca="1" si="9"/>
        <v>1</v>
      </c>
      <c r="O7" s="24"/>
      <c r="P7" s="25"/>
      <c r="V7" s="1"/>
      <c r="W7" s="461"/>
      <c r="X7" s="462"/>
      <c r="Y7" s="459"/>
      <c r="Z7" s="459"/>
      <c r="AA7" s="464"/>
      <c r="AB7" s="461"/>
      <c r="AC7" s="462"/>
      <c r="AD7" s="463"/>
      <c r="AE7" s="459"/>
      <c r="AF7" s="459"/>
      <c r="AG7" s="461"/>
      <c r="AH7" s="462"/>
      <c r="AI7" s="463"/>
      <c r="AJ7" s="459"/>
      <c r="AK7" s="464"/>
      <c r="AL7" s="462"/>
      <c r="AM7" s="462"/>
      <c r="AN7" s="463"/>
      <c r="AO7" s="459"/>
      <c r="AP7" s="464"/>
      <c r="AS7" s="1">
        <f t="shared" ca="1" si="10"/>
        <v>4</v>
      </c>
      <c r="AT7" s="1">
        <f t="shared" ca="1" si="11"/>
        <v>2</v>
      </c>
      <c r="AU7" s="1">
        <f t="shared" ca="1" si="12"/>
        <v>-2</v>
      </c>
      <c r="AV7" s="1">
        <f ca="1">IF(Einstellungen!$G$24,$I7,ROUND($I7,Einstellungen!$H$24))</f>
        <v>-6</v>
      </c>
      <c r="AW7" s="1">
        <f t="shared" ca="1" si="13"/>
        <v>-6</v>
      </c>
      <c r="AX7" s="1">
        <f t="shared" ca="1" si="14"/>
        <v>7</v>
      </c>
    </row>
    <row r="8" spans="1:50" s="2" customFormat="1" x14ac:dyDescent="0.2">
      <c r="A8" s="214"/>
      <c r="B8" s="1">
        <v>5</v>
      </c>
      <c r="C8" s="22">
        <f t="shared" ca="1" si="0"/>
        <v>5</v>
      </c>
      <c r="D8" s="13">
        <f t="shared" ca="1" si="1"/>
        <v>15.007999999999999</v>
      </c>
      <c r="E8" s="219">
        <f t="shared" ca="1" si="2"/>
        <v>5</v>
      </c>
      <c r="F8" s="1" t="str">
        <f t="shared" si="3"/>
        <v/>
      </c>
      <c r="G8" s="1">
        <f t="shared" ca="1" si="4"/>
        <v>0</v>
      </c>
      <c r="H8" s="1">
        <f t="shared" ca="1" si="5"/>
        <v>0</v>
      </c>
      <c r="I8" s="13">
        <f ca="1">IF(Einstellungen!$G$24,G8-H8,IF(H8=0,IF(G8=0,0,Einstellungen!$F$24),G8/H8))</f>
        <v>0</v>
      </c>
      <c r="J8" s="1">
        <f ca="1">$L8*Einstellungen!$C$4+$M8</f>
        <v>0</v>
      </c>
      <c r="K8" s="1">
        <f t="shared" ca="1" si="6"/>
        <v>0</v>
      </c>
      <c r="L8" s="1">
        <f t="shared" ca="1" si="7"/>
        <v>0</v>
      </c>
      <c r="M8" s="1">
        <f t="shared" ca="1" si="8"/>
        <v>0</v>
      </c>
      <c r="N8" s="1">
        <f t="shared" ca="1" si="9"/>
        <v>0</v>
      </c>
      <c r="P8" s="25"/>
      <c r="W8" s="461"/>
      <c r="X8" s="462"/>
      <c r="Y8" s="459"/>
      <c r="Z8" s="459"/>
      <c r="AA8" s="464"/>
      <c r="AB8" s="461"/>
      <c r="AC8" s="462"/>
      <c r="AD8" s="463"/>
      <c r="AE8" s="459"/>
      <c r="AF8" s="459"/>
      <c r="AG8" s="461"/>
      <c r="AH8" s="462"/>
      <c r="AI8" s="463"/>
      <c r="AJ8" s="459"/>
      <c r="AK8" s="464"/>
      <c r="AL8" s="462"/>
      <c r="AM8" s="462"/>
      <c r="AN8" s="463"/>
      <c r="AO8" s="459"/>
      <c r="AP8" s="464"/>
      <c r="AS8" s="1">
        <f t="shared" ca="1" si="10"/>
        <v>0</v>
      </c>
      <c r="AT8" s="1">
        <f t="shared" ca="1" si="11"/>
        <v>0</v>
      </c>
      <c r="AU8" s="1">
        <f t="shared" ca="1" si="12"/>
        <v>0</v>
      </c>
      <c r="AV8" s="1">
        <f ca="1">IF(Einstellungen!$G$24,$I8,ROUND($I8,Einstellungen!$H$24))</f>
        <v>0</v>
      </c>
      <c r="AW8" s="1">
        <f t="shared" ca="1" si="13"/>
        <v>-10000</v>
      </c>
      <c r="AX8" s="1">
        <f t="shared" ca="1" si="14"/>
        <v>1</v>
      </c>
    </row>
    <row r="9" spans="1:50" s="2" customFormat="1" x14ac:dyDescent="0.2">
      <c r="A9" s="214"/>
      <c r="B9" s="1">
        <v>6</v>
      </c>
      <c r="C9" s="22">
        <f t="shared" ca="1" si="0"/>
        <v>6</v>
      </c>
      <c r="D9" s="13">
        <f t="shared" ca="1" si="1"/>
        <v>15.009</v>
      </c>
      <c r="E9" s="219">
        <f t="shared" ca="1" si="2"/>
        <v>5</v>
      </c>
      <c r="F9" s="1" t="str">
        <f t="shared" si="3"/>
        <v/>
      </c>
      <c r="G9" s="1">
        <f t="shared" ca="1" si="4"/>
        <v>0</v>
      </c>
      <c r="H9" s="1">
        <f t="shared" ca="1" si="5"/>
        <v>0</v>
      </c>
      <c r="I9" s="13">
        <f ca="1">IF(Einstellungen!$G$24,G9-H9,IF(H9=0,IF(G9=0,0,Einstellungen!$F$24),G9/H9))</f>
        <v>0</v>
      </c>
      <c r="J9" s="1">
        <f ca="1">$L9*Einstellungen!$C$4+$M9</f>
        <v>0</v>
      </c>
      <c r="K9" s="1">
        <f t="shared" ca="1" si="6"/>
        <v>0</v>
      </c>
      <c r="L9" s="1">
        <f t="shared" ca="1" si="7"/>
        <v>0</v>
      </c>
      <c r="M9" s="1">
        <f t="shared" ca="1" si="8"/>
        <v>0</v>
      </c>
      <c r="N9" s="1">
        <f t="shared" ca="1" si="9"/>
        <v>0</v>
      </c>
      <c r="P9" s="25"/>
      <c r="W9" s="461"/>
      <c r="X9" s="462"/>
      <c r="Y9" s="459"/>
      <c r="Z9" s="459"/>
      <c r="AA9" s="464"/>
      <c r="AB9" s="461"/>
      <c r="AC9" s="462"/>
      <c r="AD9" s="463"/>
      <c r="AE9" s="459"/>
      <c r="AF9" s="459"/>
      <c r="AG9" s="461"/>
      <c r="AH9" s="462"/>
      <c r="AI9" s="463"/>
      <c r="AJ9" s="459"/>
      <c r="AK9" s="464"/>
      <c r="AL9" s="462"/>
      <c r="AM9" s="462"/>
      <c r="AN9" s="463"/>
      <c r="AO9" s="459"/>
      <c r="AP9" s="464"/>
      <c r="AS9" s="1">
        <f t="shared" ca="1" si="10"/>
        <v>0</v>
      </c>
      <c r="AT9" s="1">
        <f t="shared" ca="1" si="11"/>
        <v>0</v>
      </c>
      <c r="AU9" s="1">
        <f t="shared" ca="1" si="12"/>
        <v>0</v>
      </c>
      <c r="AV9" s="1">
        <f ca="1">IF(Einstellungen!$G$24,$I9,ROUND($I9,Einstellungen!$H$24))</f>
        <v>0</v>
      </c>
      <c r="AW9" s="1">
        <f t="shared" ca="1" si="13"/>
        <v>-10000</v>
      </c>
      <c r="AX9" s="1">
        <f t="shared" ca="1" si="14"/>
        <v>1</v>
      </c>
    </row>
    <row r="10" spans="1:50" s="2" customFormat="1" x14ac:dyDescent="0.2">
      <c r="A10" s="214"/>
      <c r="B10" s="1">
        <v>7</v>
      </c>
      <c r="C10" s="22">
        <f t="shared" ca="1" si="0"/>
        <v>7</v>
      </c>
      <c r="D10" s="13">
        <f t="shared" ca="1" si="1"/>
        <v>15.01</v>
      </c>
      <c r="E10" s="219">
        <f t="shared" ca="1" si="2"/>
        <v>5</v>
      </c>
      <c r="F10" s="1" t="str">
        <f t="shared" si="3"/>
        <v/>
      </c>
      <c r="G10" s="1">
        <f t="shared" ca="1" si="4"/>
        <v>0</v>
      </c>
      <c r="H10" s="1">
        <f t="shared" ca="1" si="5"/>
        <v>0</v>
      </c>
      <c r="I10" s="13">
        <f ca="1">IF(Einstellungen!$G$24,G10-H10,IF(H10=0,IF(G10=0,0,Einstellungen!$F$24),G10/H10))</f>
        <v>0</v>
      </c>
      <c r="J10" s="1">
        <f ca="1">$L10*Einstellungen!$C$4+$M10</f>
        <v>0</v>
      </c>
      <c r="K10" s="1">
        <f t="shared" ca="1" si="6"/>
        <v>0</v>
      </c>
      <c r="L10" s="1">
        <f t="shared" ca="1" si="7"/>
        <v>0</v>
      </c>
      <c r="M10" s="1">
        <f t="shared" ca="1" si="8"/>
        <v>0</v>
      </c>
      <c r="N10" s="1">
        <f t="shared" ca="1" si="9"/>
        <v>0</v>
      </c>
      <c r="P10" s="25"/>
      <c r="W10" s="461"/>
      <c r="X10" s="462"/>
      <c r="Y10" s="459"/>
      <c r="Z10" s="459"/>
      <c r="AA10" s="464"/>
      <c r="AB10" s="461"/>
      <c r="AC10" s="462"/>
      <c r="AD10" s="463"/>
      <c r="AE10" s="459"/>
      <c r="AF10" s="459"/>
      <c r="AG10" s="461"/>
      <c r="AH10" s="462"/>
      <c r="AI10" s="463"/>
      <c r="AJ10" s="459"/>
      <c r="AK10" s="464"/>
      <c r="AL10" s="462"/>
      <c r="AM10" s="462"/>
      <c r="AN10" s="463"/>
      <c r="AO10" s="459"/>
      <c r="AP10" s="464"/>
      <c r="AS10" s="1">
        <f t="shared" ca="1" si="10"/>
        <v>0</v>
      </c>
      <c r="AT10" s="1">
        <f t="shared" ca="1" si="11"/>
        <v>0</v>
      </c>
      <c r="AU10" s="1">
        <f t="shared" ca="1" si="12"/>
        <v>0</v>
      </c>
      <c r="AV10" s="1">
        <f ca="1">IF(Einstellungen!$G$24,$I10,ROUND($I10,Einstellungen!$H$24))</f>
        <v>0</v>
      </c>
      <c r="AW10" s="1">
        <f t="shared" ca="1" si="13"/>
        <v>-10000</v>
      </c>
      <c r="AX10" s="1">
        <f t="shared" ca="1" si="14"/>
        <v>1</v>
      </c>
    </row>
    <row r="11" spans="1:50" s="2" customFormat="1" x14ac:dyDescent="0.2">
      <c r="A11" s="214"/>
      <c r="B11" s="1">
        <v>8</v>
      </c>
      <c r="C11" s="22">
        <f t="shared" ca="1" si="0"/>
        <v>8</v>
      </c>
      <c r="D11" s="13">
        <f t="shared" ca="1" si="1"/>
        <v>15.010999999999999</v>
      </c>
      <c r="E11" s="219">
        <f t="shared" ca="1" si="2"/>
        <v>5</v>
      </c>
      <c r="F11" s="1" t="str">
        <f t="shared" si="3"/>
        <v/>
      </c>
      <c r="G11" s="1">
        <f t="shared" ca="1" si="4"/>
        <v>0</v>
      </c>
      <c r="H11" s="1">
        <f t="shared" ca="1" si="5"/>
        <v>0</v>
      </c>
      <c r="I11" s="13">
        <f ca="1">IF(Einstellungen!$G$24,G11-H11,IF(H11=0,IF(G11=0,0,Einstellungen!$F$24),G11/H11))</f>
        <v>0</v>
      </c>
      <c r="J11" s="1">
        <f ca="1">$L11*Einstellungen!$C$4+$M11</f>
        <v>0</v>
      </c>
      <c r="K11" s="1">
        <f t="shared" ca="1" si="6"/>
        <v>0</v>
      </c>
      <c r="L11" s="1">
        <f t="shared" ca="1" si="7"/>
        <v>0</v>
      </c>
      <c r="M11" s="1">
        <f t="shared" ca="1" si="8"/>
        <v>0</v>
      </c>
      <c r="N11" s="1">
        <f t="shared" ca="1" si="9"/>
        <v>0</v>
      </c>
      <c r="O11" s="13"/>
      <c r="P11" s="13"/>
      <c r="Q11" s="13"/>
      <c r="R11" s="13"/>
      <c r="S11" s="13"/>
      <c r="T11" s="13"/>
      <c r="U11" s="13"/>
      <c r="V11" s="13"/>
      <c r="W11" s="461"/>
      <c r="X11" s="462"/>
      <c r="Y11" s="459"/>
      <c r="Z11" s="459"/>
      <c r="AA11" s="464"/>
      <c r="AB11" s="461"/>
      <c r="AC11" s="462"/>
      <c r="AD11" s="463"/>
      <c r="AE11" s="459"/>
      <c r="AF11" s="459"/>
      <c r="AG11" s="461"/>
      <c r="AH11" s="462"/>
      <c r="AI11" s="463"/>
      <c r="AJ11" s="459"/>
      <c r="AK11" s="464"/>
      <c r="AL11" s="462"/>
      <c r="AM11" s="462"/>
      <c r="AN11" s="463"/>
      <c r="AO11" s="459"/>
      <c r="AP11" s="464"/>
      <c r="AS11" s="1">
        <f t="shared" ca="1" si="10"/>
        <v>0</v>
      </c>
      <c r="AT11" s="1">
        <f t="shared" ca="1" si="11"/>
        <v>0</v>
      </c>
      <c r="AU11" s="1">
        <f t="shared" ca="1" si="12"/>
        <v>0</v>
      </c>
      <c r="AV11" s="1">
        <f ca="1">IF(Einstellungen!$G$24,$I11,ROUND($I11,Einstellungen!$H$24))</f>
        <v>0</v>
      </c>
      <c r="AW11" s="1">
        <f t="shared" ca="1" si="13"/>
        <v>-10000</v>
      </c>
      <c r="AX11" s="1">
        <f t="shared" ca="1" si="14"/>
        <v>1</v>
      </c>
    </row>
    <row r="12" spans="1:50" s="2" customFormat="1" ht="12.75" thickBot="1" x14ac:dyDescent="0.25">
      <c r="A12" s="214"/>
      <c r="B12" s="1">
        <v>9</v>
      </c>
      <c r="C12" s="23">
        <f t="shared" ca="1" si="0"/>
        <v>9</v>
      </c>
      <c r="D12" s="13">
        <f t="shared" ca="1" si="1"/>
        <v>15.012</v>
      </c>
      <c r="E12" s="219">
        <f t="shared" ca="1" si="2"/>
        <v>5</v>
      </c>
      <c r="F12" s="1" t="str">
        <f t="shared" si="3"/>
        <v/>
      </c>
      <c r="G12" s="1">
        <f t="shared" ca="1" si="4"/>
        <v>0</v>
      </c>
      <c r="H12" s="1">
        <f t="shared" ca="1" si="5"/>
        <v>0</v>
      </c>
      <c r="I12" s="13">
        <f ca="1">IF(Einstellungen!$G$24,G12-H12,IF(H12=0,IF(G12=0,0,Einstellungen!$F$24),G12/H12))</f>
        <v>0</v>
      </c>
      <c r="J12" s="1">
        <f ca="1">$L12*Einstellungen!$C$4+$M12</f>
        <v>0</v>
      </c>
      <c r="K12" s="29">
        <f t="shared" ca="1" si="6"/>
        <v>0</v>
      </c>
      <c r="L12" s="1">
        <f t="shared" ca="1" si="7"/>
        <v>0</v>
      </c>
      <c r="M12" s="1">
        <f t="shared" ca="1" si="8"/>
        <v>0</v>
      </c>
      <c r="N12" s="1">
        <f t="shared" ca="1" si="9"/>
        <v>0</v>
      </c>
      <c r="O12" s="1"/>
      <c r="P12" s="1"/>
      <c r="Q12" s="1"/>
      <c r="R12" s="1"/>
      <c r="S12" s="1"/>
      <c r="T12" s="1"/>
      <c r="U12" s="1"/>
      <c r="V12" s="1"/>
      <c r="W12" s="465"/>
      <c r="X12" s="466"/>
      <c r="Y12" s="467"/>
      <c r="Z12" s="467"/>
      <c r="AA12" s="468"/>
      <c r="AB12" s="465"/>
      <c r="AC12" s="466"/>
      <c r="AD12" s="469"/>
      <c r="AE12" s="467"/>
      <c r="AF12" s="467"/>
      <c r="AG12" s="465"/>
      <c r="AH12" s="466"/>
      <c r="AI12" s="469"/>
      <c r="AJ12" s="467"/>
      <c r="AK12" s="468"/>
      <c r="AL12" s="466"/>
      <c r="AM12" s="466"/>
      <c r="AN12" s="469"/>
      <c r="AO12" s="467"/>
      <c r="AP12" s="468"/>
      <c r="AS12" s="1">
        <f t="shared" ca="1" si="10"/>
        <v>0</v>
      </c>
      <c r="AT12" s="1">
        <f t="shared" ca="1" si="11"/>
        <v>0</v>
      </c>
      <c r="AU12" s="1">
        <f t="shared" ca="1" si="12"/>
        <v>0</v>
      </c>
      <c r="AV12" s="1">
        <f ca="1">IF(Einstellungen!$G$24,$I12,ROUND($I12,Einstellungen!$H$24))</f>
        <v>0</v>
      </c>
      <c r="AW12" s="1">
        <f t="shared" ca="1" si="13"/>
        <v>-10000</v>
      </c>
      <c r="AX12" s="1">
        <f t="shared" ca="1" si="14"/>
        <v>1</v>
      </c>
    </row>
    <row r="13" spans="1:50"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50" s="2" customFormat="1" x14ac:dyDescent="0.2">
      <c r="B14" s="14"/>
      <c r="D14" s="1"/>
      <c r="F14" s="14"/>
      <c r="O14" s="1"/>
      <c r="P14" s="1"/>
      <c r="Q14" s="1"/>
      <c r="R14" s="1"/>
      <c r="S14" s="1"/>
      <c r="T14" s="1"/>
      <c r="U14" s="1"/>
      <c r="V14" s="1"/>
      <c r="W14" s="1"/>
      <c r="Y14" s="1"/>
      <c r="Z14" s="1"/>
    </row>
    <row r="15" spans="1:50" s="2" customFormat="1" x14ac:dyDescent="0.2">
      <c r="O15" s="12"/>
      <c r="AD15" s="611"/>
      <c r="AE15" s="611"/>
      <c r="AF15" s="611"/>
      <c r="AG15" s="611"/>
      <c r="AH15" s="611"/>
      <c r="AI15" s="612"/>
      <c r="AK15" s="214"/>
    </row>
    <row r="16" spans="1:50" s="2" customFormat="1" ht="15.75" thickBot="1" x14ac:dyDescent="0.25">
      <c r="B16" s="13" t="s">
        <v>6</v>
      </c>
      <c r="C16" s="729" t="s">
        <v>97</v>
      </c>
      <c r="D16" s="729" t="s">
        <v>103</v>
      </c>
      <c r="E16" s="729" t="s">
        <v>104</v>
      </c>
      <c r="F16" s="729" t="s">
        <v>105</v>
      </c>
      <c r="G16" s="729" t="s">
        <v>106</v>
      </c>
      <c r="H16" s="729" t="s">
        <v>107</v>
      </c>
      <c r="I16" s="729" t="s">
        <v>108</v>
      </c>
      <c r="J16" s="729" t="s">
        <v>109</v>
      </c>
      <c r="K16" s="729" t="s">
        <v>382</v>
      </c>
      <c r="L16" s="11" t="s">
        <v>383</v>
      </c>
      <c r="M16" s="68" t="s">
        <v>96</v>
      </c>
      <c r="N16" s="68" t="s">
        <v>15</v>
      </c>
      <c r="O16" s="30">
        <v>1</v>
      </c>
      <c r="P16" s="1">
        <v>2</v>
      </c>
      <c r="Q16" s="1">
        <v>3</v>
      </c>
      <c r="R16" s="1">
        <v>4</v>
      </c>
      <c r="S16" s="1">
        <v>5</v>
      </c>
      <c r="T16" s="1">
        <v>6</v>
      </c>
      <c r="U16" s="1">
        <v>7</v>
      </c>
      <c r="V16" s="1">
        <v>8</v>
      </c>
      <c r="W16" s="11" t="s">
        <v>98</v>
      </c>
      <c r="X16" s="173" t="s">
        <v>166</v>
      </c>
      <c r="Y16" s="11" t="s">
        <v>454</v>
      </c>
      <c r="Z16" s="173" t="s">
        <v>210</v>
      </c>
      <c r="AA16" s="1" t="s">
        <v>387</v>
      </c>
      <c r="AB16" s="1" t="s">
        <v>109</v>
      </c>
      <c r="AC16" s="1" t="s">
        <v>107</v>
      </c>
      <c r="AD16" s="617" t="s">
        <v>428</v>
      </c>
      <c r="AE16" s="610"/>
      <c r="AF16" s="613"/>
      <c r="AG16" s="613"/>
      <c r="AH16" s="614"/>
      <c r="AI16" s="612"/>
    </row>
    <row r="17" spans="2:80" s="2" customFormat="1" ht="12.75" thickTop="1" x14ac:dyDescent="0.2">
      <c r="C17" s="2" t="str">
        <f ca="1">$Q64</f>
        <v>VFB Essenheim</v>
      </c>
      <c r="D17" s="1">
        <f t="shared" ref="D17:G25" ca="1" si="15">K4</f>
        <v>3</v>
      </c>
      <c r="E17" s="1">
        <f t="shared" ca="1" si="15"/>
        <v>2</v>
      </c>
      <c r="F17" s="1">
        <f t="shared" ca="1" si="15"/>
        <v>1</v>
      </c>
      <c r="G17" s="1">
        <f t="shared" ca="1" si="15"/>
        <v>0</v>
      </c>
      <c r="H17" s="1">
        <f t="shared" ref="H17:J25" ca="1" si="16">G4</f>
        <v>144</v>
      </c>
      <c r="I17" s="1">
        <f t="shared" ca="1" si="16"/>
        <v>113</v>
      </c>
      <c r="J17" s="13">
        <f t="shared" ca="1" si="16"/>
        <v>31</v>
      </c>
      <c r="K17" s="1">
        <f ca="1">IF(Einstellungen!$G$9,J4,$AT4)</f>
        <v>5</v>
      </c>
      <c r="L17" s="694">
        <f ca="1">K17*$F$64+(AU4+$H$65)*$F$65*Einstellungen!$G$14+AT4*$F$66*Einstellungen!$G$19+AX4*$F$67</f>
        <v>5000000.0089999996</v>
      </c>
      <c r="M17" s="14">
        <f ca="1">IF($AI$15,COUNTIF($K$17:$K$25,K17),COUNTIF($L$17:$L$25,L17))</f>
        <v>1</v>
      </c>
      <c r="N17" s="14">
        <f t="array" aca="1" ref="N17" ca="1">IF($AI$15,SUM(($K$17:$K$25&gt;=K17)/COUNTIF($K$17:$K$25,$K$17:$K$25)),SUM(($L$17:$L$25&gt;=L17)/COUNTIF($L$17:$L$25,$L$17:$L$25)))</f>
        <v>1</v>
      </c>
      <c r="O17" s="52" t="str">
        <f t="shared" ref="O17:O25" ca="1" si="17">IF(AND(M17&gt;1,N17=1),C17,"")</f>
        <v/>
      </c>
      <c r="P17" s="53" t="str">
        <f t="shared" ref="P17:P25" ca="1" si="18">IF(AND(M17&gt;1,N17=2),C17,"")</f>
        <v/>
      </c>
      <c r="Q17" s="53" t="str">
        <f t="shared" ref="Q17:Q25" ca="1" si="19">IF(AND(M17&gt;1,N17=3),C17,"")</f>
        <v/>
      </c>
      <c r="R17" s="53" t="str">
        <f t="shared" ref="R17:R25" ca="1" si="20">IF(AND(M17&gt;1,N17=4),C17,"")</f>
        <v/>
      </c>
      <c r="S17" s="53" t="str">
        <f t="shared" ref="S17:S25" ca="1" si="21">IF(AND(M17&gt;1,N17=5),C17,"")</f>
        <v/>
      </c>
      <c r="T17" s="53" t="str">
        <f t="shared" ref="T17:T25" ca="1" si="22">IF(AND($M17&gt;1,$N17=6),$C17,"")</f>
        <v/>
      </c>
      <c r="U17" s="53" t="str">
        <f t="shared" ref="U17:U25" ca="1" si="23">IF(AND($M17&gt;1,$N17=7),$C17,"")</f>
        <v/>
      </c>
      <c r="V17" s="54" t="str">
        <f t="shared" ref="V17:V25" ca="1" si="24">IF(AND($M17&gt;1,$N17=8),$C17,"")</f>
        <v/>
      </c>
      <c r="W17" s="62">
        <f ca="1">AA17*$F$64+(AB17+$H$65)*$F$65</f>
        <v>500000</v>
      </c>
      <c r="X17" s="21">
        <f ca="1">RANK($L17,$L$17:$L$25)+RANK($W17,$W$17:$W$25)/100+(9-$Y17)/10000+($C17="")*100</f>
        <v>1.0108999999999999</v>
      </c>
      <c r="Y17" s="13">
        <f ca="1">'Endrunde 4'!$AU19+$AD17</f>
        <v>0</v>
      </c>
      <c r="Z17" s="1">
        <f ca="1">RANK($W17,$W$17:$W$25)+(9-$Y17)/10</f>
        <v>1.9</v>
      </c>
      <c r="AA17" s="1">
        <f ca="1">SUM(E30:BP30)</f>
        <v>0</v>
      </c>
      <c r="AB17" s="1">
        <f ca="1">SUM(E41:BP41)</f>
        <v>0</v>
      </c>
      <c r="AC17" s="1">
        <f ca="1">SUM(E52:BP52)</f>
        <v>0</v>
      </c>
      <c r="AD17" s="613">
        <f ca="1">IF($C17="",0,COUNTIF(Playoffs!$U$25:$U$30,$C17))</f>
        <v>0</v>
      </c>
      <c r="AE17" s="615"/>
      <c r="AF17" s="613"/>
      <c r="AG17" s="613"/>
      <c r="AH17" s="616"/>
      <c r="AI17" s="613"/>
    </row>
    <row r="18" spans="2:80" s="2" customFormat="1" x14ac:dyDescent="0.2">
      <c r="C18" s="2" t="str">
        <f t="shared" ref="C18:C25" ca="1" si="25">$Q65</f>
        <v>FC Grönlingen</v>
      </c>
      <c r="D18" s="1">
        <f t="shared" ca="1" si="15"/>
        <v>3</v>
      </c>
      <c r="E18" s="1">
        <f t="shared" ca="1" si="15"/>
        <v>1</v>
      </c>
      <c r="F18" s="1">
        <f t="shared" ca="1" si="15"/>
        <v>1</v>
      </c>
      <c r="G18" s="1">
        <f t="shared" ca="1" si="15"/>
        <v>1</v>
      </c>
      <c r="H18" s="1">
        <f t="shared" ca="1" si="16"/>
        <v>136</v>
      </c>
      <c r="I18" s="1">
        <f t="shared" ca="1" si="16"/>
        <v>139</v>
      </c>
      <c r="J18" s="13">
        <f t="shared" ca="1" si="16"/>
        <v>-3</v>
      </c>
      <c r="K18" s="1">
        <f ca="1">IF(Einstellungen!$G$9,J5,$AT5)</f>
        <v>3</v>
      </c>
      <c r="L18" s="694">
        <f ca="1">K18*$F$64+(AU5+$H$65)*$F$65*Einstellungen!$G$14+AT5*$F$66*Einstellungen!$G$19+AX5*$F$67</f>
        <v>3000000.0079999999</v>
      </c>
      <c r="M18" s="14">
        <f t="shared" ref="M18:M25" ca="1" si="26">IF($AI$15,COUNTIF($K$17:$K$25,K18),COUNTIF($L$17:$L$25,L18))</f>
        <v>1</v>
      </c>
      <c r="N18" s="14">
        <f t="array" aca="1" ref="N18" ca="1">IF($AI$15,SUM(($K$17:$K$25&gt;=K18)/COUNTIF($K$17:$K$25,$K$17:$K$25)),SUM(($L$17:$L$25&gt;=L18)/COUNTIF($L$17:$L$25,$L$17:$L$25)))</f>
        <v>2</v>
      </c>
      <c r="O18" s="6" t="str">
        <f t="shared" ca="1" si="17"/>
        <v/>
      </c>
      <c r="P18" s="4" t="str">
        <f t="shared" ca="1" si="18"/>
        <v/>
      </c>
      <c r="Q18" s="4" t="str">
        <f t="shared" ca="1" si="19"/>
        <v/>
      </c>
      <c r="R18" s="4" t="str">
        <f t="shared" ca="1" si="20"/>
        <v/>
      </c>
      <c r="S18" s="4" t="str">
        <f t="shared" ca="1" si="21"/>
        <v/>
      </c>
      <c r="T18" s="4" t="str">
        <f t="shared" ca="1" si="22"/>
        <v/>
      </c>
      <c r="U18" s="4" t="str">
        <f t="shared" ca="1" si="23"/>
        <v/>
      </c>
      <c r="V18" s="55" t="str">
        <f t="shared" ca="1" si="24"/>
        <v/>
      </c>
      <c r="W18" s="62">
        <f t="shared" ref="W18:W25" ca="1" si="27">AA18*$F$64+(AB18+$H$65)*$F$65</f>
        <v>500000</v>
      </c>
      <c r="X18" s="22">
        <f ca="1">RANK($L18,$L$17:$L$25)+RANK($W18,$W$17:$W$25)/100+(9-$Y18)/10000+($C18="")*100</f>
        <v>2.0108999999999999</v>
      </c>
      <c r="Y18" s="13">
        <f ca="1">'Endrunde 4'!$AU20+$AD18</f>
        <v>0</v>
      </c>
      <c r="Z18" s="1">
        <f t="shared" ref="Z18:Z25" ca="1" si="28">RANK($W18,$W$17:$W$25)+(9-$Y18)/10</f>
        <v>1.9</v>
      </c>
      <c r="AA18" s="1">
        <f t="shared" ref="AA18:AA25" ca="1" si="29">SUM(E31:BP31)</f>
        <v>0</v>
      </c>
      <c r="AB18" s="1">
        <f t="shared" ref="AB18:AB25" ca="1" si="30">SUM(E42:BP42)</f>
        <v>0</v>
      </c>
      <c r="AC18" s="1">
        <f t="shared" ref="AC18:AC25" ca="1" si="31">SUM(E53:BP53)</f>
        <v>0</v>
      </c>
      <c r="AD18" s="613">
        <f ca="1">IF($C18="",0,COUNTIF(Playoffs!$U$25:$U$30,$C18))</f>
        <v>0</v>
      </c>
      <c r="AE18" s="615"/>
      <c r="AF18" s="613"/>
      <c r="AG18" s="613"/>
      <c r="AH18" s="616"/>
      <c r="AI18" s="613"/>
    </row>
    <row r="19" spans="2:80" s="2" customFormat="1" x14ac:dyDescent="0.2">
      <c r="C19" s="2" t="str">
        <f t="shared" ca="1" si="25"/>
        <v>1. FC Riedwald</v>
      </c>
      <c r="D19" s="1">
        <f t="shared" ca="1" si="15"/>
        <v>3</v>
      </c>
      <c r="E19" s="1">
        <f t="shared" ca="1" si="15"/>
        <v>0</v>
      </c>
      <c r="F19" s="1">
        <f t="shared" ca="1" si="15"/>
        <v>2</v>
      </c>
      <c r="G19" s="1">
        <f t="shared" ca="1" si="15"/>
        <v>1</v>
      </c>
      <c r="H19" s="1">
        <f t="shared" ca="1" si="16"/>
        <v>120</v>
      </c>
      <c r="I19" s="1">
        <f t="shared" ca="1" si="16"/>
        <v>142</v>
      </c>
      <c r="J19" s="13">
        <f t="shared" ca="1" si="16"/>
        <v>-22</v>
      </c>
      <c r="K19" s="1">
        <f ca="1">IF(Einstellungen!$G$9,J6,$AT6)</f>
        <v>2</v>
      </c>
      <c r="L19" s="694">
        <f ca="1">K19*$F$64+(AU6+$H$65)*$F$65*Einstellungen!$G$14+AT6*$F$66*Einstellungen!$G$19+AX6*$F$67</f>
        <v>2000000.0060000001</v>
      </c>
      <c r="M19" s="14">
        <f t="shared" ca="1" si="26"/>
        <v>1</v>
      </c>
      <c r="N19" s="14">
        <f t="array" aca="1" ref="N19" ca="1">IF($AI$15,SUM(($K$17:$K$25&gt;=K19)/COUNTIF($K$17:$K$25,$K$17:$K$25)),SUM(($L$17:$L$25&gt;=L19)/COUNTIF($L$17:$L$25,$L$17:$L$25)))</f>
        <v>4</v>
      </c>
      <c r="O19" s="6" t="str">
        <f t="shared" ca="1" si="17"/>
        <v/>
      </c>
      <c r="P19" s="4" t="str">
        <f t="shared" ca="1" si="18"/>
        <v/>
      </c>
      <c r="Q19" s="4" t="str">
        <f t="shared" ca="1" si="19"/>
        <v/>
      </c>
      <c r="R19" s="4" t="str">
        <f t="shared" ca="1" si="20"/>
        <v/>
      </c>
      <c r="S19" s="4" t="str">
        <f t="shared" ca="1" si="21"/>
        <v/>
      </c>
      <c r="T19" s="4" t="str">
        <f t="shared" ca="1" si="22"/>
        <v/>
      </c>
      <c r="U19" s="4" t="str">
        <f t="shared" ca="1" si="23"/>
        <v/>
      </c>
      <c r="V19" s="55" t="str">
        <f t="shared" ca="1" si="24"/>
        <v/>
      </c>
      <c r="W19" s="62">
        <f t="shared" ca="1" si="27"/>
        <v>500000</v>
      </c>
      <c r="X19" s="22">
        <f t="shared" ref="X19:X25" ca="1" si="32">RANK($L19,$L$17:$L$25)+RANK($W19,$W$17:$W$25)/100+(9-$Y19)/10000+($C19="")*100</f>
        <v>4.0108999999999995</v>
      </c>
      <c r="Y19" s="13">
        <f ca="1">'Endrunde 4'!$AU21+$AD19</f>
        <v>0</v>
      </c>
      <c r="Z19" s="1">
        <f t="shared" ca="1" si="28"/>
        <v>1.9</v>
      </c>
      <c r="AA19" s="1">
        <f t="shared" ca="1" si="29"/>
        <v>0</v>
      </c>
      <c r="AB19" s="1">
        <f t="shared" ca="1" si="30"/>
        <v>0</v>
      </c>
      <c r="AC19" s="1">
        <f t="shared" ca="1" si="31"/>
        <v>0</v>
      </c>
      <c r="AD19" s="613">
        <f ca="1">IF($C19="",0,COUNTIF(Playoffs!$U$25:$U$30,$C19))</f>
        <v>0</v>
      </c>
      <c r="AE19" s="615"/>
      <c r="AF19" s="613"/>
      <c r="AG19" s="613"/>
      <c r="AH19" s="616"/>
      <c r="AI19" s="613"/>
    </row>
    <row r="20" spans="2:80" s="2" customFormat="1" x14ac:dyDescent="0.2">
      <c r="C20" s="2" t="str">
        <f t="shared" ca="1" si="25"/>
        <v>SSV Wildbach</v>
      </c>
      <c r="D20" s="1">
        <f t="shared" ca="1" si="15"/>
        <v>3</v>
      </c>
      <c r="E20" s="1">
        <f t="shared" ca="1" si="15"/>
        <v>0</v>
      </c>
      <c r="F20" s="1">
        <f t="shared" ca="1" si="15"/>
        <v>2</v>
      </c>
      <c r="G20" s="1">
        <f t="shared" ca="1" si="15"/>
        <v>1</v>
      </c>
      <c r="H20" s="1">
        <f t="shared" ca="1" si="16"/>
        <v>130</v>
      </c>
      <c r="I20" s="1">
        <f t="shared" ca="1" si="16"/>
        <v>136</v>
      </c>
      <c r="J20" s="13">
        <f t="shared" ca="1" si="16"/>
        <v>-6</v>
      </c>
      <c r="K20" s="1">
        <f ca="1">IF(Einstellungen!$G$9,J7,$AT7)</f>
        <v>2</v>
      </c>
      <c r="L20" s="694">
        <f ca="1">K20*$F$64+(AU7+$H$65)*$F$65*Einstellungen!$G$14+AT7*$F$66*Einstellungen!$G$19+AX7*$F$67</f>
        <v>2000000.007</v>
      </c>
      <c r="M20" s="14">
        <f t="shared" ca="1" si="26"/>
        <v>1</v>
      </c>
      <c r="N20" s="14">
        <f t="array" aca="1" ref="N20" ca="1">IF($AI$15,SUM(($K$17:$K$25&gt;=K20)/COUNTIF($K$17:$K$25,$K$17:$K$25)),SUM(($L$17:$L$25&gt;=L20)/COUNTIF($L$17:$L$25,$L$17:$L$25)))</f>
        <v>3</v>
      </c>
      <c r="O20" s="6" t="str">
        <f t="shared" ca="1" si="17"/>
        <v/>
      </c>
      <c r="P20" s="4" t="str">
        <f t="shared" ca="1" si="18"/>
        <v/>
      </c>
      <c r="Q20" s="4" t="str">
        <f t="shared" ca="1" si="19"/>
        <v/>
      </c>
      <c r="R20" s="4" t="str">
        <f t="shared" ca="1" si="20"/>
        <v/>
      </c>
      <c r="S20" s="4" t="str">
        <f t="shared" ca="1" si="21"/>
        <v/>
      </c>
      <c r="T20" s="4" t="str">
        <f t="shared" ca="1" si="22"/>
        <v/>
      </c>
      <c r="U20" s="4" t="str">
        <f t="shared" ca="1" si="23"/>
        <v/>
      </c>
      <c r="V20" s="55" t="str">
        <f t="shared" ca="1" si="24"/>
        <v/>
      </c>
      <c r="W20" s="62">
        <f t="shared" ca="1" si="27"/>
        <v>500000</v>
      </c>
      <c r="X20" s="22">
        <f t="shared" ca="1" si="32"/>
        <v>3.0108999999999999</v>
      </c>
      <c r="Y20" s="13">
        <f ca="1">'Endrunde 4'!$AU22+$AD20</f>
        <v>0</v>
      </c>
      <c r="Z20" s="1">
        <f t="shared" ca="1" si="28"/>
        <v>1.9</v>
      </c>
      <c r="AA20" s="1">
        <f t="shared" ca="1" si="29"/>
        <v>0</v>
      </c>
      <c r="AB20" s="1">
        <f t="shared" ca="1" si="30"/>
        <v>0</v>
      </c>
      <c r="AC20" s="1">
        <f t="shared" ca="1" si="31"/>
        <v>0</v>
      </c>
      <c r="AD20" s="613">
        <f ca="1">IF($C20="",0,COUNTIF(Playoffs!$U$25:$U$30,$C20))</f>
        <v>0</v>
      </c>
      <c r="AE20" s="615"/>
      <c r="AF20" s="613"/>
      <c r="AG20" s="613"/>
      <c r="AH20" s="616"/>
      <c r="AI20" s="613"/>
    </row>
    <row r="21" spans="2:80" s="2" customFormat="1" x14ac:dyDescent="0.2">
      <c r="C21" s="2" t="str">
        <f t="shared" si="25"/>
        <v/>
      </c>
      <c r="D21" s="1">
        <f t="shared" ca="1" si="15"/>
        <v>0</v>
      </c>
      <c r="E21" s="1">
        <f t="shared" ca="1" si="15"/>
        <v>0</v>
      </c>
      <c r="F21" s="1">
        <f t="shared" ca="1" si="15"/>
        <v>0</v>
      </c>
      <c r="G21" s="1">
        <f t="shared" ca="1" si="15"/>
        <v>0</v>
      </c>
      <c r="H21" s="1">
        <f t="shared" ca="1" si="16"/>
        <v>0</v>
      </c>
      <c r="I21" s="1">
        <f t="shared" ca="1" si="16"/>
        <v>0</v>
      </c>
      <c r="J21" s="13">
        <f t="shared" ca="1" si="16"/>
        <v>0</v>
      </c>
      <c r="K21" s="1">
        <f ca="1">IF(Einstellungen!$G$9,J8,$AT8)</f>
        <v>0</v>
      </c>
      <c r="L21" s="694">
        <f ca="1">K21*$F$64+(AU8+$H$65)*$F$65*Einstellungen!$G$14+AT8*$F$66*Einstellungen!$G$19+AX8*$F$67</f>
        <v>1E-3</v>
      </c>
      <c r="M21" s="14">
        <f t="shared" ca="1" si="26"/>
        <v>5</v>
      </c>
      <c r="N21" s="14">
        <f t="array" aca="1" ref="N21" ca="1">IF($AI$15,SUM(($K$17:$K$25&gt;=K21)/COUNTIF($K$17:$K$25,$K$17:$K$25)),SUM(($L$17:$L$25&gt;=L21)/COUNTIF($L$17:$L$25,$L$17:$L$25)))</f>
        <v>5.0000000000000009</v>
      </c>
      <c r="O21" s="6" t="str">
        <f t="shared" ca="1" si="17"/>
        <v/>
      </c>
      <c r="P21" s="4" t="str">
        <f t="shared" ca="1" si="18"/>
        <v/>
      </c>
      <c r="Q21" s="4" t="str">
        <f t="shared" ca="1" si="19"/>
        <v/>
      </c>
      <c r="R21" s="4" t="str">
        <f t="shared" ca="1" si="20"/>
        <v/>
      </c>
      <c r="S21" s="4" t="str">
        <f t="shared" ca="1" si="21"/>
        <v/>
      </c>
      <c r="T21" s="4" t="str">
        <f t="shared" ca="1" si="22"/>
        <v/>
      </c>
      <c r="U21" s="4" t="str">
        <f t="shared" ca="1" si="23"/>
        <v/>
      </c>
      <c r="V21" s="55" t="str">
        <f t="shared" ca="1" si="24"/>
        <v/>
      </c>
      <c r="W21" s="62">
        <f t="shared" ca="1" si="27"/>
        <v>500000</v>
      </c>
      <c r="X21" s="22">
        <f t="shared" ca="1" si="32"/>
        <v>105.01089999999999</v>
      </c>
      <c r="Y21" s="13">
        <v>0</v>
      </c>
      <c r="Z21" s="1">
        <f t="shared" ca="1" si="28"/>
        <v>1.9</v>
      </c>
      <c r="AA21" s="1">
        <f t="shared" ca="1" si="29"/>
        <v>0</v>
      </c>
      <c r="AB21" s="1">
        <f t="shared" ca="1" si="30"/>
        <v>0</v>
      </c>
      <c r="AC21" s="1">
        <f t="shared" ca="1" si="31"/>
        <v>0</v>
      </c>
      <c r="AD21" s="613">
        <v>0</v>
      </c>
      <c r="AE21" s="615"/>
      <c r="AF21" s="613"/>
      <c r="AG21" s="613"/>
      <c r="AH21" s="616"/>
      <c r="AI21" s="613"/>
    </row>
    <row r="22" spans="2:80" s="2" customFormat="1" x14ac:dyDescent="0.2">
      <c r="C22" s="2" t="str">
        <f t="shared" si="25"/>
        <v/>
      </c>
      <c r="D22" s="1">
        <f t="shared" ca="1" si="15"/>
        <v>0</v>
      </c>
      <c r="E22" s="1">
        <f t="shared" ca="1" si="15"/>
        <v>0</v>
      </c>
      <c r="F22" s="1">
        <f t="shared" ca="1" si="15"/>
        <v>0</v>
      </c>
      <c r="G22" s="1">
        <f t="shared" ca="1" si="15"/>
        <v>0</v>
      </c>
      <c r="H22" s="1">
        <f t="shared" ca="1" si="16"/>
        <v>0</v>
      </c>
      <c r="I22" s="1">
        <f t="shared" ca="1" si="16"/>
        <v>0</v>
      </c>
      <c r="J22" s="13">
        <f t="shared" ca="1" si="16"/>
        <v>0</v>
      </c>
      <c r="K22" s="1">
        <f ca="1">IF(Einstellungen!$G$9,J9,$AT9)</f>
        <v>0</v>
      </c>
      <c r="L22" s="694">
        <f ca="1">K22*$F$64+(AU9+$H$65)*$F$65*Einstellungen!$G$14+AT9*$F$66*Einstellungen!$G$19+AX9*$F$67</f>
        <v>1E-3</v>
      </c>
      <c r="M22" s="14">
        <f t="shared" ca="1" si="26"/>
        <v>5</v>
      </c>
      <c r="N22" s="14">
        <f t="array" aca="1" ref="N22" ca="1">IF($AI$15,SUM(($K$17:$K$25&gt;=K22)/COUNTIF($K$17:$K$25,$K$17:$K$25)),SUM(($L$17:$L$25&gt;=L22)/COUNTIF($L$17:$L$25,$L$17:$L$25)))</f>
        <v>5.0000000000000009</v>
      </c>
      <c r="O22" s="6" t="str">
        <f t="shared" ca="1" si="17"/>
        <v/>
      </c>
      <c r="P22" s="4" t="str">
        <f t="shared" ca="1" si="18"/>
        <v/>
      </c>
      <c r="Q22" s="4" t="str">
        <f t="shared" ca="1" si="19"/>
        <v/>
      </c>
      <c r="R22" s="4" t="str">
        <f t="shared" ca="1" si="20"/>
        <v/>
      </c>
      <c r="S22" s="4" t="str">
        <f t="shared" ca="1" si="21"/>
        <v/>
      </c>
      <c r="T22" s="4" t="str">
        <f t="shared" ca="1" si="22"/>
        <v/>
      </c>
      <c r="U22" s="4" t="str">
        <f t="shared" ca="1" si="23"/>
        <v/>
      </c>
      <c r="V22" s="55" t="str">
        <f t="shared" ca="1" si="24"/>
        <v/>
      </c>
      <c r="W22" s="62">
        <f t="shared" ca="1" si="27"/>
        <v>500000</v>
      </c>
      <c r="X22" s="22">
        <f t="shared" ca="1" si="32"/>
        <v>105.01089999999999</v>
      </c>
      <c r="Y22" s="13">
        <v>0</v>
      </c>
      <c r="Z22" s="1">
        <f t="shared" ca="1" si="28"/>
        <v>1.9</v>
      </c>
      <c r="AA22" s="1">
        <f t="shared" ca="1" si="29"/>
        <v>0</v>
      </c>
      <c r="AB22" s="1">
        <f t="shared" ca="1" si="30"/>
        <v>0</v>
      </c>
      <c r="AC22" s="1">
        <f t="shared" ca="1" si="31"/>
        <v>0</v>
      </c>
      <c r="AD22" s="613">
        <v>0</v>
      </c>
      <c r="AE22" s="615"/>
      <c r="AF22" s="613"/>
      <c r="AG22" s="613"/>
      <c r="AH22" s="616"/>
      <c r="AI22" s="613"/>
    </row>
    <row r="23" spans="2:80" s="2" customFormat="1" x14ac:dyDescent="0.2">
      <c r="C23" s="2" t="str">
        <f t="shared" si="25"/>
        <v/>
      </c>
      <c r="D23" s="1">
        <f t="shared" ca="1" si="15"/>
        <v>0</v>
      </c>
      <c r="E23" s="1">
        <f t="shared" ca="1" si="15"/>
        <v>0</v>
      </c>
      <c r="F23" s="1">
        <f t="shared" ca="1" si="15"/>
        <v>0</v>
      </c>
      <c r="G23" s="1">
        <f t="shared" ca="1" si="15"/>
        <v>0</v>
      </c>
      <c r="H23" s="1">
        <f t="shared" ca="1" si="16"/>
        <v>0</v>
      </c>
      <c r="I23" s="1">
        <f t="shared" ca="1" si="16"/>
        <v>0</v>
      </c>
      <c r="J23" s="13">
        <f t="shared" ca="1" si="16"/>
        <v>0</v>
      </c>
      <c r="K23" s="1">
        <f ca="1">IF(Einstellungen!$G$9,J10,$AT10)</f>
        <v>0</v>
      </c>
      <c r="L23" s="694">
        <f ca="1">K23*$F$64+(AU10+$H$65)*$F$65*Einstellungen!$G$14+AT10*$F$66*Einstellungen!$G$19+AX10*$F$67</f>
        <v>1E-3</v>
      </c>
      <c r="M23" s="14">
        <f t="shared" ca="1" si="26"/>
        <v>5</v>
      </c>
      <c r="N23" s="14">
        <f t="array" aca="1" ref="N23" ca="1">IF($AI$15,SUM(($K$17:$K$25&gt;=K23)/COUNTIF($K$17:$K$25,$K$17:$K$25)),SUM(($L$17:$L$25&gt;=L23)/COUNTIF($L$17:$L$25,$L$17:$L$25)))</f>
        <v>5.0000000000000009</v>
      </c>
      <c r="O23" s="6" t="str">
        <f t="shared" ca="1" si="17"/>
        <v/>
      </c>
      <c r="P23" s="4" t="str">
        <f t="shared" ca="1" si="18"/>
        <v/>
      </c>
      <c r="Q23" s="4" t="str">
        <f t="shared" ca="1" si="19"/>
        <v/>
      </c>
      <c r="R23" s="4" t="str">
        <f t="shared" ca="1" si="20"/>
        <v/>
      </c>
      <c r="S23" s="4" t="str">
        <f t="shared" ca="1" si="21"/>
        <v/>
      </c>
      <c r="T23" s="4" t="str">
        <f t="shared" ca="1" si="22"/>
        <v/>
      </c>
      <c r="U23" s="4" t="str">
        <f t="shared" ca="1" si="23"/>
        <v/>
      </c>
      <c r="V23" s="55" t="str">
        <f t="shared" ca="1" si="24"/>
        <v/>
      </c>
      <c r="W23" s="62">
        <f t="shared" ca="1" si="27"/>
        <v>500000</v>
      </c>
      <c r="X23" s="22">
        <f t="shared" ca="1" si="32"/>
        <v>105.01089999999999</v>
      </c>
      <c r="Y23" s="13">
        <v>0</v>
      </c>
      <c r="Z23" s="1">
        <f t="shared" ca="1" si="28"/>
        <v>1.9</v>
      </c>
      <c r="AA23" s="1">
        <f t="shared" ca="1" si="29"/>
        <v>0</v>
      </c>
      <c r="AB23" s="1">
        <f t="shared" ca="1" si="30"/>
        <v>0</v>
      </c>
      <c r="AC23" s="1">
        <f t="shared" ca="1" si="31"/>
        <v>0</v>
      </c>
      <c r="AD23" s="613">
        <v>0</v>
      </c>
      <c r="AE23" s="615"/>
      <c r="AF23" s="613"/>
      <c r="AG23" s="613"/>
      <c r="AH23" s="616"/>
      <c r="AI23" s="613"/>
    </row>
    <row r="24" spans="2:80" s="2" customFormat="1" x14ac:dyDescent="0.2">
      <c r="C24" s="2" t="str">
        <f t="shared" si="25"/>
        <v/>
      </c>
      <c r="D24" s="1">
        <f t="shared" ca="1" si="15"/>
        <v>0</v>
      </c>
      <c r="E24" s="1">
        <f t="shared" ca="1" si="15"/>
        <v>0</v>
      </c>
      <c r="F24" s="1">
        <f t="shared" ca="1" si="15"/>
        <v>0</v>
      </c>
      <c r="G24" s="1">
        <f t="shared" ca="1" si="15"/>
        <v>0</v>
      </c>
      <c r="H24" s="1">
        <f t="shared" ca="1" si="16"/>
        <v>0</v>
      </c>
      <c r="I24" s="1">
        <f t="shared" ca="1" si="16"/>
        <v>0</v>
      </c>
      <c r="J24" s="13">
        <f t="shared" ca="1" si="16"/>
        <v>0</v>
      </c>
      <c r="K24" s="1">
        <f ca="1">IF(Einstellungen!$G$9,J11,$AT11)</f>
        <v>0</v>
      </c>
      <c r="L24" s="694">
        <f ca="1">K24*$F$64+(AU11+$H$65)*$F$65*Einstellungen!$G$14+AT11*$F$66*Einstellungen!$G$19+AX11*$F$67</f>
        <v>1E-3</v>
      </c>
      <c r="M24" s="14">
        <f t="shared" ca="1" si="26"/>
        <v>5</v>
      </c>
      <c r="N24" s="14">
        <f t="array" aca="1" ref="N24" ca="1">IF($AI$15,SUM(($K$17:$K$25&gt;=K24)/COUNTIF($K$17:$K$25,$K$17:$K$25)),SUM(($L$17:$L$25&gt;=L24)/COUNTIF($L$17:$L$25,$L$17:$L$25)))</f>
        <v>5.0000000000000009</v>
      </c>
      <c r="O24" s="6" t="str">
        <f t="shared" ca="1" si="17"/>
        <v/>
      </c>
      <c r="P24" s="4" t="str">
        <f t="shared" ca="1" si="18"/>
        <v/>
      </c>
      <c r="Q24" s="4" t="str">
        <f t="shared" ca="1" si="19"/>
        <v/>
      </c>
      <c r="R24" s="4" t="str">
        <f t="shared" ca="1" si="20"/>
        <v/>
      </c>
      <c r="S24" s="4" t="str">
        <f t="shared" ca="1" si="21"/>
        <v/>
      </c>
      <c r="T24" s="4" t="str">
        <f t="shared" ca="1" si="22"/>
        <v/>
      </c>
      <c r="U24" s="4" t="str">
        <f t="shared" ca="1" si="23"/>
        <v/>
      </c>
      <c r="V24" s="55" t="str">
        <f t="shared" ca="1" si="24"/>
        <v/>
      </c>
      <c r="W24" s="62">
        <f t="shared" ca="1" si="27"/>
        <v>500000</v>
      </c>
      <c r="X24" s="22">
        <f t="shared" ca="1" si="32"/>
        <v>105.01089999999999</v>
      </c>
      <c r="Y24" s="13">
        <v>0</v>
      </c>
      <c r="Z24" s="1">
        <f t="shared" ca="1" si="28"/>
        <v>1.9</v>
      </c>
      <c r="AA24" s="1">
        <f t="shared" ca="1" si="29"/>
        <v>0</v>
      </c>
      <c r="AB24" s="1">
        <f t="shared" ca="1" si="30"/>
        <v>0</v>
      </c>
      <c r="AC24" s="1">
        <f t="shared" ca="1" si="31"/>
        <v>0</v>
      </c>
      <c r="AD24" s="613">
        <v>0</v>
      </c>
      <c r="AE24" s="615"/>
      <c r="AF24" s="613"/>
      <c r="AG24" s="613"/>
      <c r="AH24" s="616"/>
      <c r="AI24" s="613"/>
    </row>
    <row r="25" spans="2:80" s="2" customFormat="1" ht="12.75" thickBot="1" x14ac:dyDescent="0.25">
      <c r="C25" s="2" t="str">
        <f t="shared" si="25"/>
        <v/>
      </c>
      <c r="D25" s="1">
        <f t="shared" ca="1" si="15"/>
        <v>0</v>
      </c>
      <c r="E25" s="1">
        <f t="shared" ca="1" si="15"/>
        <v>0</v>
      </c>
      <c r="F25" s="1">
        <f t="shared" ca="1" si="15"/>
        <v>0</v>
      </c>
      <c r="G25" s="1">
        <f t="shared" ca="1" si="15"/>
        <v>0</v>
      </c>
      <c r="H25" s="1">
        <f t="shared" ca="1" si="16"/>
        <v>0</v>
      </c>
      <c r="I25" s="1">
        <f t="shared" ca="1" si="16"/>
        <v>0</v>
      </c>
      <c r="J25" s="13">
        <f t="shared" ca="1" si="16"/>
        <v>0</v>
      </c>
      <c r="K25" s="1">
        <f ca="1">IF(Einstellungen!$G$9,J12,$AT12)</f>
        <v>0</v>
      </c>
      <c r="L25" s="694">
        <f ca="1">K25*$F$64+(AU12+$H$65)*$F$65*Einstellungen!$G$14+AT12*$F$66*Einstellungen!$G$19+AX12*$F$67</f>
        <v>1E-3</v>
      </c>
      <c r="M25" s="14">
        <f t="shared" ca="1" si="26"/>
        <v>5</v>
      </c>
      <c r="N25" s="14">
        <f t="array" aca="1" ref="N25" ca="1">IF($AI$15,SUM(($K$17:$K$25&gt;=K25)/COUNTIF($K$17:$K$25,$K$17:$K$25)),SUM(($L$17:$L$25&gt;=L25)/COUNTIF($L$17:$L$25,$L$17:$L$25)))</f>
        <v>5.0000000000000009</v>
      </c>
      <c r="O25" s="56" t="str">
        <f t="shared" ca="1" si="17"/>
        <v/>
      </c>
      <c r="P25" s="57" t="str">
        <f t="shared" ca="1" si="18"/>
        <v/>
      </c>
      <c r="Q25" s="57" t="str">
        <f t="shared" ca="1" si="19"/>
        <v/>
      </c>
      <c r="R25" s="57" t="str">
        <f t="shared" ca="1" si="20"/>
        <v/>
      </c>
      <c r="S25" s="57" t="str">
        <f t="shared" ca="1" si="21"/>
        <v/>
      </c>
      <c r="T25" s="57" t="str">
        <f t="shared" ca="1" si="22"/>
        <v/>
      </c>
      <c r="U25" s="57" t="str">
        <f t="shared" ca="1" si="23"/>
        <v/>
      </c>
      <c r="V25" s="58" t="str">
        <f t="shared" ca="1" si="24"/>
        <v/>
      </c>
      <c r="W25" s="62">
        <f t="shared" ca="1" si="27"/>
        <v>500000</v>
      </c>
      <c r="X25" s="23">
        <f t="shared" ca="1" si="32"/>
        <v>105.01089999999999</v>
      </c>
      <c r="Y25" s="13">
        <v>0</v>
      </c>
      <c r="Z25" s="1">
        <f t="shared" ca="1" si="28"/>
        <v>1.9</v>
      </c>
      <c r="AA25" s="1">
        <f t="shared" ca="1" si="29"/>
        <v>0</v>
      </c>
      <c r="AB25" s="1">
        <f t="shared" ca="1" si="30"/>
        <v>0</v>
      </c>
      <c r="AC25" s="1">
        <f t="shared" ca="1" si="31"/>
        <v>0</v>
      </c>
      <c r="AD25" s="613">
        <v>0</v>
      </c>
      <c r="AE25" s="615"/>
      <c r="AF25" s="613"/>
      <c r="AG25" s="613"/>
      <c r="AH25" s="616"/>
      <c r="AI25" s="613"/>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596" t="s">
        <v>384</v>
      </c>
      <c r="E29" s="985">
        <v>1</v>
      </c>
      <c r="F29" s="982"/>
      <c r="G29" s="982"/>
      <c r="H29" s="982"/>
      <c r="I29" s="982"/>
      <c r="J29" s="982"/>
      <c r="K29" s="982"/>
      <c r="L29" s="984"/>
      <c r="M29" s="981">
        <v>2</v>
      </c>
      <c r="N29" s="982"/>
      <c r="O29" s="982"/>
      <c r="P29" s="982"/>
      <c r="Q29" s="982"/>
      <c r="R29" s="982"/>
      <c r="S29" s="982"/>
      <c r="T29" s="984"/>
      <c r="U29" s="981">
        <v>3</v>
      </c>
      <c r="V29" s="982"/>
      <c r="W29" s="982"/>
      <c r="X29" s="982"/>
      <c r="Y29" s="982"/>
      <c r="Z29" s="982"/>
      <c r="AA29" s="982"/>
      <c r="AB29" s="984"/>
      <c r="AC29" s="981">
        <v>4</v>
      </c>
      <c r="AD29" s="982"/>
      <c r="AE29" s="982"/>
      <c r="AF29" s="982"/>
      <c r="AG29" s="982"/>
      <c r="AH29" s="982"/>
      <c r="AI29" s="982"/>
      <c r="AJ29" s="984"/>
      <c r="AK29" s="981">
        <v>5</v>
      </c>
      <c r="AL29" s="982"/>
      <c r="AM29" s="982"/>
      <c r="AN29" s="982"/>
      <c r="AO29" s="982"/>
      <c r="AP29" s="982"/>
      <c r="AQ29" s="982"/>
      <c r="AR29" s="984"/>
      <c r="AS29" s="981">
        <v>6</v>
      </c>
      <c r="AT29" s="982"/>
      <c r="AU29" s="982"/>
      <c r="AV29" s="982"/>
      <c r="AW29" s="982"/>
      <c r="AX29" s="982"/>
      <c r="AY29" s="982"/>
      <c r="AZ29" s="984"/>
      <c r="BA29" s="981">
        <v>7</v>
      </c>
      <c r="BB29" s="982"/>
      <c r="BC29" s="982"/>
      <c r="BD29" s="982"/>
      <c r="BE29" s="982"/>
      <c r="BF29" s="982"/>
      <c r="BG29" s="982"/>
      <c r="BH29" s="984"/>
      <c r="BI29" s="981">
        <v>8</v>
      </c>
      <c r="BJ29" s="982"/>
      <c r="BK29" s="982"/>
      <c r="BL29" s="982"/>
      <c r="BM29" s="982"/>
      <c r="BN29" s="982"/>
      <c r="BO29" s="982"/>
      <c r="BP29" s="983"/>
      <c r="BQ29" s="13"/>
      <c r="BR29" s="5" t="s">
        <v>94</v>
      </c>
      <c r="BS29" s="2" t="str">
        <f ca="1">$F$4</f>
        <v>VFB Essenheim</v>
      </c>
      <c r="BT29" s="2" t="str">
        <f ca="1">$F$5</f>
        <v>FC Grönlingen</v>
      </c>
      <c r="BU29" s="2" t="str">
        <f ca="1">$F$6</f>
        <v>1. FC Riedwald</v>
      </c>
      <c r="BV29" s="2" t="str">
        <f ca="1">$F$7</f>
        <v>SSV Wildbach</v>
      </c>
      <c r="BW29" s="2" t="str">
        <f>$F$8</f>
        <v/>
      </c>
      <c r="BX29" s="2" t="str">
        <f>$F$9</f>
        <v/>
      </c>
      <c r="BY29" s="2" t="str">
        <f>$F$10</f>
        <v/>
      </c>
      <c r="BZ29" s="2" t="str">
        <f>$F$11</f>
        <v/>
      </c>
      <c r="CA29" s="2" t="str">
        <f>$F$12</f>
        <v/>
      </c>
      <c r="CB29" s="51"/>
    </row>
    <row r="30" spans="2:80" s="2" customFormat="1" x14ac:dyDescent="0.2">
      <c r="C30" s="2" t="str">
        <f ca="1">$Q64</f>
        <v>VFB Essenheim</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3">F4</f>
        <v>VFB Essenheim</v>
      </c>
      <c r="BS30" s="7"/>
      <c r="BT30" s="8">
        <f t="shared" ref="BT30:CA32" ca="1" si="34">SUMIFS($AH$64:$AH$135,$V$64:$V$135,$BR30,$W$64:$W$135,BT$29)+SUMIFS($AI$64:$AI$135,$W$64:$W$135,$BR30,$V$64:$V$135,BT$29)</f>
        <v>50</v>
      </c>
      <c r="BU30" s="8">
        <f t="shared" ca="1" si="34"/>
        <v>44</v>
      </c>
      <c r="BV30" s="8">
        <f t="shared" ca="1" si="34"/>
        <v>50</v>
      </c>
      <c r="BW30" s="8">
        <f t="shared" ca="1" si="34"/>
        <v>0</v>
      </c>
      <c r="BX30" s="8">
        <f t="shared" ca="1" si="34"/>
        <v>0</v>
      </c>
      <c r="BY30" s="8">
        <f t="shared" ca="1" si="34"/>
        <v>0</v>
      </c>
      <c r="BZ30" s="8">
        <f t="shared" ca="1" si="34"/>
        <v>0</v>
      </c>
      <c r="CA30" s="8">
        <f t="shared" ca="1" si="34"/>
        <v>0</v>
      </c>
      <c r="CB30" s="4"/>
    </row>
    <row r="31" spans="2:80" s="2" customFormat="1" x14ac:dyDescent="0.2">
      <c r="C31" s="2" t="str">
        <f t="shared" ref="C31:C38" ca="1" si="35">$Q65</f>
        <v>FC Grönlingen</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3"/>
        <v>FC Grönlingen</v>
      </c>
      <c r="BS31" s="9">
        <f t="shared" ref="BS31:BU38" ca="1" si="36">SUMIFS($AH$64:$AH$135,$V$64:$V$135,$BR31,$W$64:$W$135,BS$29)+SUMIFS($AI$64:$AI$135,$W$64:$W$135,$BR31,$V$64:$V$135,BS$29)</f>
        <v>39</v>
      </c>
      <c r="BT31" s="7"/>
      <c r="BU31" s="8">
        <f t="shared" ca="1" si="34"/>
        <v>50</v>
      </c>
      <c r="BV31" s="8">
        <f t="shared" ca="1" si="34"/>
        <v>47</v>
      </c>
      <c r="BW31" s="8">
        <f t="shared" ca="1" si="34"/>
        <v>0</v>
      </c>
      <c r="BX31" s="8">
        <f t="shared" ca="1" si="34"/>
        <v>0</v>
      </c>
      <c r="BY31" s="8">
        <f t="shared" ca="1" si="34"/>
        <v>0</v>
      </c>
      <c r="BZ31" s="8">
        <f t="shared" ca="1" si="34"/>
        <v>0</v>
      </c>
      <c r="CA31" s="8">
        <f t="shared" ca="1" si="34"/>
        <v>0</v>
      </c>
      <c r="CB31" s="4"/>
    </row>
    <row r="32" spans="2:80" s="2" customFormat="1" x14ac:dyDescent="0.2">
      <c r="C32" s="2" t="str">
        <f t="shared" ca="1" si="35"/>
        <v>1. FC Riedwald</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3"/>
        <v>1. FC Riedwald</v>
      </c>
      <c r="BS32" s="9">
        <f t="shared" ca="1" si="36"/>
        <v>37</v>
      </c>
      <c r="BT32" s="9">
        <f t="shared" ca="1" si="36"/>
        <v>44</v>
      </c>
      <c r="BU32" s="7"/>
      <c r="BV32" s="8">
        <f t="shared" ca="1" si="34"/>
        <v>39</v>
      </c>
      <c r="BW32" s="8">
        <f t="shared" ca="1" si="34"/>
        <v>0</v>
      </c>
      <c r="BX32" s="8">
        <f t="shared" ca="1" si="34"/>
        <v>0</v>
      </c>
      <c r="BY32" s="8">
        <f t="shared" ca="1" si="34"/>
        <v>0</v>
      </c>
      <c r="BZ32" s="8">
        <f t="shared" ca="1" si="34"/>
        <v>0</v>
      </c>
      <c r="CA32" s="8">
        <f t="shared" ca="1" si="34"/>
        <v>0</v>
      </c>
      <c r="CB32" s="4"/>
    </row>
    <row r="33" spans="2:80" s="2" customFormat="1" x14ac:dyDescent="0.2">
      <c r="C33" s="2" t="str">
        <f t="shared" ca="1" si="35"/>
        <v>SSV Wildbach</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3"/>
        <v>SSV Wildbach</v>
      </c>
      <c r="BS33" s="9">
        <f t="shared" ca="1" si="36"/>
        <v>37</v>
      </c>
      <c r="BT33" s="9">
        <f t="shared" ca="1" si="36"/>
        <v>45</v>
      </c>
      <c r="BU33" s="9">
        <f t="shared" ca="1" si="36"/>
        <v>48</v>
      </c>
      <c r="BV33" s="7"/>
      <c r="BW33" s="8">
        <f ca="1">SUMIFS($AH$64:$AH$135,$V$64:$V$135,$BR33,$W$64:$W$135,BW$29)+SUMIFS($AI$64:$AI$135,$W$64:$W$135,$BR33,$V$64:$V$135,BW$29)</f>
        <v>0</v>
      </c>
      <c r="BX33" s="8">
        <f ca="1">SUMIFS($AH$64:$AH$135,$V$64:$V$135,$BR33,$W$64:$W$135,BX$29)+SUMIFS($AI$64:$AI$135,$W$64:$W$135,$BR33,$V$64:$V$135,BX$29)</f>
        <v>0</v>
      </c>
      <c r="BY33" s="8">
        <f ca="1">SUMIFS($AH$64:$AH$135,$V$64:$V$135,$BR33,$W$64:$W$135,BY$29)+SUMIFS($AI$64:$AI$135,$W$64:$W$135,$BR33,$V$64:$V$135,BY$29)</f>
        <v>0</v>
      </c>
      <c r="BZ33" s="8">
        <f ca="1">SUMIFS($AH$64:$AH$135,$V$64:$V$135,$BR33,$W$64:$W$135,BZ$29)+SUMIFS($AI$64:$AI$135,$W$64:$W$135,$BR33,$V$64:$V$135,BZ$29)</f>
        <v>0</v>
      </c>
      <c r="CA33" s="8">
        <f ca="1">SUMIFS($AH$64:$AH$135,$V$64:$V$135,$BR33,$W$64:$W$135,CA$29)+SUMIFS($AI$64:$AI$135,$W$64:$W$135,$BR33,$V$64:$V$135,CA$29)</f>
        <v>0</v>
      </c>
      <c r="CB33" s="4"/>
    </row>
    <row r="34" spans="2:80" s="2" customFormat="1" x14ac:dyDescent="0.2">
      <c r="C34" s="2" t="str">
        <f t="shared" si="35"/>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3"/>
        <v/>
      </c>
      <c r="BS34" s="9">
        <f t="shared" ca="1" si="36"/>
        <v>0</v>
      </c>
      <c r="BT34" s="9">
        <f t="shared" ca="1" si="36"/>
        <v>0</v>
      </c>
      <c r="BU34" s="9">
        <f t="shared" ca="1" si="36"/>
        <v>0</v>
      </c>
      <c r="BV34" s="9">
        <f ca="1">SUMIFS($AH$64:$AH$135,$V$64:$V$135,$BR34,$W$64:$W$135,BV$29)+SUMIFS($AI$64:$AI$135,$W$64:$W$135,$BR34,$V$64:$V$135,BV$29)</f>
        <v>0</v>
      </c>
      <c r="BW34" s="7"/>
      <c r="BX34" s="8">
        <f ca="1">SUMIFS($AH$64:$AH$135,$V$64:$V$135,$BR34,$W$64:$W$135,BX$29)+SUMIFS($AI$64:$AI$135,$W$64:$W$135,$BR34,$V$64:$V$135,BX$29)</f>
        <v>0</v>
      </c>
      <c r="BY34" s="8">
        <f ca="1">SUMIFS($AH$64:$AH$135,$V$64:$V$135,$BR34,$W$64:$W$135,BY$29)+SUMIFS($AI$64:$AI$135,$W$64:$W$135,$BR34,$V$64:$V$135,BY$29)</f>
        <v>0</v>
      </c>
      <c r="BZ34" s="8">
        <f ca="1">SUMIFS($AH$64:$AH$135,$V$64:$V$135,$BR34,$W$64:$W$135,BZ$29)+SUMIFS($AI$64:$AI$135,$W$64:$W$135,$BR34,$V$64:$V$135,BZ$29)</f>
        <v>0</v>
      </c>
      <c r="CA34" s="8">
        <f ca="1">SUMIFS($AH$64:$AH$135,$V$64:$V$135,$BR34,$W$64:$W$135,CA$29)+SUMIFS($AI$64:$AI$135,$W$64:$W$135,$BR34,$V$64:$V$135,CA$29)</f>
        <v>0</v>
      </c>
      <c r="CB34" s="4"/>
    </row>
    <row r="35" spans="2:80" s="2" customFormat="1" x14ac:dyDescent="0.2">
      <c r="C35" s="2" t="str">
        <f t="shared" si="35"/>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3"/>
        <v/>
      </c>
      <c r="BS35" s="9">
        <f t="shared" ca="1" si="36"/>
        <v>0</v>
      </c>
      <c r="BT35" s="9">
        <f t="shared" ca="1" si="36"/>
        <v>0</v>
      </c>
      <c r="BU35" s="9">
        <f t="shared" ca="1" si="36"/>
        <v>0</v>
      </c>
      <c r="BV35" s="9">
        <f ca="1">SUMIFS($AH$64:$AH$135,$V$64:$V$135,$BR35,$W$64:$W$135,BV$29)+SUMIFS($AI$64:$AI$135,$W$64:$W$135,$BR35,$V$64:$V$135,BV$29)</f>
        <v>0</v>
      </c>
      <c r="BW35" s="9">
        <f ca="1">SUMIFS($AH$64:$AH$135,$V$64:$V$135,$BR35,$W$64:$W$135,BW$29)+SUMIFS($AI$64:$AI$135,$W$64:$W$135,$BR35,$V$64:$V$135,BW$29)</f>
        <v>0</v>
      </c>
      <c r="BX35" s="7"/>
      <c r="BY35" s="8">
        <f ca="1">SUMIFS($AH$64:$AH$135,$V$64:$V$135,$BR35,$W$64:$W$135,BY$29)+SUMIFS($AI$64:$AI$135,$W$64:$W$135,$BR35,$V$64:$V$135,BY$29)</f>
        <v>0</v>
      </c>
      <c r="BZ35" s="8">
        <f ca="1">SUMIFS($AH$64:$AH$135,$V$64:$V$135,$BR35,$W$64:$W$135,BZ$29)+SUMIFS($AI$64:$AI$135,$W$64:$W$135,$BR35,$V$64:$V$135,BZ$29)</f>
        <v>0</v>
      </c>
      <c r="CA35" s="8">
        <f ca="1">SUMIFS($AH$64:$AH$135,$V$64:$V$135,$BR35,$W$64:$W$135,CA$29)+SUMIFS($AI$64:$AI$135,$W$64:$W$135,$BR35,$V$64:$V$135,CA$29)</f>
        <v>0</v>
      </c>
      <c r="CB35" s="4"/>
    </row>
    <row r="36" spans="2:80" s="2" customFormat="1" x14ac:dyDescent="0.2">
      <c r="C36" s="2" t="str">
        <f t="shared" si="35"/>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3"/>
        <v/>
      </c>
      <c r="BS36" s="9">
        <f t="shared" ca="1" si="36"/>
        <v>0</v>
      </c>
      <c r="BT36" s="9">
        <f t="shared" ca="1" si="36"/>
        <v>0</v>
      </c>
      <c r="BU36" s="9">
        <f t="shared" ca="1" si="36"/>
        <v>0</v>
      </c>
      <c r="BV36" s="9">
        <f ca="1">SUMIFS($AH$64:$AH$135,$V$64:$V$135,$BR36,$W$64:$W$135,BV$29)+SUMIFS($AI$64:$AI$135,$W$64:$W$135,$BR36,$V$64:$V$135,BV$29)</f>
        <v>0</v>
      </c>
      <c r="BW36" s="9">
        <f ca="1">SUMIFS($AH$64:$AH$135,$V$64:$V$135,$BR36,$W$64:$W$135,BW$29)+SUMIFS($AI$64:$AI$135,$W$64:$W$135,$BR36,$V$64:$V$135,BW$29)</f>
        <v>0</v>
      </c>
      <c r="BX36" s="9">
        <f ca="1">SUMIFS($AH$64:$AH$135,$V$64:$V$135,$BR36,$W$64:$W$135,BX$29)+SUMIFS($AI$64:$AI$135,$W$64:$W$135,$BR36,$V$64:$V$135,BX$29)</f>
        <v>0</v>
      </c>
      <c r="BY36" s="7"/>
      <c r="BZ36" s="8">
        <f ca="1">SUMIFS($AH$64:$AH$135,$V$64:$V$135,$BR36,$W$64:$W$135,BZ$29)+SUMIFS($AI$64:$AI$135,$W$64:$W$135,$BR36,$V$64:$V$135,BZ$29)</f>
        <v>0</v>
      </c>
      <c r="CA36" s="8">
        <f ca="1">SUMIFS($AH$64:$AH$135,$V$64:$V$135,$BR36,$W$64:$W$135,CA$29)+SUMIFS($AI$64:$AI$135,$W$64:$W$135,$BR36,$V$64:$V$135,CA$29)</f>
        <v>0</v>
      </c>
      <c r="CB36" s="4"/>
    </row>
    <row r="37" spans="2:80" s="2" customFormat="1" x14ac:dyDescent="0.2">
      <c r="C37" s="2" t="str">
        <f t="shared" si="35"/>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3"/>
        <v/>
      </c>
      <c r="BS37" s="9">
        <f t="shared" ca="1" si="36"/>
        <v>0</v>
      </c>
      <c r="BT37" s="9">
        <f t="shared" ca="1" si="36"/>
        <v>0</v>
      </c>
      <c r="BU37" s="9">
        <f t="shared" ca="1" si="36"/>
        <v>0</v>
      </c>
      <c r="BV37" s="9">
        <f ca="1">SUMIFS($AH$64:$AH$135,$V$64:$V$135,$BR37,$W$64:$W$135,BV$29)+SUMIFS($AI$64:$AI$135,$W$64:$W$135,$BR37,$V$64:$V$135,BV$29)</f>
        <v>0</v>
      </c>
      <c r="BW37" s="9">
        <f ca="1">SUMIFS($AH$64:$AH$135,$V$64:$V$135,$BR37,$W$64:$W$135,BW$29)+SUMIFS($AI$64:$AI$135,$W$64:$W$135,$BR37,$V$64:$V$135,BW$29)</f>
        <v>0</v>
      </c>
      <c r="BX37" s="9">
        <f ca="1">SUMIFS($AH$64:$AH$135,$V$64:$V$135,$BR37,$W$64:$W$135,BX$29)+SUMIFS($AI$64:$AI$135,$W$64:$W$135,$BR37,$V$64:$V$135,BX$29)</f>
        <v>0</v>
      </c>
      <c r="BY37" s="9">
        <f ca="1">SUMIFS($AH$64:$AH$135,$V$64:$V$135,$BR37,$W$64:$W$135,BY$29)+SUMIFS($AI$64:$AI$135,$W$64:$W$135,$BR37,$V$64:$V$135,BY$29)</f>
        <v>0</v>
      </c>
      <c r="BZ37" s="7"/>
      <c r="CA37" s="8">
        <f ca="1">SUMIFS($AH$64:$AH$135,$V$64:$V$135,$BR37,$W$64:$W$135,CA$29)+SUMIFS($AI$64:$AI$135,$W$64:$W$135,$BR37,$V$64:$V$135,CA$29)</f>
        <v>0</v>
      </c>
      <c r="CB37" s="4"/>
    </row>
    <row r="38" spans="2:80" s="2" customFormat="1" x14ac:dyDescent="0.2">
      <c r="C38" s="2" t="str">
        <f t="shared" si="35"/>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3"/>
        <v/>
      </c>
      <c r="BS38" s="9">
        <f t="shared" ca="1" si="36"/>
        <v>0</v>
      </c>
      <c r="BT38" s="9">
        <f t="shared" ca="1" si="36"/>
        <v>0</v>
      </c>
      <c r="BU38" s="9">
        <f t="shared" ca="1" si="36"/>
        <v>0</v>
      </c>
      <c r="BV38" s="9">
        <f ca="1">SUMIFS($AH$64:$AH$135,$V$64:$V$135,$BR38,$W$64:$W$135,BV$29)+SUMIFS($AI$64:$AI$135,$W$64:$W$135,$BR38,$V$64:$V$135,BV$29)</f>
        <v>0</v>
      </c>
      <c r="BW38" s="9">
        <f ca="1">SUMIFS($AH$64:$AH$135,$V$64:$V$135,$BR38,$W$64:$W$135,BW$29)+SUMIFS($AI$64:$AI$135,$W$64:$W$135,$BR38,$V$64:$V$135,BW$29)</f>
        <v>0</v>
      </c>
      <c r="BX38" s="9">
        <f ca="1">SUMIFS($AH$64:$AH$135,$V$64:$V$135,$BR38,$W$64:$W$135,BX$29)+SUMIFS($AI$64:$AI$135,$W$64:$W$135,$BR38,$V$64:$V$135,BX$29)</f>
        <v>0</v>
      </c>
      <c r="BY38" s="9">
        <f ca="1">SUMIFS($AH$64:$AH$135,$V$64:$V$135,$BR38,$W$64:$W$135,BY$29)+SUMIFS($AI$64:$AI$135,$W$64:$W$135,$BR38,$V$64:$V$135,BY$29)</f>
        <v>0</v>
      </c>
      <c r="BZ38" s="9">
        <f ca="1">SUMIFS($AH$64:$AH$135,$V$64:$V$135,$BR38,$W$64:$W$135,BZ$29)+SUMIFS($AI$64:$AI$135,$W$64:$W$135,$BR38,$V$64:$V$135,BZ$29)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102</v>
      </c>
      <c r="BS40" s="2" t="str">
        <f ca="1">$F$4</f>
        <v>VFB Essenheim</v>
      </c>
      <c r="BT40" s="2" t="str">
        <f ca="1">$F$5</f>
        <v>FC Grönlingen</v>
      </c>
      <c r="BU40" s="2" t="str">
        <f ca="1">$F$6</f>
        <v>1. FC Riedwald</v>
      </c>
      <c r="BV40" s="2" t="str">
        <f ca="1">$F$7</f>
        <v>SSV Wildbach</v>
      </c>
      <c r="BW40" s="2" t="str">
        <f>$F$8</f>
        <v/>
      </c>
      <c r="BX40" s="2" t="str">
        <f>$F$9</f>
        <v/>
      </c>
      <c r="BY40" s="2" t="str">
        <f>$F$10</f>
        <v/>
      </c>
      <c r="BZ40" s="2" t="str">
        <f>$F$11</f>
        <v/>
      </c>
      <c r="CA40" s="2" t="str">
        <f>$F$12</f>
        <v/>
      </c>
      <c r="CB40" s="4"/>
    </row>
    <row r="41" spans="2:80" s="2" customFormat="1" x14ac:dyDescent="0.2">
      <c r="B41" s="596"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7">F4</f>
        <v>VFB Essenheim</v>
      </c>
      <c r="BS41" s="7"/>
      <c r="BT41" s="8">
        <f ca="1">BT30-BS31</f>
        <v>11</v>
      </c>
      <c r="BU41" s="8">
        <f ca="1">BU30-BS32</f>
        <v>7</v>
      </c>
      <c r="BV41" s="8">
        <f ca="1">BV30-BS33</f>
        <v>13</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7"/>
        <v>FC Grönlingen</v>
      </c>
      <c r="BS42" s="9">
        <f ca="1">IF(BT41="","",-1*BT41)</f>
        <v>-11</v>
      </c>
      <c r="BT42" s="7"/>
      <c r="BU42" s="8">
        <f ca="1">BU31-BT32</f>
        <v>6</v>
      </c>
      <c r="BV42" s="8">
        <f ca="1">BV31-BT33</f>
        <v>2</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7"/>
        <v>1. FC Riedwald</v>
      </c>
      <c r="BS43" s="9">
        <f ca="1">IF(BU41="","",-1*BU41)</f>
        <v>-7</v>
      </c>
      <c r="BT43" s="9">
        <f ca="1">IF(BU42="","",-1*BU42)</f>
        <v>-6</v>
      </c>
      <c r="BU43" s="7"/>
      <c r="BV43" s="8">
        <f ca="1">BV32-BU33</f>
        <v>-9</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37"/>
        <v>SSV Wildbach</v>
      </c>
      <c r="BS44" s="9">
        <f ca="1">IF(BV41="","",-1*BV41)</f>
        <v>-13</v>
      </c>
      <c r="BT44" s="9">
        <f ca="1">IF(BV42="","",-1*BV42)</f>
        <v>-2</v>
      </c>
      <c r="BU44" s="9">
        <f ca="1">IF(BV43="","",-1*BV43)</f>
        <v>9</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7"/>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7"/>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7"/>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7"/>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7"/>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38">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95</v>
      </c>
      <c r="BS51" s="2" t="str">
        <f ca="1">$F$4</f>
        <v>VFB Essenheim</v>
      </c>
      <c r="BT51" s="2" t="str">
        <f ca="1">$F$5</f>
        <v>FC Grönlingen</v>
      </c>
      <c r="BU51" s="2" t="str">
        <f ca="1">$F$6</f>
        <v>1. FC Riedwald</v>
      </c>
      <c r="BV51" s="2" t="str">
        <f ca="1">$F$7</f>
        <v>SSV Wildbach</v>
      </c>
      <c r="BW51" s="2" t="str">
        <f>$F$8</f>
        <v/>
      </c>
      <c r="BX51" s="2" t="str">
        <f>$F$9</f>
        <v/>
      </c>
      <c r="BY51" s="2" t="str">
        <f>$F$10</f>
        <v/>
      </c>
      <c r="BZ51" s="2" t="str">
        <f>$F$11</f>
        <v/>
      </c>
      <c r="CA51" s="2" t="str">
        <f>$F$12</f>
        <v/>
      </c>
      <c r="CB51" s="4"/>
    </row>
    <row r="52" spans="2:80" s="2" customFormat="1" x14ac:dyDescent="0.2">
      <c r="B52" s="596" t="s">
        <v>101</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39">F4</f>
        <v>VFB Essenheim</v>
      </c>
      <c r="BS52" s="7"/>
      <c r="BT52" s="8">
        <f t="shared" ref="BT52:CA54" ca="1" si="40">SUMIFS($AJ$64:$AJ$135,$V$64:$V$135,$BR52,$W$64:$W$135,BT$51)+SUMIFS($AK$64:$AK$135,$W$64:$W$135,$BR52,$V$64:$V$135,BT$51)</f>
        <v>2</v>
      </c>
      <c r="BU52" s="8">
        <f t="shared" ca="1" si="40"/>
        <v>1</v>
      </c>
      <c r="BV52" s="8">
        <f t="shared" ca="1" si="40"/>
        <v>2</v>
      </c>
      <c r="BW52" s="8">
        <f t="shared" ca="1" si="40"/>
        <v>0</v>
      </c>
      <c r="BX52" s="8">
        <f t="shared" ca="1" si="40"/>
        <v>0</v>
      </c>
      <c r="BY52" s="8">
        <f t="shared" ca="1" si="40"/>
        <v>0</v>
      </c>
      <c r="BZ52" s="8">
        <f t="shared" ca="1" si="40"/>
        <v>0</v>
      </c>
      <c r="CA52" s="8">
        <f t="shared" ca="1" si="40"/>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39"/>
        <v>FC Grönlingen</v>
      </c>
      <c r="BS53" s="9">
        <f t="shared" ref="BS53:BU60" ca="1" si="41">SUMIFS($AJ$64:$AJ$135,$V$64:$V$135,$BR53,$W$64:$W$135,BS$51)+SUMIFS($AK$64:$AK$135,$W$64:$W$135,$BR53,$V$64:$V$135,BS$51)</f>
        <v>0</v>
      </c>
      <c r="BT53" s="7"/>
      <c r="BU53" s="8">
        <f t="shared" ca="1" si="40"/>
        <v>2</v>
      </c>
      <c r="BV53" s="8">
        <f t="shared" ca="1" si="40"/>
        <v>1</v>
      </c>
      <c r="BW53" s="8">
        <f t="shared" ca="1" si="40"/>
        <v>0</v>
      </c>
      <c r="BX53" s="8">
        <f t="shared" ca="1" si="40"/>
        <v>0</v>
      </c>
      <c r="BY53" s="8">
        <f t="shared" ca="1" si="40"/>
        <v>0</v>
      </c>
      <c r="BZ53" s="8">
        <f t="shared" ca="1" si="40"/>
        <v>0</v>
      </c>
      <c r="CA53" s="8">
        <f t="shared" ca="1" si="40"/>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39"/>
        <v>1. FC Riedwald</v>
      </c>
      <c r="BS54" s="9">
        <f t="shared" ca="1" si="41"/>
        <v>1</v>
      </c>
      <c r="BT54" s="9">
        <f t="shared" ca="1" si="41"/>
        <v>0</v>
      </c>
      <c r="BU54" s="7"/>
      <c r="BV54" s="8">
        <f t="shared" ca="1" si="40"/>
        <v>1</v>
      </c>
      <c r="BW54" s="8">
        <f t="shared" ca="1" si="40"/>
        <v>0</v>
      </c>
      <c r="BX54" s="8">
        <f t="shared" ca="1" si="40"/>
        <v>0</v>
      </c>
      <c r="BY54" s="8">
        <f t="shared" ca="1" si="40"/>
        <v>0</v>
      </c>
      <c r="BZ54" s="8">
        <f t="shared" ca="1" si="40"/>
        <v>0</v>
      </c>
      <c r="CA54" s="8">
        <f t="shared" ca="1" si="40"/>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39"/>
        <v>SSV Wildbach</v>
      </c>
      <c r="BS55" s="9">
        <f t="shared" ca="1" si="41"/>
        <v>0</v>
      </c>
      <c r="BT55" s="9">
        <f t="shared" ca="1" si="41"/>
        <v>1</v>
      </c>
      <c r="BU55" s="9">
        <f t="shared" ca="1" si="41"/>
        <v>1</v>
      </c>
      <c r="BV55" s="7"/>
      <c r="BW55" s="8">
        <f ca="1">SUMIFS($AJ$64:$AJ$135,$V$64:$V$135,$BR55,$W$64:$W$135,BW$51)+SUMIFS($AK$64:$AK$135,$W$64:$W$135,$BR55,$V$64:$V$135,BW$51)</f>
        <v>0</v>
      </c>
      <c r="BX55" s="8">
        <f ca="1">SUMIFS($AJ$64:$AJ$135,$V$64:$V$135,$BR55,$W$64:$W$135,BX$51)+SUMIFS($AK$64:$AK$135,$W$64:$W$135,$BR55,$V$64:$V$135,BX$51)</f>
        <v>0</v>
      </c>
      <c r="BY55" s="8">
        <f ca="1">SUMIFS($AJ$64:$AJ$135,$V$64:$V$135,$BR55,$W$64:$W$135,BY$51)+SUMIFS($AK$64:$AK$135,$W$64:$W$135,$BR55,$V$64:$V$135,BY$51)</f>
        <v>0</v>
      </c>
      <c r="BZ55" s="8">
        <f ca="1">SUMIFS($AJ$64:$AJ$135,$V$64:$V$135,$BR55,$W$64:$W$135,BZ$51)+SUMIFS($AK$64:$AK$135,$W$64:$W$135,$BR55,$V$64:$V$135,BZ$51)</f>
        <v>0</v>
      </c>
      <c r="CA55" s="8">
        <f ca="1">SUMIFS($AJ$64:$AJ$135,$V$64:$V$135,$BR55,$W$64:$W$135,CA$51)+SUMIFS($AK$64:$AK$135,$W$64:$W$135,$BR55,$V$64:$V$135,CA$51)</f>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39"/>
        <v/>
      </c>
      <c r="BS56" s="9">
        <f t="shared" ca="1" si="41"/>
        <v>0</v>
      </c>
      <c r="BT56" s="9">
        <f t="shared" ca="1" si="41"/>
        <v>0</v>
      </c>
      <c r="BU56" s="9">
        <f t="shared" ca="1" si="41"/>
        <v>0</v>
      </c>
      <c r="BV56" s="9">
        <f ca="1">SUMIFS($AJ$64:$AJ$135,$V$64:$V$135,$BR56,$W$64:$W$135,BV$51)+SUMIFS($AK$64:$AK$135,$W$64:$W$135,$BR56,$V$64:$V$135,BV$51)</f>
        <v>0</v>
      </c>
      <c r="BW56" s="7"/>
      <c r="BX56" s="8">
        <f ca="1">SUMIFS($AJ$64:$AJ$135,$V$64:$V$135,$BR56,$W$64:$W$135,BX$51)+SUMIFS($AK$64:$AK$135,$W$64:$W$135,$BR56,$V$64:$V$135,BX$51)</f>
        <v>0</v>
      </c>
      <c r="BY56" s="8">
        <f ca="1">SUMIFS($AJ$64:$AJ$135,$V$64:$V$135,$BR56,$W$64:$W$135,BY$51)+SUMIFS($AK$64:$AK$135,$W$64:$W$135,$BR56,$V$64:$V$135,BY$51)</f>
        <v>0</v>
      </c>
      <c r="BZ56" s="8">
        <f ca="1">SUMIFS($AJ$64:$AJ$135,$V$64:$V$135,$BR56,$W$64:$W$135,BZ$51)+SUMIFS($AK$64:$AK$135,$W$64:$W$135,$BR56,$V$64:$V$135,BZ$51)</f>
        <v>0</v>
      </c>
      <c r="CA56" s="8">
        <f ca="1">SUMIFS($AJ$64:$AJ$135,$V$64:$V$135,$BR56,$W$64:$W$135,CA$51)+SUMIFS($AK$64:$AK$135,$W$64:$W$135,$BR56,$V$64:$V$135,CA$51)</f>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39"/>
        <v/>
      </c>
      <c r="BS57" s="9">
        <f t="shared" ca="1" si="41"/>
        <v>0</v>
      </c>
      <c r="BT57" s="9">
        <f t="shared" ca="1" si="41"/>
        <v>0</v>
      </c>
      <c r="BU57" s="9">
        <f t="shared" ca="1" si="41"/>
        <v>0</v>
      </c>
      <c r="BV57" s="9">
        <f ca="1">SUMIFS($AJ$64:$AJ$135,$V$64:$V$135,$BR57,$W$64:$W$135,BV$51)+SUMIFS($AK$64:$AK$135,$W$64:$W$135,$BR57,$V$64:$V$135,BV$51)</f>
        <v>0</v>
      </c>
      <c r="BW57" s="9">
        <f ca="1">SUMIFS($AJ$64:$AJ$135,$V$64:$V$135,$BR57,$W$64:$W$135,BW$51)+SUMIFS($AK$64:$AK$135,$W$64:$W$135,$BR57,$V$64:$V$135,BW$51)</f>
        <v>0</v>
      </c>
      <c r="BX57" s="7"/>
      <c r="BY57" s="8">
        <f ca="1">SUMIFS($AJ$64:$AJ$135,$V$64:$V$135,$BR57,$W$64:$W$135,BY$51)+SUMIFS($AK$64:$AK$135,$W$64:$W$135,$BR57,$V$64:$V$135,BY$51)</f>
        <v>0</v>
      </c>
      <c r="BZ57" s="8">
        <f ca="1">SUMIFS($AJ$64:$AJ$135,$V$64:$V$135,$BR57,$W$64:$W$135,BZ$51)+SUMIFS($AK$64:$AK$135,$W$64:$W$135,$BR57,$V$64:$V$135,BZ$51)</f>
        <v>0</v>
      </c>
      <c r="CA57" s="8">
        <f ca="1">SUMIFS($AJ$64:$AJ$135,$V$64:$V$135,$BR57,$W$64:$W$135,CA$51)+SUMIFS($AK$64:$AK$135,$W$64:$W$135,$BR57,$V$64:$V$135,CA$51)</f>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39"/>
        <v/>
      </c>
      <c r="BS58" s="9">
        <f t="shared" ca="1" si="41"/>
        <v>0</v>
      </c>
      <c r="BT58" s="9">
        <f t="shared" ca="1" si="41"/>
        <v>0</v>
      </c>
      <c r="BU58" s="9">
        <f t="shared" ca="1" si="41"/>
        <v>0</v>
      </c>
      <c r="BV58" s="9">
        <f ca="1">SUMIFS($AJ$64:$AJ$135,$V$64:$V$135,$BR58,$W$64:$W$135,BV$51)+SUMIFS($AK$64:$AK$135,$W$64:$W$135,$BR58,$V$64:$V$135,BV$51)</f>
        <v>0</v>
      </c>
      <c r="BW58" s="9">
        <f ca="1">SUMIFS($AJ$64:$AJ$135,$V$64:$V$135,$BR58,$W$64:$W$135,BW$51)+SUMIFS($AK$64:$AK$135,$W$64:$W$135,$BR58,$V$64:$V$135,BW$51)</f>
        <v>0</v>
      </c>
      <c r="BX58" s="9">
        <f ca="1">SUMIFS($AJ$64:$AJ$135,$V$64:$V$135,$BR58,$W$64:$W$135,BX$51)+SUMIFS($AK$64:$AK$135,$W$64:$W$135,$BR58,$V$64:$V$135,BX$51)</f>
        <v>0</v>
      </c>
      <c r="BY58" s="7"/>
      <c r="BZ58" s="8">
        <f ca="1">SUMIFS($AJ$64:$AJ$135,$V$64:$V$135,$BR58,$W$64:$W$135,BZ$51)+SUMIFS($AK$64:$AK$135,$W$64:$W$135,$BR58,$V$64:$V$135,BZ$51)</f>
        <v>0</v>
      </c>
      <c r="CA58" s="8">
        <f ca="1">SUMIFS($AJ$64:$AJ$135,$V$64:$V$135,$BR58,$W$64:$W$135,CA$51)+SUMIFS($AK$64:$AK$135,$W$64:$W$135,$BR58,$V$64:$V$135,CA$51)</f>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39"/>
        <v/>
      </c>
      <c r="BS59" s="9">
        <f t="shared" ca="1" si="41"/>
        <v>0</v>
      </c>
      <c r="BT59" s="9">
        <f t="shared" ca="1" si="41"/>
        <v>0</v>
      </c>
      <c r="BU59" s="9">
        <f t="shared" ca="1" si="41"/>
        <v>0</v>
      </c>
      <c r="BV59" s="9">
        <f ca="1">SUMIFS($AJ$64:$AJ$135,$V$64:$V$135,$BR59,$W$64:$W$135,BV$51)+SUMIFS($AK$64:$AK$135,$W$64:$W$135,$BR59,$V$64:$V$135,BV$51)</f>
        <v>0</v>
      </c>
      <c r="BW59" s="9">
        <f ca="1">SUMIFS($AJ$64:$AJ$135,$V$64:$V$135,$BR59,$W$64:$W$135,BW$51)+SUMIFS($AK$64:$AK$135,$W$64:$W$135,$BR59,$V$64:$V$135,BW$51)</f>
        <v>0</v>
      </c>
      <c r="BX59" s="9">
        <f ca="1">SUMIFS($AJ$64:$AJ$135,$V$64:$V$135,$BR59,$W$64:$W$135,BX$51)+SUMIFS($AK$64:$AK$135,$W$64:$W$135,$BR59,$V$64:$V$135,BX$51)</f>
        <v>0</v>
      </c>
      <c r="BY59" s="9">
        <f ca="1">SUMIFS($AJ$64:$AJ$135,$V$64:$V$135,$BR59,$W$64:$W$135,BY$51)+SUMIFS($AK$64:$AK$135,$W$64:$W$135,$BR59,$V$64:$V$135,BY$51)</f>
        <v>0</v>
      </c>
      <c r="BZ59" s="7"/>
      <c r="CA59" s="8">
        <f ca="1">SUMIFS($AJ$64:$AJ$135,$V$64:$V$135,$BR59,$W$64:$W$135,CA$51)+SUMIFS($AK$64:$AK$135,$W$64:$W$135,$BR59,$V$64:$V$135,CA$51)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39"/>
        <v/>
      </c>
      <c r="BS60" s="9">
        <f t="shared" ca="1" si="41"/>
        <v>0</v>
      </c>
      <c r="BT60" s="9">
        <f t="shared" ca="1" si="41"/>
        <v>0</v>
      </c>
      <c r="BU60" s="9">
        <f t="shared" ca="1" si="41"/>
        <v>0</v>
      </c>
      <c r="BV60" s="9">
        <f ca="1">SUMIFS($AJ$64:$AJ$135,$V$64:$V$135,$BR60,$W$64:$W$135,BV$51)+SUMIFS($AK$64:$AK$135,$W$64:$W$135,$BR60,$V$64:$V$135,BV$51)</f>
        <v>0</v>
      </c>
      <c r="BW60" s="9">
        <f ca="1">SUMIFS($AJ$64:$AJ$135,$V$64:$V$135,$BR60,$W$64:$W$135,BW$51)+SUMIFS($AK$64:$AK$135,$W$64:$W$135,$BR60,$V$64:$V$135,BW$51)</f>
        <v>0</v>
      </c>
      <c r="BX60" s="9">
        <f ca="1">SUMIFS($AJ$64:$AJ$135,$V$64:$V$135,$BR60,$W$64:$W$135,BX$51)+SUMIFS($AK$64:$AK$135,$W$64:$W$135,$BR60,$V$64:$V$135,BX$51)</f>
        <v>0</v>
      </c>
      <c r="BY60" s="9">
        <f ca="1">SUMIFS($AJ$64:$AJ$135,$V$64:$V$135,$BR60,$W$64:$W$135,BY$51)+SUMIFS($AK$64:$AK$135,$W$64:$W$135,$BR60,$V$64:$V$135,BY$51)</f>
        <v>0</v>
      </c>
      <c r="BZ60" s="9">
        <f ca="1">SUMIFS($AJ$64:$AJ$135,$V$64:$V$135,$BR60,$W$64:$W$135,BZ$51)+SUMIFS($AK$64:$AK$135,$W$64:$W$135,$BR60,$V$64:$V$135,BZ$51)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73" t="s">
        <v>167</v>
      </c>
      <c r="X63" s="979" t="s">
        <v>374</v>
      </c>
      <c r="Y63" s="979"/>
      <c r="Z63" s="68" t="s">
        <v>153</v>
      </c>
      <c r="AA63" s="68" t="s">
        <v>16</v>
      </c>
      <c r="AB63" s="68" t="s">
        <v>372</v>
      </c>
      <c r="AC63" s="592" t="s">
        <v>370</v>
      </c>
      <c r="AD63" s="980" t="s">
        <v>376</v>
      </c>
      <c r="AE63" s="980"/>
      <c r="AF63" s="980" t="s">
        <v>378</v>
      </c>
      <c r="AG63" s="980"/>
      <c r="AH63" s="978" t="s">
        <v>372</v>
      </c>
      <c r="AI63" s="978"/>
      <c r="AJ63" s="978" t="s">
        <v>370</v>
      </c>
      <c r="AK63" s="978"/>
      <c r="AL63" s="978" t="s">
        <v>380</v>
      </c>
      <c r="AM63" s="978"/>
      <c r="AN63" s="4"/>
      <c r="AO63" s="4"/>
      <c r="AP63" s="4"/>
      <c r="AQ63" s="4"/>
      <c r="AR63" s="4"/>
    </row>
    <row r="64" spans="2:80" s="2" customFormat="1" ht="14.25" thickTop="1" thickBot="1" x14ac:dyDescent="0.25">
      <c r="F64" s="685">
        <v>1000000</v>
      </c>
      <c r="G64" s="686" t="s">
        <v>441</v>
      </c>
      <c r="H64" s="687"/>
      <c r="I64" s="687"/>
      <c r="P64" s="44" t="s">
        <v>7</v>
      </c>
      <c r="Q64" s="59" t="str">
        <f ca="1">IF('Endrunde 4'!$AS19="","",'Endrunde 4'!$AS19)</f>
        <v>VFB Essenheim</v>
      </c>
      <c r="U64" s="64" t="s">
        <v>7</v>
      </c>
      <c r="V64" s="39" t="str">
        <f ca="1">'Endrunde 4'!$I12</f>
        <v/>
      </c>
      <c r="W64" s="32" t="str">
        <f ca="1">'Endrunde 4'!$K12</f>
        <v/>
      </c>
      <c r="X64" s="32" t="str">
        <f ca="1">IF(AND($AA64=1,'Endrunde 4'!$L12&lt;&gt;"",'Endrunde 4'!$N12&lt;&gt;"",ABS('Endrunde 4'!$L12-'Endrunde 4'!$N12)&gt;1),'Endrunde 4'!$L12,"")</f>
        <v/>
      </c>
      <c r="Y64" s="33" t="str">
        <f ca="1">IF(AND($AA64=1,'Endrunde 4'!$L12&lt;&gt;"",'Endrunde 4'!$N12&lt;&gt;"",ABS('Endrunde 4'!$L12-'Endrunde 4'!$N12)&gt;1),'Endrunde 4'!$N12,"")</f>
        <v/>
      </c>
      <c r="Z64" s="31" t="str">
        <f ca="1">V64&amp;W64</f>
        <v/>
      </c>
      <c r="AA64" s="32">
        <f ca="1">IF(AND(V64&lt;&gt;"",W64&lt;&gt;"",V64&lt;&gt;W64,'Endrunde 4'!$U12&lt;&gt;"",'Endrunde 4'!$W12&lt;&gt;""),1,0)</f>
        <v>0</v>
      </c>
      <c r="AB64" s="138" t="str">
        <f ca="1">IF(AA64&gt;0,AH64&amp;Sprache!$E$108&amp;AI64,"")</f>
        <v/>
      </c>
      <c r="AC64" s="35" t="str">
        <f ca="1">IF(AA64&gt;0,AJ64&amp;Sprache!$E$108&amp;AK64,"")</f>
        <v/>
      </c>
      <c r="AD64" s="39" t="str">
        <f ca="1">IF(AND($AA64=1,'Endrunde 4'!$O12&lt;&gt;"",'Endrunde 4'!$Q12&lt;&gt;"",ABS('Endrunde 4'!$O12-'Endrunde 4'!$Q12)&gt;1),'Endrunde 4'!$O12,"")</f>
        <v/>
      </c>
      <c r="AE64" s="33" t="str">
        <f ca="1">IF(AND($AA64=1,'Endrunde 4'!$O12&lt;&gt;"",'Endrunde 4'!$Q12&lt;&gt;"",ABS('Endrunde 4'!$O12-'Endrunde 4'!$Q12)&gt;1),'Endrunde 4'!$Q12,"")</f>
        <v/>
      </c>
      <c r="AF64" s="39" t="str">
        <f ca="1">IF(AND($AA64=1,'Endrunde 4'!$R12&lt;&gt;"",'Endrunde 4'!$T12&lt;&gt;"",ABS('Endrunde 4'!$R12-'Endrunde 4'!$T12)&gt;1),'Endrunde 4'!$R12,"")</f>
        <v/>
      </c>
      <c r="AG64" s="33" t="str">
        <f ca="1">IF(AND($AA64=1,'Endrunde 4'!$R12&lt;&gt;"",'Endrunde 4'!$T12&lt;&gt;"",ABS('Endrunde 4'!$R12-'Endrunde 4'!$T12)&gt;1),'Endrunde 4'!$T12,"")</f>
        <v/>
      </c>
      <c r="AH64" s="39" t="str">
        <f ca="1">IF(AA64&gt;0,SUM(X64,AD64,AF64),"")</f>
        <v/>
      </c>
      <c r="AI64" s="33" t="str">
        <f ca="1">IF(AA64&gt;0,SUM(Y64,AE64,AG64),"")</f>
        <v/>
      </c>
      <c r="AJ64" s="39">
        <f ca="1">IF('Endrunde 4'!$U12="",0,'Endrunde 4'!$U12)</f>
        <v>0</v>
      </c>
      <c r="AK64" s="33">
        <f ca="1">IF('Endrunde 4'!$W12="",0,'Endrunde 4'!$W12)</f>
        <v>0</v>
      </c>
      <c r="AL64" s="32" t="str">
        <f ca="1">IF($AA64=0,"",IF($AJ64&gt;$AK64,Einstellungen!$C$4,IF($AJ64=$AK64,1,0)))</f>
        <v/>
      </c>
      <c r="AM64" s="33" t="str">
        <f ca="1">IF($AA64=0,"",IF($AJ64&lt;$AK64,Einstellungen!$C$4,IF($AJ64=$AK64,1,0)))</f>
        <v/>
      </c>
      <c r="AN64" s="4"/>
      <c r="AO64" s="4"/>
      <c r="AP64" s="4"/>
      <c r="AQ64" s="4"/>
      <c r="AR64" s="4"/>
    </row>
    <row r="65" spans="2:43" s="2" customFormat="1" ht="13.5" thickBot="1" x14ac:dyDescent="0.25">
      <c r="F65" s="688">
        <v>1000</v>
      </c>
      <c r="G65" s="689" t="s">
        <v>442</v>
      </c>
      <c r="H65" s="690">
        <v>500</v>
      </c>
      <c r="I65" s="691" t="s">
        <v>443</v>
      </c>
      <c r="P65" s="45" t="s">
        <v>8</v>
      </c>
      <c r="Q65" s="60" t="str">
        <f ca="1">IF('Endrunde 4'!$AS20="","",'Endrunde 4'!$AS20)</f>
        <v>FC Grönlingen</v>
      </c>
      <c r="U65" s="65" t="s">
        <v>8</v>
      </c>
      <c r="V65" s="40" t="str">
        <f ca="1">'Endrunde 4'!$I13</f>
        <v/>
      </c>
      <c r="W65" s="13" t="str">
        <f ca="1">'Endrunde 4'!$K13</f>
        <v/>
      </c>
      <c r="X65" s="13" t="str">
        <f ca="1">IF(AND($AA65=1,'Endrunde 4'!$L13&lt;&gt;"",'Endrunde 4'!$N13&lt;&gt;"",ABS('Endrunde 4'!$L13-'Endrunde 4'!$N13)&gt;1),'Endrunde 4'!$L13,"")</f>
        <v/>
      </c>
      <c r="Y65" s="35" t="str">
        <f ca="1">IF(AND($AA65=1,'Endrunde 4'!$L13&lt;&gt;"",'Endrunde 4'!$N13&lt;&gt;"",ABS('Endrunde 4'!$L13-'Endrunde 4'!$N13)&gt;1),'Endrunde 4'!$N13,"")</f>
        <v/>
      </c>
      <c r="Z65" s="34" t="str">
        <f t="shared" ref="Z65:Z88" ca="1" si="42">V65&amp;W65</f>
        <v/>
      </c>
      <c r="AA65" s="13">
        <f ca="1">IF(AND(V65&lt;&gt;"",W65&lt;&gt;"",V65&lt;&gt;W65,'Endrunde 4'!$U13&lt;&gt;"",'Endrunde 4'!$W13&lt;&gt;""),1,0)</f>
        <v>0</v>
      </c>
      <c r="AB65" s="13" t="str">
        <f ca="1">IF(AA65&gt;0,AH65&amp;Sprache!$E$108&amp;AI65,"")</f>
        <v/>
      </c>
      <c r="AC65" s="35" t="str">
        <f ca="1">IF(AA65&gt;0,AJ65&amp;Sprache!$E$108&amp;AK65,"")</f>
        <v/>
      </c>
      <c r="AD65" s="40" t="str">
        <f ca="1">IF(AND($AA65=1,'Endrunde 4'!$O13&lt;&gt;"",'Endrunde 4'!$Q13&lt;&gt;"",ABS('Endrunde 4'!$O13-'Endrunde 4'!$Q13)&gt;1),'Endrunde 4'!$O13,"")</f>
        <v/>
      </c>
      <c r="AE65" s="35" t="str">
        <f ca="1">IF(AND($AA65=1,'Endrunde 4'!$O13&lt;&gt;"",'Endrunde 4'!$Q13&lt;&gt;"",ABS('Endrunde 4'!$O13-'Endrunde 4'!$Q13)&gt;1),'Endrunde 4'!$Q13,"")</f>
        <v/>
      </c>
      <c r="AF65" s="40" t="str">
        <f ca="1">IF(AND($AA65=1,'Endrunde 4'!$R13&lt;&gt;"",'Endrunde 4'!$T13&lt;&gt;"",ABS('Endrunde 4'!$R13-'Endrunde 4'!$T13)&gt;1),'Endrunde 4'!$R13,"")</f>
        <v/>
      </c>
      <c r="AG65" s="35" t="str">
        <f ca="1">IF(AND($AA65=1,'Endrunde 4'!$R13&lt;&gt;"",'Endrunde 4'!$T13&lt;&gt;"",ABS('Endrunde 4'!$R13-'Endrunde 4'!$T13)&gt;1),'Endrunde 4'!$T13,"")</f>
        <v/>
      </c>
      <c r="AH65" s="40" t="str">
        <f t="shared" ref="AH65:AH88" ca="1" si="43">IF(AA65&gt;0,SUM(X65,AD65,AF65),"")</f>
        <v/>
      </c>
      <c r="AI65" s="35" t="str">
        <f t="shared" ref="AI65:AI88" ca="1" si="44">IF(AA65&gt;0,SUM(Y65,AE65,AG65),"")</f>
        <v/>
      </c>
      <c r="AJ65" s="40">
        <f ca="1">IF('Endrunde 4'!$U13="",0,'Endrunde 4'!$U13)</f>
        <v>0</v>
      </c>
      <c r="AK65" s="35">
        <f ca="1">IF('Endrunde 4'!$W13="",0,'Endrunde 4'!$W13)</f>
        <v>0</v>
      </c>
      <c r="AL65" s="13" t="str">
        <f ca="1">IF($AA65=0,"",IF($AJ65&gt;$AK65,Einstellungen!$C$4,IF($AJ65=$AK65,1,0)))</f>
        <v/>
      </c>
      <c r="AM65" s="35" t="str">
        <f ca="1">IF($AA65=0,"",IF($AJ65&lt;$AK65,Einstellungen!$C$4,IF($AJ65=$AK65,1,0)))</f>
        <v/>
      </c>
      <c r="AN65" s="13"/>
      <c r="AO65" s="13"/>
      <c r="AP65" s="13"/>
      <c r="AQ65" s="13"/>
    </row>
    <row r="66" spans="2:43" s="2" customFormat="1" ht="12.75" x14ac:dyDescent="0.2">
      <c r="F66" s="688">
        <v>1</v>
      </c>
      <c r="G66" s="689" t="s">
        <v>444</v>
      </c>
      <c r="H66" s="687"/>
      <c r="I66" s="687"/>
      <c r="P66" s="45" t="s">
        <v>9</v>
      </c>
      <c r="Q66" s="60" t="str">
        <f ca="1">IF('Endrunde 4'!$AS21="","",'Endrunde 4'!$AS21)</f>
        <v>1. FC Riedwald</v>
      </c>
      <c r="U66" s="65" t="s">
        <v>9</v>
      </c>
      <c r="V66" s="40" t="str">
        <f ca="1">'Endrunde 4'!$I14</f>
        <v>FC Barcelona</v>
      </c>
      <c r="W66" s="13" t="str">
        <f ca="1">'Endrunde 4'!$K14</f>
        <v/>
      </c>
      <c r="X66" s="13" t="str">
        <f ca="1">IF(AND($AA66=1,'Endrunde 4'!$L14&lt;&gt;"",'Endrunde 4'!$N14&lt;&gt;"",ABS('Endrunde 4'!$L14-'Endrunde 4'!$N14)&gt;1),'Endrunde 4'!$L14,"")</f>
        <v/>
      </c>
      <c r="Y66" s="35" t="str">
        <f ca="1">IF(AND($AA66=1,'Endrunde 4'!$L14&lt;&gt;"",'Endrunde 4'!$N14&lt;&gt;"",ABS('Endrunde 4'!$L14-'Endrunde 4'!$N14)&gt;1),'Endrunde 4'!$N14,"")</f>
        <v/>
      </c>
      <c r="Z66" s="34" t="str">
        <f t="shared" ca="1" si="42"/>
        <v>FC Barcelona</v>
      </c>
      <c r="AA66" s="13">
        <f ca="1">IF(AND(V66&lt;&gt;"",W66&lt;&gt;"",V66&lt;&gt;W66,'Endrunde 4'!$U14&lt;&gt;"",'Endrunde 4'!$W14&lt;&gt;""),1,0)</f>
        <v>0</v>
      </c>
      <c r="AB66" s="13" t="str">
        <f ca="1">IF(AA66&gt;0,AH66&amp;Sprache!$E$108&amp;AI66,"")</f>
        <v/>
      </c>
      <c r="AC66" s="35" t="str">
        <f ca="1">IF(AA66&gt;0,AJ66&amp;Sprache!$E$108&amp;AK66,"")</f>
        <v/>
      </c>
      <c r="AD66" s="40" t="str">
        <f ca="1">IF(AND($AA66=1,'Endrunde 4'!$O14&lt;&gt;"",'Endrunde 4'!$Q14&lt;&gt;"",ABS('Endrunde 4'!$O14-'Endrunde 4'!$Q14)&gt;1),'Endrunde 4'!$O14,"")</f>
        <v/>
      </c>
      <c r="AE66" s="35" t="str">
        <f ca="1">IF(AND($AA66=1,'Endrunde 4'!$O14&lt;&gt;"",'Endrunde 4'!$Q14&lt;&gt;"",ABS('Endrunde 4'!$O14-'Endrunde 4'!$Q14)&gt;1),'Endrunde 4'!$Q14,"")</f>
        <v/>
      </c>
      <c r="AF66" s="40" t="str">
        <f ca="1">IF(AND($AA66=1,'Endrunde 4'!$R14&lt;&gt;"",'Endrunde 4'!$T14&lt;&gt;"",ABS('Endrunde 4'!$R14-'Endrunde 4'!$T14)&gt;1),'Endrunde 4'!$R14,"")</f>
        <v/>
      </c>
      <c r="AG66" s="35" t="str">
        <f ca="1">IF(AND($AA66=1,'Endrunde 4'!$R14&lt;&gt;"",'Endrunde 4'!$T14&lt;&gt;"",ABS('Endrunde 4'!$R14-'Endrunde 4'!$T14)&gt;1),'Endrunde 4'!$T14,"")</f>
        <v/>
      </c>
      <c r="AH66" s="40" t="str">
        <f t="shared" ca="1" si="43"/>
        <v/>
      </c>
      <c r="AI66" s="35" t="str">
        <f t="shared" ca="1" si="44"/>
        <v/>
      </c>
      <c r="AJ66" s="40">
        <f ca="1">IF('Endrunde 4'!$U14="",0,'Endrunde 4'!$U14)</f>
        <v>0</v>
      </c>
      <c r="AK66" s="35">
        <f ca="1">IF('Endrunde 4'!$W14="",0,'Endrunde 4'!$W14)</f>
        <v>0</v>
      </c>
      <c r="AL66" s="13" t="str">
        <f ca="1">IF($AA66=0,"",IF($AJ66&gt;$AK66,Einstellungen!$C$4,IF($AJ66=$AK66,1,0)))</f>
        <v/>
      </c>
      <c r="AM66" s="35" t="str">
        <f ca="1">IF($AA66=0,"",IF($AJ66&lt;$AK66,Einstellungen!$C$4,IF($AJ66=$AK66,1,0)))</f>
        <v/>
      </c>
      <c r="AN66" s="13"/>
      <c r="AO66" s="13"/>
      <c r="AP66" s="13"/>
      <c r="AQ66" s="13"/>
    </row>
    <row r="67" spans="2:43" s="2" customFormat="1" ht="12.75" thickBot="1" x14ac:dyDescent="0.25">
      <c r="F67" s="692">
        <v>1E-3</v>
      </c>
      <c r="G67" s="693" t="s">
        <v>445</v>
      </c>
      <c r="H67" s="687"/>
      <c r="I67" s="687"/>
      <c r="P67" s="45" t="s">
        <v>10</v>
      </c>
      <c r="Q67" s="60" t="str">
        <f ca="1">IF('Endrunde 4'!$AS22="","",'Endrunde 4'!$AS22)</f>
        <v>SSV Wildbach</v>
      </c>
      <c r="U67" s="65" t="s">
        <v>10</v>
      </c>
      <c r="V67" s="40" t="str">
        <f ca="1">'Endrunde 4'!$I15</f>
        <v>VFB Essenheim</v>
      </c>
      <c r="W67" s="13" t="str">
        <f ca="1">'Endrunde 4'!$K15</f>
        <v>SSV Wildbach</v>
      </c>
      <c r="X67" s="13">
        <f ca="1">IF(AND($AA67=1,'Endrunde 4'!$L15&lt;&gt;"",'Endrunde 4'!$N15&lt;&gt;"",ABS('Endrunde 4'!$L15-'Endrunde 4'!$N15)&gt;1),'Endrunde 4'!$L15,"")</f>
        <v>25</v>
      </c>
      <c r="Y67" s="35">
        <f ca="1">IF(AND($AA67=1,'Endrunde 4'!$L15&lt;&gt;"",'Endrunde 4'!$N15&lt;&gt;"",ABS('Endrunde 4'!$L15-'Endrunde 4'!$N15)&gt;1),'Endrunde 4'!$N15,"")</f>
        <v>20</v>
      </c>
      <c r="Z67" s="34" t="str">
        <f t="shared" ca="1" si="42"/>
        <v>VFB EssenheimSSV Wildbach</v>
      </c>
      <c r="AA67" s="13">
        <f ca="1">IF(AND(V67&lt;&gt;"",W67&lt;&gt;"",V67&lt;&gt;W67,'Endrunde 4'!$U15&lt;&gt;"",'Endrunde 4'!$W15&lt;&gt;""),1,0)</f>
        <v>1</v>
      </c>
      <c r="AB67" s="13" t="str">
        <f ca="1">IF(AA67&gt;0,AH67&amp;Sprache!$E$108&amp;AI67,"")</f>
        <v>50 : 37</v>
      </c>
      <c r="AC67" s="35" t="str">
        <f ca="1">IF(AA67&gt;0,AJ67&amp;Sprache!$E$108&amp;AK67,"")</f>
        <v>2 : 0</v>
      </c>
      <c r="AD67" s="40">
        <f ca="1">IF(AND($AA67=1,'Endrunde 4'!$O15&lt;&gt;"",'Endrunde 4'!$Q15&lt;&gt;"",ABS('Endrunde 4'!$O15-'Endrunde 4'!$Q15)&gt;1),'Endrunde 4'!$O15,"")</f>
        <v>25</v>
      </c>
      <c r="AE67" s="35">
        <f ca="1">IF(AND($AA67=1,'Endrunde 4'!$O15&lt;&gt;"",'Endrunde 4'!$Q15&lt;&gt;"",ABS('Endrunde 4'!$O15-'Endrunde 4'!$Q15)&gt;1),'Endrunde 4'!$Q15,"")</f>
        <v>17</v>
      </c>
      <c r="AF67" s="40" t="str">
        <f ca="1">IF(AND($AA67=1,'Endrunde 4'!$R15&lt;&gt;"",'Endrunde 4'!$T15&lt;&gt;"",ABS('Endrunde 4'!$R15-'Endrunde 4'!$T15)&gt;1),'Endrunde 4'!$R15,"")</f>
        <v/>
      </c>
      <c r="AG67" s="35" t="str">
        <f ca="1">IF(AND($AA67=1,'Endrunde 4'!$R15&lt;&gt;"",'Endrunde 4'!$T15&lt;&gt;"",ABS('Endrunde 4'!$R15-'Endrunde 4'!$T15)&gt;1),'Endrunde 4'!$T15,"")</f>
        <v/>
      </c>
      <c r="AH67" s="40">
        <f t="shared" ca="1" si="43"/>
        <v>50</v>
      </c>
      <c r="AI67" s="35">
        <f t="shared" ca="1" si="44"/>
        <v>37</v>
      </c>
      <c r="AJ67" s="40">
        <f ca="1">IF('Endrunde 4'!$U15="",0,'Endrunde 4'!$U15)</f>
        <v>2</v>
      </c>
      <c r="AK67" s="35">
        <f ca="1">IF('Endrunde 4'!$W15="",0,'Endrunde 4'!$W15)</f>
        <v>0</v>
      </c>
      <c r="AL67" s="13">
        <f ca="1">IF($AA67=0,"",IF($AJ67&gt;$AK67,Einstellungen!$C$4,IF($AJ67=$AK67,1,0)))</f>
        <v>2</v>
      </c>
      <c r="AM67" s="35">
        <f ca="1">IF($AA67=0,"",IF($AJ67&lt;$AK67,Einstellungen!$C$4,IF($AJ67=$AK67,1,0)))</f>
        <v>0</v>
      </c>
      <c r="AN67" s="13"/>
      <c r="AO67" s="13"/>
      <c r="AP67" s="13"/>
      <c r="AQ67" s="13"/>
    </row>
    <row r="68" spans="2:43" s="2" customFormat="1" x14ac:dyDescent="0.2">
      <c r="P68" s="45" t="s">
        <v>11</v>
      </c>
      <c r="Q68" s="60" t="str">
        <f>""</f>
        <v/>
      </c>
      <c r="U68" s="65" t="s">
        <v>11</v>
      </c>
      <c r="V68" s="40" t="str">
        <f ca="1">'Endrunde 4'!$I16</f>
        <v>Eintracht Frankfurt</v>
      </c>
      <c r="W68" s="13" t="str">
        <f ca="1">'Endrunde 4'!$K16</f>
        <v>Manchester City</v>
      </c>
      <c r="X68" s="13">
        <f ca="1">IF(AND($AA68=1,'Endrunde 4'!$L16&lt;&gt;"",'Endrunde 4'!$N16&lt;&gt;"",ABS('Endrunde 4'!$L16-'Endrunde 4'!$N16)&gt;1),'Endrunde 4'!$L16,"")</f>
        <v>19</v>
      </c>
      <c r="Y68" s="35">
        <f ca="1">IF(AND($AA68=1,'Endrunde 4'!$L16&lt;&gt;"",'Endrunde 4'!$N16&lt;&gt;"",ABS('Endrunde 4'!$L16-'Endrunde 4'!$N16)&gt;1),'Endrunde 4'!$N16,"")</f>
        <v>25</v>
      </c>
      <c r="Z68" s="34" t="str">
        <f t="shared" ca="1" si="42"/>
        <v>Eintracht FrankfurtManchester City</v>
      </c>
      <c r="AA68" s="13">
        <f ca="1">IF(AND(V68&lt;&gt;"",W68&lt;&gt;"",V68&lt;&gt;W68,'Endrunde 4'!$U16&lt;&gt;"",'Endrunde 4'!$W16&lt;&gt;""),1,0)</f>
        <v>1</v>
      </c>
      <c r="AB68" s="13" t="str">
        <f ca="1">IF(AA68&gt;0,AH68&amp;Sprache!$E$108&amp;AI68,"")</f>
        <v>35 : 50</v>
      </c>
      <c r="AC68" s="35" t="str">
        <f ca="1">IF(AA68&gt;0,AJ68&amp;Sprache!$E$108&amp;AK68,"")</f>
        <v>0 : 2</v>
      </c>
      <c r="AD68" s="40">
        <f ca="1">IF(AND($AA68=1,'Endrunde 4'!$O16&lt;&gt;"",'Endrunde 4'!$Q16&lt;&gt;"",ABS('Endrunde 4'!$O16-'Endrunde 4'!$Q16)&gt;1),'Endrunde 4'!$O16,"")</f>
        <v>16</v>
      </c>
      <c r="AE68" s="35">
        <f ca="1">IF(AND($AA68=1,'Endrunde 4'!$O16&lt;&gt;"",'Endrunde 4'!$Q16&lt;&gt;"",ABS('Endrunde 4'!$O16-'Endrunde 4'!$Q16)&gt;1),'Endrunde 4'!$Q16,"")</f>
        <v>25</v>
      </c>
      <c r="AF68" s="40" t="str">
        <f ca="1">IF(AND($AA68=1,'Endrunde 4'!$R16&lt;&gt;"",'Endrunde 4'!$T16&lt;&gt;"",ABS('Endrunde 4'!$R16-'Endrunde 4'!$T16)&gt;1),'Endrunde 4'!$R16,"")</f>
        <v/>
      </c>
      <c r="AG68" s="35" t="str">
        <f ca="1">IF(AND($AA68=1,'Endrunde 4'!$R16&lt;&gt;"",'Endrunde 4'!$T16&lt;&gt;"",ABS('Endrunde 4'!$R16-'Endrunde 4'!$T16)&gt;1),'Endrunde 4'!$T16,"")</f>
        <v/>
      </c>
      <c r="AH68" s="40">
        <f t="shared" ca="1" si="43"/>
        <v>35</v>
      </c>
      <c r="AI68" s="35">
        <f t="shared" ca="1" si="44"/>
        <v>50</v>
      </c>
      <c r="AJ68" s="40">
        <f ca="1">IF('Endrunde 4'!$U16="",0,'Endrunde 4'!$U16)</f>
        <v>0</v>
      </c>
      <c r="AK68" s="35">
        <f ca="1">IF('Endrunde 4'!$W16="",0,'Endrunde 4'!$W16)</f>
        <v>2</v>
      </c>
      <c r="AL68" s="13">
        <f ca="1">IF($AA68=0,"",IF($AJ68&gt;$AK68,Einstellungen!$C$4,IF($AJ68=$AK68,1,0)))</f>
        <v>0</v>
      </c>
      <c r="AM68" s="35">
        <f ca="1">IF($AA68=0,"",IF($AJ68&lt;$AK68,Einstellungen!$C$4,IF($AJ68=$AK68,1,0)))</f>
        <v>2</v>
      </c>
      <c r="AN68" s="13"/>
      <c r="AO68" s="13"/>
      <c r="AP68" s="13"/>
      <c r="AQ68" s="13"/>
    </row>
    <row r="69" spans="2:43" s="2" customFormat="1" x14ac:dyDescent="0.2">
      <c r="P69" s="45" t="s">
        <v>12</v>
      </c>
      <c r="Q69" s="60" t="str">
        <f>""</f>
        <v/>
      </c>
      <c r="U69" s="65" t="s">
        <v>12</v>
      </c>
      <c r="V69" s="40" t="str">
        <f ca="1">'Endrunde 4'!$I17</f>
        <v/>
      </c>
      <c r="W69" s="13" t="str">
        <f ca="1">'Endrunde 4'!$K17</f>
        <v/>
      </c>
      <c r="X69" s="13" t="str">
        <f ca="1">IF(AND($AA69=1,'Endrunde 4'!$L17&lt;&gt;"",'Endrunde 4'!$N17&lt;&gt;"",ABS('Endrunde 4'!$L17-'Endrunde 4'!$N17)&gt;1),'Endrunde 4'!$L17,"")</f>
        <v/>
      </c>
      <c r="Y69" s="35" t="str">
        <f ca="1">IF(AND($AA69=1,'Endrunde 4'!$L17&lt;&gt;"",'Endrunde 4'!$N17&lt;&gt;"",ABS('Endrunde 4'!$L17-'Endrunde 4'!$N17)&gt;1),'Endrunde 4'!$N17,"")</f>
        <v/>
      </c>
      <c r="Z69" s="34" t="str">
        <f t="shared" ca="1" si="42"/>
        <v/>
      </c>
      <c r="AA69" s="13">
        <f ca="1">IF(AND(V69&lt;&gt;"",W69&lt;&gt;"",V69&lt;&gt;W69,'Endrunde 4'!$U17&lt;&gt;"",'Endrunde 4'!$W17&lt;&gt;""),1,0)</f>
        <v>0</v>
      </c>
      <c r="AB69" s="13" t="str">
        <f ca="1">IF(AA69&gt;0,AH69&amp;Sprache!$E$108&amp;AI69,"")</f>
        <v/>
      </c>
      <c r="AC69" s="35" t="str">
        <f ca="1">IF(AA69&gt;0,AJ69&amp;Sprache!$E$108&amp;AK69,"")</f>
        <v/>
      </c>
      <c r="AD69" s="40" t="str">
        <f ca="1">IF(AND($AA69=1,'Endrunde 4'!$O17&lt;&gt;"",'Endrunde 4'!$Q17&lt;&gt;"",ABS('Endrunde 4'!$O17-'Endrunde 4'!$Q17)&gt;1),'Endrunde 4'!$O17,"")</f>
        <v/>
      </c>
      <c r="AE69" s="35" t="str">
        <f ca="1">IF(AND($AA69=1,'Endrunde 4'!$O17&lt;&gt;"",'Endrunde 4'!$Q17&lt;&gt;"",ABS('Endrunde 4'!$O17-'Endrunde 4'!$Q17)&gt;1),'Endrunde 4'!$Q17,"")</f>
        <v/>
      </c>
      <c r="AF69" s="40" t="str">
        <f ca="1">IF(AND($AA69=1,'Endrunde 4'!$R17&lt;&gt;"",'Endrunde 4'!$T17&lt;&gt;"",ABS('Endrunde 4'!$R17-'Endrunde 4'!$T17)&gt;1),'Endrunde 4'!$R17,"")</f>
        <v/>
      </c>
      <c r="AG69" s="35" t="str">
        <f ca="1">IF(AND($AA69=1,'Endrunde 4'!$R17&lt;&gt;"",'Endrunde 4'!$T17&lt;&gt;"",ABS('Endrunde 4'!$R17-'Endrunde 4'!$T17)&gt;1),'Endrunde 4'!$T17,"")</f>
        <v/>
      </c>
      <c r="AH69" s="40" t="str">
        <f t="shared" ca="1" si="43"/>
        <v/>
      </c>
      <c r="AI69" s="35" t="str">
        <f t="shared" ca="1" si="44"/>
        <v/>
      </c>
      <c r="AJ69" s="40">
        <f ca="1">IF('Endrunde 4'!$U17="",0,'Endrunde 4'!$U17)</f>
        <v>0</v>
      </c>
      <c r="AK69" s="35">
        <f ca="1">IF('Endrunde 4'!$W17="",0,'Endrunde 4'!$W17)</f>
        <v>0</v>
      </c>
      <c r="AL69" s="13" t="str">
        <f ca="1">IF($AA69=0,"",IF($AJ69&gt;$AK69,Einstellungen!$C$4,IF($AJ69=$AK69,1,0)))</f>
        <v/>
      </c>
      <c r="AM69" s="35" t="str">
        <f ca="1">IF($AA69=0,"",IF($AJ69&lt;$AK69,Einstellungen!$C$4,IF($AJ69=$AK69,1,0)))</f>
        <v/>
      </c>
      <c r="AN69" s="13"/>
      <c r="AO69" s="13"/>
      <c r="AP69" s="13"/>
      <c r="AQ69" s="13"/>
    </row>
    <row r="70" spans="2:43" s="2" customFormat="1" x14ac:dyDescent="0.2">
      <c r="P70" s="45" t="s">
        <v>17</v>
      </c>
      <c r="Q70" s="60" t="str">
        <f>""</f>
        <v/>
      </c>
      <c r="U70" s="65" t="s">
        <v>17</v>
      </c>
      <c r="V70" s="40" t="str">
        <f ca="1">'Endrunde 4'!$I18</f>
        <v>Inter Mailand</v>
      </c>
      <c r="W70" s="13" t="str">
        <f ca="1">'Endrunde 4'!$K18</f>
        <v/>
      </c>
      <c r="X70" s="13" t="str">
        <f ca="1">IF(AND($AA70=1,'Endrunde 4'!$L18&lt;&gt;"",'Endrunde 4'!$N18&lt;&gt;"",ABS('Endrunde 4'!$L18-'Endrunde 4'!$N18)&gt;1),'Endrunde 4'!$L18,"")</f>
        <v/>
      </c>
      <c r="Y70" s="35" t="str">
        <f ca="1">IF(AND($AA70=1,'Endrunde 4'!$L18&lt;&gt;"",'Endrunde 4'!$N18&lt;&gt;"",ABS('Endrunde 4'!$L18-'Endrunde 4'!$N18)&gt;1),'Endrunde 4'!$N18,"")</f>
        <v/>
      </c>
      <c r="Z70" s="34" t="str">
        <f t="shared" ca="1" si="42"/>
        <v>Inter Mailand</v>
      </c>
      <c r="AA70" s="13">
        <f ca="1">IF(AND(V70&lt;&gt;"",W70&lt;&gt;"",V70&lt;&gt;W70,'Endrunde 4'!$U18&lt;&gt;"",'Endrunde 4'!$W18&lt;&gt;""),1,0)</f>
        <v>0</v>
      </c>
      <c r="AB70" s="13" t="str">
        <f ca="1">IF(AA70&gt;0,AH70&amp;Sprache!$E$108&amp;AI70,"")</f>
        <v/>
      </c>
      <c r="AC70" s="35" t="str">
        <f ca="1">IF(AA70&gt;0,AJ70&amp;Sprache!$E$108&amp;AK70,"")</f>
        <v/>
      </c>
      <c r="AD70" s="40" t="str">
        <f ca="1">IF(AND($AA70=1,'Endrunde 4'!$O18&lt;&gt;"",'Endrunde 4'!$Q18&lt;&gt;"",ABS('Endrunde 4'!$O18-'Endrunde 4'!$Q18)&gt;1),'Endrunde 4'!$O18,"")</f>
        <v/>
      </c>
      <c r="AE70" s="35" t="str">
        <f ca="1">IF(AND($AA70=1,'Endrunde 4'!$O18&lt;&gt;"",'Endrunde 4'!$Q18&lt;&gt;"",ABS('Endrunde 4'!$O18-'Endrunde 4'!$Q18)&gt;1),'Endrunde 4'!$Q18,"")</f>
        <v/>
      </c>
      <c r="AF70" s="40" t="str">
        <f ca="1">IF(AND($AA70=1,'Endrunde 4'!$R18&lt;&gt;"",'Endrunde 4'!$T18&lt;&gt;"",ABS('Endrunde 4'!$R18-'Endrunde 4'!$T18)&gt;1),'Endrunde 4'!$R18,"")</f>
        <v/>
      </c>
      <c r="AG70" s="35" t="str">
        <f ca="1">IF(AND($AA70=1,'Endrunde 4'!$R18&lt;&gt;"",'Endrunde 4'!$T18&lt;&gt;"",ABS('Endrunde 4'!$R18-'Endrunde 4'!$T18)&gt;1),'Endrunde 4'!$T18,"")</f>
        <v/>
      </c>
      <c r="AH70" s="40" t="str">
        <f t="shared" ca="1" si="43"/>
        <v/>
      </c>
      <c r="AI70" s="35" t="str">
        <f t="shared" ca="1" si="44"/>
        <v/>
      </c>
      <c r="AJ70" s="40">
        <f ca="1">IF('Endrunde 4'!$U18="",0,'Endrunde 4'!$U18)</f>
        <v>0</v>
      </c>
      <c r="AK70" s="35">
        <f ca="1">IF('Endrunde 4'!$W18="",0,'Endrunde 4'!$W18)</f>
        <v>0</v>
      </c>
      <c r="AL70" s="13" t="str">
        <f ca="1">IF($AA70=0,"",IF($AJ70&gt;$AK70,Einstellungen!$C$4,IF($AJ70=$AK70,1,0)))</f>
        <v/>
      </c>
      <c r="AM70" s="35" t="str">
        <f ca="1">IF($AA70=0,"",IF($AJ70&lt;$AK70,Einstellungen!$C$4,IF($AJ70=$AK70,1,0)))</f>
        <v/>
      </c>
      <c r="AN70" s="4"/>
      <c r="AO70" s="13"/>
      <c r="AP70" s="13"/>
      <c r="AQ70" s="13"/>
    </row>
    <row r="71" spans="2:43" s="2" customFormat="1" x14ac:dyDescent="0.2">
      <c r="B71" s="4"/>
      <c r="C71" s="4"/>
      <c r="D71" s="4"/>
      <c r="E71" s="4"/>
      <c r="F71" s="4"/>
      <c r="G71" s="4"/>
      <c r="H71" s="4"/>
      <c r="I71" s="4"/>
      <c r="J71" s="4"/>
      <c r="K71" s="4"/>
      <c r="L71" s="4"/>
      <c r="M71" s="4"/>
      <c r="P71" s="45" t="s">
        <v>18</v>
      </c>
      <c r="Q71" s="60" t="str">
        <f>""</f>
        <v/>
      </c>
      <c r="U71" s="65" t="s">
        <v>18</v>
      </c>
      <c r="V71" s="40" t="str">
        <f ca="1">'Endrunde 4'!$I19</f>
        <v>FC Grönlingen</v>
      </c>
      <c r="W71" s="13" t="str">
        <f ca="1">'Endrunde 4'!$K19</f>
        <v>1. FC Riedwald</v>
      </c>
      <c r="X71" s="13">
        <f ca="1">IF(AND($AA71=1,'Endrunde 4'!$L19&lt;&gt;"",'Endrunde 4'!$N19&lt;&gt;"",ABS('Endrunde 4'!$L19-'Endrunde 4'!$N19)&gt;1),'Endrunde 4'!$L19,"")</f>
        <v>25</v>
      </c>
      <c r="Y71" s="35">
        <f ca="1">IF(AND($AA71=1,'Endrunde 4'!$L19&lt;&gt;"",'Endrunde 4'!$N19&lt;&gt;"",ABS('Endrunde 4'!$L19-'Endrunde 4'!$N19)&gt;1),'Endrunde 4'!$N19,"")</f>
        <v>23</v>
      </c>
      <c r="Z71" s="34" t="str">
        <f t="shared" ca="1" si="42"/>
        <v>FC Grönlingen1. FC Riedwald</v>
      </c>
      <c r="AA71" s="13">
        <f ca="1">IF(AND(V71&lt;&gt;"",W71&lt;&gt;"",V71&lt;&gt;W71,'Endrunde 4'!$U19&lt;&gt;"",'Endrunde 4'!$W19&lt;&gt;""),1,0)</f>
        <v>1</v>
      </c>
      <c r="AB71" s="13" t="str">
        <f ca="1">IF(AA71&gt;0,AH71&amp;Sprache!$E$108&amp;AI71,"")</f>
        <v>50 : 44</v>
      </c>
      <c r="AC71" s="35" t="str">
        <f ca="1">IF(AA71&gt;0,AJ71&amp;Sprache!$E$108&amp;AK71,"")</f>
        <v>2 : 0</v>
      </c>
      <c r="AD71" s="40">
        <f ca="1">IF(AND($AA71=1,'Endrunde 4'!$O19&lt;&gt;"",'Endrunde 4'!$Q19&lt;&gt;"",ABS('Endrunde 4'!$O19-'Endrunde 4'!$Q19)&gt;1),'Endrunde 4'!$O19,"")</f>
        <v>25</v>
      </c>
      <c r="AE71" s="35">
        <f ca="1">IF(AND($AA71=1,'Endrunde 4'!$O19&lt;&gt;"",'Endrunde 4'!$Q19&lt;&gt;"",ABS('Endrunde 4'!$O19-'Endrunde 4'!$Q19)&gt;1),'Endrunde 4'!$Q19,"")</f>
        <v>21</v>
      </c>
      <c r="AF71" s="40" t="str">
        <f ca="1">IF(AND($AA71=1,'Endrunde 4'!$R19&lt;&gt;"",'Endrunde 4'!$T19&lt;&gt;"",ABS('Endrunde 4'!$R19-'Endrunde 4'!$T19)&gt;1),'Endrunde 4'!$R19,"")</f>
        <v/>
      </c>
      <c r="AG71" s="35" t="str">
        <f ca="1">IF(AND($AA71=1,'Endrunde 4'!$R19&lt;&gt;"",'Endrunde 4'!$T19&lt;&gt;"",ABS('Endrunde 4'!$R19-'Endrunde 4'!$T19)&gt;1),'Endrunde 4'!$T19,"")</f>
        <v/>
      </c>
      <c r="AH71" s="40">
        <f t="shared" ca="1" si="43"/>
        <v>50</v>
      </c>
      <c r="AI71" s="35">
        <f t="shared" ca="1" si="44"/>
        <v>44</v>
      </c>
      <c r="AJ71" s="40">
        <f ca="1">IF('Endrunde 4'!$U19="",0,'Endrunde 4'!$U19)</f>
        <v>2</v>
      </c>
      <c r="AK71" s="35">
        <f ca="1">IF('Endrunde 4'!$W19="",0,'Endrunde 4'!$W19)</f>
        <v>0</v>
      </c>
      <c r="AL71" s="13">
        <f ca="1">IF($AA71=0,"",IF($AJ71&gt;$AK71,Einstellungen!$C$4,IF($AJ71=$AK71,1,0)))</f>
        <v>2</v>
      </c>
      <c r="AM71" s="35">
        <f ca="1">IF($AA71=0,"",IF($AJ71&lt;$AK71,Einstellungen!$C$4,IF($AJ71=$AK71,1,0)))</f>
        <v>0</v>
      </c>
      <c r="AN71" s="13"/>
      <c r="AO71" s="4"/>
      <c r="AP71" s="13"/>
      <c r="AQ71" s="13"/>
    </row>
    <row r="72" spans="2:43" s="2" customFormat="1" ht="12.75" thickBot="1" x14ac:dyDescent="0.25">
      <c r="B72" s="4"/>
      <c r="C72" s="4"/>
      <c r="D72" s="4"/>
      <c r="E72" s="4"/>
      <c r="F72" s="13"/>
      <c r="G72" s="13"/>
      <c r="H72" s="13"/>
      <c r="I72" s="13"/>
      <c r="J72" s="13"/>
      <c r="K72" s="13"/>
      <c r="L72" s="13"/>
      <c r="M72" s="13"/>
      <c r="P72" s="46" t="s">
        <v>19</v>
      </c>
      <c r="Q72" s="61" t="str">
        <f>""</f>
        <v/>
      </c>
      <c r="U72" s="65" t="s">
        <v>19</v>
      </c>
      <c r="V72" s="40" t="str">
        <f ca="1">'Endrunde 4'!$I20</f>
        <v>Mainz 05</v>
      </c>
      <c r="W72" s="13" t="str">
        <f ca="1">'Endrunde 4'!$K20</f>
        <v>Maibach 1822 eV</v>
      </c>
      <c r="X72" s="13">
        <f ca="1">IF(AND($AA72=1,'Endrunde 4'!$L20&lt;&gt;"",'Endrunde 4'!$N20&lt;&gt;"",ABS('Endrunde 4'!$L20-'Endrunde 4'!$N20)&gt;1),'Endrunde 4'!$L20,"")</f>
        <v>25</v>
      </c>
      <c r="Y72" s="35">
        <f ca="1">IF(AND($AA72=1,'Endrunde 4'!$L20&lt;&gt;"",'Endrunde 4'!$N20&lt;&gt;"",ABS('Endrunde 4'!$L20-'Endrunde 4'!$N20)&gt;1),'Endrunde 4'!$N20,"")</f>
        <v>17</v>
      </c>
      <c r="Z72" s="34" t="str">
        <f t="shared" ca="1" si="42"/>
        <v>Mainz 05Maibach 1822 eV</v>
      </c>
      <c r="AA72" s="13">
        <f ca="1">IF(AND(V72&lt;&gt;"",W72&lt;&gt;"",V72&lt;&gt;W72,'Endrunde 4'!$U20&lt;&gt;"",'Endrunde 4'!$W20&lt;&gt;""),1,0)</f>
        <v>1</v>
      </c>
      <c r="AB72" s="13" t="str">
        <f ca="1">IF(AA72&gt;0,AH72&amp;Sprache!$E$108&amp;AI72,"")</f>
        <v>50 : 39</v>
      </c>
      <c r="AC72" s="35" t="str">
        <f ca="1">IF(AA72&gt;0,AJ72&amp;Sprache!$E$108&amp;AK72,"")</f>
        <v>2 : 0</v>
      </c>
      <c r="AD72" s="40">
        <f ca="1">IF(AND($AA72=1,'Endrunde 4'!$O20&lt;&gt;"",'Endrunde 4'!$Q20&lt;&gt;"",ABS('Endrunde 4'!$O20-'Endrunde 4'!$Q20)&gt;1),'Endrunde 4'!$O20,"")</f>
        <v>25</v>
      </c>
      <c r="AE72" s="35">
        <f ca="1">IF(AND($AA72=1,'Endrunde 4'!$O20&lt;&gt;"",'Endrunde 4'!$Q20&lt;&gt;"",ABS('Endrunde 4'!$O20-'Endrunde 4'!$Q20)&gt;1),'Endrunde 4'!$Q20,"")</f>
        <v>22</v>
      </c>
      <c r="AF72" s="40" t="str">
        <f ca="1">IF(AND($AA72=1,'Endrunde 4'!$R20&lt;&gt;"",'Endrunde 4'!$T20&lt;&gt;"",ABS('Endrunde 4'!$R20-'Endrunde 4'!$T20)&gt;1),'Endrunde 4'!$R20,"")</f>
        <v/>
      </c>
      <c r="AG72" s="35" t="str">
        <f ca="1">IF(AND($AA72=1,'Endrunde 4'!$R20&lt;&gt;"",'Endrunde 4'!$T20&lt;&gt;"",ABS('Endrunde 4'!$R20-'Endrunde 4'!$T20)&gt;1),'Endrunde 4'!$T20,"")</f>
        <v/>
      </c>
      <c r="AH72" s="40">
        <f t="shared" ca="1" si="43"/>
        <v>50</v>
      </c>
      <c r="AI72" s="35">
        <f t="shared" ca="1" si="44"/>
        <v>39</v>
      </c>
      <c r="AJ72" s="40">
        <f ca="1">IF('Endrunde 4'!$U20="",0,'Endrunde 4'!$U20)</f>
        <v>2</v>
      </c>
      <c r="AK72" s="35">
        <f ca="1">IF('Endrunde 4'!$W20="",0,'Endrunde 4'!$W20)</f>
        <v>0</v>
      </c>
      <c r="AL72" s="13">
        <f ca="1">IF($AA72=0,"",IF($AJ72&gt;$AK72,Einstellungen!$C$4,IF($AJ72=$AK72,1,0)))</f>
        <v>2</v>
      </c>
      <c r="AM72" s="35">
        <f ca="1">IF($AA72=0,"",IF($AJ72&lt;$AK72,Einstellungen!$C$4,IF($AJ72=$AK72,1,0)))</f>
        <v>0</v>
      </c>
      <c r="AN72" s="13"/>
      <c r="AO72" s="13"/>
      <c r="AP72" s="4"/>
      <c r="AQ72" s="13"/>
    </row>
    <row r="73" spans="2:43" s="2" customFormat="1" ht="12.75" thickTop="1" x14ac:dyDescent="0.2">
      <c r="B73" s="4"/>
      <c r="C73" s="4"/>
      <c r="D73" s="4"/>
      <c r="E73" s="4"/>
      <c r="F73" s="13"/>
      <c r="G73" s="13"/>
      <c r="H73" s="13"/>
      <c r="I73" s="13"/>
      <c r="J73" s="13"/>
      <c r="K73" s="13"/>
      <c r="L73" s="13"/>
      <c r="M73" s="13"/>
      <c r="U73" s="65" t="s">
        <v>25</v>
      </c>
      <c r="V73" s="40" t="str">
        <f ca="1">'Endrunde 4'!$I21</f>
        <v/>
      </c>
      <c r="W73" s="13" t="str">
        <f ca="1">'Endrunde 4'!$K21</f>
        <v/>
      </c>
      <c r="X73" s="13" t="str">
        <f ca="1">IF(AND($AA73=1,'Endrunde 4'!$L21&lt;&gt;"",'Endrunde 4'!$N21&lt;&gt;"",ABS('Endrunde 4'!$L21-'Endrunde 4'!$N21)&gt;1),'Endrunde 4'!$L21,"")</f>
        <v/>
      </c>
      <c r="Y73" s="35" t="str">
        <f ca="1">IF(AND($AA73=1,'Endrunde 4'!$L21&lt;&gt;"",'Endrunde 4'!$N21&lt;&gt;"",ABS('Endrunde 4'!$L21-'Endrunde 4'!$N21)&gt;1),'Endrunde 4'!$N21,"")</f>
        <v/>
      </c>
      <c r="Z73" s="34" t="str">
        <f t="shared" ca="1" si="42"/>
        <v/>
      </c>
      <c r="AA73" s="13">
        <f ca="1">IF(AND(V73&lt;&gt;"",W73&lt;&gt;"",V73&lt;&gt;W73,'Endrunde 4'!$U21&lt;&gt;"",'Endrunde 4'!$W21&lt;&gt;""),1,0)</f>
        <v>0</v>
      </c>
      <c r="AB73" s="13" t="str">
        <f ca="1">IF(AA73&gt;0,AH73&amp;Sprache!$E$108&amp;AI73,"")</f>
        <v/>
      </c>
      <c r="AC73" s="35" t="str">
        <f ca="1">IF(AA73&gt;0,AJ73&amp;Sprache!$E$108&amp;AK73,"")</f>
        <v/>
      </c>
      <c r="AD73" s="40" t="str">
        <f ca="1">IF(AND($AA73=1,'Endrunde 4'!$O21&lt;&gt;"",'Endrunde 4'!$Q21&lt;&gt;"",ABS('Endrunde 4'!$O21-'Endrunde 4'!$Q21)&gt;1),'Endrunde 4'!$O21,"")</f>
        <v/>
      </c>
      <c r="AE73" s="35" t="str">
        <f ca="1">IF(AND($AA73=1,'Endrunde 4'!$O21&lt;&gt;"",'Endrunde 4'!$Q21&lt;&gt;"",ABS('Endrunde 4'!$O21-'Endrunde 4'!$Q21)&gt;1),'Endrunde 4'!$Q21,"")</f>
        <v/>
      </c>
      <c r="AF73" s="40" t="str">
        <f ca="1">IF(AND($AA73=1,'Endrunde 4'!$R21&lt;&gt;"",'Endrunde 4'!$T21&lt;&gt;"",ABS('Endrunde 4'!$R21-'Endrunde 4'!$T21)&gt;1),'Endrunde 4'!$R21,"")</f>
        <v/>
      </c>
      <c r="AG73" s="35" t="str">
        <f ca="1">IF(AND($AA73=1,'Endrunde 4'!$R21&lt;&gt;"",'Endrunde 4'!$T21&lt;&gt;"",ABS('Endrunde 4'!$R21-'Endrunde 4'!$T21)&gt;1),'Endrunde 4'!$T21,"")</f>
        <v/>
      </c>
      <c r="AH73" s="40" t="str">
        <f t="shared" ca="1" si="43"/>
        <v/>
      </c>
      <c r="AI73" s="35" t="str">
        <f t="shared" ca="1" si="44"/>
        <v/>
      </c>
      <c r="AJ73" s="40">
        <f ca="1">IF('Endrunde 4'!$U21="",0,'Endrunde 4'!$U21)</f>
        <v>0</v>
      </c>
      <c r="AK73" s="35">
        <f ca="1">IF('Endrunde 4'!$W21="",0,'Endrunde 4'!$W21)</f>
        <v>0</v>
      </c>
      <c r="AL73" s="13" t="str">
        <f ca="1">IF($AA73=0,"",IF($AJ73&gt;$AK73,Einstellungen!$C$4,IF($AJ73=$AK73,1,0)))</f>
        <v/>
      </c>
      <c r="AM73" s="35" t="str">
        <f ca="1">IF($AA73=0,"",IF($AJ73&lt;$AK73,Einstellungen!$C$4,IF($AJ73=$AK73,1,0)))</f>
        <v/>
      </c>
      <c r="AN73" s="13"/>
      <c r="AO73" s="13"/>
      <c r="AP73" s="13"/>
      <c r="AQ73" s="4"/>
    </row>
    <row r="74" spans="2:43" s="2" customFormat="1" x14ac:dyDescent="0.2">
      <c r="B74" s="4"/>
      <c r="C74" s="4"/>
      <c r="D74" s="4"/>
      <c r="E74" s="4"/>
      <c r="F74" s="13"/>
      <c r="G74" s="13"/>
      <c r="H74" s="13"/>
      <c r="I74" s="13"/>
      <c r="J74" s="13"/>
      <c r="K74" s="13"/>
      <c r="L74" s="13"/>
      <c r="M74" s="13"/>
      <c r="U74" s="65" t="s">
        <v>26</v>
      </c>
      <c r="V74" s="40" t="str">
        <f ca="1">'Endrunde 4'!$I22</f>
        <v>FC Barcelona</v>
      </c>
      <c r="W74" s="13" t="str">
        <f ca="1">'Endrunde 4'!$K22</f>
        <v/>
      </c>
      <c r="X74" s="13" t="str">
        <f ca="1">IF(AND($AA74=1,'Endrunde 4'!$L22&lt;&gt;"",'Endrunde 4'!$N22&lt;&gt;"",ABS('Endrunde 4'!$L22-'Endrunde 4'!$N22)&gt;1),'Endrunde 4'!$L22,"")</f>
        <v/>
      </c>
      <c r="Y74" s="35" t="str">
        <f ca="1">IF(AND($AA74=1,'Endrunde 4'!$L22&lt;&gt;"",'Endrunde 4'!$N22&lt;&gt;"",ABS('Endrunde 4'!$L22-'Endrunde 4'!$N22)&gt;1),'Endrunde 4'!$N22,"")</f>
        <v/>
      </c>
      <c r="Z74" s="34" t="str">
        <f t="shared" ca="1" si="42"/>
        <v>FC Barcelona</v>
      </c>
      <c r="AA74" s="13">
        <f ca="1">IF(AND(V74&lt;&gt;"",W74&lt;&gt;"",V74&lt;&gt;W74,'Endrunde 4'!$U22&lt;&gt;"",'Endrunde 4'!$W22&lt;&gt;""),1,0)</f>
        <v>0</v>
      </c>
      <c r="AB74" s="13" t="str">
        <f ca="1">IF(AA74&gt;0,AH74&amp;Sprache!$E$108&amp;AI74,"")</f>
        <v/>
      </c>
      <c r="AC74" s="35" t="str">
        <f ca="1">IF(AA74&gt;0,AJ74&amp;Sprache!$E$108&amp;AK74,"")</f>
        <v/>
      </c>
      <c r="AD74" s="40" t="str">
        <f ca="1">IF(AND($AA74=1,'Endrunde 4'!$O22&lt;&gt;"",'Endrunde 4'!$Q22&lt;&gt;"",ABS('Endrunde 4'!$O22-'Endrunde 4'!$Q22)&gt;1),'Endrunde 4'!$O22,"")</f>
        <v/>
      </c>
      <c r="AE74" s="35" t="str">
        <f ca="1">IF(AND($AA74=1,'Endrunde 4'!$O22&lt;&gt;"",'Endrunde 4'!$Q22&lt;&gt;"",ABS('Endrunde 4'!$O22-'Endrunde 4'!$Q22)&gt;1),'Endrunde 4'!$Q22,"")</f>
        <v/>
      </c>
      <c r="AF74" s="40" t="str">
        <f ca="1">IF(AND($AA74=1,'Endrunde 4'!$R22&lt;&gt;"",'Endrunde 4'!$T22&lt;&gt;"",ABS('Endrunde 4'!$R22-'Endrunde 4'!$T22)&gt;1),'Endrunde 4'!$R22,"")</f>
        <v/>
      </c>
      <c r="AG74" s="35" t="str">
        <f ca="1">IF(AND($AA74=1,'Endrunde 4'!$R22&lt;&gt;"",'Endrunde 4'!$T22&lt;&gt;"",ABS('Endrunde 4'!$R22-'Endrunde 4'!$T22)&gt;1),'Endrunde 4'!$T22,"")</f>
        <v/>
      </c>
      <c r="AH74" s="40" t="str">
        <f t="shared" ca="1" si="43"/>
        <v/>
      </c>
      <c r="AI74" s="35" t="str">
        <f t="shared" ca="1" si="44"/>
        <v/>
      </c>
      <c r="AJ74" s="40">
        <f ca="1">IF('Endrunde 4'!$U22="",0,'Endrunde 4'!$U22)</f>
        <v>0</v>
      </c>
      <c r="AK74" s="35">
        <f ca="1">IF('Endrunde 4'!$W22="",0,'Endrunde 4'!$W22)</f>
        <v>0</v>
      </c>
      <c r="AL74" s="13" t="str">
        <f ca="1">IF($AA74=0,"",IF($AJ74&gt;$AK74,Einstellungen!$C$4,IF($AJ74=$AK74,1,0)))</f>
        <v/>
      </c>
      <c r="AM74" s="35" t="str">
        <f ca="1">IF($AA74=0,"",IF($AJ74&lt;$AK74,Einstellungen!$C$4,IF($AJ74=$AK74,1,0)))</f>
        <v/>
      </c>
    </row>
    <row r="75" spans="2:43" s="2" customFormat="1" x14ac:dyDescent="0.2">
      <c r="B75" s="4"/>
      <c r="C75" s="4"/>
      <c r="D75" s="4"/>
      <c r="E75" s="4"/>
      <c r="F75" s="13"/>
      <c r="G75" s="13"/>
      <c r="H75" s="13"/>
      <c r="I75" s="13"/>
      <c r="J75" s="13"/>
      <c r="K75" s="13"/>
      <c r="L75" s="13"/>
      <c r="M75" s="13"/>
      <c r="U75" s="65" t="s">
        <v>27</v>
      </c>
      <c r="V75" s="40" t="str">
        <f ca="1">'Endrunde 4'!$I23</f>
        <v>VFB Essenheim</v>
      </c>
      <c r="W75" s="13" t="str">
        <f ca="1">'Endrunde 4'!$K23</f>
        <v>1. FC Riedwald</v>
      </c>
      <c r="X75" s="13">
        <f ca="1">IF(AND($AA75=1,'Endrunde 4'!$L23&lt;&gt;"",'Endrunde 4'!$N23&lt;&gt;"",ABS('Endrunde 4'!$L23-'Endrunde 4'!$N23)&gt;1),'Endrunde 4'!$L23,"")</f>
        <v>19</v>
      </c>
      <c r="Y75" s="35">
        <f ca="1">IF(AND($AA75=1,'Endrunde 4'!$L23&lt;&gt;"",'Endrunde 4'!$N23&lt;&gt;"",ABS('Endrunde 4'!$L23-'Endrunde 4'!$N23)&gt;1),'Endrunde 4'!$N23,"")</f>
        <v>25</v>
      </c>
      <c r="Z75" s="34" t="str">
        <f t="shared" ca="1" si="42"/>
        <v>VFB Essenheim1. FC Riedwald</v>
      </c>
      <c r="AA75" s="13">
        <f ca="1">IF(AND(V75&lt;&gt;"",W75&lt;&gt;"",V75&lt;&gt;W75,'Endrunde 4'!$U23&lt;&gt;"",'Endrunde 4'!$W23&lt;&gt;""),1,0)</f>
        <v>1</v>
      </c>
      <c r="AB75" s="13" t="str">
        <f ca="1">IF(AA75&gt;0,AH75&amp;Sprache!$E$108&amp;AI75,"")</f>
        <v>44 : 37</v>
      </c>
      <c r="AC75" s="35" t="str">
        <f ca="1">IF(AA75&gt;0,AJ75&amp;Sprache!$E$108&amp;AK75,"")</f>
        <v>1 : 1</v>
      </c>
      <c r="AD75" s="40">
        <f ca="1">IF(AND($AA75=1,'Endrunde 4'!$O23&lt;&gt;"",'Endrunde 4'!$Q23&lt;&gt;"",ABS('Endrunde 4'!$O23-'Endrunde 4'!$Q23)&gt;1),'Endrunde 4'!$O23,"")</f>
        <v>25</v>
      </c>
      <c r="AE75" s="35">
        <f ca="1">IF(AND($AA75=1,'Endrunde 4'!$O23&lt;&gt;"",'Endrunde 4'!$Q23&lt;&gt;"",ABS('Endrunde 4'!$O23-'Endrunde 4'!$Q23)&gt;1),'Endrunde 4'!$Q23,"")</f>
        <v>12</v>
      </c>
      <c r="AF75" s="40" t="str">
        <f ca="1">IF(AND($AA75=1,'Endrunde 4'!$R23&lt;&gt;"",'Endrunde 4'!$T23&lt;&gt;"",ABS('Endrunde 4'!$R23-'Endrunde 4'!$T23)&gt;1),'Endrunde 4'!$R23,"")</f>
        <v/>
      </c>
      <c r="AG75" s="35" t="str">
        <f ca="1">IF(AND($AA75=1,'Endrunde 4'!$R23&lt;&gt;"",'Endrunde 4'!$T23&lt;&gt;"",ABS('Endrunde 4'!$R23-'Endrunde 4'!$T23)&gt;1),'Endrunde 4'!$T23,"")</f>
        <v/>
      </c>
      <c r="AH75" s="40">
        <f t="shared" ca="1" si="43"/>
        <v>44</v>
      </c>
      <c r="AI75" s="35">
        <f t="shared" ca="1" si="44"/>
        <v>37</v>
      </c>
      <c r="AJ75" s="40">
        <f ca="1">IF('Endrunde 4'!$U23="",0,'Endrunde 4'!$U23)</f>
        <v>1</v>
      </c>
      <c r="AK75" s="35">
        <f ca="1">IF('Endrunde 4'!$W23="",0,'Endrunde 4'!$W23)</f>
        <v>1</v>
      </c>
      <c r="AL75" s="13">
        <f ca="1">IF($AA75=0,"",IF($AJ75&gt;$AK75,Einstellungen!$C$4,IF($AJ75=$AK75,1,0)))</f>
        <v>1</v>
      </c>
      <c r="AM75" s="35">
        <f ca="1">IF($AA75=0,"",IF($AJ75&lt;$AK75,Einstellungen!$C$4,IF($AJ75=$AK75,1,0)))</f>
        <v>1</v>
      </c>
    </row>
    <row r="76" spans="2:43" s="2" customFormat="1" x14ac:dyDescent="0.2">
      <c r="B76" s="4"/>
      <c r="C76" s="4"/>
      <c r="D76" s="4"/>
      <c r="E76" s="4"/>
      <c r="F76" s="13"/>
      <c r="G76" s="13"/>
      <c r="H76" s="13"/>
      <c r="I76" s="13"/>
      <c r="J76" s="13"/>
      <c r="K76" s="13"/>
      <c r="L76" s="13"/>
      <c r="M76" s="13"/>
      <c r="U76" s="65" t="s">
        <v>28</v>
      </c>
      <c r="V76" s="40" t="str">
        <f ca="1">'Endrunde 4'!$I24</f>
        <v>Eintracht Frankfurt</v>
      </c>
      <c r="W76" s="13" t="str">
        <f ca="1">'Endrunde 4'!$K24</f>
        <v>Maibach 1822 eV</v>
      </c>
      <c r="X76" s="13">
        <f ca="1">IF(AND($AA76=1,'Endrunde 4'!$L24&lt;&gt;"",'Endrunde 4'!$N24&lt;&gt;"",ABS('Endrunde 4'!$L24-'Endrunde 4'!$N24)&gt;1),'Endrunde 4'!$L24,"")</f>
        <v>13</v>
      </c>
      <c r="Y76" s="35">
        <f ca="1">IF(AND($AA76=1,'Endrunde 4'!$L24&lt;&gt;"",'Endrunde 4'!$N24&lt;&gt;"",ABS('Endrunde 4'!$L24-'Endrunde 4'!$N24)&gt;1),'Endrunde 4'!$N24,"")</f>
        <v>25</v>
      </c>
      <c r="Z76" s="34" t="str">
        <f t="shared" ca="1" si="42"/>
        <v>Eintracht FrankfurtMaibach 1822 eV</v>
      </c>
      <c r="AA76" s="13">
        <f ca="1">IF(AND(V76&lt;&gt;"",W76&lt;&gt;"",V76&lt;&gt;W76,'Endrunde 4'!$U24&lt;&gt;"",'Endrunde 4'!$W24&lt;&gt;""),1,0)</f>
        <v>1</v>
      </c>
      <c r="AB76" s="13" t="str">
        <f ca="1">IF(AA76&gt;0,AH76&amp;Sprache!$E$108&amp;AI76,"")</f>
        <v>31 : 50</v>
      </c>
      <c r="AC76" s="35" t="str">
        <f ca="1">IF(AA76&gt;0,AJ76&amp;Sprache!$E$108&amp;AK76,"")</f>
        <v>0 : 2</v>
      </c>
      <c r="AD76" s="40">
        <f ca="1">IF(AND($AA76=1,'Endrunde 4'!$O24&lt;&gt;"",'Endrunde 4'!$Q24&lt;&gt;"",ABS('Endrunde 4'!$O24-'Endrunde 4'!$Q24)&gt;1),'Endrunde 4'!$O24,"")</f>
        <v>18</v>
      </c>
      <c r="AE76" s="35">
        <f ca="1">IF(AND($AA76=1,'Endrunde 4'!$O24&lt;&gt;"",'Endrunde 4'!$Q24&lt;&gt;"",ABS('Endrunde 4'!$O24-'Endrunde 4'!$Q24)&gt;1),'Endrunde 4'!$Q24,"")</f>
        <v>25</v>
      </c>
      <c r="AF76" s="40" t="str">
        <f ca="1">IF(AND($AA76=1,'Endrunde 4'!$R24&lt;&gt;"",'Endrunde 4'!$T24&lt;&gt;"",ABS('Endrunde 4'!$R24-'Endrunde 4'!$T24)&gt;1),'Endrunde 4'!$R24,"")</f>
        <v/>
      </c>
      <c r="AG76" s="35" t="str">
        <f ca="1">IF(AND($AA76=1,'Endrunde 4'!$R24&lt;&gt;"",'Endrunde 4'!$T24&lt;&gt;"",ABS('Endrunde 4'!$R24-'Endrunde 4'!$T24)&gt;1),'Endrunde 4'!$T24,"")</f>
        <v/>
      </c>
      <c r="AH76" s="40">
        <f t="shared" ca="1" si="43"/>
        <v>31</v>
      </c>
      <c r="AI76" s="35">
        <f t="shared" ca="1" si="44"/>
        <v>50</v>
      </c>
      <c r="AJ76" s="40">
        <f ca="1">IF('Endrunde 4'!$U24="",0,'Endrunde 4'!$U24)</f>
        <v>0</v>
      </c>
      <c r="AK76" s="35">
        <f ca="1">IF('Endrunde 4'!$W24="",0,'Endrunde 4'!$W24)</f>
        <v>2</v>
      </c>
      <c r="AL76" s="13">
        <f ca="1">IF($AA76=0,"",IF($AJ76&gt;$AK76,Einstellungen!$C$4,IF($AJ76=$AK76,1,0)))</f>
        <v>0</v>
      </c>
      <c r="AM76" s="35">
        <f ca="1">IF($AA76=0,"",IF($AJ76&lt;$AK76,Einstellungen!$C$4,IF($AJ76=$AK76,1,0)))</f>
        <v>2</v>
      </c>
    </row>
    <row r="77" spans="2:43" s="2" customFormat="1" x14ac:dyDescent="0.2">
      <c r="B77" s="4"/>
      <c r="C77" s="4"/>
      <c r="D77" s="4"/>
      <c r="E77" s="4"/>
      <c r="F77" s="13"/>
      <c r="G77" s="13"/>
      <c r="H77" s="13"/>
      <c r="I77" s="13"/>
      <c r="J77" s="13"/>
      <c r="K77" s="13"/>
      <c r="L77" s="13"/>
      <c r="M77" s="13"/>
      <c r="U77" s="65" t="s">
        <v>29</v>
      </c>
      <c r="V77" s="40" t="str">
        <f ca="1">'Endrunde 4'!$I25</f>
        <v/>
      </c>
      <c r="W77" s="13" t="str">
        <f ca="1">'Endrunde 4'!$K25</f>
        <v/>
      </c>
      <c r="X77" s="13" t="str">
        <f ca="1">IF(AND($AA77=1,'Endrunde 4'!$L25&lt;&gt;"",'Endrunde 4'!$N25&lt;&gt;"",ABS('Endrunde 4'!$L25-'Endrunde 4'!$N25)&gt;1),'Endrunde 4'!$L25,"")</f>
        <v/>
      </c>
      <c r="Y77" s="35" t="str">
        <f ca="1">IF(AND($AA77=1,'Endrunde 4'!$L25&lt;&gt;"",'Endrunde 4'!$N25&lt;&gt;"",ABS('Endrunde 4'!$L25-'Endrunde 4'!$N25)&gt;1),'Endrunde 4'!$N25,"")</f>
        <v/>
      </c>
      <c r="Z77" s="34" t="str">
        <f t="shared" ca="1" si="42"/>
        <v/>
      </c>
      <c r="AA77" s="13">
        <f ca="1">IF(AND(V77&lt;&gt;"",W77&lt;&gt;"",V77&lt;&gt;W77,'Endrunde 4'!$U25&lt;&gt;"",'Endrunde 4'!$W25&lt;&gt;""),1,0)</f>
        <v>0</v>
      </c>
      <c r="AB77" s="13" t="str">
        <f ca="1">IF(AA77&gt;0,AH77&amp;Sprache!$E$108&amp;AI77,"")</f>
        <v/>
      </c>
      <c r="AC77" s="35" t="str">
        <f ca="1">IF(AA77&gt;0,AJ77&amp;Sprache!$E$108&amp;AK77,"")</f>
        <v/>
      </c>
      <c r="AD77" s="40" t="str">
        <f ca="1">IF(AND($AA77=1,'Endrunde 4'!$O25&lt;&gt;"",'Endrunde 4'!$Q25&lt;&gt;"",ABS('Endrunde 4'!$O25-'Endrunde 4'!$Q25)&gt;1),'Endrunde 4'!$O25,"")</f>
        <v/>
      </c>
      <c r="AE77" s="35" t="str">
        <f ca="1">IF(AND($AA77=1,'Endrunde 4'!$O25&lt;&gt;"",'Endrunde 4'!$Q25&lt;&gt;"",ABS('Endrunde 4'!$O25-'Endrunde 4'!$Q25)&gt;1),'Endrunde 4'!$Q25,"")</f>
        <v/>
      </c>
      <c r="AF77" s="40" t="str">
        <f ca="1">IF(AND($AA77=1,'Endrunde 4'!$R25&lt;&gt;"",'Endrunde 4'!$T25&lt;&gt;"",ABS('Endrunde 4'!$R25-'Endrunde 4'!$T25)&gt;1),'Endrunde 4'!$R25,"")</f>
        <v/>
      </c>
      <c r="AG77" s="35" t="str">
        <f ca="1">IF(AND($AA77=1,'Endrunde 4'!$R25&lt;&gt;"",'Endrunde 4'!$T25&lt;&gt;"",ABS('Endrunde 4'!$R25-'Endrunde 4'!$T25)&gt;1),'Endrunde 4'!$T25,"")</f>
        <v/>
      </c>
      <c r="AH77" s="40" t="str">
        <f t="shared" ca="1" si="43"/>
        <v/>
      </c>
      <c r="AI77" s="35" t="str">
        <f t="shared" ca="1" si="44"/>
        <v/>
      </c>
      <c r="AJ77" s="40">
        <f ca="1">IF('Endrunde 4'!$U25="",0,'Endrunde 4'!$U25)</f>
        <v>0</v>
      </c>
      <c r="AK77" s="35">
        <f ca="1">IF('Endrunde 4'!$W25="",0,'Endrunde 4'!$W25)</f>
        <v>0</v>
      </c>
      <c r="AL77" s="13" t="str">
        <f ca="1">IF($AA77=0,"",IF($AJ77&gt;$AK77,Einstellungen!$C$4,IF($AJ77=$AK77,1,0)))</f>
        <v/>
      </c>
      <c r="AM77" s="35" t="str">
        <f ca="1">IF($AA77=0,"",IF($AJ77&lt;$AK77,Einstellungen!$C$4,IF($AJ77=$AK77,1,0)))</f>
        <v/>
      </c>
    </row>
    <row r="78" spans="2:43" s="2" customFormat="1" x14ac:dyDescent="0.2">
      <c r="B78" s="4"/>
      <c r="C78" s="4"/>
      <c r="D78" s="4"/>
      <c r="E78" s="4"/>
      <c r="F78" s="13"/>
      <c r="G78" s="13"/>
      <c r="H78" s="13"/>
      <c r="I78" s="13"/>
      <c r="J78" s="13"/>
      <c r="K78" s="13"/>
      <c r="L78" s="13"/>
      <c r="M78" s="13"/>
      <c r="U78" s="65" t="s">
        <v>30</v>
      </c>
      <c r="V78" s="40" t="str">
        <f ca="1">'Endrunde 4'!$I26</f>
        <v>Inter Mailand</v>
      </c>
      <c r="W78" s="13" t="str">
        <f ca="1">'Endrunde 4'!$K26</f>
        <v/>
      </c>
      <c r="X78" s="13" t="str">
        <f ca="1">IF(AND($AA78=1,'Endrunde 4'!$L26&lt;&gt;"",'Endrunde 4'!$N26&lt;&gt;"",ABS('Endrunde 4'!$L26-'Endrunde 4'!$N26)&gt;1),'Endrunde 4'!$L26,"")</f>
        <v/>
      </c>
      <c r="Y78" s="35" t="str">
        <f ca="1">IF(AND($AA78=1,'Endrunde 4'!$L26&lt;&gt;"",'Endrunde 4'!$N26&lt;&gt;"",ABS('Endrunde 4'!$L26-'Endrunde 4'!$N26)&gt;1),'Endrunde 4'!$N26,"")</f>
        <v/>
      </c>
      <c r="Z78" s="34" t="str">
        <f t="shared" ca="1" si="42"/>
        <v>Inter Mailand</v>
      </c>
      <c r="AA78" s="13">
        <f ca="1">IF(AND(V78&lt;&gt;"",W78&lt;&gt;"",V78&lt;&gt;W78,'Endrunde 4'!$U26&lt;&gt;"",'Endrunde 4'!$W26&lt;&gt;""),1,0)</f>
        <v>0</v>
      </c>
      <c r="AB78" s="13" t="str">
        <f ca="1">IF(AA78&gt;0,AH78&amp;Sprache!$E$108&amp;AI78,"")</f>
        <v/>
      </c>
      <c r="AC78" s="35" t="str">
        <f ca="1">IF(AA78&gt;0,AJ78&amp;Sprache!$E$108&amp;AK78,"")</f>
        <v/>
      </c>
      <c r="AD78" s="40" t="str">
        <f ca="1">IF(AND($AA78=1,'Endrunde 4'!$O26&lt;&gt;"",'Endrunde 4'!$Q26&lt;&gt;"",ABS('Endrunde 4'!$O26-'Endrunde 4'!$Q26)&gt;1),'Endrunde 4'!$O26,"")</f>
        <v/>
      </c>
      <c r="AE78" s="35" t="str">
        <f ca="1">IF(AND($AA78=1,'Endrunde 4'!$O26&lt;&gt;"",'Endrunde 4'!$Q26&lt;&gt;"",ABS('Endrunde 4'!$O26-'Endrunde 4'!$Q26)&gt;1),'Endrunde 4'!$Q26,"")</f>
        <v/>
      </c>
      <c r="AF78" s="40" t="str">
        <f ca="1">IF(AND($AA78=1,'Endrunde 4'!$R26&lt;&gt;"",'Endrunde 4'!$T26&lt;&gt;"",ABS('Endrunde 4'!$R26-'Endrunde 4'!$T26)&gt;1),'Endrunde 4'!$R26,"")</f>
        <v/>
      </c>
      <c r="AG78" s="35" t="str">
        <f ca="1">IF(AND($AA78=1,'Endrunde 4'!$R26&lt;&gt;"",'Endrunde 4'!$T26&lt;&gt;"",ABS('Endrunde 4'!$R26-'Endrunde 4'!$T26)&gt;1),'Endrunde 4'!$T26,"")</f>
        <v/>
      </c>
      <c r="AH78" s="40" t="str">
        <f t="shared" ca="1" si="43"/>
        <v/>
      </c>
      <c r="AI78" s="35" t="str">
        <f t="shared" ca="1" si="44"/>
        <v/>
      </c>
      <c r="AJ78" s="40">
        <f ca="1">IF('Endrunde 4'!$U26="",0,'Endrunde 4'!$U26)</f>
        <v>0</v>
      </c>
      <c r="AK78" s="35">
        <f ca="1">IF('Endrunde 4'!$W26="",0,'Endrunde 4'!$W26)</f>
        <v>0</v>
      </c>
      <c r="AL78" s="13" t="str">
        <f ca="1">IF($AA78=0,"",IF($AJ78&gt;$AK78,Einstellungen!$C$4,IF($AJ78=$AK78,1,0)))</f>
        <v/>
      </c>
      <c r="AM78" s="35" t="str">
        <f ca="1">IF($AA78=0,"",IF($AJ78&lt;$AK78,Einstellungen!$C$4,IF($AJ78=$AK78,1,0)))</f>
        <v/>
      </c>
    </row>
    <row r="79" spans="2:43" s="2" customFormat="1" x14ac:dyDescent="0.2">
      <c r="B79" s="4"/>
      <c r="C79" s="4"/>
      <c r="D79" s="4"/>
      <c r="E79" s="4"/>
      <c r="F79" s="13"/>
      <c r="G79" s="13"/>
      <c r="H79" s="13"/>
      <c r="I79" s="13"/>
      <c r="J79" s="13"/>
      <c r="K79" s="13"/>
      <c r="L79" s="13"/>
      <c r="M79" s="13"/>
      <c r="U79" s="65" t="s">
        <v>31</v>
      </c>
      <c r="V79" s="40" t="str">
        <f ca="1">'Endrunde 4'!$I27</f>
        <v>FC Grönlingen</v>
      </c>
      <c r="W79" s="13" t="str">
        <f ca="1">'Endrunde 4'!$K27</f>
        <v>SSV Wildbach</v>
      </c>
      <c r="X79" s="13">
        <f ca="1">IF(AND($AA79=1,'Endrunde 4'!$L27&lt;&gt;"",'Endrunde 4'!$N27&lt;&gt;"",ABS('Endrunde 4'!$L27-'Endrunde 4'!$N27)&gt;1),'Endrunde 4'!$L27,"")</f>
        <v>22</v>
      </c>
      <c r="Y79" s="35">
        <f ca="1">IF(AND($AA79=1,'Endrunde 4'!$L27&lt;&gt;"",'Endrunde 4'!$N27&lt;&gt;"",ABS('Endrunde 4'!$L27-'Endrunde 4'!$N27)&gt;1),'Endrunde 4'!$N27,"")</f>
        <v>25</v>
      </c>
      <c r="Z79" s="34" t="str">
        <f t="shared" ca="1" si="42"/>
        <v>FC GrönlingenSSV Wildbach</v>
      </c>
      <c r="AA79" s="13">
        <f ca="1">IF(AND(V79&lt;&gt;"",W79&lt;&gt;"",V79&lt;&gt;W79,'Endrunde 4'!$U27&lt;&gt;"",'Endrunde 4'!$W27&lt;&gt;""),1,0)</f>
        <v>1</v>
      </c>
      <c r="AB79" s="13" t="str">
        <f ca="1">IF(AA79&gt;0,AH79&amp;Sprache!$E$108&amp;AI79,"")</f>
        <v>47 : 45</v>
      </c>
      <c r="AC79" s="35" t="str">
        <f ca="1">IF(AA79&gt;0,AJ79&amp;Sprache!$E$108&amp;AK79,"")</f>
        <v>1 : 1</v>
      </c>
      <c r="AD79" s="40">
        <f ca="1">IF(AND($AA79=1,'Endrunde 4'!$O27&lt;&gt;"",'Endrunde 4'!$Q27&lt;&gt;"",ABS('Endrunde 4'!$O27-'Endrunde 4'!$Q27)&gt;1),'Endrunde 4'!$O27,"")</f>
        <v>25</v>
      </c>
      <c r="AE79" s="35">
        <f ca="1">IF(AND($AA79=1,'Endrunde 4'!$O27&lt;&gt;"",'Endrunde 4'!$Q27&lt;&gt;"",ABS('Endrunde 4'!$O27-'Endrunde 4'!$Q27)&gt;1),'Endrunde 4'!$Q27,"")</f>
        <v>20</v>
      </c>
      <c r="AF79" s="40" t="str">
        <f ca="1">IF(AND($AA79=1,'Endrunde 4'!$R27&lt;&gt;"",'Endrunde 4'!$T27&lt;&gt;"",ABS('Endrunde 4'!$R27-'Endrunde 4'!$T27)&gt;1),'Endrunde 4'!$R27,"")</f>
        <v/>
      </c>
      <c r="AG79" s="35" t="str">
        <f ca="1">IF(AND($AA79=1,'Endrunde 4'!$R27&lt;&gt;"",'Endrunde 4'!$T27&lt;&gt;"",ABS('Endrunde 4'!$R27-'Endrunde 4'!$T27)&gt;1),'Endrunde 4'!$T27,"")</f>
        <v/>
      </c>
      <c r="AH79" s="40">
        <f t="shared" ca="1" si="43"/>
        <v>47</v>
      </c>
      <c r="AI79" s="35">
        <f t="shared" ca="1" si="44"/>
        <v>45</v>
      </c>
      <c r="AJ79" s="40">
        <f ca="1">IF('Endrunde 4'!$U27="",0,'Endrunde 4'!$U27)</f>
        <v>1</v>
      </c>
      <c r="AK79" s="35">
        <f ca="1">IF('Endrunde 4'!$W27="",0,'Endrunde 4'!$W27)</f>
        <v>1</v>
      </c>
      <c r="AL79" s="13">
        <f ca="1">IF($AA79=0,"",IF($AJ79&gt;$AK79,Einstellungen!$C$4,IF($AJ79=$AK79,1,0)))</f>
        <v>1</v>
      </c>
      <c r="AM79" s="35">
        <f ca="1">IF($AA79=0,"",IF($AJ79&lt;$AK79,Einstellungen!$C$4,IF($AJ79=$AK79,1,0)))</f>
        <v>1</v>
      </c>
    </row>
    <row r="80" spans="2:43" s="2" customFormat="1" x14ac:dyDescent="0.2">
      <c r="B80" s="4"/>
      <c r="C80" s="4"/>
      <c r="D80" s="4"/>
      <c r="E80" s="4"/>
      <c r="F80" s="13"/>
      <c r="G80" s="13"/>
      <c r="H80" s="13"/>
      <c r="I80" s="13"/>
      <c r="J80" s="13"/>
      <c r="K80" s="13"/>
      <c r="L80" s="13"/>
      <c r="M80" s="13"/>
      <c r="U80" s="65" t="s">
        <v>32</v>
      </c>
      <c r="V80" s="40" t="str">
        <f ca="1">'Endrunde 4'!$I28</f>
        <v>Mainz 05</v>
      </c>
      <c r="W80" s="13" t="str">
        <f ca="1">'Endrunde 4'!$K28</f>
        <v>Manchester City</v>
      </c>
      <c r="X80" s="13">
        <f ca="1">IF(AND($AA80=1,'Endrunde 4'!$L28&lt;&gt;"",'Endrunde 4'!$N28&lt;&gt;"",ABS('Endrunde 4'!$L28-'Endrunde 4'!$N28)&gt;1),'Endrunde 4'!$L28,"")</f>
        <v>19</v>
      </c>
      <c r="Y80" s="35">
        <f ca="1">IF(AND($AA80=1,'Endrunde 4'!$L28&lt;&gt;"",'Endrunde 4'!$N28&lt;&gt;"",ABS('Endrunde 4'!$L28-'Endrunde 4'!$N28)&gt;1),'Endrunde 4'!$N28,"")</f>
        <v>25</v>
      </c>
      <c r="Z80" s="34" t="str">
        <f t="shared" ca="1" si="42"/>
        <v>Mainz 05Manchester City</v>
      </c>
      <c r="AA80" s="13">
        <f ca="1">IF(AND(V80&lt;&gt;"",W80&lt;&gt;"",V80&lt;&gt;W80,'Endrunde 4'!$U28&lt;&gt;"",'Endrunde 4'!$W28&lt;&gt;""),1,0)</f>
        <v>1</v>
      </c>
      <c r="AB80" s="13" t="str">
        <f ca="1">IF(AA80&gt;0,AH80&amp;Sprache!$E$108&amp;AI80,"")</f>
        <v>44 : 44</v>
      </c>
      <c r="AC80" s="35" t="str">
        <f ca="1">IF(AA80&gt;0,AJ80&amp;Sprache!$E$108&amp;AK80,"")</f>
        <v>1 : 1</v>
      </c>
      <c r="AD80" s="40">
        <f ca="1">IF(AND($AA80=1,'Endrunde 4'!$O28&lt;&gt;"",'Endrunde 4'!$Q28&lt;&gt;"",ABS('Endrunde 4'!$O28-'Endrunde 4'!$Q28)&gt;1),'Endrunde 4'!$O28,"")</f>
        <v>25</v>
      </c>
      <c r="AE80" s="35">
        <f ca="1">IF(AND($AA80=1,'Endrunde 4'!$O28&lt;&gt;"",'Endrunde 4'!$Q28&lt;&gt;"",ABS('Endrunde 4'!$O28-'Endrunde 4'!$Q28)&gt;1),'Endrunde 4'!$Q28,"")</f>
        <v>19</v>
      </c>
      <c r="AF80" s="40" t="str">
        <f ca="1">IF(AND($AA80=1,'Endrunde 4'!$R28&lt;&gt;"",'Endrunde 4'!$T28&lt;&gt;"",ABS('Endrunde 4'!$R28-'Endrunde 4'!$T28)&gt;1),'Endrunde 4'!$R28,"")</f>
        <v/>
      </c>
      <c r="AG80" s="35" t="str">
        <f ca="1">IF(AND($AA80=1,'Endrunde 4'!$R28&lt;&gt;"",'Endrunde 4'!$T28&lt;&gt;"",ABS('Endrunde 4'!$R28-'Endrunde 4'!$T28)&gt;1),'Endrunde 4'!$T28,"")</f>
        <v/>
      </c>
      <c r="AH80" s="40">
        <f t="shared" ca="1" si="43"/>
        <v>44</v>
      </c>
      <c r="AI80" s="35">
        <f t="shared" ca="1" si="44"/>
        <v>44</v>
      </c>
      <c r="AJ80" s="40">
        <f ca="1">IF('Endrunde 4'!$U28="",0,'Endrunde 4'!$U28)</f>
        <v>1</v>
      </c>
      <c r="AK80" s="35">
        <f ca="1">IF('Endrunde 4'!$W28="",0,'Endrunde 4'!$W28)</f>
        <v>1</v>
      </c>
      <c r="AL80" s="13">
        <f ca="1">IF($AA80=0,"",IF($AJ80&gt;$AK80,Einstellungen!$C$4,IF($AJ80=$AK80,1,0)))</f>
        <v>1</v>
      </c>
      <c r="AM80" s="35">
        <f ca="1">IF($AA80=0,"",IF($AJ80&lt;$AK80,Einstellungen!$C$4,IF($AJ80=$AK80,1,0)))</f>
        <v>1</v>
      </c>
    </row>
    <row r="81" spans="2:39" s="2" customFormat="1" x14ac:dyDescent="0.2">
      <c r="B81" s="4"/>
      <c r="C81" s="4"/>
      <c r="D81" s="4"/>
      <c r="E81" s="4"/>
      <c r="F81" s="13"/>
      <c r="G81" s="13"/>
      <c r="H81" s="13"/>
      <c r="I81" s="13"/>
      <c r="J81" s="13"/>
      <c r="K81" s="13"/>
      <c r="L81" s="13"/>
      <c r="M81" s="13"/>
      <c r="U81" s="65" t="s">
        <v>33</v>
      </c>
      <c r="V81" s="40" t="str">
        <f ca="1">'Endrunde 4'!$I29</f>
        <v/>
      </c>
      <c r="W81" s="13" t="str">
        <f ca="1">'Endrunde 4'!$K29</f>
        <v/>
      </c>
      <c r="X81" s="13" t="str">
        <f ca="1">IF(AND($AA81=1,'Endrunde 4'!$L29&lt;&gt;"",'Endrunde 4'!$N29&lt;&gt;"",ABS('Endrunde 4'!$L29-'Endrunde 4'!$N29)&gt;1),'Endrunde 4'!$L29,"")</f>
        <v/>
      </c>
      <c r="Y81" s="35" t="str">
        <f ca="1">IF(AND($AA81=1,'Endrunde 4'!$L29&lt;&gt;"",'Endrunde 4'!$N29&lt;&gt;"",ABS('Endrunde 4'!$L29-'Endrunde 4'!$N29)&gt;1),'Endrunde 4'!$N29,"")</f>
        <v/>
      </c>
      <c r="Z81" s="34" t="str">
        <f t="shared" ca="1" si="42"/>
        <v/>
      </c>
      <c r="AA81" s="13">
        <f ca="1">IF(AND(V81&lt;&gt;"",W81&lt;&gt;"",V81&lt;&gt;W81,'Endrunde 4'!$U29&lt;&gt;"",'Endrunde 4'!$W29&lt;&gt;""),1,0)</f>
        <v>0</v>
      </c>
      <c r="AB81" s="13" t="str">
        <f ca="1">IF(AA81&gt;0,AH81&amp;Sprache!$E$108&amp;AI81,"")</f>
        <v/>
      </c>
      <c r="AC81" s="35" t="str">
        <f ca="1">IF(AA81&gt;0,AJ81&amp;Sprache!$E$108&amp;AK81,"")</f>
        <v/>
      </c>
      <c r="AD81" s="40" t="str">
        <f ca="1">IF(AND($AA81=1,'Endrunde 4'!$O29&lt;&gt;"",'Endrunde 4'!$Q29&lt;&gt;"",ABS('Endrunde 4'!$O29-'Endrunde 4'!$Q29)&gt;1),'Endrunde 4'!$O29,"")</f>
        <v/>
      </c>
      <c r="AE81" s="35" t="str">
        <f ca="1">IF(AND($AA81=1,'Endrunde 4'!$O29&lt;&gt;"",'Endrunde 4'!$Q29&lt;&gt;"",ABS('Endrunde 4'!$O29-'Endrunde 4'!$Q29)&gt;1),'Endrunde 4'!$Q29,"")</f>
        <v/>
      </c>
      <c r="AF81" s="40" t="str">
        <f ca="1">IF(AND($AA81=1,'Endrunde 4'!$R29&lt;&gt;"",'Endrunde 4'!$T29&lt;&gt;"",ABS('Endrunde 4'!$R29-'Endrunde 4'!$T29)&gt;1),'Endrunde 4'!$R29,"")</f>
        <v/>
      </c>
      <c r="AG81" s="35" t="str">
        <f ca="1">IF(AND($AA81=1,'Endrunde 4'!$R29&lt;&gt;"",'Endrunde 4'!$T29&lt;&gt;"",ABS('Endrunde 4'!$R29-'Endrunde 4'!$T29)&gt;1),'Endrunde 4'!$T29,"")</f>
        <v/>
      </c>
      <c r="AH81" s="40" t="str">
        <f t="shared" ca="1" si="43"/>
        <v/>
      </c>
      <c r="AI81" s="35" t="str">
        <f t="shared" ca="1" si="44"/>
        <v/>
      </c>
      <c r="AJ81" s="40">
        <f ca="1">IF('Endrunde 4'!$U29="",0,'Endrunde 4'!$U29)</f>
        <v>0</v>
      </c>
      <c r="AK81" s="35">
        <f ca="1">IF('Endrunde 4'!$W29="",0,'Endrunde 4'!$W29)</f>
        <v>0</v>
      </c>
      <c r="AL81" s="13" t="str">
        <f ca="1">IF($AA81=0,"",IF($AJ81&gt;$AK81,Einstellungen!$C$4,IF($AJ81=$AK81,1,0)))</f>
        <v/>
      </c>
      <c r="AM81" s="35" t="str">
        <f ca="1">IF($AA81=0,"",IF($AJ81&lt;$AK81,Einstellungen!$C$4,IF($AJ81=$AK81,1,0)))</f>
        <v/>
      </c>
    </row>
    <row r="82" spans="2:39" s="2" customFormat="1" x14ac:dyDescent="0.2">
      <c r="B82" s="4"/>
      <c r="C82" s="4"/>
      <c r="D82" s="4"/>
      <c r="E82" s="4"/>
      <c r="F82" s="13"/>
      <c r="G82" s="13"/>
      <c r="H82" s="13"/>
      <c r="I82" s="13"/>
      <c r="J82" s="13"/>
      <c r="K82" s="13"/>
      <c r="L82" s="13"/>
      <c r="M82" s="13"/>
      <c r="U82" s="65" t="s">
        <v>34</v>
      </c>
      <c r="V82" s="40" t="str">
        <f ca="1">'Endrunde 4'!$I30</f>
        <v/>
      </c>
      <c r="W82" s="13" t="str">
        <f ca="1">'Endrunde 4'!$K30</f>
        <v/>
      </c>
      <c r="X82" s="13" t="str">
        <f ca="1">IF(AND($AA82=1,'Endrunde 4'!$L30&lt;&gt;"",'Endrunde 4'!$N30&lt;&gt;"",ABS('Endrunde 4'!$L30-'Endrunde 4'!$N30)&gt;1),'Endrunde 4'!$L30,"")</f>
        <v/>
      </c>
      <c r="Y82" s="35" t="str">
        <f ca="1">IF(AND($AA82=1,'Endrunde 4'!$L30&lt;&gt;"",'Endrunde 4'!$N30&lt;&gt;"",ABS('Endrunde 4'!$L30-'Endrunde 4'!$N30)&gt;1),'Endrunde 4'!$N30,"")</f>
        <v/>
      </c>
      <c r="Z82" s="34" t="str">
        <f t="shared" ca="1" si="42"/>
        <v/>
      </c>
      <c r="AA82" s="13">
        <f ca="1">IF(AND(V82&lt;&gt;"",W82&lt;&gt;"",V82&lt;&gt;W82,'Endrunde 4'!$U30&lt;&gt;"",'Endrunde 4'!$W30&lt;&gt;""),1,0)</f>
        <v>0</v>
      </c>
      <c r="AB82" s="13" t="str">
        <f ca="1">IF(AA82&gt;0,AH82&amp;Sprache!$E$108&amp;AI82,"")</f>
        <v/>
      </c>
      <c r="AC82" s="35" t="str">
        <f ca="1">IF(AA82&gt;0,AJ82&amp;Sprache!$E$108&amp;AK82,"")</f>
        <v/>
      </c>
      <c r="AD82" s="40" t="str">
        <f ca="1">IF(AND($AA82=1,'Endrunde 4'!$O30&lt;&gt;"",'Endrunde 4'!$Q30&lt;&gt;"",ABS('Endrunde 4'!$O30-'Endrunde 4'!$Q30)&gt;1),'Endrunde 4'!$O30,"")</f>
        <v/>
      </c>
      <c r="AE82" s="35" t="str">
        <f ca="1">IF(AND($AA82=1,'Endrunde 4'!$O30&lt;&gt;"",'Endrunde 4'!$Q30&lt;&gt;"",ABS('Endrunde 4'!$O30-'Endrunde 4'!$Q30)&gt;1),'Endrunde 4'!$Q30,"")</f>
        <v/>
      </c>
      <c r="AF82" s="40" t="str">
        <f ca="1">IF(AND($AA82=1,'Endrunde 4'!$R30&lt;&gt;"",'Endrunde 4'!$T30&lt;&gt;"",ABS('Endrunde 4'!$R30-'Endrunde 4'!$T30)&gt;1),'Endrunde 4'!$R30,"")</f>
        <v/>
      </c>
      <c r="AG82" s="35" t="str">
        <f ca="1">IF(AND($AA82=1,'Endrunde 4'!$R30&lt;&gt;"",'Endrunde 4'!$T30&lt;&gt;"",ABS('Endrunde 4'!$R30-'Endrunde 4'!$T30)&gt;1),'Endrunde 4'!$T30,"")</f>
        <v/>
      </c>
      <c r="AH82" s="40" t="str">
        <f t="shared" ca="1" si="43"/>
        <v/>
      </c>
      <c r="AI82" s="35" t="str">
        <f t="shared" ca="1" si="44"/>
        <v/>
      </c>
      <c r="AJ82" s="40">
        <f ca="1">IF('Endrunde 4'!$U30="",0,'Endrunde 4'!$U30)</f>
        <v>0</v>
      </c>
      <c r="AK82" s="35">
        <f ca="1">IF('Endrunde 4'!$W30="",0,'Endrunde 4'!$W30)</f>
        <v>0</v>
      </c>
      <c r="AL82" s="13" t="str">
        <f ca="1">IF($AA82=0,"",IF($AJ82&gt;$AK82,Einstellungen!$C$4,IF($AJ82=$AK82,1,0)))</f>
        <v/>
      </c>
      <c r="AM82" s="35" t="str">
        <f ca="1">IF($AA82=0,"",IF($AJ82&lt;$AK82,Einstellungen!$C$4,IF($AJ82=$AK82,1,0)))</f>
        <v/>
      </c>
    </row>
    <row r="83" spans="2:39" s="2" customFormat="1" x14ac:dyDescent="0.2">
      <c r="B83" s="4"/>
      <c r="C83" s="4"/>
      <c r="D83" s="4"/>
      <c r="E83" s="4"/>
      <c r="F83" s="13"/>
      <c r="G83" s="13"/>
      <c r="H83" s="13"/>
      <c r="I83" s="13"/>
      <c r="J83" s="13"/>
      <c r="K83" s="13"/>
      <c r="L83" s="13"/>
      <c r="M83" s="13"/>
      <c r="U83" s="65" t="s">
        <v>35</v>
      </c>
      <c r="V83" s="40" t="str">
        <f ca="1">'Endrunde 4'!$I31</f>
        <v>1. FC Riedwald</v>
      </c>
      <c r="W83" s="13" t="str">
        <f ca="1">'Endrunde 4'!$K31</f>
        <v>SSV Wildbach</v>
      </c>
      <c r="X83" s="13">
        <f ca="1">IF(AND($AA83=1,'Endrunde 4'!$L31&lt;&gt;"",'Endrunde 4'!$N31&lt;&gt;"",ABS('Endrunde 4'!$L31-'Endrunde 4'!$N31)&gt;1),'Endrunde 4'!$L31,"")</f>
        <v>14</v>
      </c>
      <c r="Y83" s="35">
        <f ca="1">IF(AND($AA83=1,'Endrunde 4'!$L31&lt;&gt;"",'Endrunde 4'!$N31&lt;&gt;"",ABS('Endrunde 4'!$L31-'Endrunde 4'!$N31)&gt;1),'Endrunde 4'!$N31,"")</f>
        <v>25</v>
      </c>
      <c r="Z83" s="34" t="str">
        <f t="shared" ca="1" si="42"/>
        <v>1. FC RiedwaldSSV Wildbach</v>
      </c>
      <c r="AA83" s="13">
        <f ca="1">IF(AND(V83&lt;&gt;"",W83&lt;&gt;"",V83&lt;&gt;W83,'Endrunde 4'!$U31&lt;&gt;"",'Endrunde 4'!$W31&lt;&gt;""),1,0)</f>
        <v>1</v>
      </c>
      <c r="AB83" s="13" t="str">
        <f ca="1">IF(AA83&gt;0,AH83&amp;Sprache!$E$108&amp;AI83,"")</f>
        <v>39 : 48</v>
      </c>
      <c r="AC83" s="35" t="str">
        <f ca="1">IF(AA83&gt;0,AJ83&amp;Sprache!$E$108&amp;AK83,"")</f>
        <v>1 : 1</v>
      </c>
      <c r="AD83" s="40">
        <f ca="1">IF(AND($AA83=1,'Endrunde 4'!$O31&lt;&gt;"",'Endrunde 4'!$Q31&lt;&gt;"",ABS('Endrunde 4'!$O31-'Endrunde 4'!$Q31)&gt;1),'Endrunde 4'!$O31,"")</f>
        <v>25</v>
      </c>
      <c r="AE83" s="35">
        <f ca="1">IF(AND($AA83=1,'Endrunde 4'!$O31&lt;&gt;"",'Endrunde 4'!$Q31&lt;&gt;"",ABS('Endrunde 4'!$O31-'Endrunde 4'!$Q31)&gt;1),'Endrunde 4'!$Q31,"")</f>
        <v>23</v>
      </c>
      <c r="AF83" s="40" t="str">
        <f ca="1">IF(AND($AA83=1,'Endrunde 4'!$R31&lt;&gt;"",'Endrunde 4'!$T31&lt;&gt;"",ABS('Endrunde 4'!$R31-'Endrunde 4'!$T31)&gt;1),'Endrunde 4'!$R31,"")</f>
        <v/>
      </c>
      <c r="AG83" s="35" t="str">
        <f ca="1">IF(AND($AA83=1,'Endrunde 4'!$R31&lt;&gt;"",'Endrunde 4'!$T31&lt;&gt;"",ABS('Endrunde 4'!$R31-'Endrunde 4'!$T31)&gt;1),'Endrunde 4'!$T31,"")</f>
        <v/>
      </c>
      <c r="AH83" s="40">
        <f t="shared" ca="1" si="43"/>
        <v>39</v>
      </c>
      <c r="AI83" s="35">
        <f t="shared" ca="1" si="44"/>
        <v>48</v>
      </c>
      <c r="AJ83" s="40">
        <f ca="1">IF('Endrunde 4'!$U31="",0,'Endrunde 4'!$U31)</f>
        <v>1</v>
      </c>
      <c r="AK83" s="35">
        <f ca="1">IF('Endrunde 4'!$W31="",0,'Endrunde 4'!$W31)</f>
        <v>1</v>
      </c>
      <c r="AL83" s="13">
        <f ca="1">IF($AA83=0,"",IF($AJ83&gt;$AK83,Einstellungen!$C$4,IF($AJ83=$AK83,1,0)))</f>
        <v>1</v>
      </c>
      <c r="AM83" s="35">
        <f ca="1">IF($AA83=0,"",IF($AJ83&lt;$AK83,Einstellungen!$C$4,IF($AJ83=$AK83,1,0)))</f>
        <v>1</v>
      </c>
    </row>
    <row r="84" spans="2:39" s="2" customFormat="1" x14ac:dyDescent="0.2">
      <c r="B84" s="4"/>
      <c r="C84" s="4"/>
      <c r="D84" s="4"/>
      <c r="E84" s="4"/>
      <c r="F84" s="13"/>
      <c r="G84" s="13"/>
      <c r="H84" s="13"/>
      <c r="I84" s="13"/>
      <c r="J84" s="13"/>
      <c r="K84" s="13"/>
      <c r="L84" s="13"/>
      <c r="M84" s="13"/>
      <c r="U84" s="65" t="s">
        <v>36</v>
      </c>
      <c r="V84" s="40" t="str">
        <f ca="1">'Endrunde 4'!$I32</f>
        <v>Maibach 1822 eV</v>
      </c>
      <c r="W84" s="13" t="str">
        <f ca="1">'Endrunde 4'!$K32</f>
        <v>Manchester City</v>
      </c>
      <c r="X84" s="13">
        <f ca="1">IF(AND($AA84=1,'Endrunde 4'!$L32&lt;&gt;"",'Endrunde 4'!$N32&lt;&gt;"",ABS('Endrunde 4'!$L32-'Endrunde 4'!$N32)&gt;1),'Endrunde 4'!$L32,"")</f>
        <v>21</v>
      </c>
      <c r="Y84" s="35">
        <f ca="1">IF(AND($AA84=1,'Endrunde 4'!$L32&lt;&gt;"",'Endrunde 4'!$N32&lt;&gt;"",ABS('Endrunde 4'!$L32-'Endrunde 4'!$N32)&gt;1),'Endrunde 4'!$N32,"")</f>
        <v>25</v>
      </c>
      <c r="Z84" s="34" t="str">
        <f t="shared" ca="1" si="42"/>
        <v>Maibach 1822 eVManchester City</v>
      </c>
      <c r="AA84" s="13">
        <f ca="1">IF(AND(V84&lt;&gt;"",W84&lt;&gt;"",V84&lt;&gt;W84,'Endrunde 4'!$U32&lt;&gt;"",'Endrunde 4'!$W32&lt;&gt;""),1,0)</f>
        <v>1</v>
      </c>
      <c r="AB84" s="13" t="str">
        <f ca="1">IF(AA84&gt;0,AH84&amp;Sprache!$E$108&amp;AI84,"")</f>
        <v>46 : 42</v>
      </c>
      <c r="AC84" s="35" t="str">
        <f ca="1">IF(AA84&gt;0,AJ84&amp;Sprache!$E$108&amp;AK84,"")</f>
        <v>1 : 1</v>
      </c>
      <c r="AD84" s="40">
        <f ca="1">IF(AND($AA84=1,'Endrunde 4'!$O32&lt;&gt;"",'Endrunde 4'!$Q32&lt;&gt;"",ABS('Endrunde 4'!$O32-'Endrunde 4'!$Q32)&gt;1),'Endrunde 4'!$O32,"")</f>
        <v>25</v>
      </c>
      <c r="AE84" s="35">
        <f ca="1">IF(AND($AA84=1,'Endrunde 4'!$O32&lt;&gt;"",'Endrunde 4'!$Q32&lt;&gt;"",ABS('Endrunde 4'!$O32-'Endrunde 4'!$Q32)&gt;1),'Endrunde 4'!$Q32,"")</f>
        <v>17</v>
      </c>
      <c r="AF84" s="40" t="str">
        <f ca="1">IF(AND($AA84=1,'Endrunde 4'!$R32&lt;&gt;"",'Endrunde 4'!$T32&lt;&gt;"",ABS('Endrunde 4'!$R32-'Endrunde 4'!$T32)&gt;1),'Endrunde 4'!$R32,"")</f>
        <v/>
      </c>
      <c r="AG84" s="35" t="str">
        <f ca="1">IF(AND($AA84=1,'Endrunde 4'!$R32&lt;&gt;"",'Endrunde 4'!$T32&lt;&gt;"",ABS('Endrunde 4'!$R32-'Endrunde 4'!$T32)&gt;1),'Endrunde 4'!$T32,"")</f>
        <v/>
      </c>
      <c r="AH84" s="40">
        <f t="shared" ca="1" si="43"/>
        <v>46</v>
      </c>
      <c r="AI84" s="35">
        <f t="shared" ca="1" si="44"/>
        <v>42</v>
      </c>
      <c r="AJ84" s="40">
        <f ca="1">IF('Endrunde 4'!$U32="",0,'Endrunde 4'!$U32)</f>
        <v>1</v>
      </c>
      <c r="AK84" s="35">
        <f ca="1">IF('Endrunde 4'!$W32="",0,'Endrunde 4'!$W32)</f>
        <v>1</v>
      </c>
      <c r="AL84" s="13">
        <f ca="1">IF($AA84=0,"",IF($AJ84&gt;$AK84,Einstellungen!$C$4,IF($AJ84=$AK84,1,0)))</f>
        <v>1</v>
      </c>
      <c r="AM84" s="35">
        <f ca="1">IF($AA84=0,"",IF($AJ84&lt;$AK84,Einstellungen!$C$4,IF($AJ84=$AK84,1,0)))</f>
        <v>1</v>
      </c>
    </row>
    <row r="85" spans="2:39" s="2" customFormat="1" x14ac:dyDescent="0.2">
      <c r="B85" s="4"/>
      <c r="C85" s="4"/>
      <c r="D85" s="4"/>
      <c r="E85" s="4"/>
      <c r="F85" s="13"/>
      <c r="G85" s="13"/>
      <c r="H85" s="13"/>
      <c r="I85" s="13"/>
      <c r="J85" s="13"/>
      <c r="K85" s="13"/>
      <c r="L85" s="13"/>
      <c r="M85" s="13"/>
      <c r="U85" s="65" t="s">
        <v>37</v>
      </c>
      <c r="V85" s="40" t="str">
        <f ca="1">'Endrunde 4'!$I33</f>
        <v/>
      </c>
      <c r="W85" s="13" t="str">
        <f ca="1">'Endrunde 4'!$K33</f>
        <v/>
      </c>
      <c r="X85" s="13" t="str">
        <f ca="1">IF(AND($AA85=1,'Endrunde 4'!$L33&lt;&gt;"",'Endrunde 4'!$N33&lt;&gt;"",ABS('Endrunde 4'!$L33-'Endrunde 4'!$N33)&gt;1),'Endrunde 4'!$L33,"")</f>
        <v/>
      </c>
      <c r="Y85" s="35" t="str">
        <f ca="1">IF(AND($AA85=1,'Endrunde 4'!$L33&lt;&gt;"",'Endrunde 4'!$N33&lt;&gt;"",ABS('Endrunde 4'!$L33-'Endrunde 4'!$N33)&gt;1),'Endrunde 4'!$N33,"")</f>
        <v/>
      </c>
      <c r="Z85" s="34" t="str">
        <f t="shared" ca="1" si="42"/>
        <v/>
      </c>
      <c r="AA85" s="13">
        <f ca="1">IF(AND(V85&lt;&gt;"",W85&lt;&gt;"",V85&lt;&gt;W85,'Endrunde 4'!$U33&lt;&gt;"",'Endrunde 4'!$W33&lt;&gt;""),1,0)</f>
        <v>0</v>
      </c>
      <c r="AB85" s="13" t="str">
        <f ca="1">IF(AA85&gt;0,AH85&amp;Sprache!$E$108&amp;AI85,"")</f>
        <v/>
      </c>
      <c r="AC85" s="35" t="str">
        <f ca="1">IF(AA85&gt;0,AJ85&amp;Sprache!$E$108&amp;AK85,"")</f>
        <v/>
      </c>
      <c r="AD85" s="40" t="str">
        <f ca="1">IF(AND($AA85=1,'Endrunde 4'!$O33&lt;&gt;"",'Endrunde 4'!$Q33&lt;&gt;"",ABS('Endrunde 4'!$O33-'Endrunde 4'!$Q33)&gt;1),'Endrunde 4'!$O33,"")</f>
        <v/>
      </c>
      <c r="AE85" s="35" t="str">
        <f ca="1">IF(AND($AA85=1,'Endrunde 4'!$O33&lt;&gt;"",'Endrunde 4'!$Q33&lt;&gt;"",ABS('Endrunde 4'!$O33-'Endrunde 4'!$Q33)&gt;1),'Endrunde 4'!$Q33,"")</f>
        <v/>
      </c>
      <c r="AF85" s="40" t="str">
        <f ca="1">IF(AND($AA85=1,'Endrunde 4'!$R33&lt;&gt;"",'Endrunde 4'!$T33&lt;&gt;"",ABS('Endrunde 4'!$R33-'Endrunde 4'!$T33)&gt;1),'Endrunde 4'!$R33,"")</f>
        <v/>
      </c>
      <c r="AG85" s="35" t="str">
        <f ca="1">IF(AND($AA85=1,'Endrunde 4'!$R33&lt;&gt;"",'Endrunde 4'!$T33&lt;&gt;"",ABS('Endrunde 4'!$R33-'Endrunde 4'!$T33)&gt;1),'Endrunde 4'!$T33,"")</f>
        <v/>
      </c>
      <c r="AH85" s="40" t="str">
        <f t="shared" ca="1" si="43"/>
        <v/>
      </c>
      <c r="AI85" s="35" t="str">
        <f t="shared" ca="1" si="44"/>
        <v/>
      </c>
      <c r="AJ85" s="40">
        <f ca="1">IF('Endrunde 4'!$U33="",0,'Endrunde 4'!$U33)</f>
        <v>0</v>
      </c>
      <c r="AK85" s="35">
        <f ca="1">IF('Endrunde 4'!$W33="",0,'Endrunde 4'!$W33)</f>
        <v>0</v>
      </c>
      <c r="AL85" s="13" t="str">
        <f ca="1">IF($AA85=0,"",IF($AJ85&gt;$AK85,Einstellungen!$C$4,IF($AJ85=$AK85,1,0)))</f>
        <v/>
      </c>
      <c r="AM85" s="35" t="str">
        <f ca="1">IF($AA85=0,"",IF($AJ85&lt;$AK85,Einstellungen!$C$4,IF($AJ85=$AK85,1,0)))</f>
        <v/>
      </c>
    </row>
    <row r="86" spans="2:39" s="2" customFormat="1" x14ac:dyDescent="0.2">
      <c r="B86" s="4"/>
      <c r="C86" s="4"/>
      <c r="D86" s="4"/>
      <c r="E86" s="4"/>
      <c r="F86" s="13"/>
      <c r="G86" s="13"/>
      <c r="H86" s="13"/>
      <c r="I86" s="13"/>
      <c r="J86" s="13"/>
      <c r="K86" s="13"/>
      <c r="L86" s="13"/>
      <c r="M86" s="13"/>
      <c r="U86" s="65" t="s">
        <v>38</v>
      </c>
      <c r="V86" s="40" t="str">
        <f ca="1">'Endrunde 4'!$I34</f>
        <v>FC Barcelona</v>
      </c>
      <c r="W86" s="13" t="str">
        <f ca="1">'Endrunde 4'!$K34</f>
        <v>Inter Mailand</v>
      </c>
      <c r="X86" s="13">
        <f ca="1">IF(AND($AA86=1,'Endrunde 4'!$L34&lt;&gt;"",'Endrunde 4'!$N34&lt;&gt;"",ABS('Endrunde 4'!$L34-'Endrunde 4'!$N34)&gt;1),'Endrunde 4'!$L34,"")</f>
        <v>20</v>
      </c>
      <c r="Y86" s="35">
        <f ca="1">IF(AND($AA86=1,'Endrunde 4'!$L34&lt;&gt;"",'Endrunde 4'!$N34&lt;&gt;"",ABS('Endrunde 4'!$L34-'Endrunde 4'!$N34)&gt;1),'Endrunde 4'!$N34,"")</f>
        <v>25</v>
      </c>
      <c r="Z86" s="34" t="str">
        <f t="shared" ca="1" si="42"/>
        <v>FC BarcelonaInter Mailand</v>
      </c>
      <c r="AA86" s="13">
        <f ca="1">IF(AND(V86&lt;&gt;"",W86&lt;&gt;"",V86&lt;&gt;W86,'Endrunde 4'!$U34&lt;&gt;"",'Endrunde 4'!$W34&lt;&gt;""),1,0)</f>
        <v>1</v>
      </c>
      <c r="AB86" s="13" t="str">
        <f ca="1">IF(AA86&gt;0,AH86&amp;Sprache!$E$108&amp;AI86,"")</f>
        <v>70 : 65</v>
      </c>
      <c r="AC86" s="35" t="str">
        <f ca="1">IF(AA86&gt;0,AJ86&amp;Sprache!$E$108&amp;AK86,"")</f>
        <v>2 : 1</v>
      </c>
      <c r="AD86" s="40">
        <f ca="1">IF(AND($AA86=1,'Endrunde 4'!$O34&lt;&gt;"",'Endrunde 4'!$Q34&lt;&gt;"",ABS('Endrunde 4'!$O34-'Endrunde 4'!$Q34)&gt;1),'Endrunde 4'!$O34,"")</f>
        <v>25</v>
      </c>
      <c r="AE86" s="35">
        <f ca="1">IF(AND($AA86=1,'Endrunde 4'!$O34&lt;&gt;"",'Endrunde 4'!$Q34&lt;&gt;"",ABS('Endrunde 4'!$O34-'Endrunde 4'!$Q34)&gt;1),'Endrunde 4'!$Q34,"")</f>
        <v>18</v>
      </c>
      <c r="AF86" s="40">
        <f ca="1">IF(AND($AA86=1,'Endrunde 4'!$R34&lt;&gt;"",'Endrunde 4'!$T34&lt;&gt;"",ABS('Endrunde 4'!$R34-'Endrunde 4'!$T34)&gt;1),'Endrunde 4'!$R34,"")</f>
        <v>25</v>
      </c>
      <c r="AG86" s="35">
        <f ca="1">IF(AND($AA86=1,'Endrunde 4'!$R34&lt;&gt;"",'Endrunde 4'!$T34&lt;&gt;"",ABS('Endrunde 4'!$R34-'Endrunde 4'!$T34)&gt;1),'Endrunde 4'!$T34,"")</f>
        <v>22</v>
      </c>
      <c r="AH86" s="40">
        <f t="shared" ca="1" si="43"/>
        <v>70</v>
      </c>
      <c r="AI86" s="35">
        <f t="shared" ca="1" si="44"/>
        <v>65</v>
      </c>
      <c r="AJ86" s="40">
        <f ca="1">IF('Endrunde 4'!$U34="",0,'Endrunde 4'!$U34)</f>
        <v>2</v>
      </c>
      <c r="AK86" s="35">
        <f ca="1">IF('Endrunde 4'!$W34="",0,'Endrunde 4'!$W34)</f>
        <v>1</v>
      </c>
      <c r="AL86" s="13">
        <f ca="1">IF($AA86=0,"",IF($AJ86&gt;$AK86,Einstellungen!$C$4,IF($AJ86=$AK86,1,0)))</f>
        <v>2</v>
      </c>
      <c r="AM86" s="35">
        <f ca="1">IF($AA86=0,"",IF($AJ86&lt;$AK86,Einstellungen!$C$4,IF($AJ86=$AK86,1,0)))</f>
        <v>0</v>
      </c>
    </row>
    <row r="87" spans="2:39" s="2" customFormat="1" x14ac:dyDescent="0.2">
      <c r="B87" s="4"/>
      <c r="C87" s="4"/>
      <c r="D87" s="4"/>
      <c r="E87" s="4"/>
      <c r="F87" s="13"/>
      <c r="G87" s="13"/>
      <c r="H87" s="13"/>
      <c r="I87" s="13"/>
      <c r="J87" s="13"/>
      <c r="K87" s="13"/>
      <c r="L87" s="13"/>
      <c r="M87" s="13"/>
      <c r="U87" s="65" t="s">
        <v>39</v>
      </c>
      <c r="V87" s="40" t="str">
        <f ca="1">'Endrunde 4'!$I35</f>
        <v>VFB Essenheim</v>
      </c>
      <c r="W87" s="13" t="str">
        <f ca="1">'Endrunde 4'!$K35</f>
        <v>FC Grönlingen</v>
      </c>
      <c r="X87" s="13">
        <f ca="1">IF(AND($AA87=1,'Endrunde 4'!$L35&lt;&gt;"",'Endrunde 4'!$N35&lt;&gt;"",ABS('Endrunde 4'!$L35-'Endrunde 4'!$N35)&gt;1),'Endrunde 4'!$L35,"")</f>
        <v>25</v>
      </c>
      <c r="Y87" s="35">
        <f ca="1">IF(AND($AA87=1,'Endrunde 4'!$L35&lt;&gt;"",'Endrunde 4'!$N35&lt;&gt;"",ABS('Endrunde 4'!$L35-'Endrunde 4'!$N35)&gt;1),'Endrunde 4'!$N35,"")</f>
        <v>20</v>
      </c>
      <c r="Z87" s="34" t="str">
        <f t="shared" ca="1" si="42"/>
        <v>VFB EssenheimFC Grönlingen</v>
      </c>
      <c r="AA87" s="13">
        <f ca="1">IF(AND(V87&lt;&gt;"",W87&lt;&gt;"",V87&lt;&gt;W87,'Endrunde 4'!$U35&lt;&gt;"",'Endrunde 4'!$W35&lt;&gt;""),1,0)</f>
        <v>1</v>
      </c>
      <c r="AB87" s="13" t="str">
        <f ca="1">IF(AA87&gt;0,AH87&amp;Sprache!$E$108&amp;AI87,"")</f>
        <v>50 : 39</v>
      </c>
      <c r="AC87" s="35" t="str">
        <f ca="1">IF(AA87&gt;0,AJ87&amp;Sprache!$E$108&amp;AK87,"")</f>
        <v>2 : 0</v>
      </c>
      <c r="AD87" s="40">
        <f ca="1">IF(AND($AA87=1,'Endrunde 4'!$O35&lt;&gt;"",'Endrunde 4'!$Q35&lt;&gt;"",ABS('Endrunde 4'!$O35-'Endrunde 4'!$Q35)&gt;1),'Endrunde 4'!$O35,"")</f>
        <v>25</v>
      </c>
      <c r="AE87" s="35">
        <f ca="1">IF(AND($AA87=1,'Endrunde 4'!$O35&lt;&gt;"",'Endrunde 4'!$Q35&lt;&gt;"",ABS('Endrunde 4'!$O35-'Endrunde 4'!$Q35)&gt;1),'Endrunde 4'!$Q35,"")</f>
        <v>19</v>
      </c>
      <c r="AF87" s="40" t="str">
        <f ca="1">IF(AND($AA87=1,'Endrunde 4'!$R35&lt;&gt;"",'Endrunde 4'!$T35&lt;&gt;"",ABS('Endrunde 4'!$R35-'Endrunde 4'!$T35)&gt;1),'Endrunde 4'!$R35,"")</f>
        <v/>
      </c>
      <c r="AG87" s="35" t="str">
        <f ca="1">IF(AND($AA87=1,'Endrunde 4'!$R35&lt;&gt;"",'Endrunde 4'!$T35&lt;&gt;"",ABS('Endrunde 4'!$R35-'Endrunde 4'!$T35)&gt;1),'Endrunde 4'!$T35,"")</f>
        <v/>
      </c>
      <c r="AH87" s="40">
        <f t="shared" ca="1" si="43"/>
        <v>50</v>
      </c>
      <c r="AI87" s="35">
        <f t="shared" ca="1" si="44"/>
        <v>39</v>
      </c>
      <c r="AJ87" s="40">
        <f ca="1">IF('Endrunde 4'!$U35="",0,'Endrunde 4'!$U35)</f>
        <v>2</v>
      </c>
      <c r="AK87" s="35">
        <f ca="1">IF('Endrunde 4'!$W35="",0,'Endrunde 4'!$W35)</f>
        <v>0</v>
      </c>
      <c r="AL87" s="13">
        <f ca="1">IF($AA87=0,"",IF($AJ87&gt;$AK87,Einstellungen!$C$4,IF($AJ87=$AK87,1,0)))</f>
        <v>2</v>
      </c>
      <c r="AM87" s="35">
        <f ca="1">IF($AA87=0,"",IF($AJ87&lt;$AK87,Einstellungen!$C$4,IF($AJ87=$AK87,1,0)))</f>
        <v>0</v>
      </c>
    </row>
    <row r="88" spans="2:39" s="2" customFormat="1" ht="12.75" thickBot="1" x14ac:dyDescent="0.25">
      <c r="B88" s="4"/>
      <c r="C88" s="4"/>
      <c r="D88" s="4"/>
      <c r="E88" s="4"/>
      <c r="F88" s="13"/>
      <c r="G88" s="13"/>
      <c r="H88" s="13"/>
      <c r="I88" s="13"/>
      <c r="J88" s="13"/>
      <c r="K88" s="13"/>
      <c r="L88" s="13"/>
      <c r="M88" s="13"/>
      <c r="U88" s="754" t="s">
        <v>40</v>
      </c>
      <c r="V88" s="755" t="str">
        <f ca="1">'Endrunde 4'!$I36</f>
        <v>Eintracht Frankfurt</v>
      </c>
      <c r="W88" s="756" t="str">
        <f ca="1">'Endrunde 4'!$K36</f>
        <v>Mainz 05</v>
      </c>
      <c r="X88" s="756">
        <f ca="1">IF(AND($AA88=1,'Endrunde 4'!$L36&lt;&gt;"",'Endrunde 4'!$N36&lt;&gt;"",ABS('Endrunde 4'!$L36-'Endrunde 4'!$N36)&gt;1),'Endrunde 4'!$L36,"")</f>
        <v>25</v>
      </c>
      <c r="Y88" s="757">
        <f ca="1">IF(AND($AA88=1,'Endrunde 4'!$L36&lt;&gt;"",'Endrunde 4'!$N36&lt;&gt;"",ABS('Endrunde 4'!$L36-'Endrunde 4'!$N36)&gt;1),'Endrunde 4'!$N36,"")</f>
        <v>13</v>
      </c>
      <c r="Z88" s="758" t="str">
        <f t="shared" ca="1" si="42"/>
        <v>Eintracht FrankfurtMainz 05</v>
      </c>
      <c r="AA88" s="756">
        <f ca="1">IF(AND(V88&lt;&gt;"",W88&lt;&gt;"",V88&lt;&gt;W88,'Endrunde 4'!$U36&lt;&gt;"",'Endrunde 4'!$W36&lt;&gt;""),1,0)</f>
        <v>1</v>
      </c>
      <c r="AB88" s="756" t="str">
        <f ca="1">IF(AA88&gt;0,AH88&amp;Sprache!$E$108&amp;AI88,"")</f>
        <v>50 : 33</v>
      </c>
      <c r="AC88" s="757" t="str">
        <f ca="1">IF(AA88&gt;0,AJ88&amp;Sprache!$E$108&amp;AK88,"")</f>
        <v>2 : 0</v>
      </c>
      <c r="AD88" s="755">
        <f ca="1">IF(AND($AA88=1,'Endrunde 4'!$O36&lt;&gt;"",'Endrunde 4'!$Q36&lt;&gt;"",ABS('Endrunde 4'!$O36-'Endrunde 4'!$Q36)&gt;1),'Endrunde 4'!$O36,"")</f>
        <v>25</v>
      </c>
      <c r="AE88" s="757">
        <f ca="1">IF(AND($AA88=1,'Endrunde 4'!$O36&lt;&gt;"",'Endrunde 4'!$Q36&lt;&gt;"",ABS('Endrunde 4'!$O36-'Endrunde 4'!$Q36)&gt;1),'Endrunde 4'!$Q36,"")</f>
        <v>20</v>
      </c>
      <c r="AF88" s="755" t="str">
        <f ca="1">IF(AND($AA88=1,'Endrunde 4'!$R36&lt;&gt;"",'Endrunde 4'!$T36&lt;&gt;"",ABS('Endrunde 4'!$R36-'Endrunde 4'!$T36)&gt;1),'Endrunde 4'!$R36,"")</f>
        <v/>
      </c>
      <c r="AG88" s="757" t="str">
        <f ca="1">IF(AND($AA88=1,'Endrunde 4'!$R36&lt;&gt;"",'Endrunde 4'!$T36&lt;&gt;"",ABS('Endrunde 4'!$R36-'Endrunde 4'!$T36)&gt;1),'Endrunde 4'!$T36,"")</f>
        <v/>
      </c>
      <c r="AH88" s="755">
        <f t="shared" ca="1" si="43"/>
        <v>50</v>
      </c>
      <c r="AI88" s="757">
        <f t="shared" ca="1" si="44"/>
        <v>33</v>
      </c>
      <c r="AJ88" s="755">
        <f ca="1">IF('Endrunde 4'!$U36="",0,'Endrunde 4'!$U36)</f>
        <v>2</v>
      </c>
      <c r="AK88" s="757">
        <f ca="1">IF('Endrunde 4'!$W36="",0,'Endrunde 4'!$W36)</f>
        <v>0</v>
      </c>
      <c r="AL88" s="756">
        <f ca="1">IF($AA88=0,"",IF($AJ88&gt;$AK88,Einstellungen!$C$4,IF($AJ88=$AK88,1,0)))</f>
        <v>2</v>
      </c>
      <c r="AM88" s="757">
        <f ca="1">IF($AA88=0,"",IF($AJ88&lt;$AK88,Einstellungen!$C$4,IF($AJ88=$AK88,1,0)))</f>
        <v>0</v>
      </c>
    </row>
    <row r="89" spans="2:39" s="2" customFormat="1" ht="12.75" thickTop="1" x14ac:dyDescent="0.2">
      <c r="B89" s="4"/>
      <c r="C89" s="4"/>
      <c r="D89" s="4"/>
      <c r="E89" s="4"/>
      <c r="F89" s="13"/>
      <c r="G89" s="13"/>
      <c r="H89" s="13"/>
      <c r="I89" s="13"/>
      <c r="J89" s="13"/>
      <c r="K89" s="13"/>
      <c r="L89" s="13"/>
      <c r="M89" s="13"/>
      <c r="U89" s="65" t="s">
        <v>41</v>
      </c>
      <c r="V89" s="40" t="str">
        <f>""</f>
        <v/>
      </c>
      <c r="W89" s="13" t="str">
        <f>""</f>
        <v/>
      </c>
      <c r="X89" s="13" t="str">
        <f>""</f>
        <v/>
      </c>
      <c r="Y89" s="35" t="str">
        <f>""</f>
        <v/>
      </c>
      <c r="Z89" s="34" t="str">
        <f>""</f>
        <v/>
      </c>
      <c r="AA89" s="13">
        <v>0</v>
      </c>
      <c r="AB89" s="13" t="str">
        <f>""</f>
        <v/>
      </c>
      <c r="AC89" s="35"/>
      <c r="AD89" s="40" t="str">
        <f>""</f>
        <v/>
      </c>
      <c r="AE89" s="35" t="str">
        <f>""</f>
        <v/>
      </c>
      <c r="AF89" s="40" t="str">
        <f>""</f>
        <v/>
      </c>
      <c r="AG89" s="35" t="str">
        <f>""</f>
        <v/>
      </c>
      <c r="AH89" s="40" t="str">
        <f>""</f>
        <v/>
      </c>
      <c r="AI89" s="35" t="str">
        <f>""</f>
        <v/>
      </c>
      <c r="AJ89" s="40"/>
      <c r="AK89" s="35"/>
      <c r="AL89" s="13" t="str">
        <f>""</f>
        <v/>
      </c>
      <c r="AM89" s="35" t="str">
        <f>""</f>
        <v/>
      </c>
    </row>
    <row r="90" spans="2:39" s="2" customFormat="1" x14ac:dyDescent="0.2">
      <c r="B90" s="4"/>
      <c r="C90" s="4"/>
      <c r="D90" s="4"/>
      <c r="E90" s="4"/>
      <c r="F90" s="13"/>
      <c r="G90" s="13"/>
      <c r="H90" s="13"/>
      <c r="I90" s="13"/>
      <c r="J90" s="13"/>
      <c r="K90" s="13"/>
      <c r="L90" s="13"/>
      <c r="M90" s="13"/>
      <c r="U90" s="65" t="s">
        <v>42</v>
      </c>
      <c r="V90" s="40" t="str">
        <f>""</f>
        <v/>
      </c>
      <c r="W90" s="13" t="str">
        <f>""</f>
        <v/>
      </c>
      <c r="X90" s="13" t="str">
        <f>""</f>
        <v/>
      </c>
      <c r="Y90" s="35" t="str">
        <f>""</f>
        <v/>
      </c>
      <c r="Z90" s="34" t="str">
        <f>""</f>
        <v/>
      </c>
      <c r="AA90" s="13">
        <v>0</v>
      </c>
      <c r="AB90" s="13" t="str">
        <f>""</f>
        <v/>
      </c>
      <c r="AC90" s="35"/>
      <c r="AD90" s="40" t="str">
        <f>""</f>
        <v/>
      </c>
      <c r="AE90" s="35" t="str">
        <f>""</f>
        <v/>
      </c>
      <c r="AF90" s="40" t="str">
        <f>""</f>
        <v/>
      </c>
      <c r="AG90" s="35" t="str">
        <f>""</f>
        <v/>
      </c>
      <c r="AH90" s="40" t="str">
        <f>""</f>
        <v/>
      </c>
      <c r="AI90" s="35" t="str">
        <f>""</f>
        <v/>
      </c>
      <c r="AJ90" s="40"/>
      <c r="AK90" s="35"/>
      <c r="AL90" s="13" t="str">
        <f>""</f>
        <v/>
      </c>
      <c r="AM90" s="35" t="str">
        <f>""</f>
        <v/>
      </c>
    </row>
    <row r="91" spans="2:39" s="2" customFormat="1" x14ac:dyDescent="0.2">
      <c r="B91" s="4"/>
      <c r="C91" s="4"/>
      <c r="D91" s="4"/>
      <c r="E91" s="4"/>
      <c r="F91" s="13"/>
      <c r="G91" s="13"/>
      <c r="H91" s="13"/>
      <c r="I91" s="13"/>
      <c r="J91" s="13"/>
      <c r="K91" s="13"/>
      <c r="L91" s="13"/>
      <c r="M91" s="13"/>
      <c r="U91" s="65" t="s">
        <v>43</v>
      </c>
      <c r="V91" s="40" t="str">
        <f>""</f>
        <v/>
      </c>
      <c r="W91" s="13" t="str">
        <f>""</f>
        <v/>
      </c>
      <c r="X91" s="13" t="str">
        <f>""</f>
        <v/>
      </c>
      <c r="Y91" s="35" t="str">
        <f>""</f>
        <v/>
      </c>
      <c r="Z91" s="34" t="str">
        <f>""</f>
        <v/>
      </c>
      <c r="AA91" s="13">
        <v>0</v>
      </c>
      <c r="AB91" s="13" t="str">
        <f>""</f>
        <v/>
      </c>
      <c r="AC91" s="35"/>
      <c r="AD91" s="40" t="str">
        <f>""</f>
        <v/>
      </c>
      <c r="AE91" s="35" t="str">
        <f>""</f>
        <v/>
      </c>
      <c r="AF91" s="40" t="str">
        <f>""</f>
        <v/>
      </c>
      <c r="AG91" s="35" t="str">
        <f>""</f>
        <v/>
      </c>
      <c r="AH91" s="40" t="str">
        <f>""</f>
        <v/>
      </c>
      <c r="AI91" s="35" t="str">
        <f>""</f>
        <v/>
      </c>
      <c r="AJ91" s="40"/>
      <c r="AK91" s="35"/>
      <c r="AL91" s="13" t="str">
        <f>""</f>
        <v/>
      </c>
      <c r="AM91" s="35" t="str">
        <f>""</f>
        <v/>
      </c>
    </row>
    <row r="92" spans="2:39" s="2" customFormat="1" x14ac:dyDescent="0.2">
      <c r="B92" s="4"/>
      <c r="C92" s="4"/>
      <c r="D92" s="4"/>
      <c r="E92" s="4"/>
      <c r="F92" s="13"/>
      <c r="G92" s="13"/>
      <c r="H92" s="13"/>
      <c r="I92" s="13"/>
      <c r="J92" s="13"/>
      <c r="K92" s="13"/>
      <c r="L92" s="13"/>
      <c r="M92" s="13"/>
      <c r="U92" s="65" t="s">
        <v>44</v>
      </c>
      <c r="V92" s="40" t="str">
        <f>""</f>
        <v/>
      </c>
      <c r="W92" s="13" t="str">
        <f>""</f>
        <v/>
      </c>
      <c r="X92" s="13" t="str">
        <f>""</f>
        <v/>
      </c>
      <c r="Y92" s="35" t="str">
        <f>""</f>
        <v/>
      </c>
      <c r="Z92" s="34" t="str">
        <f>""</f>
        <v/>
      </c>
      <c r="AA92" s="13">
        <v>0</v>
      </c>
      <c r="AB92" s="13" t="str">
        <f>""</f>
        <v/>
      </c>
      <c r="AC92" s="35"/>
      <c r="AD92" s="40" t="str">
        <f>""</f>
        <v/>
      </c>
      <c r="AE92" s="35" t="str">
        <f>""</f>
        <v/>
      </c>
      <c r="AF92" s="40" t="str">
        <f>""</f>
        <v/>
      </c>
      <c r="AG92" s="35" t="str">
        <f>""</f>
        <v/>
      </c>
      <c r="AH92" s="40" t="str">
        <f>""</f>
        <v/>
      </c>
      <c r="AI92" s="35" t="str">
        <f>""</f>
        <v/>
      </c>
      <c r="AJ92" s="40"/>
      <c r="AK92" s="35"/>
      <c r="AL92" s="13" t="str">
        <f>""</f>
        <v/>
      </c>
      <c r="AM92" s="35" t="str">
        <f>""</f>
        <v/>
      </c>
    </row>
    <row r="93" spans="2:39" s="2" customFormat="1" x14ac:dyDescent="0.2">
      <c r="B93" s="4"/>
      <c r="C93" s="4"/>
      <c r="D93" s="4"/>
      <c r="E93" s="4"/>
      <c r="F93" s="13"/>
      <c r="G93" s="13"/>
      <c r="H93" s="13"/>
      <c r="I93" s="13"/>
      <c r="J93" s="13"/>
      <c r="K93" s="13"/>
      <c r="L93" s="13"/>
      <c r="M93" s="13"/>
      <c r="U93" s="65" t="s">
        <v>45</v>
      </c>
      <c r="V93" s="40" t="str">
        <f>""</f>
        <v/>
      </c>
      <c r="W93" s="13" t="str">
        <f>""</f>
        <v/>
      </c>
      <c r="X93" s="13" t="str">
        <f>""</f>
        <v/>
      </c>
      <c r="Y93" s="35" t="str">
        <f>""</f>
        <v/>
      </c>
      <c r="Z93" s="34" t="str">
        <f>""</f>
        <v/>
      </c>
      <c r="AA93" s="13">
        <v>0</v>
      </c>
      <c r="AB93" s="13" t="str">
        <f>""</f>
        <v/>
      </c>
      <c r="AC93" s="35"/>
      <c r="AD93" s="40" t="str">
        <f>""</f>
        <v/>
      </c>
      <c r="AE93" s="35" t="str">
        <f>""</f>
        <v/>
      </c>
      <c r="AF93" s="40" t="str">
        <f>""</f>
        <v/>
      </c>
      <c r="AG93" s="35" t="str">
        <f>""</f>
        <v/>
      </c>
      <c r="AH93" s="40" t="str">
        <f>""</f>
        <v/>
      </c>
      <c r="AI93" s="35" t="str">
        <f>""</f>
        <v/>
      </c>
      <c r="AJ93" s="40"/>
      <c r="AK93" s="35"/>
      <c r="AL93" s="13" t="str">
        <f>""</f>
        <v/>
      </c>
      <c r="AM93" s="35" t="str">
        <f>""</f>
        <v/>
      </c>
    </row>
    <row r="94" spans="2:39" s="2" customFormat="1" x14ac:dyDescent="0.2">
      <c r="B94" s="4"/>
      <c r="C94" s="4"/>
      <c r="D94" s="4"/>
      <c r="E94" s="4"/>
      <c r="F94" s="13"/>
      <c r="G94" s="13"/>
      <c r="H94" s="13"/>
      <c r="I94" s="13"/>
      <c r="J94" s="13"/>
      <c r="K94" s="13"/>
      <c r="L94" s="13"/>
      <c r="M94" s="13"/>
      <c r="U94" s="65" t="s">
        <v>46</v>
      </c>
      <c r="V94" s="40" t="str">
        <f>""</f>
        <v/>
      </c>
      <c r="W94" s="13" t="str">
        <f>""</f>
        <v/>
      </c>
      <c r="X94" s="13" t="str">
        <f>""</f>
        <v/>
      </c>
      <c r="Y94" s="35" t="str">
        <f>""</f>
        <v/>
      </c>
      <c r="Z94" s="34" t="str">
        <f>""</f>
        <v/>
      </c>
      <c r="AA94" s="13">
        <v>0</v>
      </c>
      <c r="AB94" s="13" t="str">
        <f>""</f>
        <v/>
      </c>
      <c r="AC94" s="35"/>
      <c r="AD94" s="40" t="str">
        <f>""</f>
        <v/>
      </c>
      <c r="AE94" s="35" t="str">
        <f>""</f>
        <v/>
      </c>
      <c r="AF94" s="40" t="str">
        <f>""</f>
        <v/>
      </c>
      <c r="AG94" s="35" t="str">
        <f>""</f>
        <v/>
      </c>
      <c r="AH94" s="40" t="str">
        <f>""</f>
        <v/>
      </c>
      <c r="AI94" s="35" t="str">
        <f>""</f>
        <v/>
      </c>
      <c r="AJ94" s="40"/>
      <c r="AK94" s="35"/>
      <c r="AL94" s="13" t="str">
        <f>""</f>
        <v/>
      </c>
      <c r="AM94" s="35" t="str">
        <f>""</f>
        <v/>
      </c>
    </row>
    <row r="95" spans="2:39" s="2" customFormat="1" x14ac:dyDescent="0.2">
      <c r="B95" s="4"/>
      <c r="C95" s="4"/>
      <c r="D95" s="4"/>
      <c r="E95" s="4"/>
      <c r="F95" s="13"/>
      <c r="G95" s="13"/>
      <c r="H95" s="13"/>
      <c r="I95" s="13"/>
      <c r="J95" s="13"/>
      <c r="K95" s="13"/>
      <c r="L95" s="13"/>
      <c r="M95" s="13"/>
      <c r="U95" s="65" t="s">
        <v>47</v>
      </c>
      <c r="V95" s="40" t="str">
        <f>""</f>
        <v/>
      </c>
      <c r="W95" s="13" t="str">
        <f>""</f>
        <v/>
      </c>
      <c r="X95" s="13" t="str">
        <f>""</f>
        <v/>
      </c>
      <c r="Y95" s="35" t="str">
        <f>""</f>
        <v/>
      </c>
      <c r="Z95" s="34" t="str">
        <f>""</f>
        <v/>
      </c>
      <c r="AA95" s="13">
        <v>0</v>
      </c>
      <c r="AB95" s="13" t="str">
        <f>""</f>
        <v/>
      </c>
      <c r="AC95" s="35"/>
      <c r="AD95" s="40" t="str">
        <f>""</f>
        <v/>
      </c>
      <c r="AE95" s="35" t="str">
        <f>""</f>
        <v/>
      </c>
      <c r="AF95" s="40" t="str">
        <f>""</f>
        <v/>
      </c>
      <c r="AG95" s="35" t="str">
        <f>""</f>
        <v/>
      </c>
      <c r="AH95" s="40" t="str">
        <f>""</f>
        <v/>
      </c>
      <c r="AI95" s="35" t="str">
        <f>""</f>
        <v/>
      </c>
      <c r="AJ95" s="40"/>
      <c r="AK95" s="35"/>
      <c r="AL95" s="13" t="str">
        <f>""</f>
        <v/>
      </c>
      <c r="AM95" s="35" t="str">
        <f>""</f>
        <v/>
      </c>
    </row>
    <row r="96" spans="2:39" s="2" customFormat="1" x14ac:dyDescent="0.2">
      <c r="B96" s="4"/>
      <c r="C96" s="4"/>
      <c r="D96" s="4"/>
      <c r="E96" s="4"/>
      <c r="F96" s="13"/>
      <c r="G96" s="13"/>
      <c r="H96" s="13"/>
      <c r="I96" s="13"/>
      <c r="J96" s="13"/>
      <c r="K96" s="13"/>
      <c r="L96" s="13"/>
      <c r="M96" s="13"/>
      <c r="U96" s="65" t="s">
        <v>48</v>
      </c>
      <c r="V96" s="40" t="str">
        <f>""</f>
        <v/>
      </c>
      <c r="W96" s="13" t="str">
        <f>""</f>
        <v/>
      </c>
      <c r="X96" s="13" t="str">
        <f>""</f>
        <v/>
      </c>
      <c r="Y96" s="35" t="str">
        <f>""</f>
        <v/>
      </c>
      <c r="Z96" s="34" t="str">
        <f>""</f>
        <v/>
      </c>
      <c r="AA96" s="13">
        <v>0</v>
      </c>
      <c r="AB96" s="13" t="str">
        <f>""</f>
        <v/>
      </c>
      <c r="AC96" s="35"/>
      <c r="AD96" s="40" t="str">
        <f>""</f>
        <v/>
      </c>
      <c r="AE96" s="35" t="str">
        <f>""</f>
        <v/>
      </c>
      <c r="AF96" s="40" t="str">
        <f>""</f>
        <v/>
      </c>
      <c r="AG96" s="35" t="str">
        <f>""</f>
        <v/>
      </c>
      <c r="AH96" s="40" t="str">
        <f>""</f>
        <v/>
      </c>
      <c r="AI96" s="35" t="str">
        <f>""</f>
        <v/>
      </c>
      <c r="AJ96" s="40"/>
      <c r="AK96" s="35"/>
      <c r="AL96" s="13" t="str">
        <f>""</f>
        <v/>
      </c>
      <c r="AM96" s="35" t="str">
        <f>""</f>
        <v/>
      </c>
    </row>
    <row r="97" spans="2:39" s="2" customFormat="1" x14ac:dyDescent="0.2">
      <c r="B97" s="4"/>
      <c r="C97" s="4"/>
      <c r="D97" s="4"/>
      <c r="E97" s="4"/>
      <c r="F97" s="13"/>
      <c r="G97" s="13"/>
      <c r="H97" s="13"/>
      <c r="I97" s="13"/>
      <c r="J97" s="13"/>
      <c r="K97" s="13"/>
      <c r="L97" s="13"/>
      <c r="M97" s="13"/>
      <c r="U97" s="65" t="s">
        <v>49</v>
      </c>
      <c r="V97" s="40" t="str">
        <f>""</f>
        <v/>
      </c>
      <c r="W97" s="13" t="str">
        <f>""</f>
        <v/>
      </c>
      <c r="X97" s="13" t="str">
        <f>""</f>
        <v/>
      </c>
      <c r="Y97" s="35" t="str">
        <f>""</f>
        <v/>
      </c>
      <c r="Z97" s="34" t="str">
        <f>""</f>
        <v/>
      </c>
      <c r="AA97" s="13">
        <v>0</v>
      </c>
      <c r="AB97" s="13" t="str">
        <f>""</f>
        <v/>
      </c>
      <c r="AC97" s="35"/>
      <c r="AD97" s="40" t="str">
        <f>""</f>
        <v/>
      </c>
      <c r="AE97" s="35" t="str">
        <f>""</f>
        <v/>
      </c>
      <c r="AF97" s="40" t="str">
        <f>""</f>
        <v/>
      </c>
      <c r="AG97" s="35" t="str">
        <f>""</f>
        <v/>
      </c>
      <c r="AH97" s="40" t="str">
        <f>""</f>
        <v/>
      </c>
      <c r="AI97" s="35" t="str">
        <f>""</f>
        <v/>
      </c>
      <c r="AJ97" s="40"/>
      <c r="AK97" s="35"/>
      <c r="AL97" s="13" t="str">
        <f>""</f>
        <v/>
      </c>
      <c r="AM97" s="35" t="str">
        <f>""</f>
        <v/>
      </c>
    </row>
    <row r="98" spans="2:39" s="2" customFormat="1" x14ac:dyDescent="0.2">
      <c r="B98" s="4"/>
      <c r="C98" s="4"/>
      <c r="D98" s="4"/>
      <c r="E98" s="4"/>
      <c r="F98" s="13"/>
      <c r="G98" s="13"/>
      <c r="H98" s="13"/>
      <c r="I98" s="13"/>
      <c r="J98" s="13"/>
      <c r="K98" s="13"/>
      <c r="L98" s="13"/>
      <c r="M98" s="13"/>
      <c r="U98" s="65" t="s">
        <v>50</v>
      </c>
      <c r="V98" s="40" t="str">
        <f>""</f>
        <v/>
      </c>
      <c r="W98" s="13" t="str">
        <f>""</f>
        <v/>
      </c>
      <c r="X98" s="13" t="str">
        <f>""</f>
        <v/>
      </c>
      <c r="Y98" s="35" t="str">
        <f>""</f>
        <v/>
      </c>
      <c r="Z98" s="34" t="str">
        <f>""</f>
        <v/>
      </c>
      <c r="AA98" s="13">
        <v>0</v>
      </c>
      <c r="AB98" s="13" t="str">
        <f>""</f>
        <v/>
      </c>
      <c r="AC98" s="35"/>
      <c r="AD98" s="40" t="str">
        <f>""</f>
        <v/>
      </c>
      <c r="AE98" s="35" t="str">
        <f>""</f>
        <v/>
      </c>
      <c r="AF98" s="40" t="str">
        <f>""</f>
        <v/>
      </c>
      <c r="AG98" s="35" t="str">
        <f>""</f>
        <v/>
      </c>
      <c r="AH98" s="40" t="str">
        <f>""</f>
        <v/>
      </c>
      <c r="AI98" s="35" t="str">
        <f>""</f>
        <v/>
      </c>
      <c r="AJ98" s="40"/>
      <c r="AK98" s="35"/>
      <c r="AL98" s="13" t="str">
        <f>""</f>
        <v/>
      </c>
      <c r="AM98" s="35" t="str">
        <f>""</f>
        <v/>
      </c>
    </row>
    <row r="99" spans="2:39" s="2" customFormat="1" x14ac:dyDescent="0.2">
      <c r="B99" s="4"/>
      <c r="C99" s="4"/>
      <c r="D99" s="4"/>
      <c r="E99" s="4"/>
      <c r="F99" s="13"/>
      <c r="G99" s="13"/>
      <c r="H99" s="13"/>
      <c r="I99" s="13"/>
      <c r="J99" s="13"/>
      <c r="K99" s="13"/>
      <c r="L99" s="13"/>
      <c r="M99" s="13"/>
      <c r="U99" s="65" t="s">
        <v>51</v>
      </c>
      <c r="V99" s="40" t="str">
        <f>""</f>
        <v/>
      </c>
      <c r="W99" s="13" t="str">
        <f>""</f>
        <v/>
      </c>
      <c r="X99" s="13" t="str">
        <f>""</f>
        <v/>
      </c>
      <c r="Y99" s="35" t="str">
        <f>""</f>
        <v/>
      </c>
      <c r="Z99" s="34" t="str">
        <f>""</f>
        <v/>
      </c>
      <c r="AA99" s="13">
        <v>0</v>
      </c>
      <c r="AB99" s="13" t="str">
        <f>""</f>
        <v/>
      </c>
      <c r="AC99" s="35"/>
      <c r="AD99" s="40" t="str">
        <f>""</f>
        <v/>
      </c>
      <c r="AE99" s="35" t="str">
        <f>""</f>
        <v/>
      </c>
      <c r="AF99" s="40" t="str">
        <f>""</f>
        <v/>
      </c>
      <c r="AG99" s="35" t="str">
        <f>""</f>
        <v/>
      </c>
      <c r="AH99" s="40" t="str">
        <f>""</f>
        <v/>
      </c>
      <c r="AI99" s="35" t="str">
        <f>""</f>
        <v/>
      </c>
      <c r="AJ99" s="40"/>
      <c r="AK99" s="35"/>
      <c r="AL99" s="13" t="str">
        <f>""</f>
        <v/>
      </c>
      <c r="AM99" s="35" t="str">
        <f>""</f>
        <v/>
      </c>
    </row>
    <row r="100" spans="2:39" s="2" customFormat="1" x14ac:dyDescent="0.2">
      <c r="B100" s="4"/>
      <c r="C100" s="4"/>
      <c r="D100" s="4"/>
      <c r="E100" s="4"/>
      <c r="F100" s="13"/>
      <c r="G100" s="13"/>
      <c r="H100" s="13"/>
      <c r="I100" s="13"/>
      <c r="J100" s="13"/>
      <c r="K100" s="13"/>
      <c r="L100" s="13"/>
      <c r="M100" s="13"/>
      <c r="U100" s="65" t="s">
        <v>58</v>
      </c>
      <c r="V100" s="40" t="str">
        <f>""</f>
        <v/>
      </c>
      <c r="W100" s="13" t="str">
        <f>""</f>
        <v/>
      </c>
      <c r="X100" s="13" t="str">
        <f>""</f>
        <v/>
      </c>
      <c r="Y100" s="35" t="str">
        <f>""</f>
        <v/>
      </c>
      <c r="Z100" s="34" t="str">
        <f>""</f>
        <v/>
      </c>
      <c r="AA100" s="13">
        <v>0</v>
      </c>
      <c r="AB100" s="13" t="str">
        <f>""</f>
        <v/>
      </c>
      <c r="AC100" s="35"/>
      <c r="AD100" s="40" t="str">
        <f>""</f>
        <v/>
      </c>
      <c r="AE100" s="35" t="str">
        <f>""</f>
        <v/>
      </c>
      <c r="AF100" s="40" t="str">
        <f>""</f>
        <v/>
      </c>
      <c r="AG100" s="35" t="str">
        <f>""</f>
        <v/>
      </c>
      <c r="AH100" s="40" t="str">
        <f>""</f>
        <v/>
      </c>
      <c r="AI100" s="35" t="str">
        <f>""</f>
        <v/>
      </c>
      <c r="AJ100" s="40"/>
      <c r="AK100" s="35"/>
      <c r="AL100" s="13" t="str">
        <f>""</f>
        <v/>
      </c>
      <c r="AM100" s="35" t="str">
        <f>""</f>
        <v/>
      </c>
    </row>
    <row r="101" spans="2:39" s="2" customFormat="1" x14ac:dyDescent="0.2">
      <c r="B101" s="4"/>
      <c r="C101" s="4"/>
      <c r="D101" s="4"/>
      <c r="E101" s="4"/>
      <c r="F101" s="13"/>
      <c r="G101" s="13"/>
      <c r="H101" s="13"/>
      <c r="I101" s="13"/>
      <c r="J101" s="13"/>
      <c r="K101" s="13"/>
      <c r="L101" s="13"/>
      <c r="M101" s="13"/>
      <c r="U101" s="65" t="s">
        <v>59</v>
      </c>
      <c r="V101" s="40" t="str">
        <f>""</f>
        <v/>
      </c>
      <c r="W101" s="13" t="str">
        <f>""</f>
        <v/>
      </c>
      <c r="X101" s="13" t="str">
        <f>""</f>
        <v/>
      </c>
      <c r="Y101" s="35" t="str">
        <f>""</f>
        <v/>
      </c>
      <c r="Z101" s="34" t="str">
        <f>""</f>
        <v/>
      </c>
      <c r="AA101" s="13">
        <v>0</v>
      </c>
      <c r="AB101" s="13" t="str">
        <f>""</f>
        <v/>
      </c>
      <c r="AC101" s="35"/>
      <c r="AD101" s="40" t="str">
        <f>""</f>
        <v/>
      </c>
      <c r="AE101" s="35" t="str">
        <f>""</f>
        <v/>
      </c>
      <c r="AF101" s="40" t="str">
        <f>""</f>
        <v/>
      </c>
      <c r="AG101" s="35" t="str">
        <f>""</f>
        <v/>
      </c>
      <c r="AH101" s="40" t="str">
        <f>""</f>
        <v/>
      </c>
      <c r="AI101" s="35" t="str">
        <f>""</f>
        <v/>
      </c>
      <c r="AJ101" s="40"/>
      <c r="AK101" s="35"/>
      <c r="AL101" s="13" t="str">
        <f>""</f>
        <v/>
      </c>
      <c r="AM101" s="35" t="str">
        <f>""</f>
        <v/>
      </c>
    </row>
    <row r="102" spans="2:39" s="2" customFormat="1" x14ac:dyDescent="0.2">
      <c r="B102" s="4"/>
      <c r="C102" s="4"/>
      <c r="D102" s="4"/>
      <c r="E102" s="4"/>
      <c r="F102" s="13"/>
      <c r="G102" s="13"/>
      <c r="H102" s="13"/>
      <c r="I102" s="13"/>
      <c r="J102" s="13"/>
      <c r="K102" s="13"/>
      <c r="L102" s="13"/>
      <c r="M102" s="13"/>
      <c r="U102" s="65" t="s">
        <v>60</v>
      </c>
      <c r="V102" s="40" t="str">
        <f>""</f>
        <v/>
      </c>
      <c r="W102" s="13" t="str">
        <f>""</f>
        <v/>
      </c>
      <c r="X102" s="13" t="str">
        <f>""</f>
        <v/>
      </c>
      <c r="Y102" s="35" t="str">
        <f>""</f>
        <v/>
      </c>
      <c r="Z102" s="34" t="str">
        <f>""</f>
        <v/>
      </c>
      <c r="AA102" s="13">
        <v>0</v>
      </c>
      <c r="AB102" s="13" t="str">
        <f>""</f>
        <v/>
      </c>
      <c r="AC102" s="35"/>
      <c r="AD102" s="40" t="str">
        <f>""</f>
        <v/>
      </c>
      <c r="AE102" s="35" t="str">
        <f>""</f>
        <v/>
      </c>
      <c r="AF102" s="40" t="str">
        <f>""</f>
        <v/>
      </c>
      <c r="AG102" s="35" t="str">
        <f>""</f>
        <v/>
      </c>
      <c r="AH102" s="40" t="str">
        <f>""</f>
        <v/>
      </c>
      <c r="AI102" s="35" t="str">
        <f>""</f>
        <v/>
      </c>
      <c r="AJ102" s="40"/>
      <c r="AK102" s="35"/>
      <c r="AL102" s="13" t="str">
        <f>""</f>
        <v/>
      </c>
      <c r="AM102" s="35" t="str">
        <f>""</f>
        <v/>
      </c>
    </row>
    <row r="103" spans="2:39" s="2" customFormat="1" x14ac:dyDescent="0.2">
      <c r="B103" s="4"/>
      <c r="C103" s="4"/>
      <c r="D103" s="4"/>
      <c r="E103" s="4"/>
      <c r="F103" s="13"/>
      <c r="G103" s="13"/>
      <c r="H103" s="13"/>
      <c r="I103" s="13"/>
      <c r="J103" s="13"/>
      <c r="K103" s="13"/>
      <c r="L103" s="13"/>
      <c r="M103" s="13"/>
      <c r="U103" s="65" t="s">
        <v>61</v>
      </c>
      <c r="V103" s="40" t="str">
        <f>""</f>
        <v/>
      </c>
      <c r="W103" s="13" t="str">
        <f>""</f>
        <v/>
      </c>
      <c r="X103" s="13" t="str">
        <f>""</f>
        <v/>
      </c>
      <c r="Y103" s="35" t="str">
        <f>""</f>
        <v/>
      </c>
      <c r="Z103" s="34" t="str">
        <f>""</f>
        <v/>
      </c>
      <c r="AA103" s="13">
        <v>0</v>
      </c>
      <c r="AB103" s="13" t="str">
        <f>""</f>
        <v/>
      </c>
      <c r="AC103" s="35"/>
      <c r="AD103" s="40" t="str">
        <f>""</f>
        <v/>
      </c>
      <c r="AE103" s="35" t="str">
        <f>""</f>
        <v/>
      </c>
      <c r="AF103" s="40" t="str">
        <f>""</f>
        <v/>
      </c>
      <c r="AG103" s="35" t="str">
        <f>""</f>
        <v/>
      </c>
      <c r="AH103" s="40" t="str">
        <f>""</f>
        <v/>
      </c>
      <c r="AI103" s="35" t="str">
        <f>""</f>
        <v/>
      </c>
      <c r="AJ103" s="40"/>
      <c r="AK103" s="35"/>
      <c r="AL103" s="13" t="str">
        <f>""</f>
        <v/>
      </c>
      <c r="AM103" s="35" t="str">
        <f>""</f>
        <v/>
      </c>
    </row>
    <row r="104" spans="2:39" s="2" customFormat="1" x14ac:dyDescent="0.2">
      <c r="B104" s="4"/>
      <c r="C104" s="4"/>
      <c r="D104" s="4"/>
      <c r="E104" s="4"/>
      <c r="F104" s="13"/>
      <c r="G104" s="13"/>
      <c r="H104" s="13"/>
      <c r="I104" s="13"/>
      <c r="J104" s="13"/>
      <c r="K104" s="13"/>
      <c r="L104" s="13"/>
      <c r="M104" s="13"/>
      <c r="U104" s="65" t="s">
        <v>62</v>
      </c>
      <c r="V104" s="40" t="str">
        <f>""</f>
        <v/>
      </c>
      <c r="W104" s="13" t="str">
        <f>""</f>
        <v/>
      </c>
      <c r="X104" s="13" t="str">
        <f>""</f>
        <v/>
      </c>
      <c r="Y104" s="35" t="str">
        <f>""</f>
        <v/>
      </c>
      <c r="Z104" s="34" t="str">
        <f>""</f>
        <v/>
      </c>
      <c r="AA104" s="13">
        <v>0</v>
      </c>
      <c r="AB104" s="13" t="str">
        <f>""</f>
        <v/>
      </c>
      <c r="AC104" s="35"/>
      <c r="AD104" s="40" t="str">
        <f>""</f>
        <v/>
      </c>
      <c r="AE104" s="35" t="str">
        <f>""</f>
        <v/>
      </c>
      <c r="AF104" s="40" t="str">
        <f>""</f>
        <v/>
      </c>
      <c r="AG104" s="35" t="str">
        <f>""</f>
        <v/>
      </c>
      <c r="AH104" s="40" t="str">
        <f>""</f>
        <v/>
      </c>
      <c r="AI104" s="35" t="str">
        <f>""</f>
        <v/>
      </c>
      <c r="AJ104" s="40"/>
      <c r="AK104" s="35"/>
      <c r="AL104" s="13" t="str">
        <f>""</f>
        <v/>
      </c>
      <c r="AM104" s="35" t="str">
        <f>""</f>
        <v/>
      </c>
    </row>
    <row r="105" spans="2:39" s="2" customFormat="1" x14ac:dyDescent="0.2">
      <c r="B105" s="4"/>
      <c r="C105" s="4"/>
      <c r="D105" s="4"/>
      <c r="E105" s="4"/>
      <c r="F105" s="13"/>
      <c r="G105" s="13"/>
      <c r="H105" s="13"/>
      <c r="I105" s="13"/>
      <c r="J105" s="13"/>
      <c r="K105" s="13"/>
      <c r="L105" s="13"/>
      <c r="M105" s="13"/>
      <c r="U105" s="65" t="s">
        <v>63</v>
      </c>
      <c r="V105" s="40" t="str">
        <f>""</f>
        <v/>
      </c>
      <c r="W105" s="13" t="str">
        <f>""</f>
        <v/>
      </c>
      <c r="X105" s="13" t="str">
        <f>""</f>
        <v/>
      </c>
      <c r="Y105" s="35" t="str">
        <f>""</f>
        <v/>
      </c>
      <c r="Z105" s="34" t="str">
        <f>""</f>
        <v/>
      </c>
      <c r="AA105" s="13">
        <v>0</v>
      </c>
      <c r="AB105" s="13" t="str">
        <f>""</f>
        <v/>
      </c>
      <c r="AC105" s="35"/>
      <c r="AD105" s="40" t="str">
        <f>""</f>
        <v/>
      </c>
      <c r="AE105" s="35" t="str">
        <f>""</f>
        <v/>
      </c>
      <c r="AF105" s="40" t="str">
        <f>""</f>
        <v/>
      </c>
      <c r="AG105" s="35" t="str">
        <f>""</f>
        <v/>
      </c>
      <c r="AH105" s="40" t="str">
        <f>""</f>
        <v/>
      </c>
      <c r="AI105" s="35" t="str">
        <f>""</f>
        <v/>
      </c>
      <c r="AJ105" s="40"/>
      <c r="AK105" s="35"/>
      <c r="AL105" s="13" t="str">
        <f>""</f>
        <v/>
      </c>
      <c r="AM105" s="35" t="str">
        <f>""</f>
        <v/>
      </c>
    </row>
    <row r="106" spans="2:39" s="2" customFormat="1" x14ac:dyDescent="0.2">
      <c r="B106" s="4"/>
      <c r="C106" s="4"/>
      <c r="D106" s="4"/>
      <c r="E106" s="4"/>
      <c r="F106" s="13"/>
      <c r="G106" s="13"/>
      <c r="H106" s="13"/>
      <c r="I106" s="13"/>
      <c r="J106" s="13"/>
      <c r="K106" s="13"/>
      <c r="L106" s="13"/>
      <c r="M106" s="13"/>
      <c r="U106" s="65" t="s">
        <v>64</v>
      </c>
      <c r="V106" s="40" t="str">
        <f>""</f>
        <v/>
      </c>
      <c r="W106" s="13" t="str">
        <f>""</f>
        <v/>
      </c>
      <c r="X106" s="13" t="str">
        <f>""</f>
        <v/>
      </c>
      <c r="Y106" s="35" t="str">
        <f>""</f>
        <v/>
      </c>
      <c r="Z106" s="34" t="str">
        <f>""</f>
        <v/>
      </c>
      <c r="AA106" s="13">
        <v>0</v>
      </c>
      <c r="AB106" s="13" t="str">
        <f>""</f>
        <v/>
      </c>
      <c r="AC106" s="35"/>
      <c r="AD106" s="40" t="str">
        <f>""</f>
        <v/>
      </c>
      <c r="AE106" s="35" t="str">
        <f>""</f>
        <v/>
      </c>
      <c r="AF106" s="40" t="str">
        <f>""</f>
        <v/>
      </c>
      <c r="AG106" s="35" t="str">
        <f>""</f>
        <v/>
      </c>
      <c r="AH106" s="40" t="str">
        <f>""</f>
        <v/>
      </c>
      <c r="AI106" s="35" t="str">
        <f>""</f>
        <v/>
      </c>
      <c r="AJ106" s="40"/>
      <c r="AK106" s="35"/>
      <c r="AL106" s="13" t="str">
        <f>""</f>
        <v/>
      </c>
      <c r="AM106" s="35" t="str">
        <f>""</f>
        <v/>
      </c>
    </row>
    <row r="107" spans="2:39" s="2" customFormat="1" x14ac:dyDescent="0.2">
      <c r="B107" s="4"/>
      <c r="C107" s="4"/>
      <c r="D107" s="4"/>
      <c r="E107" s="4"/>
      <c r="F107" s="13"/>
      <c r="G107" s="13"/>
      <c r="H107" s="13"/>
      <c r="I107" s="13"/>
      <c r="J107" s="13"/>
      <c r="K107" s="13"/>
      <c r="L107" s="13"/>
      <c r="M107" s="13"/>
      <c r="U107" s="65" t="s">
        <v>65</v>
      </c>
      <c r="V107" s="40" t="str">
        <f>""</f>
        <v/>
      </c>
      <c r="W107" s="13" t="str">
        <f>""</f>
        <v/>
      </c>
      <c r="X107" s="13" t="str">
        <f>""</f>
        <v/>
      </c>
      <c r="Y107" s="35" t="str">
        <f>""</f>
        <v/>
      </c>
      <c r="Z107" s="34" t="str">
        <f>""</f>
        <v/>
      </c>
      <c r="AA107" s="13">
        <v>0</v>
      </c>
      <c r="AB107" s="13" t="str">
        <f>""</f>
        <v/>
      </c>
      <c r="AC107" s="35"/>
      <c r="AD107" s="40" t="str">
        <f>""</f>
        <v/>
      </c>
      <c r="AE107" s="35" t="str">
        <f>""</f>
        <v/>
      </c>
      <c r="AF107" s="40" t="str">
        <f>""</f>
        <v/>
      </c>
      <c r="AG107" s="35" t="str">
        <f>""</f>
        <v/>
      </c>
      <c r="AH107" s="40" t="str">
        <f>""</f>
        <v/>
      </c>
      <c r="AI107" s="35" t="str">
        <f>""</f>
        <v/>
      </c>
      <c r="AJ107" s="40"/>
      <c r="AK107" s="35"/>
      <c r="AL107" s="13" t="str">
        <f>""</f>
        <v/>
      </c>
      <c r="AM107" s="35" t="str">
        <f>""</f>
        <v/>
      </c>
    </row>
    <row r="108" spans="2:39" s="2" customFormat="1" x14ac:dyDescent="0.2">
      <c r="B108" s="4"/>
      <c r="C108" s="4"/>
      <c r="D108" s="4"/>
      <c r="E108" s="4"/>
      <c r="F108" s="13"/>
      <c r="G108" s="13"/>
      <c r="H108" s="13"/>
      <c r="I108" s="13"/>
      <c r="J108" s="13"/>
      <c r="K108" s="13"/>
      <c r="L108" s="13"/>
      <c r="M108" s="13"/>
      <c r="U108" s="65" t="s">
        <v>66</v>
      </c>
      <c r="V108" s="40" t="str">
        <f>""</f>
        <v/>
      </c>
      <c r="W108" s="13" t="str">
        <f>""</f>
        <v/>
      </c>
      <c r="X108" s="13" t="str">
        <f>""</f>
        <v/>
      </c>
      <c r="Y108" s="35" t="str">
        <f>""</f>
        <v/>
      </c>
      <c r="Z108" s="34" t="str">
        <f>""</f>
        <v/>
      </c>
      <c r="AA108" s="13">
        <v>0</v>
      </c>
      <c r="AB108" s="13" t="str">
        <f>""</f>
        <v/>
      </c>
      <c r="AC108" s="35"/>
      <c r="AD108" s="40" t="str">
        <f>""</f>
        <v/>
      </c>
      <c r="AE108" s="35" t="str">
        <f>""</f>
        <v/>
      </c>
      <c r="AF108" s="40" t="str">
        <f>""</f>
        <v/>
      </c>
      <c r="AG108" s="35" t="str">
        <f>""</f>
        <v/>
      </c>
      <c r="AH108" s="40" t="str">
        <f>""</f>
        <v/>
      </c>
      <c r="AI108" s="35" t="str">
        <f>""</f>
        <v/>
      </c>
      <c r="AJ108" s="40"/>
      <c r="AK108" s="35"/>
      <c r="AL108" s="13" t="str">
        <f>""</f>
        <v/>
      </c>
      <c r="AM108" s="35" t="str">
        <f>""</f>
        <v/>
      </c>
    </row>
    <row r="109" spans="2:39" s="2" customFormat="1" x14ac:dyDescent="0.2">
      <c r="B109" s="4"/>
      <c r="C109" s="4"/>
      <c r="D109" s="4"/>
      <c r="E109" s="4"/>
      <c r="F109" s="13"/>
      <c r="G109" s="13"/>
      <c r="H109" s="13"/>
      <c r="I109" s="13"/>
      <c r="J109" s="13"/>
      <c r="K109" s="13"/>
      <c r="L109" s="13"/>
      <c r="M109" s="13"/>
      <c r="U109" s="65" t="s">
        <v>67</v>
      </c>
      <c r="V109" s="40" t="str">
        <f>""</f>
        <v/>
      </c>
      <c r="W109" s="13" t="str">
        <f>""</f>
        <v/>
      </c>
      <c r="X109" s="13" t="str">
        <f>""</f>
        <v/>
      </c>
      <c r="Y109" s="35" t="str">
        <f>""</f>
        <v/>
      </c>
      <c r="Z109" s="34" t="str">
        <f>""</f>
        <v/>
      </c>
      <c r="AA109" s="13">
        <v>0</v>
      </c>
      <c r="AB109" s="13" t="str">
        <f>""</f>
        <v/>
      </c>
      <c r="AC109" s="35"/>
      <c r="AD109" s="40" t="str">
        <f>""</f>
        <v/>
      </c>
      <c r="AE109" s="35" t="str">
        <f>""</f>
        <v/>
      </c>
      <c r="AF109" s="40" t="str">
        <f>""</f>
        <v/>
      </c>
      <c r="AG109" s="35" t="str">
        <f>""</f>
        <v/>
      </c>
      <c r="AH109" s="40" t="str">
        <f>""</f>
        <v/>
      </c>
      <c r="AI109" s="35" t="str">
        <f>""</f>
        <v/>
      </c>
      <c r="AJ109" s="40"/>
      <c r="AK109" s="35"/>
      <c r="AL109" s="13" t="str">
        <f>""</f>
        <v/>
      </c>
      <c r="AM109" s="35" t="str">
        <f>""</f>
        <v/>
      </c>
    </row>
    <row r="110" spans="2:39" s="2" customFormat="1" x14ac:dyDescent="0.2">
      <c r="B110" s="4"/>
      <c r="C110" s="4"/>
      <c r="D110" s="4"/>
      <c r="E110" s="4"/>
      <c r="F110" s="13"/>
      <c r="G110" s="13"/>
      <c r="H110" s="13"/>
      <c r="I110" s="13"/>
      <c r="J110" s="13"/>
      <c r="K110" s="13"/>
      <c r="L110" s="13"/>
      <c r="M110" s="13"/>
      <c r="U110" s="65" t="s">
        <v>68</v>
      </c>
      <c r="V110" s="40" t="str">
        <f>""</f>
        <v/>
      </c>
      <c r="W110" s="13" t="str">
        <f>""</f>
        <v/>
      </c>
      <c r="X110" s="13" t="str">
        <f>""</f>
        <v/>
      </c>
      <c r="Y110" s="35" t="str">
        <f>""</f>
        <v/>
      </c>
      <c r="Z110" s="34" t="str">
        <f>""</f>
        <v/>
      </c>
      <c r="AA110" s="13">
        <v>0</v>
      </c>
      <c r="AB110" s="13" t="str">
        <f>""</f>
        <v/>
      </c>
      <c r="AC110" s="35"/>
      <c r="AD110" s="40" t="str">
        <f>""</f>
        <v/>
      </c>
      <c r="AE110" s="35" t="str">
        <f>""</f>
        <v/>
      </c>
      <c r="AF110" s="40" t="str">
        <f>""</f>
        <v/>
      </c>
      <c r="AG110" s="35" t="str">
        <f>""</f>
        <v/>
      </c>
      <c r="AH110" s="40" t="str">
        <f>""</f>
        <v/>
      </c>
      <c r="AI110" s="35" t="str">
        <f>""</f>
        <v/>
      </c>
      <c r="AJ110" s="40"/>
      <c r="AK110" s="35"/>
      <c r="AL110" s="13" t="str">
        <f>""</f>
        <v/>
      </c>
      <c r="AM110" s="35" t="str">
        <f>""</f>
        <v/>
      </c>
    </row>
    <row r="111" spans="2:39" s="2" customFormat="1" x14ac:dyDescent="0.2">
      <c r="B111" s="4"/>
      <c r="C111" s="4"/>
      <c r="D111" s="4"/>
      <c r="E111" s="4"/>
      <c r="F111" s="13"/>
      <c r="G111" s="13"/>
      <c r="H111" s="13"/>
      <c r="I111" s="13"/>
      <c r="J111" s="13"/>
      <c r="K111" s="13"/>
      <c r="L111" s="13"/>
      <c r="M111" s="13"/>
      <c r="U111" s="65" t="s">
        <v>69</v>
      </c>
      <c r="V111" s="40" t="str">
        <f>""</f>
        <v/>
      </c>
      <c r="W111" s="13" t="str">
        <f>""</f>
        <v/>
      </c>
      <c r="X111" s="13" t="str">
        <f>""</f>
        <v/>
      </c>
      <c r="Y111" s="35" t="str">
        <f>""</f>
        <v/>
      </c>
      <c r="Z111" s="34" t="str">
        <f>""</f>
        <v/>
      </c>
      <c r="AA111" s="13">
        <v>0</v>
      </c>
      <c r="AB111" s="13" t="str">
        <f>""</f>
        <v/>
      </c>
      <c r="AC111" s="35"/>
      <c r="AD111" s="40" t="str">
        <f>""</f>
        <v/>
      </c>
      <c r="AE111" s="35" t="str">
        <f>""</f>
        <v/>
      </c>
      <c r="AF111" s="40" t="str">
        <f>""</f>
        <v/>
      </c>
      <c r="AG111" s="35" t="str">
        <f>""</f>
        <v/>
      </c>
      <c r="AH111" s="40" t="str">
        <f>""</f>
        <v/>
      </c>
      <c r="AI111" s="35" t="str">
        <f>""</f>
        <v/>
      </c>
      <c r="AJ111" s="40"/>
      <c r="AK111" s="35"/>
      <c r="AL111" s="13" t="str">
        <f>""</f>
        <v/>
      </c>
      <c r="AM111" s="35" t="str">
        <f>""</f>
        <v/>
      </c>
    </row>
    <row r="112" spans="2:39" s="2" customFormat="1" x14ac:dyDescent="0.2">
      <c r="B112" s="4"/>
      <c r="C112" s="4"/>
      <c r="D112" s="4"/>
      <c r="E112" s="4"/>
      <c r="F112" s="13"/>
      <c r="G112" s="13"/>
      <c r="H112" s="13"/>
      <c r="I112" s="13"/>
      <c r="J112" s="13"/>
      <c r="K112" s="13"/>
      <c r="L112" s="13"/>
      <c r="M112" s="13"/>
      <c r="U112" s="65" t="s">
        <v>70</v>
      </c>
      <c r="V112" s="40" t="str">
        <f>""</f>
        <v/>
      </c>
      <c r="W112" s="13" t="str">
        <f>""</f>
        <v/>
      </c>
      <c r="X112" s="13" t="str">
        <f>""</f>
        <v/>
      </c>
      <c r="Y112" s="35" t="str">
        <f>""</f>
        <v/>
      </c>
      <c r="Z112" s="34" t="str">
        <f>""</f>
        <v/>
      </c>
      <c r="AA112" s="13">
        <v>0</v>
      </c>
      <c r="AB112" s="13" t="str">
        <f>""</f>
        <v/>
      </c>
      <c r="AC112" s="35"/>
      <c r="AD112" s="40" t="str">
        <f>""</f>
        <v/>
      </c>
      <c r="AE112" s="35" t="str">
        <f>""</f>
        <v/>
      </c>
      <c r="AF112" s="40" t="str">
        <f>""</f>
        <v/>
      </c>
      <c r="AG112" s="35" t="str">
        <f>""</f>
        <v/>
      </c>
      <c r="AH112" s="40" t="str">
        <f>""</f>
        <v/>
      </c>
      <c r="AI112" s="35" t="str">
        <f>""</f>
        <v/>
      </c>
      <c r="AJ112" s="40"/>
      <c r="AK112" s="35"/>
      <c r="AL112" s="13" t="str">
        <f>""</f>
        <v/>
      </c>
      <c r="AM112" s="35" t="str">
        <f>""</f>
        <v/>
      </c>
    </row>
    <row r="113" spans="2:39" s="2" customFormat="1" x14ac:dyDescent="0.2">
      <c r="B113" s="4"/>
      <c r="C113" s="4"/>
      <c r="D113" s="4"/>
      <c r="E113" s="4"/>
      <c r="F113" s="13"/>
      <c r="G113" s="13"/>
      <c r="H113" s="13"/>
      <c r="I113" s="13"/>
      <c r="J113" s="13"/>
      <c r="K113" s="13"/>
      <c r="L113" s="13"/>
      <c r="M113" s="13"/>
      <c r="U113" s="65" t="s">
        <v>71</v>
      </c>
      <c r="V113" s="40" t="str">
        <f>""</f>
        <v/>
      </c>
      <c r="W113" s="13" t="str">
        <f>""</f>
        <v/>
      </c>
      <c r="X113" s="13" t="str">
        <f>""</f>
        <v/>
      </c>
      <c r="Y113" s="35" t="str">
        <f>""</f>
        <v/>
      </c>
      <c r="Z113" s="34" t="str">
        <f>""</f>
        <v/>
      </c>
      <c r="AA113" s="13">
        <v>0</v>
      </c>
      <c r="AB113" s="13" t="str">
        <f>""</f>
        <v/>
      </c>
      <c r="AC113" s="35"/>
      <c r="AD113" s="40" t="str">
        <f>""</f>
        <v/>
      </c>
      <c r="AE113" s="35" t="str">
        <f>""</f>
        <v/>
      </c>
      <c r="AF113" s="40" t="str">
        <f>""</f>
        <v/>
      </c>
      <c r="AG113" s="35" t="str">
        <f>""</f>
        <v/>
      </c>
      <c r="AH113" s="40" t="str">
        <f>""</f>
        <v/>
      </c>
      <c r="AI113" s="35" t="str">
        <f>""</f>
        <v/>
      </c>
      <c r="AJ113" s="40"/>
      <c r="AK113" s="35"/>
      <c r="AL113" s="13" t="str">
        <f>""</f>
        <v/>
      </c>
      <c r="AM113" s="35" t="str">
        <f>""</f>
        <v/>
      </c>
    </row>
    <row r="114" spans="2:39" s="2" customFormat="1" x14ac:dyDescent="0.2">
      <c r="B114" s="4"/>
      <c r="C114" s="4"/>
      <c r="D114" s="4"/>
      <c r="E114" s="4"/>
      <c r="F114" s="13"/>
      <c r="G114" s="13"/>
      <c r="H114" s="13"/>
      <c r="I114" s="13"/>
      <c r="J114" s="13"/>
      <c r="K114" s="13"/>
      <c r="L114" s="13"/>
      <c r="M114" s="13"/>
      <c r="U114" s="65" t="s">
        <v>72</v>
      </c>
      <c r="V114" s="40" t="str">
        <f>""</f>
        <v/>
      </c>
      <c r="W114" s="13" t="str">
        <f>""</f>
        <v/>
      </c>
      <c r="X114" s="13" t="str">
        <f>""</f>
        <v/>
      </c>
      <c r="Y114" s="35" t="str">
        <f>""</f>
        <v/>
      </c>
      <c r="Z114" s="34" t="str">
        <f>""</f>
        <v/>
      </c>
      <c r="AA114" s="13">
        <v>0</v>
      </c>
      <c r="AB114" s="13" t="str">
        <f>""</f>
        <v/>
      </c>
      <c r="AC114" s="35"/>
      <c r="AD114" s="40" t="str">
        <f>""</f>
        <v/>
      </c>
      <c r="AE114" s="35" t="str">
        <f>""</f>
        <v/>
      </c>
      <c r="AF114" s="40" t="str">
        <f>""</f>
        <v/>
      </c>
      <c r="AG114" s="35" t="str">
        <f>""</f>
        <v/>
      </c>
      <c r="AH114" s="40" t="str">
        <f>""</f>
        <v/>
      </c>
      <c r="AI114" s="35" t="str">
        <f>""</f>
        <v/>
      </c>
      <c r="AJ114" s="40"/>
      <c r="AK114" s="35"/>
      <c r="AL114" s="13" t="str">
        <f>""</f>
        <v/>
      </c>
      <c r="AM114" s="35" t="str">
        <f>""</f>
        <v/>
      </c>
    </row>
    <row r="115" spans="2:39" s="2" customFormat="1" x14ac:dyDescent="0.2">
      <c r="B115" s="4"/>
      <c r="C115" s="4"/>
      <c r="D115" s="4"/>
      <c r="E115" s="4"/>
      <c r="F115" s="13"/>
      <c r="G115" s="13"/>
      <c r="H115" s="13"/>
      <c r="I115" s="13"/>
      <c r="J115" s="13"/>
      <c r="K115" s="13"/>
      <c r="L115" s="13"/>
      <c r="M115" s="13"/>
      <c r="U115" s="65" t="s">
        <v>73</v>
      </c>
      <c r="V115" s="40" t="str">
        <f>""</f>
        <v/>
      </c>
      <c r="W115" s="13" t="str">
        <f>""</f>
        <v/>
      </c>
      <c r="X115" s="13" t="str">
        <f>""</f>
        <v/>
      </c>
      <c r="Y115" s="35" t="str">
        <f>""</f>
        <v/>
      </c>
      <c r="Z115" s="34" t="str">
        <f>""</f>
        <v/>
      </c>
      <c r="AA115" s="13">
        <v>0</v>
      </c>
      <c r="AB115" s="13" t="str">
        <f>""</f>
        <v/>
      </c>
      <c r="AC115" s="35"/>
      <c r="AD115" s="40" t="str">
        <f>""</f>
        <v/>
      </c>
      <c r="AE115" s="35" t="str">
        <f>""</f>
        <v/>
      </c>
      <c r="AF115" s="40" t="str">
        <f>""</f>
        <v/>
      </c>
      <c r="AG115" s="35" t="str">
        <f>""</f>
        <v/>
      </c>
      <c r="AH115" s="40" t="str">
        <f>""</f>
        <v/>
      </c>
      <c r="AI115" s="35" t="str">
        <f>""</f>
        <v/>
      </c>
      <c r="AJ115" s="40"/>
      <c r="AK115" s="35"/>
      <c r="AL115" s="13" t="str">
        <f>""</f>
        <v/>
      </c>
      <c r="AM115" s="35" t="str">
        <f>""</f>
        <v/>
      </c>
    </row>
    <row r="116" spans="2:39" s="2" customFormat="1" x14ac:dyDescent="0.2">
      <c r="B116" s="4"/>
      <c r="C116" s="4"/>
      <c r="D116" s="4"/>
      <c r="E116" s="4"/>
      <c r="F116" s="13"/>
      <c r="G116" s="13"/>
      <c r="H116" s="13"/>
      <c r="I116" s="13"/>
      <c r="J116" s="13"/>
      <c r="K116" s="13"/>
      <c r="L116" s="13"/>
      <c r="M116" s="13"/>
      <c r="U116" s="65" t="s">
        <v>74</v>
      </c>
      <c r="V116" s="40" t="str">
        <f>""</f>
        <v/>
      </c>
      <c r="W116" s="13" t="str">
        <f>""</f>
        <v/>
      </c>
      <c r="X116" s="13" t="str">
        <f>""</f>
        <v/>
      </c>
      <c r="Y116" s="35" t="str">
        <f>""</f>
        <v/>
      </c>
      <c r="Z116" s="34" t="str">
        <f>""</f>
        <v/>
      </c>
      <c r="AA116" s="13">
        <v>0</v>
      </c>
      <c r="AB116" s="13" t="str">
        <f>""</f>
        <v/>
      </c>
      <c r="AC116" s="35"/>
      <c r="AD116" s="40" t="str">
        <f>""</f>
        <v/>
      </c>
      <c r="AE116" s="35" t="str">
        <f>""</f>
        <v/>
      </c>
      <c r="AF116" s="40" t="str">
        <f>""</f>
        <v/>
      </c>
      <c r="AG116" s="35" t="str">
        <f>""</f>
        <v/>
      </c>
      <c r="AH116" s="40" t="str">
        <f>""</f>
        <v/>
      </c>
      <c r="AI116" s="35" t="str">
        <f>""</f>
        <v/>
      </c>
      <c r="AJ116" s="40"/>
      <c r="AK116" s="35"/>
      <c r="AL116" s="13" t="str">
        <f>""</f>
        <v/>
      </c>
      <c r="AM116" s="35" t="str">
        <f>""</f>
        <v/>
      </c>
    </row>
    <row r="117" spans="2:39" s="2" customFormat="1" x14ac:dyDescent="0.2">
      <c r="B117" s="4"/>
      <c r="C117" s="4"/>
      <c r="D117" s="4"/>
      <c r="E117" s="4"/>
      <c r="F117" s="13"/>
      <c r="G117" s="13"/>
      <c r="H117" s="13"/>
      <c r="I117" s="13"/>
      <c r="J117" s="13"/>
      <c r="K117" s="13"/>
      <c r="L117" s="13"/>
      <c r="M117" s="13"/>
      <c r="U117" s="65" t="s">
        <v>75</v>
      </c>
      <c r="V117" s="40" t="str">
        <f>""</f>
        <v/>
      </c>
      <c r="W117" s="13" t="str">
        <f>""</f>
        <v/>
      </c>
      <c r="X117" s="13" t="str">
        <f>""</f>
        <v/>
      </c>
      <c r="Y117" s="35" t="str">
        <f>""</f>
        <v/>
      </c>
      <c r="Z117" s="34" t="str">
        <f>""</f>
        <v/>
      </c>
      <c r="AA117" s="13">
        <v>0</v>
      </c>
      <c r="AB117" s="13" t="str">
        <f>""</f>
        <v/>
      </c>
      <c r="AC117" s="35"/>
      <c r="AD117" s="40" t="str">
        <f>""</f>
        <v/>
      </c>
      <c r="AE117" s="35" t="str">
        <f>""</f>
        <v/>
      </c>
      <c r="AF117" s="40" t="str">
        <f>""</f>
        <v/>
      </c>
      <c r="AG117" s="35" t="str">
        <f>""</f>
        <v/>
      </c>
      <c r="AH117" s="40" t="str">
        <f>""</f>
        <v/>
      </c>
      <c r="AI117" s="35" t="str">
        <f>""</f>
        <v/>
      </c>
      <c r="AJ117" s="40"/>
      <c r="AK117" s="35"/>
      <c r="AL117" s="13" t="str">
        <f>""</f>
        <v/>
      </c>
      <c r="AM117" s="35" t="str">
        <f>""</f>
        <v/>
      </c>
    </row>
    <row r="118" spans="2:39" s="2" customFormat="1" x14ac:dyDescent="0.2">
      <c r="B118" s="4"/>
      <c r="C118" s="4"/>
      <c r="D118" s="4"/>
      <c r="E118" s="4"/>
      <c r="F118" s="13"/>
      <c r="G118" s="13"/>
      <c r="H118" s="13"/>
      <c r="I118" s="13"/>
      <c r="J118" s="13"/>
      <c r="K118" s="13"/>
      <c r="L118" s="13"/>
      <c r="M118" s="13"/>
      <c r="U118" s="65" t="s">
        <v>76</v>
      </c>
      <c r="V118" s="40" t="str">
        <f>""</f>
        <v/>
      </c>
      <c r="W118" s="13" t="str">
        <f>""</f>
        <v/>
      </c>
      <c r="X118" s="13" t="str">
        <f>""</f>
        <v/>
      </c>
      <c r="Y118" s="35" t="str">
        <f>""</f>
        <v/>
      </c>
      <c r="Z118" s="34" t="str">
        <f>""</f>
        <v/>
      </c>
      <c r="AA118" s="13">
        <v>0</v>
      </c>
      <c r="AB118" s="13" t="str">
        <f>""</f>
        <v/>
      </c>
      <c r="AC118" s="35"/>
      <c r="AD118" s="40" t="str">
        <f>""</f>
        <v/>
      </c>
      <c r="AE118" s="35" t="str">
        <f>""</f>
        <v/>
      </c>
      <c r="AF118" s="40" t="str">
        <f>""</f>
        <v/>
      </c>
      <c r="AG118" s="35" t="str">
        <f>""</f>
        <v/>
      </c>
      <c r="AH118" s="40" t="str">
        <f>""</f>
        <v/>
      </c>
      <c r="AI118" s="35" t="str">
        <f>""</f>
        <v/>
      </c>
      <c r="AJ118" s="40"/>
      <c r="AK118" s="35"/>
      <c r="AL118" s="13" t="str">
        <f>""</f>
        <v/>
      </c>
      <c r="AM118" s="35" t="str">
        <f>""</f>
        <v/>
      </c>
    </row>
    <row r="119" spans="2:39" s="2" customFormat="1" x14ac:dyDescent="0.2">
      <c r="B119" s="4"/>
      <c r="C119" s="4"/>
      <c r="D119" s="4"/>
      <c r="E119" s="4"/>
      <c r="F119" s="13"/>
      <c r="G119" s="13"/>
      <c r="H119" s="13"/>
      <c r="I119" s="13"/>
      <c r="J119" s="13"/>
      <c r="K119" s="13"/>
      <c r="L119" s="13"/>
      <c r="M119" s="13"/>
      <c r="U119" s="65" t="s">
        <v>77</v>
      </c>
      <c r="V119" s="40" t="str">
        <f>""</f>
        <v/>
      </c>
      <c r="W119" s="13" t="str">
        <f>""</f>
        <v/>
      </c>
      <c r="X119" s="13" t="str">
        <f>""</f>
        <v/>
      </c>
      <c r="Y119" s="35" t="str">
        <f>""</f>
        <v/>
      </c>
      <c r="Z119" s="34" t="str">
        <f>""</f>
        <v/>
      </c>
      <c r="AA119" s="13">
        <v>0</v>
      </c>
      <c r="AB119" s="13" t="str">
        <f>""</f>
        <v/>
      </c>
      <c r="AC119" s="35"/>
      <c r="AD119" s="40" t="str">
        <f>""</f>
        <v/>
      </c>
      <c r="AE119" s="35" t="str">
        <f>""</f>
        <v/>
      </c>
      <c r="AF119" s="40" t="str">
        <f>""</f>
        <v/>
      </c>
      <c r="AG119" s="35" t="str">
        <f>""</f>
        <v/>
      </c>
      <c r="AH119" s="40" t="str">
        <f>""</f>
        <v/>
      </c>
      <c r="AI119" s="35" t="str">
        <f>""</f>
        <v/>
      </c>
      <c r="AJ119" s="40"/>
      <c r="AK119" s="35"/>
      <c r="AL119" s="13" t="str">
        <f>""</f>
        <v/>
      </c>
      <c r="AM119" s="35" t="str">
        <f>""</f>
        <v/>
      </c>
    </row>
    <row r="120" spans="2:39" s="2" customFormat="1" x14ac:dyDescent="0.2">
      <c r="B120" s="4"/>
      <c r="C120" s="4"/>
      <c r="D120" s="4"/>
      <c r="E120" s="4"/>
      <c r="F120" s="13"/>
      <c r="G120" s="13"/>
      <c r="H120" s="13"/>
      <c r="I120" s="13"/>
      <c r="J120" s="13"/>
      <c r="K120" s="13"/>
      <c r="L120" s="13"/>
      <c r="M120" s="13"/>
      <c r="U120" s="65" t="s">
        <v>78</v>
      </c>
      <c r="V120" s="40" t="str">
        <f>""</f>
        <v/>
      </c>
      <c r="W120" s="13" t="str">
        <f>""</f>
        <v/>
      </c>
      <c r="X120" s="13" t="str">
        <f>""</f>
        <v/>
      </c>
      <c r="Y120" s="35" t="str">
        <f>""</f>
        <v/>
      </c>
      <c r="Z120" s="34" t="str">
        <f>""</f>
        <v/>
      </c>
      <c r="AA120" s="13">
        <v>0</v>
      </c>
      <c r="AB120" s="13" t="str">
        <f>""</f>
        <v/>
      </c>
      <c r="AC120" s="35"/>
      <c r="AD120" s="40" t="str">
        <f>""</f>
        <v/>
      </c>
      <c r="AE120" s="35" t="str">
        <f>""</f>
        <v/>
      </c>
      <c r="AF120" s="40" t="str">
        <f>""</f>
        <v/>
      </c>
      <c r="AG120" s="35" t="str">
        <f>""</f>
        <v/>
      </c>
      <c r="AH120" s="40" t="str">
        <f>""</f>
        <v/>
      </c>
      <c r="AI120" s="35" t="str">
        <f>""</f>
        <v/>
      </c>
      <c r="AJ120" s="40"/>
      <c r="AK120" s="35"/>
      <c r="AL120" s="13" t="str">
        <f>""</f>
        <v/>
      </c>
      <c r="AM120" s="35" t="str">
        <f>""</f>
        <v/>
      </c>
    </row>
    <row r="121" spans="2:39" s="2" customFormat="1" x14ac:dyDescent="0.2">
      <c r="B121" s="4"/>
      <c r="C121" s="4"/>
      <c r="D121" s="4"/>
      <c r="E121" s="4"/>
      <c r="F121" s="13"/>
      <c r="G121" s="13"/>
      <c r="H121" s="13"/>
      <c r="I121" s="13"/>
      <c r="J121" s="13"/>
      <c r="K121" s="13"/>
      <c r="L121" s="13"/>
      <c r="M121" s="13"/>
      <c r="U121" s="65" t="s">
        <v>79</v>
      </c>
      <c r="V121" s="40" t="str">
        <f>""</f>
        <v/>
      </c>
      <c r="W121" s="13" t="str">
        <f>""</f>
        <v/>
      </c>
      <c r="X121" s="13" t="str">
        <f>""</f>
        <v/>
      </c>
      <c r="Y121" s="35" t="str">
        <f>""</f>
        <v/>
      </c>
      <c r="Z121" s="34" t="str">
        <f>""</f>
        <v/>
      </c>
      <c r="AA121" s="13">
        <v>0</v>
      </c>
      <c r="AB121" s="13" t="str">
        <f>""</f>
        <v/>
      </c>
      <c r="AC121" s="35"/>
      <c r="AD121" s="40" t="str">
        <f>""</f>
        <v/>
      </c>
      <c r="AE121" s="35" t="str">
        <f>""</f>
        <v/>
      </c>
      <c r="AF121" s="40" t="str">
        <f>""</f>
        <v/>
      </c>
      <c r="AG121" s="35" t="str">
        <f>""</f>
        <v/>
      </c>
      <c r="AH121" s="40" t="str">
        <f>""</f>
        <v/>
      </c>
      <c r="AI121" s="35" t="str">
        <f>""</f>
        <v/>
      </c>
      <c r="AJ121" s="40"/>
      <c r="AK121" s="35"/>
      <c r="AL121" s="13" t="str">
        <f>""</f>
        <v/>
      </c>
      <c r="AM121" s="35" t="str">
        <f>""</f>
        <v/>
      </c>
    </row>
    <row r="122" spans="2:39" s="2" customFormat="1" x14ac:dyDescent="0.2">
      <c r="B122" s="4"/>
      <c r="C122" s="4"/>
      <c r="D122" s="4"/>
      <c r="E122" s="4"/>
      <c r="F122" s="13"/>
      <c r="G122" s="13"/>
      <c r="H122" s="13"/>
      <c r="I122" s="13"/>
      <c r="J122" s="13"/>
      <c r="K122" s="13"/>
      <c r="L122" s="13"/>
      <c r="M122" s="13"/>
      <c r="U122" s="65" t="s">
        <v>80</v>
      </c>
      <c r="V122" s="40" t="str">
        <f>""</f>
        <v/>
      </c>
      <c r="W122" s="13" t="str">
        <f>""</f>
        <v/>
      </c>
      <c r="X122" s="13" t="str">
        <f>""</f>
        <v/>
      </c>
      <c r="Y122" s="35" t="str">
        <f>""</f>
        <v/>
      </c>
      <c r="Z122" s="34" t="str">
        <f>""</f>
        <v/>
      </c>
      <c r="AA122" s="13">
        <v>0</v>
      </c>
      <c r="AB122" s="13" t="str">
        <f>""</f>
        <v/>
      </c>
      <c r="AC122" s="35"/>
      <c r="AD122" s="40" t="str">
        <f>""</f>
        <v/>
      </c>
      <c r="AE122" s="35" t="str">
        <f>""</f>
        <v/>
      </c>
      <c r="AF122" s="40" t="str">
        <f>""</f>
        <v/>
      </c>
      <c r="AG122" s="35" t="str">
        <f>""</f>
        <v/>
      </c>
      <c r="AH122" s="40" t="str">
        <f>""</f>
        <v/>
      </c>
      <c r="AI122" s="35" t="str">
        <f>""</f>
        <v/>
      </c>
      <c r="AJ122" s="40"/>
      <c r="AK122" s="35"/>
      <c r="AL122" s="13" t="str">
        <f>""</f>
        <v/>
      </c>
      <c r="AM122" s="35" t="str">
        <f>""</f>
        <v/>
      </c>
    </row>
    <row r="123" spans="2:39" s="2" customFormat="1" x14ac:dyDescent="0.2">
      <c r="B123" s="4"/>
      <c r="C123" s="4"/>
      <c r="D123" s="4"/>
      <c r="E123" s="4"/>
      <c r="F123" s="13"/>
      <c r="G123" s="13"/>
      <c r="H123" s="13"/>
      <c r="I123" s="13"/>
      <c r="J123" s="13"/>
      <c r="K123" s="13"/>
      <c r="L123" s="13"/>
      <c r="M123" s="13"/>
      <c r="U123" s="65" t="s">
        <v>81</v>
      </c>
      <c r="V123" s="40" t="str">
        <f>""</f>
        <v/>
      </c>
      <c r="W123" s="13" t="str">
        <f>""</f>
        <v/>
      </c>
      <c r="X123" s="13" t="str">
        <f>""</f>
        <v/>
      </c>
      <c r="Y123" s="35" t="str">
        <f>""</f>
        <v/>
      </c>
      <c r="Z123" s="34" t="str">
        <f>""</f>
        <v/>
      </c>
      <c r="AA123" s="13">
        <v>0</v>
      </c>
      <c r="AB123" s="13" t="str">
        <f>""</f>
        <v/>
      </c>
      <c r="AC123" s="35"/>
      <c r="AD123" s="40" t="str">
        <f>""</f>
        <v/>
      </c>
      <c r="AE123" s="35" t="str">
        <f>""</f>
        <v/>
      </c>
      <c r="AF123" s="40" t="str">
        <f>""</f>
        <v/>
      </c>
      <c r="AG123" s="35" t="str">
        <f>""</f>
        <v/>
      </c>
      <c r="AH123" s="40" t="str">
        <f>""</f>
        <v/>
      </c>
      <c r="AI123" s="35" t="str">
        <f>""</f>
        <v/>
      </c>
      <c r="AJ123" s="40"/>
      <c r="AK123" s="35"/>
      <c r="AL123" s="13" t="str">
        <f>""</f>
        <v/>
      </c>
      <c r="AM123" s="35" t="str">
        <f>""</f>
        <v/>
      </c>
    </row>
    <row r="124" spans="2:39" s="2" customFormat="1" x14ac:dyDescent="0.2">
      <c r="B124" s="4"/>
      <c r="C124" s="4"/>
      <c r="D124" s="4"/>
      <c r="E124" s="4"/>
      <c r="F124" s="13"/>
      <c r="G124" s="13"/>
      <c r="H124" s="13"/>
      <c r="I124" s="13"/>
      <c r="J124" s="13"/>
      <c r="K124" s="13"/>
      <c r="L124" s="13"/>
      <c r="M124" s="13"/>
      <c r="U124" s="65" t="s">
        <v>82</v>
      </c>
      <c r="V124" s="40" t="str">
        <f>""</f>
        <v/>
      </c>
      <c r="W124" s="13" t="str">
        <f>""</f>
        <v/>
      </c>
      <c r="X124" s="13" t="str">
        <f>""</f>
        <v/>
      </c>
      <c r="Y124" s="35" t="str">
        <f>""</f>
        <v/>
      </c>
      <c r="Z124" s="34" t="str">
        <f>""</f>
        <v/>
      </c>
      <c r="AA124" s="13">
        <v>0</v>
      </c>
      <c r="AB124" s="13" t="str">
        <f>""</f>
        <v/>
      </c>
      <c r="AC124" s="35"/>
      <c r="AD124" s="40" t="str">
        <f>""</f>
        <v/>
      </c>
      <c r="AE124" s="35" t="str">
        <f>""</f>
        <v/>
      </c>
      <c r="AF124" s="40" t="str">
        <f>""</f>
        <v/>
      </c>
      <c r="AG124" s="35" t="str">
        <f>""</f>
        <v/>
      </c>
      <c r="AH124" s="40" t="str">
        <f>""</f>
        <v/>
      </c>
      <c r="AI124" s="35" t="str">
        <f>""</f>
        <v/>
      </c>
      <c r="AJ124" s="40"/>
      <c r="AK124" s="35"/>
      <c r="AL124" s="13" t="str">
        <f>""</f>
        <v/>
      </c>
      <c r="AM124" s="35" t="str">
        <f>""</f>
        <v/>
      </c>
    </row>
    <row r="125" spans="2:39" s="2" customFormat="1" x14ac:dyDescent="0.2">
      <c r="B125" s="4"/>
      <c r="C125" s="4"/>
      <c r="D125" s="4"/>
      <c r="E125" s="4"/>
      <c r="F125" s="13"/>
      <c r="G125" s="13"/>
      <c r="H125" s="13"/>
      <c r="I125" s="13"/>
      <c r="J125" s="13"/>
      <c r="K125" s="13"/>
      <c r="L125" s="13"/>
      <c r="M125" s="13"/>
      <c r="U125" s="65" t="s">
        <v>83</v>
      </c>
      <c r="V125" s="40" t="str">
        <f>""</f>
        <v/>
      </c>
      <c r="W125" s="13" t="str">
        <f>""</f>
        <v/>
      </c>
      <c r="X125" s="13" t="str">
        <f>""</f>
        <v/>
      </c>
      <c r="Y125" s="35" t="str">
        <f>""</f>
        <v/>
      </c>
      <c r="Z125" s="34" t="str">
        <f>""</f>
        <v/>
      </c>
      <c r="AA125" s="13">
        <v>0</v>
      </c>
      <c r="AB125" s="13" t="str">
        <f>""</f>
        <v/>
      </c>
      <c r="AC125" s="35"/>
      <c r="AD125" s="40" t="str">
        <f>""</f>
        <v/>
      </c>
      <c r="AE125" s="35" t="str">
        <f>""</f>
        <v/>
      </c>
      <c r="AF125" s="40" t="str">
        <f>""</f>
        <v/>
      </c>
      <c r="AG125" s="35" t="str">
        <f>""</f>
        <v/>
      </c>
      <c r="AH125" s="40" t="str">
        <f>""</f>
        <v/>
      </c>
      <c r="AI125" s="35" t="str">
        <f>""</f>
        <v/>
      </c>
      <c r="AJ125" s="40"/>
      <c r="AK125" s="35"/>
      <c r="AL125" s="13" t="str">
        <f>""</f>
        <v/>
      </c>
      <c r="AM125" s="35" t="str">
        <f>""</f>
        <v/>
      </c>
    </row>
    <row r="126" spans="2:39" s="2" customFormat="1" x14ac:dyDescent="0.2">
      <c r="B126" s="4"/>
      <c r="C126" s="4"/>
      <c r="D126" s="4"/>
      <c r="E126" s="4"/>
      <c r="F126" s="13"/>
      <c r="G126" s="13"/>
      <c r="H126" s="13"/>
      <c r="I126" s="13"/>
      <c r="J126" s="13"/>
      <c r="K126" s="13"/>
      <c r="L126" s="13"/>
      <c r="M126" s="13"/>
      <c r="U126" s="65" t="s">
        <v>84</v>
      </c>
      <c r="V126" s="40" t="str">
        <f>""</f>
        <v/>
      </c>
      <c r="W126" s="13" t="str">
        <f>""</f>
        <v/>
      </c>
      <c r="X126" s="13" t="str">
        <f>""</f>
        <v/>
      </c>
      <c r="Y126" s="35" t="str">
        <f>""</f>
        <v/>
      </c>
      <c r="Z126" s="34" t="str">
        <f>""</f>
        <v/>
      </c>
      <c r="AA126" s="13">
        <v>0</v>
      </c>
      <c r="AB126" s="13" t="str">
        <f>""</f>
        <v/>
      </c>
      <c r="AC126" s="35"/>
      <c r="AD126" s="40" t="str">
        <f>""</f>
        <v/>
      </c>
      <c r="AE126" s="35" t="str">
        <f>""</f>
        <v/>
      </c>
      <c r="AF126" s="40" t="str">
        <f>""</f>
        <v/>
      </c>
      <c r="AG126" s="35" t="str">
        <f>""</f>
        <v/>
      </c>
      <c r="AH126" s="40" t="str">
        <f>""</f>
        <v/>
      </c>
      <c r="AI126" s="35" t="str">
        <f>""</f>
        <v/>
      </c>
      <c r="AJ126" s="40"/>
      <c r="AK126" s="35"/>
      <c r="AL126" s="13" t="str">
        <f>""</f>
        <v/>
      </c>
      <c r="AM126" s="35" t="str">
        <f>""</f>
        <v/>
      </c>
    </row>
    <row r="127" spans="2:39" s="2" customFormat="1" x14ac:dyDescent="0.2">
      <c r="B127" s="4"/>
      <c r="C127" s="4"/>
      <c r="D127" s="4"/>
      <c r="E127" s="4"/>
      <c r="F127" s="13"/>
      <c r="G127" s="13"/>
      <c r="H127" s="13"/>
      <c r="I127" s="13"/>
      <c r="J127" s="13"/>
      <c r="K127" s="13"/>
      <c r="L127" s="13"/>
      <c r="M127" s="13"/>
      <c r="U127" s="65" t="s">
        <v>85</v>
      </c>
      <c r="V127" s="40" t="str">
        <f>""</f>
        <v/>
      </c>
      <c r="W127" s="13" t="str">
        <f>""</f>
        <v/>
      </c>
      <c r="X127" s="13" t="str">
        <f>""</f>
        <v/>
      </c>
      <c r="Y127" s="35" t="str">
        <f>""</f>
        <v/>
      </c>
      <c r="Z127" s="34" t="str">
        <f>""</f>
        <v/>
      </c>
      <c r="AA127" s="13">
        <v>0</v>
      </c>
      <c r="AB127" s="13" t="str">
        <f>""</f>
        <v/>
      </c>
      <c r="AC127" s="35"/>
      <c r="AD127" s="40" t="str">
        <f>""</f>
        <v/>
      </c>
      <c r="AE127" s="35" t="str">
        <f>""</f>
        <v/>
      </c>
      <c r="AF127" s="40" t="str">
        <f>""</f>
        <v/>
      </c>
      <c r="AG127" s="35" t="str">
        <f>""</f>
        <v/>
      </c>
      <c r="AH127" s="40" t="str">
        <f>""</f>
        <v/>
      </c>
      <c r="AI127" s="35" t="str">
        <f>""</f>
        <v/>
      </c>
      <c r="AJ127" s="40"/>
      <c r="AK127" s="35"/>
      <c r="AL127" s="13" t="str">
        <f>""</f>
        <v/>
      </c>
      <c r="AM127" s="35" t="str">
        <f>""</f>
        <v/>
      </c>
    </row>
    <row r="128" spans="2:39" s="2" customFormat="1" x14ac:dyDescent="0.2">
      <c r="B128" s="4"/>
      <c r="C128" s="4"/>
      <c r="D128" s="4"/>
      <c r="E128" s="4"/>
      <c r="F128" s="13"/>
      <c r="G128" s="13"/>
      <c r="H128" s="13"/>
      <c r="I128" s="13"/>
      <c r="J128" s="13"/>
      <c r="K128" s="13"/>
      <c r="L128" s="13"/>
      <c r="M128" s="13"/>
      <c r="U128" s="65" t="s">
        <v>86</v>
      </c>
      <c r="V128" s="40" t="str">
        <f>""</f>
        <v/>
      </c>
      <c r="W128" s="13" t="str">
        <f>""</f>
        <v/>
      </c>
      <c r="X128" s="13" t="str">
        <f>""</f>
        <v/>
      </c>
      <c r="Y128" s="35" t="str">
        <f>""</f>
        <v/>
      </c>
      <c r="Z128" s="34" t="str">
        <f>""</f>
        <v/>
      </c>
      <c r="AA128" s="13">
        <v>0</v>
      </c>
      <c r="AB128" s="13" t="str">
        <f>""</f>
        <v/>
      </c>
      <c r="AC128" s="35"/>
      <c r="AD128" s="40" t="str">
        <f>""</f>
        <v/>
      </c>
      <c r="AE128" s="35" t="str">
        <f>""</f>
        <v/>
      </c>
      <c r="AF128" s="40" t="str">
        <f>""</f>
        <v/>
      </c>
      <c r="AG128" s="35" t="str">
        <f>""</f>
        <v/>
      </c>
      <c r="AH128" s="40" t="str">
        <f>""</f>
        <v/>
      </c>
      <c r="AI128" s="35" t="str">
        <f>""</f>
        <v/>
      </c>
      <c r="AJ128" s="40"/>
      <c r="AK128" s="35"/>
      <c r="AL128" s="13" t="str">
        <f>""</f>
        <v/>
      </c>
      <c r="AM128" s="35" t="str">
        <f>""</f>
        <v/>
      </c>
    </row>
    <row r="129" spans="2:39" s="2" customFormat="1" x14ac:dyDescent="0.2">
      <c r="B129" s="4"/>
      <c r="C129" s="4"/>
      <c r="D129" s="4"/>
      <c r="E129" s="4"/>
      <c r="F129" s="13"/>
      <c r="G129" s="13"/>
      <c r="H129" s="13"/>
      <c r="I129" s="13"/>
      <c r="J129" s="13"/>
      <c r="K129" s="13"/>
      <c r="L129" s="13"/>
      <c r="M129" s="13"/>
      <c r="U129" s="65" t="s">
        <v>87</v>
      </c>
      <c r="V129" s="40" t="str">
        <f>""</f>
        <v/>
      </c>
      <c r="W129" s="13" t="str">
        <f>""</f>
        <v/>
      </c>
      <c r="X129" s="13" t="str">
        <f>""</f>
        <v/>
      </c>
      <c r="Y129" s="35" t="str">
        <f>""</f>
        <v/>
      </c>
      <c r="Z129" s="34" t="str">
        <f>""</f>
        <v/>
      </c>
      <c r="AA129" s="13">
        <v>0</v>
      </c>
      <c r="AB129" s="13" t="str">
        <f>""</f>
        <v/>
      </c>
      <c r="AC129" s="35"/>
      <c r="AD129" s="40" t="str">
        <f>""</f>
        <v/>
      </c>
      <c r="AE129" s="35" t="str">
        <f>""</f>
        <v/>
      </c>
      <c r="AF129" s="40" t="str">
        <f>""</f>
        <v/>
      </c>
      <c r="AG129" s="35" t="str">
        <f>""</f>
        <v/>
      </c>
      <c r="AH129" s="40" t="str">
        <f>""</f>
        <v/>
      </c>
      <c r="AI129" s="35" t="str">
        <f>""</f>
        <v/>
      </c>
      <c r="AJ129" s="40"/>
      <c r="AK129" s="35"/>
      <c r="AL129" s="13" t="str">
        <f>""</f>
        <v/>
      </c>
      <c r="AM129" s="35" t="str">
        <f>""</f>
        <v/>
      </c>
    </row>
    <row r="130" spans="2:39" s="2" customFormat="1" x14ac:dyDescent="0.2">
      <c r="B130" s="4"/>
      <c r="C130" s="4"/>
      <c r="D130" s="4"/>
      <c r="E130" s="4"/>
      <c r="F130" s="13"/>
      <c r="G130" s="13"/>
      <c r="H130" s="13"/>
      <c r="I130" s="13"/>
      <c r="J130" s="13"/>
      <c r="K130" s="13"/>
      <c r="L130" s="13"/>
      <c r="M130" s="13"/>
      <c r="U130" s="65" t="s">
        <v>88</v>
      </c>
      <c r="V130" s="40" t="str">
        <f>""</f>
        <v/>
      </c>
      <c r="W130" s="13" t="str">
        <f>""</f>
        <v/>
      </c>
      <c r="X130" s="13" t="str">
        <f>""</f>
        <v/>
      </c>
      <c r="Y130" s="35" t="str">
        <f>""</f>
        <v/>
      </c>
      <c r="Z130" s="34" t="str">
        <f>""</f>
        <v/>
      </c>
      <c r="AA130" s="13">
        <v>0</v>
      </c>
      <c r="AB130" s="13" t="str">
        <f>""</f>
        <v/>
      </c>
      <c r="AC130" s="35"/>
      <c r="AD130" s="40" t="str">
        <f>""</f>
        <v/>
      </c>
      <c r="AE130" s="35" t="str">
        <f>""</f>
        <v/>
      </c>
      <c r="AF130" s="40" t="str">
        <f>""</f>
        <v/>
      </c>
      <c r="AG130" s="35" t="str">
        <f>""</f>
        <v/>
      </c>
      <c r="AH130" s="40" t="str">
        <f>""</f>
        <v/>
      </c>
      <c r="AI130" s="35" t="str">
        <f>""</f>
        <v/>
      </c>
      <c r="AJ130" s="40"/>
      <c r="AK130" s="35"/>
      <c r="AL130" s="13" t="str">
        <f>""</f>
        <v/>
      </c>
      <c r="AM130" s="35" t="str">
        <f>""</f>
        <v/>
      </c>
    </row>
    <row r="131" spans="2:39" s="2" customFormat="1" x14ac:dyDescent="0.2">
      <c r="B131" s="4"/>
      <c r="C131" s="4"/>
      <c r="D131" s="4"/>
      <c r="E131" s="4"/>
      <c r="F131" s="13"/>
      <c r="G131" s="13"/>
      <c r="H131" s="13"/>
      <c r="I131" s="13"/>
      <c r="J131" s="13"/>
      <c r="K131" s="13"/>
      <c r="L131" s="13"/>
      <c r="M131" s="13"/>
      <c r="U131" s="65" t="s">
        <v>89</v>
      </c>
      <c r="V131" s="40" t="str">
        <f>""</f>
        <v/>
      </c>
      <c r="W131" s="13" t="str">
        <f>""</f>
        <v/>
      </c>
      <c r="X131" s="13" t="str">
        <f>""</f>
        <v/>
      </c>
      <c r="Y131" s="35" t="str">
        <f>""</f>
        <v/>
      </c>
      <c r="Z131" s="34" t="str">
        <f>""</f>
        <v/>
      </c>
      <c r="AA131" s="13">
        <v>0</v>
      </c>
      <c r="AB131" s="13" t="str">
        <f>""</f>
        <v/>
      </c>
      <c r="AC131" s="35"/>
      <c r="AD131" s="40" t="str">
        <f>""</f>
        <v/>
      </c>
      <c r="AE131" s="35" t="str">
        <f>""</f>
        <v/>
      </c>
      <c r="AF131" s="40" t="str">
        <f>""</f>
        <v/>
      </c>
      <c r="AG131" s="35" t="str">
        <f>""</f>
        <v/>
      </c>
      <c r="AH131" s="40" t="str">
        <f>""</f>
        <v/>
      </c>
      <c r="AI131" s="35" t="str">
        <f>""</f>
        <v/>
      </c>
      <c r="AJ131" s="40"/>
      <c r="AK131" s="35"/>
      <c r="AL131" s="13" t="str">
        <f>""</f>
        <v/>
      </c>
      <c r="AM131" s="35" t="str">
        <f>""</f>
        <v/>
      </c>
    </row>
    <row r="132" spans="2:39" s="2" customFormat="1" x14ac:dyDescent="0.2">
      <c r="B132" s="4"/>
      <c r="C132" s="4"/>
      <c r="D132" s="4"/>
      <c r="E132" s="4"/>
      <c r="F132" s="13"/>
      <c r="G132" s="13"/>
      <c r="H132" s="13"/>
      <c r="I132" s="13"/>
      <c r="J132" s="13"/>
      <c r="K132" s="13"/>
      <c r="L132" s="13"/>
      <c r="M132" s="13"/>
      <c r="U132" s="65" t="s">
        <v>90</v>
      </c>
      <c r="V132" s="40" t="str">
        <f>""</f>
        <v/>
      </c>
      <c r="W132" s="13" t="str">
        <f>""</f>
        <v/>
      </c>
      <c r="X132" s="13" t="str">
        <f>""</f>
        <v/>
      </c>
      <c r="Y132" s="35" t="str">
        <f>""</f>
        <v/>
      </c>
      <c r="Z132" s="34" t="str">
        <f>""</f>
        <v/>
      </c>
      <c r="AA132" s="13">
        <v>0</v>
      </c>
      <c r="AB132" s="13" t="str">
        <f>""</f>
        <v/>
      </c>
      <c r="AC132" s="35"/>
      <c r="AD132" s="40" t="str">
        <f>""</f>
        <v/>
      </c>
      <c r="AE132" s="35" t="str">
        <f>""</f>
        <v/>
      </c>
      <c r="AF132" s="40" t="str">
        <f>""</f>
        <v/>
      </c>
      <c r="AG132" s="35" t="str">
        <f>""</f>
        <v/>
      </c>
      <c r="AH132" s="40" t="str">
        <f>""</f>
        <v/>
      </c>
      <c r="AI132" s="35" t="str">
        <f>""</f>
        <v/>
      </c>
      <c r="AJ132" s="40"/>
      <c r="AK132" s="35"/>
      <c r="AL132" s="13" t="str">
        <f>""</f>
        <v/>
      </c>
      <c r="AM132" s="35" t="str">
        <f>""</f>
        <v/>
      </c>
    </row>
    <row r="133" spans="2:39" s="2" customFormat="1" x14ac:dyDescent="0.2">
      <c r="B133" s="4"/>
      <c r="C133" s="4"/>
      <c r="D133" s="4"/>
      <c r="E133" s="4"/>
      <c r="F133" s="13"/>
      <c r="G133" s="13"/>
      <c r="H133" s="13"/>
      <c r="I133" s="13"/>
      <c r="J133" s="13"/>
      <c r="K133" s="13"/>
      <c r="L133" s="13"/>
      <c r="M133" s="13"/>
      <c r="U133" s="65" t="s">
        <v>91</v>
      </c>
      <c r="V133" s="40" t="str">
        <f>""</f>
        <v/>
      </c>
      <c r="W133" s="13" t="str">
        <f>""</f>
        <v/>
      </c>
      <c r="X133" s="13" t="str">
        <f>""</f>
        <v/>
      </c>
      <c r="Y133" s="35" t="str">
        <f>""</f>
        <v/>
      </c>
      <c r="Z133" s="34" t="str">
        <f>""</f>
        <v/>
      </c>
      <c r="AA133" s="13">
        <v>0</v>
      </c>
      <c r="AB133" s="13" t="str">
        <f>""</f>
        <v/>
      </c>
      <c r="AC133" s="35"/>
      <c r="AD133" s="40" t="str">
        <f>""</f>
        <v/>
      </c>
      <c r="AE133" s="35" t="str">
        <f>""</f>
        <v/>
      </c>
      <c r="AF133" s="40" t="str">
        <f>""</f>
        <v/>
      </c>
      <c r="AG133" s="35" t="str">
        <f>""</f>
        <v/>
      </c>
      <c r="AH133" s="40" t="str">
        <f>""</f>
        <v/>
      </c>
      <c r="AI133" s="35" t="str">
        <f>""</f>
        <v/>
      </c>
      <c r="AJ133" s="40"/>
      <c r="AK133" s="35"/>
      <c r="AL133" s="13" t="str">
        <f>""</f>
        <v/>
      </c>
      <c r="AM133" s="35" t="str">
        <f>""</f>
        <v/>
      </c>
    </row>
    <row r="134" spans="2:39" s="2" customFormat="1" x14ac:dyDescent="0.2">
      <c r="B134" s="4"/>
      <c r="C134" s="4"/>
      <c r="D134" s="4"/>
      <c r="E134" s="4"/>
      <c r="F134" s="13"/>
      <c r="G134" s="13"/>
      <c r="H134" s="13"/>
      <c r="I134" s="13"/>
      <c r="J134" s="13"/>
      <c r="K134" s="13"/>
      <c r="L134" s="13"/>
      <c r="M134" s="13"/>
      <c r="U134" s="65" t="s">
        <v>92</v>
      </c>
      <c r="V134" s="40" t="str">
        <f>""</f>
        <v/>
      </c>
      <c r="W134" s="13" t="str">
        <f>""</f>
        <v/>
      </c>
      <c r="X134" s="13" t="str">
        <f>""</f>
        <v/>
      </c>
      <c r="Y134" s="35" t="str">
        <f>""</f>
        <v/>
      </c>
      <c r="Z134" s="34" t="str">
        <f>""</f>
        <v/>
      </c>
      <c r="AA134" s="13">
        <v>0</v>
      </c>
      <c r="AB134" s="13" t="str">
        <f>""</f>
        <v/>
      </c>
      <c r="AC134" s="35"/>
      <c r="AD134" s="40" t="str">
        <f>""</f>
        <v/>
      </c>
      <c r="AE134" s="35" t="str">
        <f>""</f>
        <v/>
      </c>
      <c r="AF134" s="40" t="str">
        <f>""</f>
        <v/>
      </c>
      <c r="AG134" s="35" t="str">
        <f>""</f>
        <v/>
      </c>
      <c r="AH134" s="40" t="str">
        <f>""</f>
        <v/>
      </c>
      <c r="AI134" s="35" t="str">
        <f>""</f>
        <v/>
      </c>
      <c r="AJ134" s="40"/>
      <c r="AK134" s="35"/>
      <c r="AL134" s="13" t="str">
        <f>""</f>
        <v/>
      </c>
      <c r="AM134" s="35" t="str">
        <f>""</f>
        <v/>
      </c>
    </row>
    <row r="135" spans="2:39" s="2" customFormat="1" ht="12.75" thickBot="1" x14ac:dyDescent="0.25">
      <c r="B135" s="4"/>
      <c r="C135" s="4"/>
      <c r="D135" s="4"/>
      <c r="E135" s="4"/>
      <c r="F135" s="13"/>
      <c r="G135" s="13"/>
      <c r="H135" s="13"/>
      <c r="I135" s="13"/>
      <c r="J135" s="13"/>
      <c r="K135" s="13"/>
      <c r="L135" s="13"/>
      <c r="M135" s="13"/>
      <c r="U135" s="66" t="s">
        <v>93</v>
      </c>
      <c r="V135" s="41" t="str">
        <f>""</f>
        <v/>
      </c>
      <c r="W135" s="37" t="str">
        <f>""</f>
        <v/>
      </c>
      <c r="X135" s="37" t="str">
        <f>""</f>
        <v/>
      </c>
      <c r="Y135" s="38" t="str">
        <f>""</f>
        <v/>
      </c>
      <c r="Z135" s="36" t="str">
        <f>""</f>
        <v/>
      </c>
      <c r="AA135" s="37">
        <v>0</v>
      </c>
      <c r="AB135" s="37" t="str">
        <f>""</f>
        <v/>
      </c>
      <c r="AC135" s="38"/>
      <c r="AD135" s="41" t="str">
        <f>""</f>
        <v/>
      </c>
      <c r="AE135" s="38" t="str">
        <f>""</f>
        <v/>
      </c>
      <c r="AF135" s="41" t="str">
        <f>""</f>
        <v/>
      </c>
      <c r="AG135" s="38" t="str">
        <f>""</f>
        <v/>
      </c>
      <c r="AH135" s="41" t="str">
        <f>""</f>
        <v/>
      </c>
      <c r="AI135" s="38" t="str">
        <f>""</f>
        <v/>
      </c>
      <c r="AJ135" s="41"/>
      <c r="AK135" s="38"/>
      <c r="AL135" s="37" t="str">
        <f>""</f>
        <v/>
      </c>
      <c r="AM135" s="38" t="str">
        <f>""</f>
        <v/>
      </c>
    </row>
    <row r="136" spans="2:39" s="2" customFormat="1" ht="12.75" thickTop="1" x14ac:dyDescent="0.2">
      <c r="B136" s="4"/>
      <c r="C136" s="4"/>
      <c r="D136" s="4"/>
      <c r="E136" s="4"/>
      <c r="F136" s="13"/>
      <c r="G136" s="13"/>
      <c r="H136" s="13"/>
      <c r="I136" s="13"/>
      <c r="J136" s="13"/>
      <c r="K136" s="13"/>
      <c r="L136" s="13"/>
      <c r="M136" s="13"/>
      <c r="Y136" s="65" t="s">
        <v>7</v>
      </c>
      <c r="Z136" s="31" t="str">
        <f ca="1">W64&amp;V64</f>
        <v/>
      </c>
      <c r="AA136" s="32">
        <f ca="1">AA64</f>
        <v>0</v>
      </c>
      <c r="AB136" s="32" t="str">
        <f ca="1">IF(AA64&gt;0,AI64&amp;Sprache!$E$108&amp;AH64,"")</f>
        <v/>
      </c>
      <c r="AC136" s="593" t="str">
        <f ca="1">IF(AA64&gt;0,AK64&amp;Sprache!$E$108&amp;AJ64,"")</f>
        <v/>
      </c>
      <c r="AD136" s="32"/>
    </row>
    <row r="137" spans="2:39" x14ac:dyDescent="0.2">
      <c r="Y137" s="65" t="s">
        <v>8</v>
      </c>
      <c r="Z137" s="34" t="str">
        <f ca="1">W65&amp;V65</f>
        <v/>
      </c>
      <c r="AA137" s="13">
        <f t="shared" ref="AA137:AA160" ca="1" si="45">AA65</f>
        <v>0</v>
      </c>
      <c r="AB137" s="13" t="str">
        <f ca="1">IF(AA65&gt;0,AI65&amp;Sprache!$E$108&amp;AH65,"")</f>
        <v/>
      </c>
      <c r="AC137" s="594" t="str">
        <f ca="1">IF(AA65&gt;0,AK65&amp;Sprache!$E$108&amp;AJ65,"")</f>
        <v/>
      </c>
      <c r="AD137" s="13"/>
    </row>
    <row r="138" spans="2:39" x14ac:dyDescent="0.2">
      <c r="Y138" s="65" t="s">
        <v>9</v>
      </c>
      <c r="Z138" s="34" t="str">
        <f t="shared" ref="Z138:Z160" ca="1" si="46">W66&amp;V66</f>
        <v>FC Barcelona</v>
      </c>
      <c r="AA138" s="13">
        <f t="shared" ca="1" si="45"/>
        <v>0</v>
      </c>
      <c r="AB138" s="13" t="str">
        <f ca="1">IF(AA66&gt;0,AI66&amp;Sprache!$E$108&amp;AH66,"")</f>
        <v/>
      </c>
      <c r="AC138" s="594" t="str">
        <f ca="1">IF(AA66&gt;0,AK66&amp;Sprache!$E$108&amp;AJ66,"")</f>
        <v/>
      </c>
      <c r="AD138" s="13"/>
    </row>
    <row r="139" spans="2:39" x14ac:dyDescent="0.2">
      <c r="Y139" s="65" t="s">
        <v>10</v>
      </c>
      <c r="Z139" s="34" t="str">
        <f t="shared" ca="1" si="46"/>
        <v>SSV WildbachVFB Essenheim</v>
      </c>
      <c r="AA139" s="13">
        <f t="shared" ca="1" si="45"/>
        <v>1</v>
      </c>
      <c r="AB139" s="13" t="str">
        <f ca="1">IF(AA67&gt;0,AI67&amp;Sprache!$E$108&amp;AH67,"")</f>
        <v>37 : 50</v>
      </c>
      <c r="AC139" s="594" t="str">
        <f ca="1">IF(AA67&gt;0,AK67&amp;Sprache!$E$108&amp;AJ67,"")</f>
        <v>0 : 2</v>
      </c>
      <c r="AD139" s="13"/>
    </row>
    <row r="140" spans="2:39" x14ac:dyDescent="0.2">
      <c r="Y140" s="65" t="s">
        <v>11</v>
      </c>
      <c r="Z140" s="34" t="str">
        <f t="shared" ca="1" si="46"/>
        <v>Manchester CityEintracht Frankfurt</v>
      </c>
      <c r="AA140" s="13">
        <f t="shared" ca="1" si="45"/>
        <v>1</v>
      </c>
      <c r="AB140" s="13" t="str">
        <f ca="1">IF(AA68&gt;0,AI68&amp;Sprache!$E$108&amp;AH68,"")</f>
        <v>50 : 35</v>
      </c>
      <c r="AC140" s="594" t="str">
        <f ca="1">IF(AA68&gt;0,AK68&amp;Sprache!$E$108&amp;AJ68,"")</f>
        <v>2 : 0</v>
      </c>
      <c r="AD140" s="13"/>
    </row>
    <row r="141" spans="2:39" x14ac:dyDescent="0.2">
      <c r="Y141" s="65" t="s">
        <v>12</v>
      </c>
      <c r="Z141" s="34" t="str">
        <f t="shared" ca="1" si="46"/>
        <v/>
      </c>
      <c r="AA141" s="13">
        <f t="shared" ca="1" si="45"/>
        <v>0</v>
      </c>
      <c r="AB141" s="13" t="str">
        <f ca="1">IF(AA69&gt;0,AI69&amp;Sprache!$E$108&amp;AH69,"")</f>
        <v/>
      </c>
      <c r="AC141" s="594" t="str">
        <f ca="1">IF(AA69&gt;0,AK69&amp;Sprache!$E$108&amp;AJ69,"")</f>
        <v/>
      </c>
      <c r="AD141" s="13"/>
    </row>
    <row r="142" spans="2:39" x14ac:dyDescent="0.2">
      <c r="Y142" s="65" t="s">
        <v>17</v>
      </c>
      <c r="Z142" s="34" t="str">
        <f t="shared" ca="1" si="46"/>
        <v>Inter Mailand</v>
      </c>
      <c r="AA142" s="13">
        <f t="shared" ca="1" si="45"/>
        <v>0</v>
      </c>
      <c r="AB142" s="13" t="str">
        <f ca="1">IF(AA70&gt;0,AI70&amp;Sprache!$E$108&amp;AH70,"")</f>
        <v/>
      </c>
      <c r="AC142" s="594" t="str">
        <f ca="1">IF(AA70&gt;0,AK70&amp;Sprache!$E$108&amp;AJ70,"")</f>
        <v/>
      </c>
      <c r="AD142" s="13"/>
    </row>
    <row r="143" spans="2:39" x14ac:dyDescent="0.2">
      <c r="Y143" s="65" t="s">
        <v>18</v>
      </c>
      <c r="Z143" s="34" t="str">
        <f t="shared" ca="1" si="46"/>
        <v>1. FC RiedwaldFC Grönlingen</v>
      </c>
      <c r="AA143" s="13">
        <f t="shared" ca="1" si="45"/>
        <v>1</v>
      </c>
      <c r="AB143" s="13" t="str">
        <f ca="1">IF(AA71&gt;0,AI71&amp;Sprache!$E$108&amp;AH71,"")</f>
        <v>44 : 50</v>
      </c>
      <c r="AC143" s="594" t="str">
        <f ca="1">IF(AA71&gt;0,AK71&amp;Sprache!$E$108&amp;AJ71,"")</f>
        <v>0 : 2</v>
      </c>
      <c r="AD143" s="13"/>
    </row>
    <row r="144" spans="2:39" x14ac:dyDescent="0.2">
      <c r="Y144" s="65" t="s">
        <v>19</v>
      </c>
      <c r="Z144" s="34" t="str">
        <f t="shared" ca="1" si="46"/>
        <v>Maibach 1822 eVMainz 05</v>
      </c>
      <c r="AA144" s="13">
        <f t="shared" ca="1" si="45"/>
        <v>1</v>
      </c>
      <c r="AB144" s="13" t="str">
        <f ca="1">IF(AA72&gt;0,AI72&amp;Sprache!$E$108&amp;AH72,"")</f>
        <v>39 : 50</v>
      </c>
      <c r="AC144" s="594" t="str">
        <f ca="1">IF(AA72&gt;0,AK72&amp;Sprache!$E$108&amp;AJ72,"")</f>
        <v>0 : 2</v>
      </c>
      <c r="AD144" s="13"/>
    </row>
    <row r="145" spans="25:30" x14ac:dyDescent="0.2">
      <c r="Y145" s="65" t="s">
        <v>25</v>
      </c>
      <c r="Z145" s="34" t="str">
        <f t="shared" ca="1" si="46"/>
        <v/>
      </c>
      <c r="AA145" s="13">
        <f t="shared" ca="1" si="45"/>
        <v>0</v>
      </c>
      <c r="AB145" s="13" t="str">
        <f ca="1">IF(AA73&gt;0,AI73&amp;Sprache!$E$108&amp;AH73,"")</f>
        <v/>
      </c>
      <c r="AC145" s="594" t="str">
        <f ca="1">IF(AA73&gt;0,AK73&amp;Sprache!$E$108&amp;AJ73,"")</f>
        <v/>
      </c>
      <c r="AD145" s="13"/>
    </row>
    <row r="146" spans="25:30" x14ac:dyDescent="0.2">
      <c r="Y146" s="65" t="s">
        <v>26</v>
      </c>
      <c r="Z146" s="34" t="str">
        <f t="shared" ca="1" si="46"/>
        <v>FC Barcelona</v>
      </c>
      <c r="AA146" s="13">
        <f t="shared" ca="1" si="45"/>
        <v>0</v>
      </c>
      <c r="AB146" s="13" t="str">
        <f ca="1">IF(AA74&gt;0,AI74&amp;Sprache!$E$108&amp;AH74,"")</f>
        <v/>
      </c>
      <c r="AC146" s="594" t="str">
        <f ca="1">IF(AA74&gt;0,AK74&amp;Sprache!$E$108&amp;AJ74,"")</f>
        <v/>
      </c>
      <c r="AD146" s="13"/>
    </row>
    <row r="147" spans="25:30" x14ac:dyDescent="0.2">
      <c r="Y147" s="65" t="s">
        <v>27</v>
      </c>
      <c r="Z147" s="34" t="str">
        <f t="shared" ca="1" si="46"/>
        <v>1. FC RiedwaldVFB Essenheim</v>
      </c>
      <c r="AA147" s="13">
        <f t="shared" ca="1" si="45"/>
        <v>1</v>
      </c>
      <c r="AB147" s="13" t="str">
        <f ca="1">IF(AA75&gt;0,AI75&amp;Sprache!$E$108&amp;AH75,"")</f>
        <v>37 : 44</v>
      </c>
      <c r="AC147" s="594" t="str">
        <f ca="1">IF(AA75&gt;0,AK75&amp;Sprache!$E$108&amp;AJ75,"")</f>
        <v>1 : 1</v>
      </c>
      <c r="AD147" s="13"/>
    </row>
    <row r="148" spans="25:30" x14ac:dyDescent="0.2">
      <c r="Y148" s="65" t="s">
        <v>28</v>
      </c>
      <c r="Z148" s="34" t="str">
        <f t="shared" ca="1" si="46"/>
        <v>Maibach 1822 eVEintracht Frankfurt</v>
      </c>
      <c r="AA148" s="13">
        <f t="shared" ca="1" si="45"/>
        <v>1</v>
      </c>
      <c r="AB148" s="13" t="str">
        <f ca="1">IF(AA76&gt;0,AI76&amp;Sprache!$E$108&amp;AH76,"")</f>
        <v>50 : 31</v>
      </c>
      <c r="AC148" s="594" t="str">
        <f ca="1">IF(AA76&gt;0,AK76&amp;Sprache!$E$108&amp;AJ76,"")</f>
        <v>2 : 0</v>
      </c>
      <c r="AD148" s="13"/>
    </row>
    <row r="149" spans="25:30" x14ac:dyDescent="0.2">
      <c r="Y149" s="65" t="s">
        <v>29</v>
      </c>
      <c r="Z149" s="34" t="str">
        <f t="shared" ca="1" si="46"/>
        <v/>
      </c>
      <c r="AA149" s="13">
        <f t="shared" ca="1" si="45"/>
        <v>0</v>
      </c>
      <c r="AB149" s="13" t="str">
        <f ca="1">IF(AA77&gt;0,AI77&amp;Sprache!$E$108&amp;AH77,"")</f>
        <v/>
      </c>
      <c r="AC149" s="594" t="str">
        <f ca="1">IF(AA77&gt;0,AK77&amp;Sprache!$E$108&amp;AJ77,"")</f>
        <v/>
      </c>
      <c r="AD149" s="13"/>
    </row>
    <row r="150" spans="25:30" x14ac:dyDescent="0.2">
      <c r="Y150" s="65" t="s">
        <v>30</v>
      </c>
      <c r="Z150" s="34" t="str">
        <f t="shared" ca="1" si="46"/>
        <v>Inter Mailand</v>
      </c>
      <c r="AA150" s="13">
        <f t="shared" ca="1" si="45"/>
        <v>0</v>
      </c>
      <c r="AB150" s="13" t="str">
        <f ca="1">IF(AA78&gt;0,AI78&amp;Sprache!$E$108&amp;AH78,"")</f>
        <v/>
      </c>
      <c r="AC150" s="594" t="str">
        <f ca="1">IF(AA78&gt;0,AK78&amp;Sprache!$E$108&amp;AJ78,"")</f>
        <v/>
      </c>
      <c r="AD150" s="13"/>
    </row>
    <row r="151" spans="25:30" x14ac:dyDescent="0.2">
      <c r="Y151" s="65" t="s">
        <v>31</v>
      </c>
      <c r="Z151" s="34" t="str">
        <f t="shared" ca="1" si="46"/>
        <v>SSV WildbachFC Grönlingen</v>
      </c>
      <c r="AA151" s="13">
        <f t="shared" ca="1" si="45"/>
        <v>1</v>
      </c>
      <c r="AB151" s="13" t="str">
        <f ca="1">IF(AA79&gt;0,AI79&amp;Sprache!$E$108&amp;AH79,"")</f>
        <v>45 : 47</v>
      </c>
      <c r="AC151" s="594" t="str">
        <f ca="1">IF(AA79&gt;0,AK79&amp;Sprache!$E$108&amp;AJ79,"")</f>
        <v>1 : 1</v>
      </c>
      <c r="AD151" s="13"/>
    </row>
    <row r="152" spans="25:30" x14ac:dyDescent="0.2">
      <c r="Y152" s="65" t="s">
        <v>32</v>
      </c>
      <c r="Z152" s="34" t="str">
        <f t="shared" ca="1" si="46"/>
        <v>Manchester CityMainz 05</v>
      </c>
      <c r="AA152" s="13">
        <f t="shared" ca="1" si="45"/>
        <v>1</v>
      </c>
      <c r="AB152" s="13" t="str">
        <f ca="1">IF(AA80&gt;0,AI80&amp;Sprache!$E$108&amp;AH80,"")</f>
        <v>44 : 44</v>
      </c>
      <c r="AC152" s="594" t="str">
        <f ca="1">IF(AA80&gt;0,AK80&amp;Sprache!$E$108&amp;AJ80,"")</f>
        <v>1 : 1</v>
      </c>
      <c r="AD152" s="13"/>
    </row>
    <row r="153" spans="25:30" x14ac:dyDescent="0.2">
      <c r="Y153" s="65" t="s">
        <v>33</v>
      </c>
      <c r="Z153" s="34" t="str">
        <f t="shared" ca="1" si="46"/>
        <v/>
      </c>
      <c r="AA153" s="13">
        <f t="shared" ca="1" si="45"/>
        <v>0</v>
      </c>
      <c r="AB153" s="13" t="str">
        <f ca="1">IF(AA81&gt;0,AI81&amp;Sprache!$E$108&amp;AH81,"")</f>
        <v/>
      </c>
      <c r="AC153" s="594" t="str">
        <f ca="1">IF(AA81&gt;0,AK81&amp;Sprache!$E$108&amp;AJ81,"")</f>
        <v/>
      </c>
      <c r="AD153" s="13"/>
    </row>
    <row r="154" spans="25:30" x14ac:dyDescent="0.2">
      <c r="Y154" s="65" t="s">
        <v>34</v>
      </c>
      <c r="Z154" s="34" t="str">
        <f t="shared" ca="1" si="46"/>
        <v/>
      </c>
      <c r="AA154" s="13">
        <f t="shared" ca="1" si="45"/>
        <v>0</v>
      </c>
      <c r="AB154" s="13" t="str">
        <f ca="1">IF(AA82&gt;0,AI82&amp;Sprache!$E$108&amp;AH82,"")</f>
        <v/>
      </c>
      <c r="AC154" s="594" t="str">
        <f ca="1">IF(AA82&gt;0,AK82&amp;Sprache!$E$108&amp;AJ82,"")</f>
        <v/>
      </c>
      <c r="AD154" s="13"/>
    </row>
    <row r="155" spans="25:30" x14ac:dyDescent="0.2">
      <c r="Y155" s="65" t="s">
        <v>35</v>
      </c>
      <c r="Z155" s="34" t="str">
        <f t="shared" ca="1" si="46"/>
        <v>SSV Wildbach1. FC Riedwald</v>
      </c>
      <c r="AA155" s="13">
        <f t="shared" ca="1" si="45"/>
        <v>1</v>
      </c>
      <c r="AB155" s="13" t="str">
        <f ca="1">IF(AA83&gt;0,AI83&amp;Sprache!$E$108&amp;AH83,"")</f>
        <v>48 : 39</v>
      </c>
      <c r="AC155" s="594" t="str">
        <f ca="1">IF(AA83&gt;0,AK83&amp;Sprache!$E$108&amp;AJ83,"")</f>
        <v>1 : 1</v>
      </c>
      <c r="AD155" s="13"/>
    </row>
    <row r="156" spans="25:30" x14ac:dyDescent="0.2">
      <c r="Y156" s="65" t="s">
        <v>36</v>
      </c>
      <c r="Z156" s="34" t="str">
        <f t="shared" ca="1" si="46"/>
        <v>Manchester CityMaibach 1822 eV</v>
      </c>
      <c r="AA156" s="13">
        <f t="shared" ca="1" si="45"/>
        <v>1</v>
      </c>
      <c r="AB156" s="13" t="str">
        <f ca="1">IF(AA84&gt;0,AI84&amp;Sprache!$E$108&amp;AH84,"")</f>
        <v>42 : 46</v>
      </c>
      <c r="AC156" s="594" t="str">
        <f ca="1">IF(AA84&gt;0,AK84&amp;Sprache!$E$108&amp;AJ84,"")</f>
        <v>1 : 1</v>
      </c>
      <c r="AD156" s="13"/>
    </row>
    <row r="157" spans="25:30" x14ac:dyDescent="0.2">
      <c r="Y157" s="65" t="s">
        <v>37</v>
      </c>
      <c r="Z157" s="34" t="str">
        <f t="shared" ca="1" si="46"/>
        <v/>
      </c>
      <c r="AA157" s="13">
        <f t="shared" ca="1" si="45"/>
        <v>0</v>
      </c>
      <c r="AB157" s="13" t="str">
        <f ca="1">IF(AA85&gt;0,AI85&amp;Sprache!$E$108&amp;AH85,"")</f>
        <v/>
      </c>
      <c r="AC157" s="594" t="str">
        <f ca="1">IF(AA85&gt;0,AK85&amp;Sprache!$E$108&amp;AJ85,"")</f>
        <v/>
      </c>
      <c r="AD157" s="13"/>
    </row>
    <row r="158" spans="25:30" x14ac:dyDescent="0.2">
      <c r="Y158" s="65" t="s">
        <v>38</v>
      </c>
      <c r="Z158" s="34" t="str">
        <f t="shared" ca="1" si="46"/>
        <v>Inter MailandFC Barcelona</v>
      </c>
      <c r="AA158" s="13">
        <f t="shared" ca="1" si="45"/>
        <v>1</v>
      </c>
      <c r="AB158" s="13" t="str">
        <f ca="1">IF(AA86&gt;0,AI86&amp;Sprache!$E$108&amp;AH86,"")</f>
        <v>65 : 70</v>
      </c>
      <c r="AC158" s="594" t="str">
        <f ca="1">IF(AA86&gt;0,AK86&amp;Sprache!$E$108&amp;AJ86,"")</f>
        <v>1 : 2</v>
      </c>
      <c r="AD158" s="13"/>
    </row>
    <row r="159" spans="25:30" x14ac:dyDescent="0.2">
      <c r="Y159" s="65" t="s">
        <v>39</v>
      </c>
      <c r="Z159" s="34" t="str">
        <f t="shared" ca="1" si="46"/>
        <v>FC GrönlingenVFB Essenheim</v>
      </c>
      <c r="AA159" s="13">
        <f t="shared" ca="1" si="45"/>
        <v>1</v>
      </c>
      <c r="AB159" s="13" t="str">
        <f ca="1">IF(AA87&gt;0,AI87&amp;Sprache!$E$108&amp;AH87,"")</f>
        <v>39 : 50</v>
      </c>
      <c r="AC159" s="594" t="str">
        <f ca="1">IF(AA87&gt;0,AK87&amp;Sprache!$E$108&amp;AJ87,"")</f>
        <v>0 : 2</v>
      </c>
      <c r="AD159" s="13"/>
    </row>
    <row r="160" spans="25:30" ht="12.75" thickBot="1" x14ac:dyDescent="0.25">
      <c r="Y160" s="754" t="s">
        <v>40</v>
      </c>
      <c r="Z160" s="758" t="str">
        <f t="shared" ca="1" si="46"/>
        <v>Mainz 05Eintracht Frankfurt</v>
      </c>
      <c r="AA160" s="756">
        <f t="shared" ca="1" si="45"/>
        <v>1</v>
      </c>
      <c r="AB160" s="756" t="str">
        <f ca="1">IF(AA88&gt;0,AI88&amp;Sprache!$E$108&amp;AH88,"")</f>
        <v>33 : 50</v>
      </c>
      <c r="AC160" s="759" t="str">
        <f ca="1">IF(AA88&gt;0,AK88&amp;Sprache!$E$108&amp;AJ88,"")</f>
        <v>0 : 2</v>
      </c>
      <c r="AD160" s="13"/>
    </row>
    <row r="161" spans="25:30" ht="12.75" thickTop="1" x14ac:dyDescent="0.2">
      <c r="Y161" s="65" t="s">
        <v>41</v>
      </c>
      <c r="Z161" s="34" t="str">
        <f>""</f>
        <v/>
      </c>
      <c r="AA161" s="13">
        <v>0</v>
      </c>
      <c r="AB161" s="13" t="str">
        <f>""</f>
        <v/>
      </c>
      <c r="AC161" s="594" t="str">
        <f>""</f>
        <v/>
      </c>
      <c r="AD161" s="13"/>
    </row>
    <row r="162" spans="25:30" x14ac:dyDescent="0.2">
      <c r="Y162" s="65" t="s">
        <v>42</v>
      </c>
      <c r="Z162" s="34" t="str">
        <f>""</f>
        <v/>
      </c>
      <c r="AA162" s="13">
        <v>0</v>
      </c>
      <c r="AB162" s="13" t="str">
        <f>""</f>
        <v/>
      </c>
      <c r="AC162" s="594" t="str">
        <f>""</f>
        <v/>
      </c>
      <c r="AD162" s="13"/>
    </row>
    <row r="163" spans="25:30" x14ac:dyDescent="0.2">
      <c r="Y163" s="65" t="s">
        <v>43</v>
      </c>
      <c r="Z163" s="34" t="str">
        <f>""</f>
        <v/>
      </c>
      <c r="AA163" s="13">
        <v>0</v>
      </c>
      <c r="AB163" s="13" t="str">
        <f>""</f>
        <v/>
      </c>
      <c r="AC163" s="594" t="str">
        <f>""</f>
        <v/>
      </c>
      <c r="AD163" s="13"/>
    </row>
    <row r="164" spans="25:30" x14ac:dyDescent="0.2">
      <c r="Y164" s="65" t="s">
        <v>44</v>
      </c>
      <c r="Z164" s="34" t="str">
        <f>""</f>
        <v/>
      </c>
      <c r="AA164" s="13">
        <v>0</v>
      </c>
      <c r="AB164" s="13" t="str">
        <f>""</f>
        <v/>
      </c>
      <c r="AC164" s="594" t="str">
        <f>""</f>
        <v/>
      </c>
      <c r="AD164" s="13"/>
    </row>
    <row r="165" spans="25:30" x14ac:dyDescent="0.2">
      <c r="Y165" s="65" t="s">
        <v>45</v>
      </c>
      <c r="Z165" s="34" t="str">
        <f>""</f>
        <v/>
      </c>
      <c r="AA165" s="13">
        <v>0</v>
      </c>
      <c r="AB165" s="13" t="str">
        <f>""</f>
        <v/>
      </c>
      <c r="AC165" s="594" t="str">
        <f>""</f>
        <v/>
      </c>
      <c r="AD165" s="13"/>
    </row>
    <row r="166" spans="25:30" x14ac:dyDescent="0.2">
      <c r="Y166" s="65" t="s">
        <v>46</v>
      </c>
      <c r="Z166" s="34" t="str">
        <f>""</f>
        <v/>
      </c>
      <c r="AA166" s="13">
        <v>0</v>
      </c>
      <c r="AB166" s="13" t="str">
        <f>""</f>
        <v/>
      </c>
      <c r="AC166" s="594" t="str">
        <f>""</f>
        <v/>
      </c>
      <c r="AD166" s="13"/>
    </row>
    <row r="167" spans="25:30" x14ac:dyDescent="0.2">
      <c r="Y167" s="65" t="s">
        <v>47</v>
      </c>
      <c r="Z167" s="34" t="str">
        <f>""</f>
        <v/>
      </c>
      <c r="AA167" s="13">
        <v>0</v>
      </c>
      <c r="AB167" s="13" t="str">
        <f>""</f>
        <v/>
      </c>
      <c r="AC167" s="594" t="str">
        <f>""</f>
        <v/>
      </c>
      <c r="AD167" s="13"/>
    </row>
    <row r="168" spans="25:30" x14ac:dyDescent="0.2">
      <c r="Y168" s="65" t="s">
        <v>48</v>
      </c>
      <c r="Z168" s="34" t="str">
        <f>""</f>
        <v/>
      </c>
      <c r="AA168" s="13">
        <v>0</v>
      </c>
      <c r="AB168" s="13" t="str">
        <f>""</f>
        <v/>
      </c>
      <c r="AC168" s="594" t="str">
        <f>""</f>
        <v/>
      </c>
      <c r="AD168" s="13"/>
    </row>
    <row r="169" spans="25:30" x14ac:dyDescent="0.2">
      <c r="Y169" s="65" t="s">
        <v>49</v>
      </c>
      <c r="Z169" s="34" t="str">
        <f>""</f>
        <v/>
      </c>
      <c r="AA169" s="13">
        <v>0</v>
      </c>
      <c r="AB169" s="13" t="str">
        <f>""</f>
        <v/>
      </c>
      <c r="AC169" s="594" t="str">
        <f>""</f>
        <v/>
      </c>
      <c r="AD169" s="13"/>
    </row>
    <row r="170" spans="25:30" x14ac:dyDescent="0.2">
      <c r="Y170" s="65" t="s">
        <v>50</v>
      </c>
      <c r="Z170" s="34" t="str">
        <f>""</f>
        <v/>
      </c>
      <c r="AA170" s="13">
        <v>0</v>
      </c>
      <c r="AB170" s="13" t="str">
        <f>""</f>
        <v/>
      </c>
      <c r="AC170" s="594" t="str">
        <f>""</f>
        <v/>
      </c>
      <c r="AD170" s="13"/>
    </row>
    <row r="171" spans="25:30" x14ac:dyDescent="0.2">
      <c r="Y171" s="65" t="s">
        <v>51</v>
      </c>
      <c r="Z171" s="34" t="str">
        <f>""</f>
        <v/>
      </c>
      <c r="AA171" s="13">
        <v>0</v>
      </c>
      <c r="AB171" s="13" t="str">
        <f>""</f>
        <v/>
      </c>
      <c r="AC171" s="594" t="str">
        <f>""</f>
        <v/>
      </c>
      <c r="AD171" s="13"/>
    </row>
    <row r="172" spans="25:30" x14ac:dyDescent="0.2">
      <c r="Y172" s="65" t="s">
        <v>58</v>
      </c>
      <c r="Z172" s="34" t="str">
        <f>""</f>
        <v/>
      </c>
      <c r="AA172" s="13">
        <v>0</v>
      </c>
      <c r="AB172" s="13" t="str">
        <f>""</f>
        <v/>
      </c>
      <c r="AC172" s="594" t="str">
        <f>""</f>
        <v/>
      </c>
      <c r="AD172" s="13"/>
    </row>
    <row r="173" spans="25:30" x14ac:dyDescent="0.2">
      <c r="Y173" s="65" t="s">
        <v>59</v>
      </c>
      <c r="Z173" s="34" t="str">
        <f>""</f>
        <v/>
      </c>
      <c r="AA173" s="13">
        <v>0</v>
      </c>
      <c r="AB173" s="13" t="str">
        <f>""</f>
        <v/>
      </c>
      <c r="AC173" s="594" t="str">
        <f>""</f>
        <v/>
      </c>
      <c r="AD173" s="13"/>
    </row>
    <row r="174" spans="25:30" x14ac:dyDescent="0.2">
      <c r="Y174" s="65" t="s">
        <v>60</v>
      </c>
      <c r="Z174" s="34" t="str">
        <f>""</f>
        <v/>
      </c>
      <c r="AA174" s="13">
        <v>0</v>
      </c>
      <c r="AB174" s="13" t="str">
        <f>""</f>
        <v/>
      </c>
      <c r="AC174" s="594" t="str">
        <f>""</f>
        <v/>
      </c>
      <c r="AD174" s="13"/>
    </row>
    <row r="175" spans="25:30" x14ac:dyDescent="0.2">
      <c r="Y175" s="65" t="s">
        <v>61</v>
      </c>
      <c r="Z175" s="34" t="str">
        <f>""</f>
        <v/>
      </c>
      <c r="AA175" s="13">
        <v>0</v>
      </c>
      <c r="AB175" s="13" t="str">
        <f>""</f>
        <v/>
      </c>
      <c r="AC175" s="594" t="str">
        <f>""</f>
        <v/>
      </c>
      <c r="AD175" s="13"/>
    </row>
    <row r="176" spans="25:30" x14ac:dyDescent="0.2">
      <c r="Y176" s="65" t="s">
        <v>62</v>
      </c>
      <c r="Z176" s="34" t="str">
        <f>""</f>
        <v/>
      </c>
      <c r="AA176" s="13">
        <v>0</v>
      </c>
      <c r="AB176" s="13" t="str">
        <f>""</f>
        <v/>
      </c>
      <c r="AC176" s="594" t="str">
        <f>""</f>
        <v/>
      </c>
      <c r="AD176" s="13"/>
    </row>
    <row r="177" spans="25:30" x14ac:dyDescent="0.2">
      <c r="Y177" s="65" t="s">
        <v>63</v>
      </c>
      <c r="Z177" s="34" t="str">
        <f>""</f>
        <v/>
      </c>
      <c r="AA177" s="13">
        <v>0</v>
      </c>
      <c r="AB177" s="13" t="str">
        <f>""</f>
        <v/>
      </c>
      <c r="AC177" s="594" t="str">
        <f>""</f>
        <v/>
      </c>
      <c r="AD177" s="13"/>
    </row>
    <row r="178" spans="25:30" x14ac:dyDescent="0.2">
      <c r="Y178" s="65" t="s">
        <v>64</v>
      </c>
      <c r="Z178" s="34" t="str">
        <f>""</f>
        <v/>
      </c>
      <c r="AA178" s="13">
        <v>0</v>
      </c>
      <c r="AB178" s="13" t="str">
        <f>""</f>
        <v/>
      </c>
      <c r="AC178" s="594" t="str">
        <f>""</f>
        <v/>
      </c>
      <c r="AD178" s="13"/>
    </row>
    <row r="179" spans="25:30" x14ac:dyDescent="0.2">
      <c r="Y179" s="65" t="s">
        <v>65</v>
      </c>
      <c r="Z179" s="34" t="str">
        <f>""</f>
        <v/>
      </c>
      <c r="AA179" s="13">
        <v>0</v>
      </c>
      <c r="AB179" s="13" t="str">
        <f>""</f>
        <v/>
      </c>
      <c r="AC179" s="594" t="str">
        <f>""</f>
        <v/>
      </c>
      <c r="AD179" s="13"/>
    </row>
    <row r="180" spans="25:30" x14ac:dyDescent="0.2">
      <c r="Y180" s="65" t="s">
        <v>66</v>
      </c>
      <c r="Z180" s="34" t="str">
        <f>""</f>
        <v/>
      </c>
      <c r="AA180" s="13">
        <v>0</v>
      </c>
      <c r="AB180" s="13" t="str">
        <f>""</f>
        <v/>
      </c>
      <c r="AC180" s="594" t="str">
        <f>""</f>
        <v/>
      </c>
      <c r="AD180" s="13"/>
    </row>
    <row r="181" spans="25:30" x14ac:dyDescent="0.2">
      <c r="Y181" s="65" t="s">
        <v>67</v>
      </c>
      <c r="Z181" s="34" t="str">
        <f>""</f>
        <v/>
      </c>
      <c r="AA181" s="13">
        <v>0</v>
      </c>
      <c r="AB181" s="13" t="str">
        <f>""</f>
        <v/>
      </c>
      <c r="AC181" s="594" t="str">
        <f>""</f>
        <v/>
      </c>
      <c r="AD181" s="13"/>
    </row>
    <row r="182" spans="25:30" x14ac:dyDescent="0.2">
      <c r="Y182" s="65" t="s">
        <v>68</v>
      </c>
      <c r="Z182" s="34" t="str">
        <f>""</f>
        <v/>
      </c>
      <c r="AA182" s="13">
        <v>0</v>
      </c>
      <c r="AB182" s="13" t="str">
        <f>""</f>
        <v/>
      </c>
      <c r="AC182" s="594" t="str">
        <f>""</f>
        <v/>
      </c>
      <c r="AD182" s="13"/>
    </row>
    <row r="183" spans="25:30" x14ac:dyDescent="0.2">
      <c r="Y183" s="65" t="s">
        <v>69</v>
      </c>
      <c r="Z183" s="34" t="str">
        <f>""</f>
        <v/>
      </c>
      <c r="AA183" s="13">
        <v>0</v>
      </c>
      <c r="AB183" s="13" t="str">
        <f>""</f>
        <v/>
      </c>
      <c r="AC183" s="594" t="str">
        <f>""</f>
        <v/>
      </c>
      <c r="AD183" s="13"/>
    </row>
    <row r="184" spans="25:30" x14ac:dyDescent="0.2">
      <c r="Y184" s="65" t="s">
        <v>70</v>
      </c>
      <c r="Z184" s="34" t="str">
        <f>""</f>
        <v/>
      </c>
      <c r="AA184" s="13">
        <v>0</v>
      </c>
      <c r="AB184" s="13" t="str">
        <f>""</f>
        <v/>
      </c>
      <c r="AC184" s="594" t="str">
        <f>""</f>
        <v/>
      </c>
      <c r="AD184" s="13"/>
    </row>
    <row r="185" spans="25:30" x14ac:dyDescent="0.2">
      <c r="Y185" s="65" t="s">
        <v>71</v>
      </c>
      <c r="Z185" s="34" t="str">
        <f>""</f>
        <v/>
      </c>
      <c r="AA185" s="13">
        <v>0</v>
      </c>
      <c r="AB185" s="13" t="str">
        <f>""</f>
        <v/>
      </c>
      <c r="AC185" s="594" t="str">
        <f>""</f>
        <v/>
      </c>
      <c r="AD185" s="13"/>
    </row>
    <row r="186" spans="25:30" x14ac:dyDescent="0.2">
      <c r="Y186" s="65" t="s">
        <v>72</v>
      </c>
      <c r="Z186" s="34" t="str">
        <f>""</f>
        <v/>
      </c>
      <c r="AA186" s="13">
        <v>0</v>
      </c>
      <c r="AB186" s="13" t="str">
        <f>""</f>
        <v/>
      </c>
      <c r="AC186" s="594" t="str">
        <f>""</f>
        <v/>
      </c>
      <c r="AD186" s="13"/>
    </row>
    <row r="187" spans="25:30" x14ac:dyDescent="0.2">
      <c r="Y187" s="65" t="s">
        <v>73</v>
      </c>
      <c r="Z187" s="34" t="str">
        <f>""</f>
        <v/>
      </c>
      <c r="AA187" s="13">
        <v>0</v>
      </c>
      <c r="AB187" s="13" t="str">
        <f>""</f>
        <v/>
      </c>
      <c r="AC187" s="594" t="str">
        <f>""</f>
        <v/>
      </c>
      <c r="AD187" s="13"/>
    </row>
    <row r="188" spans="25:30" x14ac:dyDescent="0.2">
      <c r="Y188" s="65" t="s">
        <v>74</v>
      </c>
      <c r="Z188" s="34" t="str">
        <f>""</f>
        <v/>
      </c>
      <c r="AA188" s="13">
        <v>0</v>
      </c>
      <c r="AB188" s="13" t="str">
        <f>""</f>
        <v/>
      </c>
      <c r="AC188" s="594" t="str">
        <f>""</f>
        <v/>
      </c>
      <c r="AD188" s="13"/>
    </row>
    <row r="189" spans="25:30" x14ac:dyDescent="0.2">
      <c r="Y189" s="65" t="s">
        <v>75</v>
      </c>
      <c r="Z189" s="34" t="str">
        <f>""</f>
        <v/>
      </c>
      <c r="AA189" s="13">
        <v>0</v>
      </c>
      <c r="AB189" s="13" t="str">
        <f>""</f>
        <v/>
      </c>
      <c r="AC189" s="594" t="str">
        <f>""</f>
        <v/>
      </c>
      <c r="AD189" s="13"/>
    </row>
    <row r="190" spans="25:30" x14ac:dyDescent="0.2">
      <c r="Y190" s="65" t="s">
        <v>76</v>
      </c>
      <c r="Z190" s="34" t="str">
        <f>""</f>
        <v/>
      </c>
      <c r="AA190" s="13">
        <v>0</v>
      </c>
      <c r="AB190" s="13" t="str">
        <f>""</f>
        <v/>
      </c>
      <c r="AC190" s="594" t="str">
        <f>""</f>
        <v/>
      </c>
      <c r="AD190" s="13"/>
    </row>
    <row r="191" spans="25:30" x14ac:dyDescent="0.2">
      <c r="Y191" s="65" t="s">
        <v>77</v>
      </c>
      <c r="Z191" s="34" t="str">
        <f>""</f>
        <v/>
      </c>
      <c r="AA191" s="13">
        <v>0</v>
      </c>
      <c r="AB191" s="13" t="str">
        <f>""</f>
        <v/>
      </c>
      <c r="AC191" s="594" t="str">
        <f>""</f>
        <v/>
      </c>
      <c r="AD191" s="13"/>
    </row>
    <row r="192" spans="25:30" x14ac:dyDescent="0.2">
      <c r="Y192" s="65" t="s">
        <v>78</v>
      </c>
      <c r="Z192" s="34" t="str">
        <f>""</f>
        <v/>
      </c>
      <c r="AA192" s="13">
        <v>0</v>
      </c>
      <c r="AB192" s="13" t="str">
        <f>""</f>
        <v/>
      </c>
      <c r="AC192" s="594" t="str">
        <f>""</f>
        <v/>
      </c>
      <c r="AD192" s="13"/>
    </row>
    <row r="193" spans="25:30" x14ac:dyDescent="0.2">
      <c r="Y193" s="65" t="s">
        <v>79</v>
      </c>
      <c r="Z193" s="34" t="str">
        <f>""</f>
        <v/>
      </c>
      <c r="AA193" s="13">
        <v>0</v>
      </c>
      <c r="AB193" s="13" t="str">
        <f>""</f>
        <v/>
      </c>
      <c r="AC193" s="594" t="str">
        <f>""</f>
        <v/>
      </c>
      <c r="AD193" s="13"/>
    </row>
    <row r="194" spans="25:30" x14ac:dyDescent="0.2">
      <c r="Y194" s="65" t="s">
        <v>80</v>
      </c>
      <c r="Z194" s="34" t="str">
        <f>""</f>
        <v/>
      </c>
      <c r="AA194" s="13">
        <v>0</v>
      </c>
      <c r="AB194" s="13" t="str">
        <f>""</f>
        <v/>
      </c>
      <c r="AC194" s="594" t="str">
        <f>""</f>
        <v/>
      </c>
      <c r="AD194" s="13"/>
    </row>
    <row r="195" spans="25:30" x14ac:dyDescent="0.2">
      <c r="Y195" s="65" t="s">
        <v>81</v>
      </c>
      <c r="Z195" s="34" t="str">
        <f>""</f>
        <v/>
      </c>
      <c r="AA195" s="13">
        <v>0</v>
      </c>
      <c r="AB195" s="13" t="str">
        <f>""</f>
        <v/>
      </c>
      <c r="AC195" s="594" t="str">
        <f>""</f>
        <v/>
      </c>
      <c r="AD195" s="13"/>
    </row>
    <row r="196" spans="25:30" x14ac:dyDescent="0.2">
      <c r="Y196" s="65" t="s">
        <v>82</v>
      </c>
      <c r="Z196" s="34" t="str">
        <f>""</f>
        <v/>
      </c>
      <c r="AA196" s="13">
        <v>0</v>
      </c>
      <c r="AB196" s="13" t="str">
        <f>""</f>
        <v/>
      </c>
      <c r="AC196" s="594" t="str">
        <f>""</f>
        <v/>
      </c>
      <c r="AD196" s="13"/>
    </row>
    <row r="197" spans="25:30" x14ac:dyDescent="0.2">
      <c r="Y197" s="65" t="s">
        <v>83</v>
      </c>
      <c r="Z197" s="34" t="str">
        <f>""</f>
        <v/>
      </c>
      <c r="AA197" s="13">
        <v>0</v>
      </c>
      <c r="AB197" s="13" t="str">
        <f>""</f>
        <v/>
      </c>
      <c r="AC197" s="594" t="str">
        <f>""</f>
        <v/>
      </c>
      <c r="AD197" s="13"/>
    </row>
    <row r="198" spans="25:30" x14ac:dyDescent="0.2">
      <c r="Y198" s="65" t="s">
        <v>84</v>
      </c>
      <c r="Z198" s="34" t="str">
        <f>""</f>
        <v/>
      </c>
      <c r="AA198" s="13">
        <v>0</v>
      </c>
      <c r="AB198" s="13" t="str">
        <f>""</f>
        <v/>
      </c>
      <c r="AC198" s="594" t="str">
        <f>""</f>
        <v/>
      </c>
      <c r="AD198" s="13"/>
    </row>
    <row r="199" spans="25:30" x14ac:dyDescent="0.2">
      <c r="Y199" s="65" t="s">
        <v>85</v>
      </c>
      <c r="Z199" s="34" t="str">
        <f>""</f>
        <v/>
      </c>
      <c r="AA199" s="13">
        <v>0</v>
      </c>
      <c r="AB199" s="13" t="str">
        <f>""</f>
        <v/>
      </c>
      <c r="AC199" s="594" t="str">
        <f>""</f>
        <v/>
      </c>
      <c r="AD199" s="13"/>
    </row>
    <row r="200" spans="25:30" x14ac:dyDescent="0.2">
      <c r="Y200" s="65" t="s">
        <v>86</v>
      </c>
      <c r="Z200" s="34" t="str">
        <f>""</f>
        <v/>
      </c>
      <c r="AA200" s="13">
        <v>0</v>
      </c>
      <c r="AB200" s="13" t="str">
        <f>""</f>
        <v/>
      </c>
      <c r="AC200" s="594" t="str">
        <f>""</f>
        <v/>
      </c>
      <c r="AD200" s="13"/>
    </row>
    <row r="201" spans="25:30" x14ac:dyDescent="0.2">
      <c r="Y201" s="65" t="s">
        <v>87</v>
      </c>
      <c r="Z201" s="34" t="str">
        <f>""</f>
        <v/>
      </c>
      <c r="AA201" s="13">
        <v>0</v>
      </c>
      <c r="AB201" s="13" t="str">
        <f>""</f>
        <v/>
      </c>
      <c r="AC201" s="594" t="str">
        <f>""</f>
        <v/>
      </c>
      <c r="AD201" s="13"/>
    </row>
    <row r="202" spans="25:30" x14ac:dyDescent="0.2">
      <c r="Y202" s="65" t="s">
        <v>88</v>
      </c>
      <c r="Z202" s="34" t="str">
        <f>""</f>
        <v/>
      </c>
      <c r="AA202" s="13">
        <v>0</v>
      </c>
      <c r="AB202" s="13" t="str">
        <f>""</f>
        <v/>
      </c>
      <c r="AC202" s="594" t="str">
        <f>""</f>
        <v/>
      </c>
      <c r="AD202" s="13"/>
    </row>
    <row r="203" spans="25:30" x14ac:dyDescent="0.2">
      <c r="Y203" s="65" t="s">
        <v>89</v>
      </c>
      <c r="Z203" s="34" t="str">
        <f>""</f>
        <v/>
      </c>
      <c r="AA203" s="13">
        <v>0</v>
      </c>
      <c r="AB203" s="13" t="str">
        <f>""</f>
        <v/>
      </c>
      <c r="AC203" s="594" t="str">
        <f>""</f>
        <v/>
      </c>
      <c r="AD203" s="13"/>
    </row>
    <row r="204" spans="25:30" x14ac:dyDescent="0.2">
      <c r="Y204" s="65" t="s">
        <v>90</v>
      </c>
      <c r="Z204" s="34" t="str">
        <f>""</f>
        <v/>
      </c>
      <c r="AA204" s="13">
        <v>0</v>
      </c>
      <c r="AB204" s="13" t="str">
        <f>""</f>
        <v/>
      </c>
      <c r="AC204" s="594" t="str">
        <f>""</f>
        <v/>
      </c>
      <c r="AD204" s="13"/>
    </row>
    <row r="205" spans="25:30" x14ac:dyDescent="0.2">
      <c r="Y205" s="65" t="s">
        <v>91</v>
      </c>
      <c r="Z205" s="34" t="str">
        <f>""</f>
        <v/>
      </c>
      <c r="AA205" s="13">
        <v>0</v>
      </c>
      <c r="AB205" s="13" t="str">
        <f>""</f>
        <v/>
      </c>
      <c r="AC205" s="594" t="str">
        <f>""</f>
        <v/>
      </c>
      <c r="AD205" s="13"/>
    </row>
    <row r="206" spans="25:30" x14ac:dyDescent="0.2">
      <c r="Y206" s="65" t="s">
        <v>92</v>
      </c>
      <c r="Z206" s="34" t="str">
        <f>""</f>
        <v/>
      </c>
      <c r="AA206" s="13">
        <v>0</v>
      </c>
      <c r="AB206" s="13" t="str">
        <f>""</f>
        <v/>
      </c>
      <c r="AC206" s="594" t="str">
        <f>""</f>
        <v/>
      </c>
      <c r="AD206" s="13"/>
    </row>
    <row r="207" spans="25:30" ht="12.75" thickBot="1" x14ac:dyDescent="0.25">
      <c r="Y207" s="66" t="s">
        <v>93</v>
      </c>
      <c r="Z207" s="36" t="str">
        <f>""</f>
        <v/>
      </c>
      <c r="AA207" s="37">
        <v>0</v>
      </c>
      <c r="AB207" s="37" t="str">
        <f>""</f>
        <v/>
      </c>
      <c r="AC207" s="595" t="str">
        <f>""</f>
        <v/>
      </c>
      <c r="AD207" s="40"/>
    </row>
    <row r="208" spans="25:30" ht="12.75" thickTop="1" x14ac:dyDescent="0.2"/>
  </sheetData>
  <mergeCells count="18">
    <mergeCell ref="AL63:AM63"/>
    <mergeCell ref="E29:L29"/>
    <mergeCell ref="M29:T29"/>
    <mergeCell ref="U29:AB29"/>
    <mergeCell ref="AC29:AJ29"/>
    <mergeCell ref="AK29:AR29"/>
    <mergeCell ref="X63:Y63"/>
    <mergeCell ref="AD63:AE63"/>
    <mergeCell ref="AF63:AG63"/>
    <mergeCell ref="AH63:AI63"/>
    <mergeCell ref="AJ63:AK63"/>
    <mergeCell ref="AS29:AZ29"/>
    <mergeCell ref="BA29:BH29"/>
    <mergeCell ref="BI29:BP29"/>
    <mergeCell ref="W3:AA3"/>
    <mergeCell ref="AB3:AF3"/>
    <mergeCell ref="AG3:AK3"/>
    <mergeCell ref="AL3:AP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9E1C8-FE4E-4653-8760-733A3FAB85A4}">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10.57031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50" s="2" customFormat="1" x14ac:dyDescent="0.2">
      <c r="Z1" s="1"/>
    </row>
    <row r="2" spans="1:50" s="2" customFormat="1" x14ac:dyDescent="0.2">
      <c r="B2" s="13"/>
      <c r="C2" s="13"/>
      <c r="D2" s="13"/>
      <c r="E2" s="13"/>
      <c r="F2" s="1"/>
      <c r="G2" s="1"/>
      <c r="H2" s="1"/>
      <c r="I2" s="1"/>
      <c r="J2" s="1"/>
      <c r="K2" s="1"/>
      <c r="L2" s="1"/>
      <c r="M2" s="1"/>
      <c r="N2" s="13"/>
      <c r="O2" s="1"/>
      <c r="P2" s="1"/>
      <c r="Q2" s="1"/>
      <c r="W2" s="2" t="s">
        <v>148</v>
      </c>
      <c r="AS2" s="1"/>
      <c r="AT2" s="1"/>
      <c r="AU2" s="1"/>
      <c r="AV2" s="1" t="s">
        <v>385</v>
      </c>
      <c r="AW2" s="1"/>
      <c r="AX2" s="1"/>
    </row>
    <row r="3" spans="1:50" s="2" customFormat="1" ht="13.5" customHeight="1" thickBot="1" x14ac:dyDescent="0.25">
      <c r="B3" s="1"/>
      <c r="C3" s="13"/>
      <c r="D3" s="13"/>
      <c r="E3" s="13"/>
      <c r="F3" s="13"/>
      <c r="G3" s="68" t="s">
        <v>107</v>
      </c>
      <c r="H3" s="68" t="s">
        <v>108</v>
      </c>
      <c r="I3" s="729" t="s">
        <v>381</v>
      </c>
      <c r="J3" s="729" t="s">
        <v>110</v>
      </c>
      <c r="K3" s="729" t="s">
        <v>103</v>
      </c>
      <c r="L3" s="28" t="s">
        <v>104</v>
      </c>
      <c r="M3" s="28" t="s">
        <v>105</v>
      </c>
      <c r="N3" s="28" t="s">
        <v>106</v>
      </c>
      <c r="O3" s="107"/>
      <c r="P3" s="108"/>
      <c r="Q3" s="108"/>
      <c r="R3" s="108"/>
      <c r="S3" s="108"/>
      <c r="T3" s="108"/>
      <c r="U3" s="108"/>
      <c r="V3" s="108"/>
      <c r="W3" s="976"/>
      <c r="X3" s="977"/>
      <c r="Y3" s="977"/>
      <c r="Z3" s="977"/>
      <c r="AA3" s="977"/>
      <c r="AB3" s="976"/>
      <c r="AC3" s="977"/>
      <c r="AD3" s="977"/>
      <c r="AE3" s="977"/>
      <c r="AF3" s="977"/>
      <c r="AG3" s="976"/>
      <c r="AH3" s="977"/>
      <c r="AI3" s="977"/>
      <c r="AJ3" s="977"/>
      <c r="AK3" s="977"/>
      <c r="AL3" s="976"/>
      <c r="AM3" s="977"/>
      <c r="AN3" s="977"/>
      <c r="AO3" s="977"/>
      <c r="AP3" s="977"/>
      <c r="AS3" s="28" t="s">
        <v>386</v>
      </c>
      <c r="AT3" s="28" t="s">
        <v>387</v>
      </c>
      <c r="AU3" s="28" t="s">
        <v>388</v>
      </c>
      <c r="AV3" s="28" t="s">
        <v>389</v>
      </c>
      <c r="AW3" s="28"/>
      <c r="AX3" s="28" t="s">
        <v>390</v>
      </c>
    </row>
    <row r="4" spans="1:50" s="2" customFormat="1" ht="12.75" thickTop="1" x14ac:dyDescent="0.2">
      <c r="A4" s="214"/>
      <c r="B4" s="1">
        <v>1</v>
      </c>
      <c r="C4" s="21">
        <f ca="1">RANK(D4,$D$4:$D$12,1)</f>
        <v>1</v>
      </c>
      <c r="D4" s="13">
        <f ca="1">E4+ROW()/1000+(F4="")*10</f>
        <v>1.004</v>
      </c>
      <c r="E4" s="219">
        <f ca="1">IF($AI$15,RANK(AH17,AH$17:AH$25,1),RANK(X17,X$17:X$25,1))</f>
        <v>1</v>
      </c>
      <c r="F4" s="1" t="str">
        <f ca="1">$Q64</f>
        <v>FC Barcelona</v>
      </c>
      <c r="G4" s="1">
        <f ca="1">SUMIFS($AH$64:$AH$135,$V$64:$V$135,$F4)+SUMIFS($AI$64:$AI$135,$W$64:$W$135,$F4)</f>
        <v>70</v>
      </c>
      <c r="H4" s="1">
        <f ca="1">SUMIFS($AI$64:$AI$135,$V$64:$V$135,$F4)+SUMIFS($AH$64:$AH$135,$W$64:$W$135,$F4)</f>
        <v>65</v>
      </c>
      <c r="I4" s="13">
        <f ca="1">IF(Einstellungen!$G$24,G4-H4,IF(H4=0,IF(G4=0,0,Einstellungen!$F$24),G4/H4))</f>
        <v>5</v>
      </c>
      <c r="J4" s="1">
        <f ca="1">$L4*Einstellungen!$C$4+$M4</f>
        <v>2</v>
      </c>
      <c r="K4" s="1">
        <f ca="1">SUMPRODUCT(($V$64:$V$135=F4)*($AJ$64:$AJ$135&lt;&gt;"")*$AA$64:$AA$135)+SUMPRODUCT(($W$64:$W$135=F4)*($AK$64:$AK$135&lt;&gt;"")*$AA$64:$AA$135)</f>
        <v>1</v>
      </c>
      <c r="L4" s="1">
        <f ca="1">SUMPRODUCT(($V$64:$V$135=F4)*($AJ$64:$AJ$135&gt;$AK$64:$AK$135)*$AA$64:$AA$135)+SUMPRODUCT(($W$64:$W$135=F4)*($AJ$64:$AJ$135&lt;$AK$64:$AK$135)*$AA$64:$AA$135)</f>
        <v>1</v>
      </c>
      <c r="M4" s="1">
        <f ca="1">SUMPRODUCT(($V$64:$W$135=F4)*($AJ$64:$AJ$135=$AK$64:$AK$135)*$AA$64:$AA$135)</f>
        <v>0</v>
      </c>
      <c r="N4" s="1">
        <f ca="1">K4-L4-M4</f>
        <v>0</v>
      </c>
      <c r="O4" s="116"/>
      <c r="P4" s="116"/>
      <c r="Q4" s="116"/>
      <c r="R4" s="116"/>
      <c r="V4" s="1"/>
      <c r="W4" s="456"/>
      <c r="X4" s="457"/>
      <c r="Y4" s="458"/>
      <c r="Z4" s="458"/>
      <c r="AA4" s="460"/>
      <c r="AB4" s="456"/>
      <c r="AC4" s="457"/>
      <c r="AD4" s="479"/>
      <c r="AE4" s="458"/>
      <c r="AF4" s="458"/>
      <c r="AG4" s="456"/>
      <c r="AH4" s="457"/>
      <c r="AI4" s="479"/>
      <c r="AJ4" s="458"/>
      <c r="AK4" s="460"/>
      <c r="AL4" s="457"/>
      <c r="AM4" s="457"/>
      <c r="AN4" s="479"/>
      <c r="AO4" s="458"/>
      <c r="AP4" s="460"/>
      <c r="AS4" s="1">
        <f ca="1">SUMPRODUCT(($V$64:$V$135=F4)*$AK$64:$AK$135)+SUMPRODUCT(($W$64:$W$135=F4)*$AJ$64:$AJ$135)</f>
        <v>1</v>
      </c>
      <c r="AT4" s="1">
        <f ca="1">SUMPRODUCT(($V$64:$V$135=F4)*$AJ$64:$AJ$135)+SUMPRODUCT(($W$64:$W$135=F4)*$AK$64:$AK$135)</f>
        <v>2</v>
      </c>
      <c r="AU4" s="1">
        <f ca="1">AT4-AS4</f>
        <v>1</v>
      </c>
      <c r="AV4" s="1">
        <f ca="1">IF(Einstellungen!$G$24,$I4,ROUND($I4,Einstellungen!$H$24))</f>
        <v>5</v>
      </c>
      <c r="AW4" s="1">
        <f ca="1">I4-(F4="")*10000</f>
        <v>5</v>
      </c>
      <c r="AX4" s="1">
        <f ca="1" xml:space="preserve"> RANK(AW4,$AW$4:$AW$12,1)</f>
        <v>9</v>
      </c>
    </row>
    <row r="5" spans="1:50" s="2" customFormat="1" x14ac:dyDescent="0.2">
      <c r="A5" s="214"/>
      <c r="B5" s="1">
        <v>2</v>
      </c>
      <c r="C5" s="22">
        <f t="shared" ref="C5:C12" ca="1" si="0">RANK(D5,$D$4:$D$12,1)</f>
        <v>2</v>
      </c>
      <c r="D5" s="13">
        <f t="shared" ref="D5:D12" ca="1" si="1">E5+ROW()/1000+(F5="")*10</f>
        <v>2.0049999999999999</v>
      </c>
      <c r="E5" s="219">
        <f t="shared" ref="E5:E12" ca="1" si="2">IF($AI$15,RANK(AH18,AH$17:AH$25,1),RANK(X18,X$17:X$25,1))</f>
        <v>2</v>
      </c>
      <c r="F5" s="1" t="str">
        <f t="shared" ref="F5:F12" ca="1" si="3">$Q65</f>
        <v>Inter Mailand</v>
      </c>
      <c r="G5" s="1">
        <f t="shared" ref="G5:G12" ca="1" si="4">SUMIFS($AH$64:$AH$135,$V$64:$V$135,$F5)+SUMIFS($AI$64:$AI$135,$W$64:$W$135,$F5)</f>
        <v>65</v>
      </c>
      <c r="H5" s="1">
        <f t="shared" ref="H5:H12" ca="1" si="5">SUMIFS($AI$64:$AI$135,$V$64:$V$135,$F5)+SUMIFS($AH$64:$AH$135,$W$64:$W$135,$F5)</f>
        <v>70</v>
      </c>
      <c r="I5" s="13">
        <f ca="1">IF(Einstellungen!$G$24,G5-H5,IF(H5=0,IF(G5=0,0,Einstellungen!$F$24),G5/H5))</f>
        <v>-5</v>
      </c>
      <c r="J5" s="1">
        <f ca="1">$L5*Einstellungen!$C$4+$M5</f>
        <v>0</v>
      </c>
      <c r="K5" s="1">
        <f t="shared" ref="K5:K12" ca="1" si="6">SUMPRODUCT(($V$64:$V$135=F5)*($AJ$64:$AJ$135&lt;&gt;"")*$AA$64:$AA$135)+SUMPRODUCT(($W$64:$W$135=F5)*($AK$64:$AK$135&lt;&gt;"")*$AA$64:$AA$135)</f>
        <v>1</v>
      </c>
      <c r="L5" s="1">
        <f t="shared" ref="L5:L12" ca="1" si="7">SUMPRODUCT(($V$64:$V$135=F5)*($AJ$64:$AJ$135&gt;$AK$64:$AK$135)*$AA$64:$AA$135)+SUMPRODUCT(($W$64:$W$135=F5)*($AJ$64:$AJ$135&lt;$AK$64:$AK$135)*$AA$64:$AA$135)</f>
        <v>0</v>
      </c>
      <c r="M5" s="1">
        <f t="shared" ref="M5:M12" ca="1" si="8">SUMPRODUCT(($V$64:$W$135=F5)*($AJ$64:$AJ$135=$AK$64:$AK$135)*$AA$64:$AA$135)</f>
        <v>0</v>
      </c>
      <c r="N5" s="1">
        <f t="shared" ref="N5:N12" ca="1" si="9">K5-L5-M5</f>
        <v>1</v>
      </c>
      <c r="O5" s="24"/>
      <c r="P5" s="25"/>
      <c r="V5" s="1"/>
      <c r="W5" s="461"/>
      <c r="X5" s="462"/>
      <c r="Y5" s="459"/>
      <c r="Z5" s="459"/>
      <c r="AA5" s="464"/>
      <c r="AB5" s="461"/>
      <c r="AC5" s="462"/>
      <c r="AD5" s="463"/>
      <c r="AE5" s="459"/>
      <c r="AF5" s="459"/>
      <c r="AG5" s="461"/>
      <c r="AH5" s="462"/>
      <c r="AI5" s="463"/>
      <c r="AJ5" s="459"/>
      <c r="AK5" s="464"/>
      <c r="AL5" s="462"/>
      <c r="AM5" s="462"/>
      <c r="AN5" s="463"/>
      <c r="AO5" s="459"/>
      <c r="AP5" s="464"/>
      <c r="AS5" s="1">
        <f t="shared" ref="AS5:AS12" ca="1" si="10">SUMPRODUCT(($V$64:$V$135=F5)*$AK$64:$AK$135)+SUMPRODUCT(($W$64:$W$135=F5)*$AJ$64:$AJ$135)</f>
        <v>2</v>
      </c>
      <c r="AT5" s="1">
        <f t="shared" ref="AT5:AT12" ca="1" si="11">SUMPRODUCT(($V$64:$V$135=F5)*$AJ$64:$AJ$135)+SUMPRODUCT(($W$64:$W$135=F5)*$AK$64:$AK$135)</f>
        <v>1</v>
      </c>
      <c r="AU5" s="1">
        <f t="shared" ref="AU5:AU12" ca="1" si="12">AT5-AS5</f>
        <v>-1</v>
      </c>
      <c r="AV5" s="1">
        <f ca="1">IF(Einstellungen!$G$24,$I5,ROUND($I5,Einstellungen!$H$24))</f>
        <v>-5</v>
      </c>
      <c r="AW5" s="1">
        <f t="shared" ref="AW5:AW12" ca="1" si="13">I5-(F5="")*10000</f>
        <v>-5</v>
      </c>
      <c r="AX5" s="1">
        <f t="shared" ref="AX5:AX12" ca="1" si="14" xml:space="preserve"> RANK(AW5,$AW$4:$AW$12,1)</f>
        <v>8</v>
      </c>
    </row>
    <row r="6" spans="1:50" s="2" customFormat="1" x14ac:dyDescent="0.2">
      <c r="A6" s="214"/>
      <c r="B6" s="1">
        <v>3</v>
      </c>
      <c r="C6" s="22">
        <f t="shared" ca="1" si="0"/>
        <v>3</v>
      </c>
      <c r="D6" s="13">
        <f t="shared" ca="1" si="1"/>
        <v>13.006</v>
      </c>
      <c r="E6" s="219">
        <f t="shared" ca="1" si="2"/>
        <v>3</v>
      </c>
      <c r="F6" s="1" t="str">
        <f t="shared" ca="1" si="3"/>
        <v/>
      </c>
      <c r="G6" s="1">
        <f t="shared" ca="1" si="4"/>
        <v>0</v>
      </c>
      <c r="H6" s="1">
        <f t="shared" ca="1" si="5"/>
        <v>0</v>
      </c>
      <c r="I6" s="13">
        <f ca="1">IF(Einstellungen!$G$24,G6-H6,IF(H6=0,IF(G6=0,0,Einstellungen!$F$24),G6/H6))</f>
        <v>0</v>
      </c>
      <c r="J6" s="1">
        <f ca="1">$L6*Einstellungen!$C$4+$M6</f>
        <v>0</v>
      </c>
      <c r="K6" s="1">
        <f t="shared" ca="1" si="6"/>
        <v>0</v>
      </c>
      <c r="L6" s="1">
        <f t="shared" ca="1" si="7"/>
        <v>0</v>
      </c>
      <c r="M6" s="1">
        <f t="shared" ca="1" si="8"/>
        <v>0</v>
      </c>
      <c r="N6" s="1">
        <f t="shared" ca="1" si="9"/>
        <v>0</v>
      </c>
      <c r="O6" s="24"/>
      <c r="P6" s="25"/>
      <c r="V6" s="1"/>
      <c r="W6" s="461"/>
      <c r="X6" s="462"/>
      <c r="Y6" s="459"/>
      <c r="Z6" s="459"/>
      <c r="AA6" s="464"/>
      <c r="AB6" s="461"/>
      <c r="AC6" s="462"/>
      <c r="AD6" s="463"/>
      <c r="AE6" s="459"/>
      <c r="AF6" s="459"/>
      <c r="AG6" s="461"/>
      <c r="AH6" s="462"/>
      <c r="AI6" s="463"/>
      <c r="AJ6" s="459"/>
      <c r="AK6" s="464"/>
      <c r="AL6" s="462"/>
      <c r="AM6" s="462"/>
      <c r="AN6" s="463"/>
      <c r="AO6" s="459"/>
      <c r="AP6" s="464"/>
      <c r="AS6" s="1">
        <f t="shared" ca="1" si="10"/>
        <v>0</v>
      </c>
      <c r="AT6" s="1">
        <f t="shared" ca="1" si="11"/>
        <v>0</v>
      </c>
      <c r="AU6" s="1">
        <f t="shared" ca="1" si="12"/>
        <v>0</v>
      </c>
      <c r="AV6" s="1">
        <f ca="1">IF(Einstellungen!$G$24,$I6,ROUND($I6,Einstellungen!$H$24))</f>
        <v>0</v>
      </c>
      <c r="AW6" s="1">
        <f t="shared" ca="1" si="13"/>
        <v>-10000</v>
      </c>
      <c r="AX6" s="1">
        <f t="shared" ca="1" si="14"/>
        <v>1</v>
      </c>
    </row>
    <row r="7" spans="1:50" s="2" customFormat="1" x14ac:dyDescent="0.2">
      <c r="A7" s="214"/>
      <c r="B7" s="1">
        <v>4</v>
      </c>
      <c r="C7" s="22">
        <f t="shared" ca="1" si="0"/>
        <v>4</v>
      </c>
      <c r="D7" s="13">
        <f t="shared" ca="1" si="1"/>
        <v>13.007</v>
      </c>
      <c r="E7" s="219">
        <f t="shared" ca="1" si="2"/>
        <v>3</v>
      </c>
      <c r="F7" s="1" t="str">
        <f t="shared" ca="1" si="3"/>
        <v/>
      </c>
      <c r="G7" s="1">
        <f t="shared" ca="1" si="4"/>
        <v>0</v>
      </c>
      <c r="H7" s="1">
        <f t="shared" ca="1" si="5"/>
        <v>0</v>
      </c>
      <c r="I7" s="13">
        <f ca="1">IF(Einstellungen!$G$24,G7-H7,IF(H7=0,IF(G7=0,0,Einstellungen!$F$24),G7/H7))</f>
        <v>0</v>
      </c>
      <c r="J7" s="1">
        <f ca="1">$L7*Einstellungen!$C$4+$M7</f>
        <v>0</v>
      </c>
      <c r="K7" s="1">
        <f t="shared" ca="1" si="6"/>
        <v>0</v>
      </c>
      <c r="L7" s="1">
        <f t="shared" ca="1" si="7"/>
        <v>0</v>
      </c>
      <c r="M7" s="1">
        <f t="shared" ca="1" si="8"/>
        <v>0</v>
      </c>
      <c r="N7" s="1">
        <f t="shared" ca="1" si="9"/>
        <v>0</v>
      </c>
      <c r="O7" s="24"/>
      <c r="P7" s="25"/>
      <c r="V7" s="1"/>
      <c r="W7" s="461"/>
      <c r="X7" s="462"/>
      <c r="Y7" s="459"/>
      <c r="Z7" s="459"/>
      <c r="AA7" s="464"/>
      <c r="AB7" s="461"/>
      <c r="AC7" s="462"/>
      <c r="AD7" s="463"/>
      <c r="AE7" s="459"/>
      <c r="AF7" s="459"/>
      <c r="AG7" s="461"/>
      <c r="AH7" s="462"/>
      <c r="AI7" s="463"/>
      <c r="AJ7" s="459"/>
      <c r="AK7" s="464"/>
      <c r="AL7" s="462"/>
      <c r="AM7" s="462"/>
      <c r="AN7" s="463"/>
      <c r="AO7" s="459"/>
      <c r="AP7" s="464"/>
      <c r="AS7" s="1">
        <f t="shared" ca="1" si="10"/>
        <v>0</v>
      </c>
      <c r="AT7" s="1">
        <f t="shared" ca="1" si="11"/>
        <v>0</v>
      </c>
      <c r="AU7" s="1">
        <f t="shared" ca="1" si="12"/>
        <v>0</v>
      </c>
      <c r="AV7" s="1">
        <f ca="1">IF(Einstellungen!$G$24,$I7,ROUND($I7,Einstellungen!$H$24))</f>
        <v>0</v>
      </c>
      <c r="AW7" s="1">
        <f t="shared" ca="1" si="13"/>
        <v>-10000</v>
      </c>
      <c r="AX7" s="1">
        <f t="shared" ca="1" si="14"/>
        <v>1</v>
      </c>
    </row>
    <row r="8" spans="1:50" s="2" customFormat="1" x14ac:dyDescent="0.2">
      <c r="A8" s="214"/>
      <c r="B8" s="1">
        <v>5</v>
      </c>
      <c r="C8" s="22">
        <f t="shared" ca="1" si="0"/>
        <v>5</v>
      </c>
      <c r="D8" s="13">
        <f t="shared" ca="1" si="1"/>
        <v>13.007999999999999</v>
      </c>
      <c r="E8" s="219">
        <f t="shared" ca="1" si="2"/>
        <v>3</v>
      </c>
      <c r="F8" s="1" t="str">
        <f t="shared" si="3"/>
        <v/>
      </c>
      <c r="G8" s="1">
        <f t="shared" ca="1" si="4"/>
        <v>0</v>
      </c>
      <c r="H8" s="1">
        <f t="shared" ca="1" si="5"/>
        <v>0</v>
      </c>
      <c r="I8" s="13">
        <f ca="1">IF(Einstellungen!$G$24,G8-H8,IF(H8=0,IF(G8=0,0,Einstellungen!$F$24),G8/H8))</f>
        <v>0</v>
      </c>
      <c r="J8" s="1">
        <f ca="1">$L8*Einstellungen!$C$4+$M8</f>
        <v>0</v>
      </c>
      <c r="K8" s="1">
        <f t="shared" ca="1" si="6"/>
        <v>0</v>
      </c>
      <c r="L8" s="1">
        <f t="shared" ca="1" si="7"/>
        <v>0</v>
      </c>
      <c r="M8" s="1">
        <f t="shared" ca="1" si="8"/>
        <v>0</v>
      </c>
      <c r="N8" s="1">
        <f t="shared" ca="1" si="9"/>
        <v>0</v>
      </c>
      <c r="P8" s="25"/>
      <c r="W8" s="461"/>
      <c r="X8" s="462"/>
      <c r="Y8" s="459"/>
      <c r="Z8" s="459"/>
      <c r="AA8" s="464"/>
      <c r="AB8" s="461"/>
      <c r="AC8" s="462"/>
      <c r="AD8" s="463"/>
      <c r="AE8" s="459"/>
      <c r="AF8" s="459"/>
      <c r="AG8" s="461"/>
      <c r="AH8" s="462"/>
      <c r="AI8" s="463"/>
      <c r="AJ8" s="459"/>
      <c r="AK8" s="464"/>
      <c r="AL8" s="462"/>
      <c r="AM8" s="462"/>
      <c r="AN8" s="463"/>
      <c r="AO8" s="459"/>
      <c r="AP8" s="464"/>
      <c r="AS8" s="1">
        <f t="shared" ca="1" si="10"/>
        <v>0</v>
      </c>
      <c r="AT8" s="1">
        <f t="shared" ca="1" si="11"/>
        <v>0</v>
      </c>
      <c r="AU8" s="1">
        <f t="shared" ca="1" si="12"/>
        <v>0</v>
      </c>
      <c r="AV8" s="1">
        <f ca="1">IF(Einstellungen!$G$24,$I8,ROUND($I8,Einstellungen!$H$24))</f>
        <v>0</v>
      </c>
      <c r="AW8" s="1">
        <f t="shared" ca="1" si="13"/>
        <v>-10000</v>
      </c>
      <c r="AX8" s="1">
        <f t="shared" ca="1" si="14"/>
        <v>1</v>
      </c>
    </row>
    <row r="9" spans="1:50" s="2" customFormat="1" x14ac:dyDescent="0.2">
      <c r="A9" s="214"/>
      <c r="B9" s="1">
        <v>6</v>
      </c>
      <c r="C9" s="22">
        <f t="shared" ca="1" si="0"/>
        <v>6</v>
      </c>
      <c r="D9" s="13">
        <f t="shared" ca="1" si="1"/>
        <v>13.009</v>
      </c>
      <c r="E9" s="219">
        <f t="shared" ca="1" si="2"/>
        <v>3</v>
      </c>
      <c r="F9" s="1" t="str">
        <f t="shared" si="3"/>
        <v/>
      </c>
      <c r="G9" s="1">
        <f t="shared" ca="1" si="4"/>
        <v>0</v>
      </c>
      <c r="H9" s="1">
        <f t="shared" ca="1" si="5"/>
        <v>0</v>
      </c>
      <c r="I9" s="13">
        <f ca="1">IF(Einstellungen!$G$24,G9-H9,IF(H9=0,IF(G9=0,0,Einstellungen!$F$24),G9/H9))</f>
        <v>0</v>
      </c>
      <c r="J9" s="1">
        <f ca="1">$L9*Einstellungen!$C$4+$M9</f>
        <v>0</v>
      </c>
      <c r="K9" s="1">
        <f t="shared" ca="1" si="6"/>
        <v>0</v>
      </c>
      <c r="L9" s="1">
        <f t="shared" ca="1" si="7"/>
        <v>0</v>
      </c>
      <c r="M9" s="1">
        <f t="shared" ca="1" si="8"/>
        <v>0</v>
      </c>
      <c r="N9" s="1">
        <f t="shared" ca="1" si="9"/>
        <v>0</v>
      </c>
      <c r="P9" s="25"/>
      <c r="W9" s="461"/>
      <c r="X9" s="462"/>
      <c r="Y9" s="459"/>
      <c r="Z9" s="459"/>
      <c r="AA9" s="464"/>
      <c r="AB9" s="461"/>
      <c r="AC9" s="462"/>
      <c r="AD9" s="463"/>
      <c r="AE9" s="459"/>
      <c r="AF9" s="459"/>
      <c r="AG9" s="461"/>
      <c r="AH9" s="462"/>
      <c r="AI9" s="463"/>
      <c r="AJ9" s="459"/>
      <c r="AK9" s="464"/>
      <c r="AL9" s="462"/>
      <c r="AM9" s="462"/>
      <c r="AN9" s="463"/>
      <c r="AO9" s="459"/>
      <c r="AP9" s="464"/>
      <c r="AS9" s="1">
        <f t="shared" ca="1" si="10"/>
        <v>0</v>
      </c>
      <c r="AT9" s="1">
        <f t="shared" ca="1" si="11"/>
        <v>0</v>
      </c>
      <c r="AU9" s="1">
        <f t="shared" ca="1" si="12"/>
        <v>0</v>
      </c>
      <c r="AV9" s="1">
        <f ca="1">IF(Einstellungen!$G$24,$I9,ROUND($I9,Einstellungen!$H$24))</f>
        <v>0</v>
      </c>
      <c r="AW9" s="1">
        <f t="shared" ca="1" si="13"/>
        <v>-10000</v>
      </c>
      <c r="AX9" s="1">
        <f t="shared" ca="1" si="14"/>
        <v>1</v>
      </c>
    </row>
    <row r="10" spans="1:50" s="2" customFormat="1" x14ac:dyDescent="0.2">
      <c r="A10" s="214"/>
      <c r="B10" s="1">
        <v>7</v>
      </c>
      <c r="C10" s="22">
        <f t="shared" ca="1" si="0"/>
        <v>7</v>
      </c>
      <c r="D10" s="13">
        <f t="shared" ca="1" si="1"/>
        <v>13.01</v>
      </c>
      <c r="E10" s="219">
        <f t="shared" ca="1" si="2"/>
        <v>3</v>
      </c>
      <c r="F10" s="1" t="str">
        <f t="shared" si="3"/>
        <v/>
      </c>
      <c r="G10" s="1">
        <f t="shared" ca="1" si="4"/>
        <v>0</v>
      </c>
      <c r="H10" s="1">
        <f t="shared" ca="1" si="5"/>
        <v>0</v>
      </c>
      <c r="I10" s="13">
        <f ca="1">IF(Einstellungen!$G$24,G10-H10,IF(H10=0,IF(G10=0,0,Einstellungen!$F$24),G10/H10))</f>
        <v>0</v>
      </c>
      <c r="J10" s="1">
        <f ca="1">$L10*Einstellungen!$C$4+$M10</f>
        <v>0</v>
      </c>
      <c r="K10" s="1">
        <f t="shared" ca="1" si="6"/>
        <v>0</v>
      </c>
      <c r="L10" s="1">
        <f t="shared" ca="1" si="7"/>
        <v>0</v>
      </c>
      <c r="M10" s="1">
        <f t="shared" ca="1" si="8"/>
        <v>0</v>
      </c>
      <c r="N10" s="1">
        <f t="shared" ca="1" si="9"/>
        <v>0</v>
      </c>
      <c r="P10" s="25"/>
      <c r="W10" s="461"/>
      <c r="X10" s="462"/>
      <c r="Y10" s="459"/>
      <c r="Z10" s="459"/>
      <c r="AA10" s="464"/>
      <c r="AB10" s="461"/>
      <c r="AC10" s="462"/>
      <c r="AD10" s="463"/>
      <c r="AE10" s="459"/>
      <c r="AF10" s="459"/>
      <c r="AG10" s="461"/>
      <c r="AH10" s="462"/>
      <c r="AI10" s="463"/>
      <c r="AJ10" s="459"/>
      <c r="AK10" s="464"/>
      <c r="AL10" s="462"/>
      <c r="AM10" s="462"/>
      <c r="AN10" s="463"/>
      <c r="AO10" s="459"/>
      <c r="AP10" s="464"/>
      <c r="AS10" s="1">
        <f t="shared" ca="1" si="10"/>
        <v>0</v>
      </c>
      <c r="AT10" s="1">
        <f t="shared" ca="1" si="11"/>
        <v>0</v>
      </c>
      <c r="AU10" s="1">
        <f t="shared" ca="1" si="12"/>
        <v>0</v>
      </c>
      <c r="AV10" s="1">
        <f ca="1">IF(Einstellungen!$G$24,$I10,ROUND($I10,Einstellungen!$H$24))</f>
        <v>0</v>
      </c>
      <c r="AW10" s="1">
        <f t="shared" ca="1" si="13"/>
        <v>-10000</v>
      </c>
      <c r="AX10" s="1">
        <f t="shared" ca="1" si="14"/>
        <v>1</v>
      </c>
    </row>
    <row r="11" spans="1:50" s="2" customFormat="1" x14ac:dyDescent="0.2">
      <c r="A11" s="214"/>
      <c r="B11" s="1">
        <v>8</v>
      </c>
      <c r="C11" s="22">
        <f t="shared" ca="1" si="0"/>
        <v>8</v>
      </c>
      <c r="D11" s="13">
        <f t="shared" ca="1" si="1"/>
        <v>13.010999999999999</v>
      </c>
      <c r="E11" s="219">
        <f t="shared" ca="1" si="2"/>
        <v>3</v>
      </c>
      <c r="F11" s="1" t="str">
        <f t="shared" si="3"/>
        <v/>
      </c>
      <c r="G11" s="1">
        <f t="shared" ca="1" si="4"/>
        <v>0</v>
      </c>
      <c r="H11" s="1">
        <f t="shared" ca="1" si="5"/>
        <v>0</v>
      </c>
      <c r="I11" s="13">
        <f ca="1">IF(Einstellungen!$G$24,G11-H11,IF(H11=0,IF(G11=0,0,Einstellungen!$F$24),G11/H11))</f>
        <v>0</v>
      </c>
      <c r="J11" s="1">
        <f ca="1">$L11*Einstellungen!$C$4+$M11</f>
        <v>0</v>
      </c>
      <c r="K11" s="1">
        <f t="shared" ca="1" si="6"/>
        <v>0</v>
      </c>
      <c r="L11" s="1">
        <f t="shared" ca="1" si="7"/>
        <v>0</v>
      </c>
      <c r="M11" s="1">
        <f t="shared" ca="1" si="8"/>
        <v>0</v>
      </c>
      <c r="N11" s="1">
        <f t="shared" ca="1" si="9"/>
        <v>0</v>
      </c>
      <c r="O11" s="13"/>
      <c r="P11" s="13"/>
      <c r="Q11" s="13"/>
      <c r="R11" s="13"/>
      <c r="S11" s="13"/>
      <c r="T11" s="13"/>
      <c r="U11" s="13"/>
      <c r="V11" s="13"/>
      <c r="W11" s="461"/>
      <c r="X11" s="462"/>
      <c r="Y11" s="459"/>
      <c r="Z11" s="459"/>
      <c r="AA11" s="464"/>
      <c r="AB11" s="461"/>
      <c r="AC11" s="462"/>
      <c r="AD11" s="463"/>
      <c r="AE11" s="459"/>
      <c r="AF11" s="459"/>
      <c r="AG11" s="461"/>
      <c r="AH11" s="462"/>
      <c r="AI11" s="463"/>
      <c r="AJ11" s="459"/>
      <c r="AK11" s="464"/>
      <c r="AL11" s="462"/>
      <c r="AM11" s="462"/>
      <c r="AN11" s="463"/>
      <c r="AO11" s="459"/>
      <c r="AP11" s="464"/>
      <c r="AS11" s="1">
        <f t="shared" ca="1" si="10"/>
        <v>0</v>
      </c>
      <c r="AT11" s="1">
        <f t="shared" ca="1" si="11"/>
        <v>0</v>
      </c>
      <c r="AU11" s="1">
        <f t="shared" ca="1" si="12"/>
        <v>0</v>
      </c>
      <c r="AV11" s="1">
        <f ca="1">IF(Einstellungen!$G$24,$I11,ROUND($I11,Einstellungen!$H$24))</f>
        <v>0</v>
      </c>
      <c r="AW11" s="1">
        <f t="shared" ca="1" si="13"/>
        <v>-10000</v>
      </c>
      <c r="AX11" s="1">
        <f t="shared" ca="1" si="14"/>
        <v>1</v>
      </c>
    </row>
    <row r="12" spans="1:50" s="2" customFormat="1" ht="12.75" thickBot="1" x14ac:dyDescent="0.25">
      <c r="A12" s="214"/>
      <c r="B12" s="1">
        <v>9</v>
      </c>
      <c r="C12" s="23">
        <f t="shared" ca="1" si="0"/>
        <v>9</v>
      </c>
      <c r="D12" s="13">
        <f t="shared" ca="1" si="1"/>
        <v>13.012</v>
      </c>
      <c r="E12" s="219">
        <f t="shared" ca="1" si="2"/>
        <v>3</v>
      </c>
      <c r="F12" s="1" t="str">
        <f t="shared" si="3"/>
        <v/>
      </c>
      <c r="G12" s="1">
        <f t="shared" ca="1" si="4"/>
        <v>0</v>
      </c>
      <c r="H12" s="1">
        <f t="shared" ca="1" si="5"/>
        <v>0</v>
      </c>
      <c r="I12" s="13">
        <f ca="1">IF(Einstellungen!$G$24,G12-H12,IF(H12=0,IF(G12=0,0,Einstellungen!$F$24),G12/H12))</f>
        <v>0</v>
      </c>
      <c r="J12" s="1">
        <f ca="1">$L12*Einstellungen!$C$4+$M12</f>
        <v>0</v>
      </c>
      <c r="K12" s="29">
        <f t="shared" ca="1" si="6"/>
        <v>0</v>
      </c>
      <c r="L12" s="1">
        <f t="shared" ca="1" si="7"/>
        <v>0</v>
      </c>
      <c r="M12" s="1">
        <f t="shared" ca="1" si="8"/>
        <v>0</v>
      </c>
      <c r="N12" s="1">
        <f t="shared" ca="1" si="9"/>
        <v>0</v>
      </c>
      <c r="O12" s="1"/>
      <c r="P12" s="1"/>
      <c r="Q12" s="1"/>
      <c r="R12" s="1"/>
      <c r="S12" s="1"/>
      <c r="T12" s="1"/>
      <c r="U12" s="1"/>
      <c r="V12" s="1"/>
      <c r="W12" s="465"/>
      <c r="X12" s="466"/>
      <c r="Y12" s="467"/>
      <c r="Z12" s="467"/>
      <c r="AA12" s="468"/>
      <c r="AB12" s="465"/>
      <c r="AC12" s="466"/>
      <c r="AD12" s="469"/>
      <c r="AE12" s="467"/>
      <c r="AF12" s="467"/>
      <c r="AG12" s="465"/>
      <c r="AH12" s="466"/>
      <c r="AI12" s="469"/>
      <c r="AJ12" s="467"/>
      <c r="AK12" s="468"/>
      <c r="AL12" s="466"/>
      <c r="AM12" s="466"/>
      <c r="AN12" s="469"/>
      <c r="AO12" s="467"/>
      <c r="AP12" s="468"/>
      <c r="AS12" s="1">
        <f t="shared" ca="1" si="10"/>
        <v>0</v>
      </c>
      <c r="AT12" s="1">
        <f t="shared" ca="1" si="11"/>
        <v>0</v>
      </c>
      <c r="AU12" s="1">
        <f t="shared" ca="1" si="12"/>
        <v>0</v>
      </c>
      <c r="AV12" s="1">
        <f ca="1">IF(Einstellungen!$G$24,$I12,ROUND($I12,Einstellungen!$H$24))</f>
        <v>0</v>
      </c>
      <c r="AW12" s="1">
        <f t="shared" ca="1" si="13"/>
        <v>-10000</v>
      </c>
      <c r="AX12" s="1">
        <f t="shared" ca="1" si="14"/>
        <v>1</v>
      </c>
    </row>
    <row r="13" spans="1:50" s="2" customFormat="1" ht="12.75" thickTop="1" x14ac:dyDescent="0.2">
      <c r="B13" s="13">
        <f ca="1">$F$13*($F$13-1)</f>
        <v>2</v>
      </c>
      <c r="C13" s="13"/>
      <c r="D13" s="13"/>
      <c r="E13" s="13"/>
      <c r="F13" s="13">
        <f ca="1">9-COUNTBLANK($F$4:$F$12)</f>
        <v>2</v>
      </c>
      <c r="G13" s="13"/>
      <c r="H13" s="13"/>
      <c r="I13" s="13"/>
      <c r="J13" s="13"/>
      <c r="K13" s="28">
        <f ca="1">QUOTIENT(SUM(K4:K12),2)</f>
        <v>1</v>
      </c>
      <c r="L13" s="1"/>
      <c r="M13" s="1"/>
      <c r="N13" s="1"/>
      <c r="O13" s="1"/>
      <c r="P13" s="1"/>
      <c r="Q13" s="1"/>
      <c r="R13" s="1"/>
      <c r="S13" s="1"/>
      <c r="T13" s="1"/>
      <c r="U13" s="1"/>
      <c r="V13" s="1"/>
      <c r="Y13" s="1"/>
      <c r="Z13" s="1"/>
    </row>
    <row r="14" spans="1:50" s="2" customFormat="1" x14ac:dyDescent="0.2">
      <c r="B14" s="14"/>
      <c r="D14" s="1"/>
      <c r="F14" s="14"/>
      <c r="O14" s="1"/>
      <c r="P14" s="1"/>
      <c r="Q14" s="1"/>
      <c r="R14" s="1"/>
      <c r="S14" s="1"/>
      <c r="T14" s="1"/>
      <c r="U14" s="1"/>
      <c r="V14" s="1"/>
      <c r="W14" s="1"/>
      <c r="Y14" s="1"/>
      <c r="Z14" s="1"/>
    </row>
    <row r="15" spans="1:50" s="2" customFormat="1" x14ac:dyDescent="0.2">
      <c r="O15" s="12"/>
      <c r="AD15" s="611"/>
      <c r="AE15" s="611"/>
      <c r="AF15" s="611"/>
      <c r="AG15" s="611"/>
      <c r="AH15" s="611"/>
      <c r="AI15" s="612"/>
      <c r="AK15" s="214"/>
    </row>
    <row r="16" spans="1:50" s="2" customFormat="1" ht="15.75" thickBot="1" x14ac:dyDescent="0.25">
      <c r="B16" s="13" t="s">
        <v>6</v>
      </c>
      <c r="C16" s="729" t="s">
        <v>97</v>
      </c>
      <c r="D16" s="729" t="s">
        <v>103</v>
      </c>
      <c r="E16" s="729" t="s">
        <v>104</v>
      </c>
      <c r="F16" s="729" t="s">
        <v>105</v>
      </c>
      <c r="G16" s="729" t="s">
        <v>106</v>
      </c>
      <c r="H16" s="729" t="s">
        <v>107</v>
      </c>
      <c r="I16" s="729" t="s">
        <v>108</v>
      </c>
      <c r="J16" s="729" t="s">
        <v>109</v>
      </c>
      <c r="K16" s="729" t="s">
        <v>382</v>
      </c>
      <c r="L16" s="11" t="s">
        <v>383</v>
      </c>
      <c r="M16" s="68" t="s">
        <v>96</v>
      </c>
      <c r="N16" s="68" t="s">
        <v>15</v>
      </c>
      <c r="O16" s="30">
        <v>1</v>
      </c>
      <c r="P16" s="1">
        <v>2</v>
      </c>
      <c r="Q16" s="1">
        <v>3</v>
      </c>
      <c r="R16" s="1">
        <v>4</v>
      </c>
      <c r="S16" s="1">
        <v>5</v>
      </c>
      <c r="T16" s="1">
        <v>6</v>
      </c>
      <c r="U16" s="1">
        <v>7</v>
      </c>
      <c r="V16" s="1">
        <v>8</v>
      </c>
      <c r="W16" s="11" t="s">
        <v>98</v>
      </c>
      <c r="X16" s="173" t="s">
        <v>166</v>
      </c>
      <c r="Y16" s="11" t="s">
        <v>454</v>
      </c>
      <c r="Z16" s="173" t="s">
        <v>210</v>
      </c>
      <c r="AA16" s="1" t="s">
        <v>387</v>
      </c>
      <c r="AB16" s="1" t="s">
        <v>109</v>
      </c>
      <c r="AC16" s="1" t="s">
        <v>107</v>
      </c>
      <c r="AD16" s="617" t="s">
        <v>428</v>
      </c>
      <c r="AE16" s="610"/>
      <c r="AF16" s="613"/>
      <c r="AG16" s="613"/>
      <c r="AH16" s="614"/>
      <c r="AI16" s="612"/>
    </row>
    <row r="17" spans="2:80" s="2" customFormat="1" ht="12.75" thickTop="1" x14ac:dyDescent="0.2">
      <c r="C17" s="2" t="str">
        <f ca="1">$Q64</f>
        <v>FC Barcelona</v>
      </c>
      <c r="D17" s="1">
        <f t="shared" ref="D17:G25" ca="1" si="15">K4</f>
        <v>1</v>
      </c>
      <c r="E17" s="1">
        <f t="shared" ca="1" si="15"/>
        <v>1</v>
      </c>
      <c r="F17" s="1">
        <f t="shared" ca="1" si="15"/>
        <v>0</v>
      </c>
      <c r="G17" s="1">
        <f t="shared" ca="1" si="15"/>
        <v>0</v>
      </c>
      <c r="H17" s="1">
        <f t="shared" ref="H17:J25" ca="1" si="16">G4</f>
        <v>70</v>
      </c>
      <c r="I17" s="1">
        <f t="shared" ca="1" si="16"/>
        <v>65</v>
      </c>
      <c r="J17" s="13">
        <f t="shared" ca="1" si="16"/>
        <v>5</v>
      </c>
      <c r="K17" s="1">
        <f ca="1">IF(Einstellungen!$G$9,J4,$AT4)</f>
        <v>2</v>
      </c>
      <c r="L17" s="694">
        <f ca="1">K17*$F$64+(AU4+$H$65)*$F$65*Einstellungen!$G$14+AT4*$F$66*Einstellungen!$G$19+AX4*$F$67</f>
        <v>2000000.0090000001</v>
      </c>
      <c r="M17" s="14">
        <f ca="1">IF($AI$15,COUNTIF($K$17:$K$25,K17),COUNTIF($L$17:$L$25,L17))</f>
        <v>1</v>
      </c>
      <c r="N17" s="14">
        <f t="array" aca="1" ref="N17" ca="1">IF($AI$15,SUM(($K$17:$K$25&gt;=K17)/COUNTIF($K$17:$K$25,$K$17:$K$25)),SUM(($L$17:$L$25&gt;=L17)/COUNTIF($L$17:$L$25,$L$17:$L$25)))</f>
        <v>1</v>
      </c>
      <c r="O17" s="52" t="str">
        <f t="shared" ref="O17:O25" ca="1" si="17">IF(AND(M17&gt;1,N17=1),C17,"")</f>
        <v/>
      </c>
      <c r="P17" s="53" t="str">
        <f t="shared" ref="P17:P25" ca="1" si="18">IF(AND(M17&gt;1,N17=2),C17,"")</f>
        <v/>
      </c>
      <c r="Q17" s="53" t="str">
        <f t="shared" ref="Q17:Q25" ca="1" si="19">IF(AND(M17&gt;1,N17=3),C17,"")</f>
        <v/>
      </c>
      <c r="R17" s="53" t="str">
        <f t="shared" ref="R17:R25" ca="1" si="20">IF(AND(M17&gt;1,N17=4),C17,"")</f>
        <v/>
      </c>
      <c r="S17" s="53" t="str">
        <f t="shared" ref="S17:S25" ca="1" si="21">IF(AND(M17&gt;1,N17=5),C17,"")</f>
        <v/>
      </c>
      <c r="T17" s="53" t="str">
        <f t="shared" ref="T17:T25" ca="1" si="22">IF(AND($M17&gt;1,$N17=6),$C17,"")</f>
        <v/>
      </c>
      <c r="U17" s="53" t="str">
        <f t="shared" ref="U17:U25" ca="1" si="23">IF(AND($M17&gt;1,$N17=7),$C17,"")</f>
        <v/>
      </c>
      <c r="V17" s="54" t="str">
        <f t="shared" ref="V17:V25" ca="1" si="24">IF(AND($M17&gt;1,$N17=8),$C17,"")</f>
        <v/>
      </c>
      <c r="W17" s="62">
        <f ca="1">AA17*$F$64+(AB17+$H$65)*$F$65</f>
        <v>500000</v>
      </c>
      <c r="X17" s="21">
        <f ca="1">RANK($L17,$L$17:$L$25)+RANK($W17,$W$17:$W$25)/100+(9-$Y17)/10000+($C17="")*100</f>
        <v>1.0108999999999999</v>
      </c>
      <c r="Y17" s="13">
        <f ca="1">'Endrunde 4'!$AU26+$AD17</f>
        <v>0</v>
      </c>
      <c r="Z17" s="1">
        <f ca="1">RANK($W17,$W$17:$W$25)+(9-$Y17)/10</f>
        <v>1.9</v>
      </c>
      <c r="AA17" s="1">
        <f ca="1">SUM(E30:BP30)</f>
        <v>0</v>
      </c>
      <c r="AB17" s="1">
        <f ca="1">SUM(E41:BP41)</f>
        <v>0</v>
      </c>
      <c r="AC17" s="1">
        <f ca="1">SUM(E52:BP52)</f>
        <v>0</v>
      </c>
      <c r="AD17" s="613">
        <f ca="1">IF($C17="",0,COUNTIF(Playoffs!$U$25:$U$30,$C17))</f>
        <v>0</v>
      </c>
      <c r="AE17" s="615"/>
      <c r="AF17" s="613"/>
      <c r="AG17" s="613"/>
      <c r="AH17" s="616"/>
      <c r="AI17" s="613"/>
    </row>
    <row r="18" spans="2:80" s="2" customFormat="1" x14ac:dyDescent="0.2">
      <c r="C18" s="2" t="str">
        <f t="shared" ref="C18:C25" ca="1" si="25">$Q65</f>
        <v>Inter Mailand</v>
      </c>
      <c r="D18" s="1">
        <f t="shared" ca="1" si="15"/>
        <v>1</v>
      </c>
      <c r="E18" s="1">
        <f t="shared" ca="1" si="15"/>
        <v>0</v>
      </c>
      <c r="F18" s="1">
        <f t="shared" ca="1" si="15"/>
        <v>0</v>
      </c>
      <c r="G18" s="1">
        <f t="shared" ca="1" si="15"/>
        <v>1</v>
      </c>
      <c r="H18" s="1">
        <f t="shared" ca="1" si="16"/>
        <v>65</v>
      </c>
      <c r="I18" s="1">
        <f t="shared" ca="1" si="16"/>
        <v>70</v>
      </c>
      <c r="J18" s="13">
        <f t="shared" ca="1" si="16"/>
        <v>-5</v>
      </c>
      <c r="K18" s="1">
        <f ca="1">IF(Einstellungen!$G$9,J5,$AT5)</f>
        <v>0</v>
      </c>
      <c r="L18" s="694">
        <f ca="1">K18*$F$64+(AU5+$H$65)*$F$65*Einstellungen!$G$14+AT5*$F$66*Einstellungen!$G$19+AX5*$F$67</f>
        <v>8.0000000000000002E-3</v>
      </c>
      <c r="M18" s="14">
        <f t="shared" ref="M18:M25" ca="1" si="26">IF($AI$15,COUNTIF($K$17:$K$25,K18),COUNTIF($L$17:$L$25,L18))</f>
        <v>1</v>
      </c>
      <c r="N18" s="14">
        <f t="array" aca="1" ref="N18" ca="1">IF($AI$15,SUM(($K$17:$K$25&gt;=K18)/COUNTIF($K$17:$K$25,$K$17:$K$25)),SUM(($L$17:$L$25&gt;=L18)/COUNTIF($L$17:$L$25,$L$17:$L$25)))</f>
        <v>2</v>
      </c>
      <c r="O18" s="6" t="str">
        <f t="shared" ca="1" si="17"/>
        <v/>
      </c>
      <c r="P18" s="4" t="str">
        <f t="shared" ca="1" si="18"/>
        <v/>
      </c>
      <c r="Q18" s="4" t="str">
        <f t="shared" ca="1" si="19"/>
        <v/>
      </c>
      <c r="R18" s="4" t="str">
        <f t="shared" ca="1" si="20"/>
        <v/>
      </c>
      <c r="S18" s="4" t="str">
        <f t="shared" ca="1" si="21"/>
        <v/>
      </c>
      <c r="T18" s="4" t="str">
        <f t="shared" ca="1" si="22"/>
        <v/>
      </c>
      <c r="U18" s="4" t="str">
        <f t="shared" ca="1" si="23"/>
        <v/>
      </c>
      <c r="V18" s="55" t="str">
        <f t="shared" ca="1" si="24"/>
        <v/>
      </c>
      <c r="W18" s="62">
        <f t="shared" ref="W18:W25" ca="1" si="27">AA18*$F$64+(AB18+$H$65)*$F$65</f>
        <v>500000</v>
      </c>
      <c r="X18" s="22">
        <f ca="1">RANK($L18,$L$17:$L$25)+RANK($W18,$W$17:$W$25)/100+(9-$Y18)/10000+($C18="")*100</f>
        <v>2.0108999999999999</v>
      </c>
      <c r="Y18" s="13">
        <f ca="1">'Endrunde 4'!$AU27+$AD18</f>
        <v>0</v>
      </c>
      <c r="Z18" s="1">
        <f t="shared" ref="Z18:Z25" ca="1" si="28">RANK($W18,$W$17:$W$25)+(9-$Y18)/10</f>
        <v>1.9</v>
      </c>
      <c r="AA18" s="1">
        <f t="shared" ref="AA18:AA25" ca="1" si="29">SUM(E31:BP31)</f>
        <v>0</v>
      </c>
      <c r="AB18" s="1">
        <f t="shared" ref="AB18:AB25" ca="1" si="30">SUM(E42:BP42)</f>
        <v>0</v>
      </c>
      <c r="AC18" s="1">
        <f t="shared" ref="AC18:AC25" ca="1" si="31">SUM(E53:BP53)</f>
        <v>0</v>
      </c>
      <c r="AD18" s="613">
        <f ca="1">IF($C18="",0,COUNTIF(Playoffs!$U$25:$U$30,$C18))</f>
        <v>0</v>
      </c>
      <c r="AE18" s="615"/>
      <c r="AF18" s="613"/>
      <c r="AG18" s="613"/>
      <c r="AH18" s="616"/>
      <c r="AI18" s="613"/>
    </row>
    <row r="19" spans="2:80" s="2" customFormat="1" x14ac:dyDescent="0.2">
      <c r="C19" s="2" t="str">
        <f t="shared" ca="1" si="25"/>
        <v/>
      </c>
      <c r="D19" s="1">
        <f t="shared" ca="1" si="15"/>
        <v>0</v>
      </c>
      <c r="E19" s="1">
        <f t="shared" ca="1" si="15"/>
        <v>0</v>
      </c>
      <c r="F19" s="1">
        <f t="shared" ca="1" si="15"/>
        <v>0</v>
      </c>
      <c r="G19" s="1">
        <f t="shared" ca="1" si="15"/>
        <v>0</v>
      </c>
      <c r="H19" s="1">
        <f t="shared" ca="1" si="16"/>
        <v>0</v>
      </c>
      <c r="I19" s="1">
        <f t="shared" ca="1" si="16"/>
        <v>0</v>
      </c>
      <c r="J19" s="13">
        <f t="shared" ca="1" si="16"/>
        <v>0</v>
      </c>
      <c r="K19" s="1">
        <f ca="1">IF(Einstellungen!$G$9,J6,$AT6)</f>
        <v>0</v>
      </c>
      <c r="L19" s="694">
        <f ca="1">K19*$F$64+(AU6+$H$65)*$F$65*Einstellungen!$G$14+AT6*$F$66*Einstellungen!$G$19+AX6*$F$67</f>
        <v>1E-3</v>
      </c>
      <c r="M19" s="14">
        <f t="shared" ca="1" si="26"/>
        <v>7</v>
      </c>
      <c r="N19" s="14">
        <f t="array" aca="1" ref="N19" ca="1">IF($AI$15,SUM(($K$17:$K$25&gt;=K19)/COUNTIF($K$17:$K$25,$K$17:$K$25)),SUM(($L$17:$L$25&gt;=L19)/COUNTIF($L$17:$L$25,$L$17:$L$25)))</f>
        <v>2.9999999999999996</v>
      </c>
      <c r="O19" s="6" t="str">
        <f t="shared" ca="1" si="17"/>
        <v/>
      </c>
      <c r="P19" s="4" t="str">
        <f t="shared" ca="1" si="18"/>
        <v/>
      </c>
      <c r="Q19" s="4" t="str">
        <f t="shared" ca="1" si="19"/>
        <v/>
      </c>
      <c r="R19" s="4" t="str">
        <f t="shared" ca="1" si="20"/>
        <v/>
      </c>
      <c r="S19" s="4" t="str">
        <f t="shared" ca="1" si="21"/>
        <v/>
      </c>
      <c r="T19" s="4" t="str">
        <f t="shared" ca="1" si="22"/>
        <v/>
      </c>
      <c r="U19" s="4" t="str">
        <f t="shared" ca="1" si="23"/>
        <v/>
      </c>
      <c r="V19" s="55" t="str">
        <f t="shared" ca="1" si="24"/>
        <v/>
      </c>
      <c r="W19" s="62">
        <f t="shared" ca="1" si="27"/>
        <v>500000</v>
      </c>
      <c r="X19" s="22">
        <f t="shared" ref="X19:X25" ca="1" si="32">RANK($L19,$L$17:$L$25)+RANK($W19,$W$17:$W$25)/100+(9-$Y19)/10000+($C19="")*100</f>
        <v>103.01090000000001</v>
      </c>
      <c r="Y19" s="13">
        <f ca="1">'Endrunde 4'!$AU28+$AD19</f>
        <v>0</v>
      </c>
      <c r="Z19" s="1">
        <f t="shared" ca="1" si="28"/>
        <v>1.9</v>
      </c>
      <c r="AA19" s="1">
        <f t="shared" ca="1" si="29"/>
        <v>0</v>
      </c>
      <c r="AB19" s="1">
        <f t="shared" ca="1" si="30"/>
        <v>0</v>
      </c>
      <c r="AC19" s="1">
        <f t="shared" ca="1" si="31"/>
        <v>0</v>
      </c>
      <c r="AD19" s="613">
        <f ca="1">IF($C19="",0,COUNTIF(Playoffs!$U$25:$U$30,$C19))</f>
        <v>0</v>
      </c>
      <c r="AE19" s="615"/>
      <c r="AF19" s="613"/>
      <c r="AG19" s="613"/>
      <c r="AH19" s="616"/>
      <c r="AI19" s="613"/>
    </row>
    <row r="20" spans="2:80" s="2" customFormat="1" x14ac:dyDescent="0.2">
      <c r="C20" s="2" t="str">
        <f t="shared" ca="1" si="25"/>
        <v/>
      </c>
      <c r="D20" s="1">
        <f t="shared" ca="1" si="15"/>
        <v>0</v>
      </c>
      <c r="E20" s="1">
        <f t="shared" ca="1" si="15"/>
        <v>0</v>
      </c>
      <c r="F20" s="1">
        <f t="shared" ca="1" si="15"/>
        <v>0</v>
      </c>
      <c r="G20" s="1">
        <f t="shared" ca="1" si="15"/>
        <v>0</v>
      </c>
      <c r="H20" s="1">
        <f t="shared" ca="1" si="16"/>
        <v>0</v>
      </c>
      <c r="I20" s="1">
        <f t="shared" ca="1" si="16"/>
        <v>0</v>
      </c>
      <c r="J20" s="13">
        <f t="shared" ca="1" si="16"/>
        <v>0</v>
      </c>
      <c r="K20" s="1">
        <f ca="1">IF(Einstellungen!$G$9,J7,$AT7)</f>
        <v>0</v>
      </c>
      <c r="L20" s="694">
        <f ca="1">K20*$F$64+(AU7+$H$65)*$F$65*Einstellungen!$G$14+AT7*$F$66*Einstellungen!$G$19+AX7*$F$67</f>
        <v>1E-3</v>
      </c>
      <c r="M20" s="14">
        <f t="shared" ca="1" si="26"/>
        <v>7</v>
      </c>
      <c r="N20" s="14">
        <f t="array" aca="1" ref="N20" ca="1">IF($AI$15,SUM(($K$17:$K$25&gt;=K20)/COUNTIF($K$17:$K$25,$K$17:$K$25)),SUM(($L$17:$L$25&gt;=L20)/COUNTIF($L$17:$L$25,$L$17:$L$25)))</f>
        <v>2.9999999999999996</v>
      </c>
      <c r="O20" s="6" t="str">
        <f t="shared" ca="1" si="17"/>
        <v/>
      </c>
      <c r="P20" s="4" t="str">
        <f t="shared" ca="1" si="18"/>
        <v/>
      </c>
      <c r="Q20" s="4" t="str">
        <f t="shared" ca="1" si="19"/>
        <v/>
      </c>
      <c r="R20" s="4" t="str">
        <f t="shared" ca="1" si="20"/>
        <v/>
      </c>
      <c r="S20" s="4" t="str">
        <f t="shared" ca="1" si="21"/>
        <v/>
      </c>
      <c r="T20" s="4" t="str">
        <f t="shared" ca="1" si="22"/>
        <v/>
      </c>
      <c r="U20" s="4" t="str">
        <f t="shared" ca="1" si="23"/>
        <v/>
      </c>
      <c r="V20" s="55" t="str">
        <f t="shared" ca="1" si="24"/>
        <v/>
      </c>
      <c r="W20" s="62">
        <f t="shared" ca="1" si="27"/>
        <v>500000</v>
      </c>
      <c r="X20" s="22">
        <f t="shared" ca="1" si="32"/>
        <v>103.01090000000001</v>
      </c>
      <c r="Y20" s="13">
        <f ca="1">'Endrunde 4'!$AU29+$AD20</f>
        <v>0</v>
      </c>
      <c r="Z20" s="1">
        <f t="shared" ca="1" si="28"/>
        <v>1.9</v>
      </c>
      <c r="AA20" s="1">
        <f t="shared" ca="1" si="29"/>
        <v>0</v>
      </c>
      <c r="AB20" s="1">
        <f t="shared" ca="1" si="30"/>
        <v>0</v>
      </c>
      <c r="AC20" s="1">
        <f t="shared" ca="1" si="31"/>
        <v>0</v>
      </c>
      <c r="AD20" s="613">
        <f ca="1">IF($C20="",0,COUNTIF(Playoffs!$U$25:$U$30,$C20))</f>
        <v>0</v>
      </c>
      <c r="AE20" s="615"/>
      <c r="AF20" s="613"/>
      <c r="AG20" s="613"/>
      <c r="AH20" s="616"/>
      <c r="AI20" s="613"/>
    </row>
    <row r="21" spans="2:80" s="2" customFormat="1" x14ac:dyDescent="0.2">
      <c r="C21" s="2" t="str">
        <f t="shared" si="25"/>
        <v/>
      </c>
      <c r="D21" s="1">
        <f t="shared" ca="1" si="15"/>
        <v>0</v>
      </c>
      <c r="E21" s="1">
        <f t="shared" ca="1" si="15"/>
        <v>0</v>
      </c>
      <c r="F21" s="1">
        <f t="shared" ca="1" si="15"/>
        <v>0</v>
      </c>
      <c r="G21" s="1">
        <f t="shared" ca="1" si="15"/>
        <v>0</v>
      </c>
      <c r="H21" s="1">
        <f t="shared" ca="1" si="16"/>
        <v>0</v>
      </c>
      <c r="I21" s="1">
        <f t="shared" ca="1" si="16"/>
        <v>0</v>
      </c>
      <c r="J21" s="13">
        <f t="shared" ca="1" si="16"/>
        <v>0</v>
      </c>
      <c r="K21" s="1">
        <f ca="1">IF(Einstellungen!$G$9,J8,$AT8)</f>
        <v>0</v>
      </c>
      <c r="L21" s="694">
        <f ca="1">K21*$F$64+(AU8+$H$65)*$F$65*Einstellungen!$G$14+AT8*$F$66*Einstellungen!$G$19+AX8*$F$67</f>
        <v>1E-3</v>
      </c>
      <c r="M21" s="14">
        <f t="shared" ca="1" si="26"/>
        <v>7</v>
      </c>
      <c r="N21" s="14">
        <f t="array" aca="1" ref="N21" ca="1">IF($AI$15,SUM(($K$17:$K$25&gt;=K21)/COUNTIF($K$17:$K$25,$K$17:$K$25)),SUM(($L$17:$L$25&gt;=L21)/COUNTIF($L$17:$L$25,$L$17:$L$25)))</f>
        <v>2.9999999999999996</v>
      </c>
      <c r="O21" s="6" t="str">
        <f t="shared" ca="1" si="17"/>
        <v/>
      </c>
      <c r="P21" s="4" t="str">
        <f t="shared" ca="1" si="18"/>
        <v/>
      </c>
      <c r="Q21" s="4" t="str">
        <f t="shared" ca="1" si="19"/>
        <v/>
      </c>
      <c r="R21" s="4" t="str">
        <f t="shared" ca="1" si="20"/>
        <v/>
      </c>
      <c r="S21" s="4" t="str">
        <f t="shared" ca="1" si="21"/>
        <v/>
      </c>
      <c r="T21" s="4" t="str">
        <f t="shared" ca="1" si="22"/>
        <v/>
      </c>
      <c r="U21" s="4" t="str">
        <f t="shared" ca="1" si="23"/>
        <v/>
      </c>
      <c r="V21" s="55" t="str">
        <f t="shared" ca="1" si="24"/>
        <v/>
      </c>
      <c r="W21" s="62">
        <f t="shared" ca="1" si="27"/>
        <v>500000</v>
      </c>
      <c r="X21" s="22">
        <f t="shared" ca="1" si="32"/>
        <v>103.01090000000001</v>
      </c>
      <c r="Y21" s="13">
        <v>0</v>
      </c>
      <c r="Z21" s="1">
        <f t="shared" ca="1" si="28"/>
        <v>1.9</v>
      </c>
      <c r="AA21" s="1">
        <f t="shared" ca="1" si="29"/>
        <v>0</v>
      </c>
      <c r="AB21" s="1">
        <f t="shared" ca="1" si="30"/>
        <v>0</v>
      </c>
      <c r="AC21" s="1">
        <f t="shared" ca="1" si="31"/>
        <v>0</v>
      </c>
      <c r="AD21" s="613">
        <v>0</v>
      </c>
      <c r="AE21" s="615"/>
      <c r="AF21" s="613"/>
      <c r="AG21" s="613"/>
      <c r="AH21" s="616"/>
      <c r="AI21" s="613"/>
    </row>
    <row r="22" spans="2:80" s="2" customFormat="1" x14ac:dyDescent="0.2">
      <c r="C22" s="2" t="str">
        <f t="shared" si="25"/>
        <v/>
      </c>
      <c r="D22" s="1">
        <f t="shared" ca="1" si="15"/>
        <v>0</v>
      </c>
      <c r="E22" s="1">
        <f t="shared" ca="1" si="15"/>
        <v>0</v>
      </c>
      <c r="F22" s="1">
        <f t="shared" ca="1" si="15"/>
        <v>0</v>
      </c>
      <c r="G22" s="1">
        <f t="shared" ca="1" si="15"/>
        <v>0</v>
      </c>
      <c r="H22" s="1">
        <f t="shared" ca="1" si="16"/>
        <v>0</v>
      </c>
      <c r="I22" s="1">
        <f t="shared" ca="1" si="16"/>
        <v>0</v>
      </c>
      <c r="J22" s="13">
        <f t="shared" ca="1" si="16"/>
        <v>0</v>
      </c>
      <c r="K22" s="1">
        <f ca="1">IF(Einstellungen!$G$9,J9,$AT9)</f>
        <v>0</v>
      </c>
      <c r="L22" s="694">
        <f ca="1">K22*$F$64+(AU9+$H$65)*$F$65*Einstellungen!$G$14+AT9*$F$66*Einstellungen!$G$19+AX9*$F$67</f>
        <v>1E-3</v>
      </c>
      <c r="M22" s="14">
        <f t="shared" ca="1" si="26"/>
        <v>7</v>
      </c>
      <c r="N22" s="14">
        <f t="array" aca="1" ref="N22" ca="1">IF($AI$15,SUM(($K$17:$K$25&gt;=K22)/COUNTIF($K$17:$K$25,$K$17:$K$25)),SUM(($L$17:$L$25&gt;=L22)/COUNTIF($L$17:$L$25,$L$17:$L$25)))</f>
        <v>2.9999999999999996</v>
      </c>
      <c r="O22" s="6" t="str">
        <f t="shared" ca="1" si="17"/>
        <v/>
      </c>
      <c r="P22" s="4" t="str">
        <f t="shared" ca="1" si="18"/>
        <v/>
      </c>
      <c r="Q22" s="4" t="str">
        <f t="shared" ca="1" si="19"/>
        <v/>
      </c>
      <c r="R22" s="4" t="str">
        <f t="shared" ca="1" si="20"/>
        <v/>
      </c>
      <c r="S22" s="4" t="str">
        <f t="shared" ca="1" si="21"/>
        <v/>
      </c>
      <c r="T22" s="4" t="str">
        <f t="shared" ca="1" si="22"/>
        <v/>
      </c>
      <c r="U22" s="4" t="str">
        <f t="shared" ca="1" si="23"/>
        <v/>
      </c>
      <c r="V22" s="55" t="str">
        <f t="shared" ca="1" si="24"/>
        <v/>
      </c>
      <c r="W22" s="62">
        <f t="shared" ca="1" si="27"/>
        <v>500000</v>
      </c>
      <c r="X22" s="22">
        <f t="shared" ca="1" si="32"/>
        <v>103.01090000000001</v>
      </c>
      <c r="Y22" s="13">
        <v>0</v>
      </c>
      <c r="Z22" s="1">
        <f t="shared" ca="1" si="28"/>
        <v>1.9</v>
      </c>
      <c r="AA22" s="1">
        <f t="shared" ca="1" si="29"/>
        <v>0</v>
      </c>
      <c r="AB22" s="1">
        <f t="shared" ca="1" si="30"/>
        <v>0</v>
      </c>
      <c r="AC22" s="1">
        <f t="shared" ca="1" si="31"/>
        <v>0</v>
      </c>
      <c r="AD22" s="613">
        <v>0</v>
      </c>
      <c r="AE22" s="615"/>
      <c r="AF22" s="613"/>
      <c r="AG22" s="613"/>
      <c r="AH22" s="616"/>
      <c r="AI22" s="613"/>
    </row>
    <row r="23" spans="2:80" s="2" customFormat="1" x14ac:dyDescent="0.2">
      <c r="C23" s="2" t="str">
        <f t="shared" si="25"/>
        <v/>
      </c>
      <c r="D23" s="1">
        <f t="shared" ca="1" si="15"/>
        <v>0</v>
      </c>
      <c r="E23" s="1">
        <f t="shared" ca="1" si="15"/>
        <v>0</v>
      </c>
      <c r="F23" s="1">
        <f t="shared" ca="1" si="15"/>
        <v>0</v>
      </c>
      <c r="G23" s="1">
        <f t="shared" ca="1" si="15"/>
        <v>0</v>
      </c>
      <c r="H23" s="1">
        <f t="shared" ca="1" si="16"/>
        <v>0</v>
      </c>
      <c r="I23" s="1">
        <f t="shared" ca="1" si="16"/>
        <v>0</v>
      </c>
      <c r="J23" s="13">
        <f t="shared" ca="1" si="16"/>
        <v>0</v>
      </c>
      <c r="K23" s="1">
        <f ca="1">IF(Einstellungen!$G$9,J10,$AT10)</f>
        <v>0</v>
      </c>
      <c r="L23" s="694">
        <f ca="1">K23*$F$64+(AU10+$H$65)*$F$65*Einstellungen!$G$14+AT10*$F$66*Einstellungen!$G$19+AX10*$F$67</f>
        <v>1E-3</v>
      </c>
      <c r="M23" s="14">
        <f t="shared" ca="1" si="26"/>
        <v>7</v>
      </c>
      <c r="N23" s="14">
        <f t="array" aca="1" ref="N23" ca="1">IF($AI$15,SUM(($K$17:$K$25&gt;=K23)/COUNTIF($K$17:$K$25,$K$17:$K$25)),SUM(($L$17:$L$25&gt;=L23)/COUNTIF($L$17:$L$25,$L$17:$L$25)))</f>
        <v>2.9999999999999996</v>
      </c>
      <c r="O23" s="6" t="str">
        <f t="shared" ca="1" si="17"/>
        <v/>
      </c>
      <c r="P23" s="4" t="str">
        <f t="shared" ca="1" si="18"/>
        <v/>
      </c>
      <c r="Q23" s="4" t="str">
        <f t="shared" ca="1" si="19"/>
        <v/>
      </c>
      <c r="R23" s="4" t="str">
        <f t="shared" ca="1" si="20"/>
        <v/>
      </c>
      <c r="S23" s="4" t="str">
        <f t="shared" ca="1" si="21"/>
        <v/>
      </c>
      <c r="T23" s="4" t="str">
        <f t="shared" ca="1" si="22"/>
        <v/>
      </c>
      <c r="U23" s="4" t="str">
        <f t="shared" ca="1" si="23"/>
        <v/>
      </c>
      <c r="V23" s="55" t="str">
        <f t="shared" ca="1" si="24"/>
        <v/>
      </c>
      <c r="W23" s="62">
        <f t="shared" ca="1" si="27"/>
        <v>500000</v>
      </c>
      <c r="X23" s="22">
        <f t="shared" ca="1" si="32"/>
        <v>103.01090000000001</v>
      </c>
      <c r="Y23" s="13">
        <v>0</v>
      </c>
      <c r="Z23" s="1">
        <f t="shared" ca="1" si="28"/>
        <v>1.9</v>
      </c>
      <c r="AA23" s="1">
        <f t="shared" ca="1" si="29"/>
        <v>0</v>
      </c>
      <c r="AB23" s="1">
        <f t="shared" ca="1" si="30"/>
        <v>0</v>
      </c>
      <c r="AC23" s="1">
        <f t="shared" ca="1" si="31"/>
        <v>0</v>
      </c>
      <c r="AD23" s="613">
        <v>0</v>
      </c>
      <c r="AE23" s="615"/>
      <c r="AF23" s="613"/>
      <c r="AG23" s="613"/>
      <c r="AH23" s="616"/>
      <c r="AI23" s="613"/>
    </row>
    <row r="24" spans="2:80" s="2" customFormat="1" x14ac:dyDescent="0.2">
      <c r="C24" s="2" t="str">
        <f t="shared" si="25"/>
        <v/>
      </c>
      <c r="D24" s="1">
        <f t="shared" ca="1" si="15"/>
        <v>0</v>
      </c>
      <c r="E24" s="1">
        <f t="shared" ca="1" si="15"/>
        <v>0</v>
      </c>
      <c r="F24" s="1">
        <f t="shared" ca="1" si="15"/>
        <v>0</v>
      </c>
      <c r="G24" s="1">
        <f t="shared" ca="1" si="15"/>
        <v>0</v>
      </c>
      <c r="H24" s="1">
        <f t="shared" ca="1" si="16"/>
        <v>0</v>
      </c>
      <c r="I24" s="1">
        <f t="shared" ca="1" si="16"/>
        <v>0</v>
      </c>
      <c r="J24" s="13">
        <f t="shared" ca="1" si="16"/>
        <v>0</v>
      </c>
      <c r="K24" s="1">
        <f ca="1">IF(Einstellungen!$G$9,J11,$AT11)</f>
        <v>0</v>
      </c>
      <c r="L24" s="694">
        <f ca="1">K24*$F$64+(AU11+$H$65)*$F$65*Einstellungen!$G$14+AT11*$F$66*Einstellungen!$G$19+AX11*$F$67</f>
        <v>1E-3</v>
      </c>
      <c r="M24" s="14">
        <f t="shared" ca="1" si="26"/>
        <v>7</v>
      </c>
      <c r="N24" s="14">
        <f t="array" aca="1" ref="N24" ca="1">IF($AI$15,SUM(($K$17:$K$25&gt;=K24)/COUNTIF($K$17:$K$25,$K$17:$K$25)),SUM(($L$17:$L$25&gt;=L24)/COUNTIF($L$17:$L$25,$L$17:$L$25)))</f>
        <v>2.9999999999999996</v>
      </c>
      <c r="O24" s="6" t="str">
        <f t="shared" ca="1" si="17"/>
        <v/>
      </c>
      <c r="P24" s="4" t="str">
        <f t="shared" ca="1" si="18"/>
        <v/>
      </c>
      <c r="Q24" s="4" t="str">
        <f t="shared" ca="1" si="19"/>
        <v/>
      </c>
      <c r="R24" s="4" t="str">
        <f t="shared" ca="1" si="20"/>
        <v/>
      </c>
      <c r="S24" s="4" t="str">
        <f t="shared" ca="1" si="21"/>
        <v/>
      </c>
      <c r="T24" s="4" t="str">
        <f t="shared" ca="1" si="22"/>
        <v/>
      </c>
      <c r="U24" s="4" t="str">
        <f t="shared" ca="1" si="23"/>
        <v/>
      </c>
      <c r="V24" s="55" t="str">
        <f t="shared" ca="1" si="24"/>
        <v/>
      </c>
      <c r="W24" s="62">
        <f t="shared" ca="1" si="27"/>
        <v>500000</v>
      </c>
      <c r="X24" s="22">
        <f t="shared" ca="1" si="32"/>
        <v>103.01090000000001</v>
      </c>
      <c r="Y24" s="13">
        <v>0</v>
      </c>
      <c r="Z24" s="1">
        <f t="shared" ca="1" si="28"/>
        <v>1.9</v>
      </c>
      <c r="AA24" s="1">
        <f t="shared" ca="1" si="29"/>
        <v>0</v>
      </c>
      <c r="AB24" s="1">
        <f t="shared" ca="1" si="30"/>
        <v>0</v>
      </c>
      <c r="AC24" s="1">
        <f t="shared" ca="1" si="31"/>
        <v>0</v>
      </c>
      <c r="AD24" s="613">
        <v>0</v>
      </c>
      <c r="AE24" s="615"/>
      <c r="AF24" s="613"/>
      <c r="AG24" s="613"/>
      <c r="AH24" s="616"/>
      <c r="AI24" s="613"/>
    </row>
    <row r="25" spans="2:80" s="2" customFormat="1" ht="12.75" thickBot="1" x14ac:dyDescent="0.25">
      <c r="C25" s="2" t="str">
        <f t="shared" si="25"/>
        <v/>
      </c>
      <c r="D25" s="1">
        <f t="shared" ca="1" si="15"/>
        <v>0</v>
      </c>
      <c r="E25" s="1">
        <f t="shared" ca="1" si="15"/>
        <v>0</v>
      </c>
      <c r="F25" s="1">
        <f t="shared" ca="1" si="15"/>
        <v>0</v>
      </c>
      <c r="G25" s="1">
        <f t="shared" ca="1" si="15"/>
        <v>0</v>
      </c>
      <c r="H25" s="1">
        <f t="shared" ca="1" si="16"/>
        <v>0</v>
      </c>
      <c r="I25" s="1">
        <f t="shared" ca="1" si="16"/>
        <v>0</v>
      </c>
      <c r="J25" s="13">
        <f t="shared" ca="1" si="16"/>
        <v>0</v>
      </c>
      <c r="K25" s="1">
        <f ca="1">IF(Einstellungen!$G$9,J12,$AT12)</f>
        <v>0</v>
      </c>
      <c r="L25" s="694">
        <f ca="1">K25*$F$64+(AU12+$H$65)*$F$65*Einstellungen!$G$14+AT12*$F$66*Einstellungen!$G$19+AX12*$F$67</f>
        <v>1E-3</v>
      </c>
      <c r="M25" s="14">
        <f t="shared" ca="1" si="26"/>
        <v>7</v>
      </c>
      <c r="N25" s="14">
        <f t="array" aca="1" ref="N25" ca="1">IF($AI$15,SUM(($K$17:$K$25&gt;=K25)/COUNTIF($K$17:$K$25,$K$17:$K$25)),SUM(($L$17:$L$25&gt;=L25)/COUNTIF($L$17:$L$25,$L$17:$L$25)))</f>
        <v>2.9999999999999996</v>
      </c>
      <c r="O25" s="56" t="str">
        <f t="shared" ca="1" si="17"/>
        <v/>
      </c>
      <c r="P25" s="57" t="str">
        <f t="shared" ca="1" si="18"/>
        <v/>
      </c>
      <c r="Q25" s="57" t="str">
        <f t="shared" ca="1" si="19"/>
        <v/>
      </c>
      <c r="R25" s="57" t="str">
        <f t="shared" ca="1" si="20"/>
        <v/>
      </c>
      <c r="S25" s="57" t="str">
        <f t="shared" ca="1" si="21"/>
        <v/>
      </c>
      <c r="T25" s="57" t="str">
        <f t="shared" ca="1" si="22"/>
        <v/>
      </c>
      <c r="U25" s="57" t="str">
        <f t="shared" ca="1" si="23"/>
        <v/>
      </c>
      <c r="V25" s="58" t="str">
        <f t="shared" ca="1" si="24"/>
        <v/>
      </c>
      <c r="W25" s="62">
        <f t="shared" ca="1" si="27"/>
        <v>500000</v>
      </c>
      <c r="X25" s="23">
        <f t="shared" ca="1" si="32"/>
        <v>103.01090000000001</v>
      </c>
      <c r="Y25" s="13">
        <v>0</v>
      </c>
      <c r="Z25" s="1">
        <f t="shared" ca="1" si="28"/>
        <v>1.9</v>
      </c>
      <c r="AA25" s="1">
        <f t="shared" ca="1" si="29"/>
        <v>0</v>
      </c>
      <c r="AB25" s="1">
        <f t="shared" ca="1" si="30"/>
        <v>0</v>
      </c>
      <c r="AC25" s="1">
        <f t="shared" ca="1" si="31"/>
        <v>0</v>
      </c>
      <c r="AD25" s="613">
        <v>0</v>
      </c>
      <c r="AE25" s="615"/>
      <c r="AF25" s="613"/>
      <c r="AG25" s="613"/>
      <c r="AH25" s="616"/>
      <c r="AI25" s="613"/>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596" t="s">
        <v>384</v>
      </c>
      <c r="E29" s="985">
        <v>1</v>
      </c>
      <c r="F29" s="982"/>
      <c r="G29" s="982"/>
      <c r="H29" s="982"/>
      <c r="I29" s="982"/>
      <c r="J29" s="982"/>
      <c r="K29" s="982"/>
      <c r="L29" s="984"/>
      <c r="M29" s="981">
        <v>2</v>
      </c>
      <c r="N29" s="982"/>
      <c r="O29" s="982"/>
      <c r="P29" s="982"/>
      <c r="Q29" s="982"/>
      <c r="R29" s="982"/>
      <c r="S29" s="982"/>
      <c r="T29" s="984"/>
      <c r="U29" s="981">
        <v>3</v>
      </c>
      <c r="V29" s="982"/>
      <c r="W29" s="982"/>
      <c r="X29" s="982"/>
      <c r="Y29" s="982"/>
      <c r="Z29" s="982"/>
      <c r="AA29" s="982"/>
      <c r="AB29" s="984"/>
      <c r="AC29" s="981">
        <v>4</v>
      </c>
      <c r="AD29" s="982"/>
      <c r="AE29" s="982"/>
      <c r="AF29" s="982"/>
      <c r="AG29" s="982"/>
      <c r="AH29" s="982"/>
      <c r="AI29" s="982"/>
      <c r="AJ29" s="984"/>
      <c r="AK29" s="981">
        <v>5</v>
      </c>
      <c r="AL29" s="982"/>
      <c r="AM29" s="982"/>
      <c r="AN29" s="982"/>
      <c r="AO29" s="982"/>
      <c r="AP29" s="982"/>
      <c r="AQ29" s="982"/>
      <c r="AR29" s="984"/>
      <c r="AS29" s="981">
        <v>6</v>
      </c>
      <c r="AT29" s="982"/>
      <c r="AU29" s="982"/>
      <c r="AV29" s="982"/>
      <c r="AW29" s="982"/>
      <c r="AX29" s="982"/>
      <c r="AY29" s="982"/>
      <c r="AZ29" s="984"/>
      <c r="BA29" s="981">
        <v>7</v>
      </c>
      <c r="BB29" s="982"/>
      <c r="BC29" s="982"/>
      <c r="BD29" s="982"/>
      <c r="BE29" s="982"/>
      <c r="BF29" s="982"/>
      <c r="BG29" s="982"/>
      <c r="BH29" s="984"/>
      <c r="BI29" s="981">
        <v>8</v>
      </c>
      <c r="BJ29" s="982"/>
      <c r="BK29" s="982"/>
      <c r="BL29" s="982"/>
      <c r="BM29" s="982"/>
      <c r="BN29" s="982"/>
      <c r="BO29" s="982"/>
      <c r="BP29" s="983"/>
      <c r="BQ29" s="13"/>
      <c r="BR29" s="5" t="s">
        <v>94</v>
      </c>
      <c r="BS29" s="2" t="str">
        <f ca="1">$F$4</f>
        <v>FC Barcelona</v>
      </c>
      <c r="BT29" s="2" t="str">
        <f ca="1">$F$5</f>
        <v>Inter Mailand</v>
      </c>
      <c r="BU29" s="2" t="str">
        <f ca="1">$F$6</f>
        <v/>
      </c>
      <c r="BV29" s="2" t="str">
        <f ca="1">$F$7</f>
        <v/>
      </c>
      <c r="BW29" s="2" t="str">
        <f>$F$8</f>
        <v/>
      </c>
      <c r="BX29" s="2" t="str">
        <f>$F$9</f>
        <v/>
      </c>
      <c r="BY29" s="2" t="str">
        <f>$F$10</f>
        <v/>
      </c>
      <c r="BZ29" s="2" t="str">
        <f>$F$11</f>
        <v/>
      </c>
      <c r="CA29" s="2" t="str">
        <f>$F$12</f>
        <v/>
      </c>
      <c r="CB29" s="51"/>
    </row>
    <row r="30" spans="2:80" s="2" customFormat="1" x14ac:dyDescent="0.2">
      <c r="C30" s="2" t="str">
        <f ca="1">$Q64</f>
        <v>FC Barcelona</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3">F4</f>
        <v>FC Barcelona</v>
      </c>
      <c r="BS30" s="7"/>
      <c r="BT30" s="8">
        <f t="shared" ref="BT30:CA32" ca="1" si="34">SUMIFS($AH$64:$AH$135,$V$64:$V$135,$BR30,$W$64:$W$135,BT$29)+SUMIFS($AI$64:$AI$135,$W$64:$W$135,$BR30,$V$64:$V$135,BT$29)</f>
        <v>70</v>
      </c>
      <c r="BU30" s="8">
        <f t="shared" ca="1" si="34"/>
        <v>0</v>
      </c>
      <c r="BV30" s="8">
        <f t="shared" ca="1" si="34"/>
        <v>0</v>
      </c>
      <c r="BW30" s="8">
        <f t="shared" ca="1" si="34"/>
        <v>0</v>
      </c>
      <c r="BX30" s="8">
        <f t="shared" ca="1" si="34"/>
        <v>0</v>
      </c>
      <c r="BY30" s="8">
        <f t="shared" ca="1" si="34"/>
        <v>0</v>
      </c>
      <c r="BZ30" s="8">
        <f t="shared" ca="1" si="34"/>
        <v>0</v>
      </c>
      <c r="CA30" s="8">
        <f t="shared" ca="1" si="34"/>
        <v>0</v>
      </c>
      <c r="CB30" s="4"/>
    </row>
    <row r="31" spans="2:80" s="2" customFormat="1" x14ac:dyDescent="0.2">
      <c r="C31" s="2" t="str">
        <f t="shared" ref="C31:C38" ca="1" si="35">$Q65</f>
        <v>Inter Mailand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3"/>
        <v>Inter Mailand</v>
      </c>
      <c r="BS31" s="9">
        <f t="shared" ref="BS31:BU38" ca="1" si="36">SUMIFS($AH$64:$AH$135,$V$64:$V$135,$BR31,$W$64:$W$135,BS$29)+SUMIFS($AI$64:$AI$135,$W$64:$W$135,$BR31,$V$64:$V$135,BS$29)</f>
        <v>65</v>
      </c>
      <c r="BT31" s="7"/>
      <c r="BU31" s="8">
        <f t="shared" ca="1" si="34"/>
        <v>0</v>
      </c>
      <c r="BV31" s="8">
        <f t="shared" ca="1" si="34"/>
        <v>0</v>
      </c>
      <c r="BW31" s="8">
        <f t="shared" ca="1" si="34"/>
        <v>0</v>
      </c>
      <c r="BX31" s="8">
        <f t="shared" ca="1" si="34"/>
        <v>0</v>
      </c>
      <c r="BY31" s="8">
        <f t="shared" ca="1" si="34"/>
        <v>0</v>
      </c>
      <c r="BZ31" s="8">
        <f t="shared" ca="1" si="34"/>
        <v>0</v>
      </c>
      <c r="CA31" s="8">
        <f t="shared" ca="1" si="34"/>
        <v>0</v>
      </c>
      <c r="CB31" s="4"/>
    </row>
    <row r="32" spans="2:80" s="2" customFormat="1" x14ac:dyDescent="0.2">
      <c r="C32" s="2" t="str">
        <f t="shared" ca="1" si="35"/>
        <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3"/>
        <v/>
      </c>
      <c r="BS32" s="9">
        <f t="shared" ca="1" si="36"/>
        <v>0</v>
      </c>
      <c r="BT32" s="9">
        <f t="shared" ca="1" si="36"/>
        <v>0</v>
      </c>
      <c r="BU32" s="7"/>
      <c r="BV32" s="8">
        <f t="shared" ca="1" si="34"/>
        <v>0</v>
      </c>
      <c r="BW32" s="8">
        <f t="shared" ca="1" si="34"/>
        <v>0</v>
      </c>
      <c r="BX32" s="8">
        <f t="shared" ca="1" si="34"/>
        <v>0</v>
      </c>
      <c r="BY32" s="8">
        <f t="shared" ca="1" si="34"/>
        <v>0</v>
      </c>
      <c r="BZ32" s="8">
        <f t="shared" ca="1" si="34"/>
        <v>0</v>
      </c>
      <c r="CA32" s="8">
        <f t="shared" ca="1" si="34"/>
        <v>0</v>
      </c>
      <c r="CB32" s="4"/>
    </row>
    <row r="33" spans="2:80" s="2" customFormat="1" x14ac:dyDescent="0.2">
      <c r="C33" s="2" t="str">
        <f t="shared" ca="1" si="35"/>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3"/>
        <v/>
      </c>
      <c r="BS33" s="9">
        <f t="shared" ca="1" si="36"/>
        <v>0</v>
      </c>
      <c r="BT33" s="9">
        <f t="shared" ca="1" si="36"/>
        <v>0</v>
      </c>
      <c r="BU33" s="9">
        <f t="shared" ca="1" si="36"/>
        <v>0</v>
      </c>
      <c r="BV33" s="7"/>
      <c r="BW33" s="8">
        <f ca="1">SUMIFS($AH$64:$AH$135,$V$64:$V$135,$BR33,$W$64:$W$135,BW$29)+SUMIFS($AI$64:$AI$135,$W$64:$W$135,$BR33,$V$64:$V$135,BW$29)</f>
        <v>0</v>
      </c>
      <c r="BX33" s="8">
        <f ca="1">SUMIFS($AH$64:$AH$135,$V$64:$V$135,$BR33,$W$64:$W$135,BX$29)+SUMIFS($AI$64:$AI$135,$W$64:$W$135,$BR33,$V$64:$V$135,BX$29)</f>
        <v>0</v>
      </c>
      <c r="BY33" s="8">
        <f ca="1">SUMIFS($AH$64:$AH$135,$V$64:$V$135,$BR33,$W$64:$W$135,BY$29)+SUMIFS($AI$64:$AI$135,$W$64:$W$135,$BR33,$V$64:$V$135,BY$29)</f>
        <v>0</v>
      </c>
      <c r="BZ33" s="8">
        <f ca="1">SUMIFS($AH$64:$AH$135,$V$64:$V$135,$BR33,$W$64:$W$135,BZ$29)+SUMIFS($AI$64:$AI$135,$W$64:$W$135,$BR33,$V$64:$V$135,BZ$29)</f>
        <v>0</v>
      </c>
      <c r="CA33" s="8">
        <f ca="1">SUMIFS($AH$64:$AH$135,$V$64:$V$135,$BR33,$W$64:$W$135,CA$29)+SUMIFS($AI$64:$AI$135,$W$64:$W$135,$BR33,$V$64:$V$135,CA$29)</f>
        <v>0</v>
      </c>
      <c r="CB33" s="4"/>
    </row>
    <row r="34" spans="2:80" s="2" customFormat="1" x14ac:dyDescent="0.2">
      <c r="C34" s="2" t="str">
        <f t="shared" si="35"/>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3"/>
        <v/>
      </c>
      <c r="BS34" s="9">
        <f t="shared" ca="1" si="36"/>
        <v>0</v>
      </c>
      <c r="BT34" s="9">
        <f t="shared" ca="1" si="36"/>
        <v>0</v>
      </c>
      <c r="BU34" s="9">
        <f t="shared" ca="1" si="36"/>
        <v>0</v>
      </c>
      <c r="BV34" s="9">
        <f ca="1">SUMIFS($AH$64:$AH$135,$V$64:$V$135,$BR34,$W$64:$W$135,BV$29)+SUMIFS($AI$64:$AI$135,$W$64:$W$135,$BR34,$V$64:$V$135,BV$29)</f>
        <v>0</v>
      </c>
      <c r="BW34" s="7"/>
      <c r="BX34" s="8">
        <f ca="1">SUMIFS($AH$64:$AH$135,$V$64:$V$135,$BR34,$W$64:$W$135,BX$29)+SUMIFS($AI$64:$AI$135,$W$64:$W$135,$BR34,$V$64:$V$135,BX$29)</f>
        <v>0</v>
      </c>
      <c r="BY34" s="8">
        <f ca="1">SUMIFS($AH$64:$AH$135,$V$64:$V$135,$BR34,$W$64:$W$135,BY$29)+SUMIFS($AI$64:$AI$135,$W$64:$W$135,$BR34,$V$64:$V$135,BY$29)</f>
        <v>0</v>
      </c>
      <c r="BZ34" s="8">
        <f ca="1">SUMIFS($AH$64:$AH$135,$V$64:$V$135,$BR34,$W$64:$W$135,BZ$29)+SUMIFS($AI$64:$AI$135,$W$64:$W$135,$BR34,$V$64:$V$135,BZ$29)</f>
        <v>0</v>
      </c>
      <c r="CA34" s="8">
        <f ca="1">SUMIFS($AH$64:$AH$135,$V$64:$V$135,$BR34,$W$64:$W$135,CA$29)+SUMIFS($AI$64:$AI$135,$W$64:$W$135,$BR34,$V$64:$V$135,CA$29)</f>
        <v>0</v>
      </c>
      <c r="CB34" s="4"/>
    </row>
    <row r="35" spans="2:80" s="2" customFormat="1" x14ac:dyDescent="0.2">
      <c r="C35" s="2" t="str">
        <f t="shared" si="35"/>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3"/>
        <v/>
      </c>
      <c r="BS35" s="9">
        <f t="shared" ca="1" si="36"/>
        <v>0</v>
      </c>
      <c r="BT35" s="9">
        <f t="shared" ca="1" si="36"/>
        <v>0</v>
      </c>
      <c r="BU35" s="9">
        <f t="shared" ca="1" si="36"/>
        <v>0</v>
      </c>
      <c r="BV35" s="9">
        <f ca="1">SUMIFS($AH$64:$AH$135,$V$64:$V$135,$BR35,$W$64:$W$135,BV$29)+SUMIFS($AI$64:$AI$135,$W$64:$W$135,$BR35,$V$64:$V$135,BV$29)</f>
        <v>0</v>
      </c>
      <c r="BW35" s="9">
        <f ca="1">SUMIFS($AH$64:$AH$135,$V$64:$V$135,$BR35,$W$64:$W$135,BW$29)+SUMIFS($AI$64:$AI$135,$W$64:$W$135,$BR35,$V$64:$V$135,BW$29)</f>
        <v>0</v>
      </c>
      <c r="BX35" s="7"/>
      <c r="BY35" s="8">
        <f ca="1">SUMIFS($AH$64:$AH$135,$V$64:$V$135,$BR35,$W$64:$W$135,BY$29)+SUMIFS($AI$64:$AI$135,$W$64:$W$135,$BR35,$V$64:$V$135,BY$29)</f>
        <v>0</v>
      </c>
      <c r="BZ35" s="8">
        <f ca="1">SUMIFS($AH$64:$AH$135,$V$64:$V$135,$BR35,$W$64:$W$135,BZ$29)+SUMIFS($AI$64:$AI$135,$W$64:$W$135,$BR35,$V$64:$V$135,BZ$29)</f>
        <v>0</v>
      </c>
      <c r="CA35" s="8">
        <f ca="1">SUMIFS($AH$64:$AH$135,$V$64:$V$135,$BR35,$W$64:$W$135,CA$29)+SUMIFS($AI$64:$AI$135,$W$64:$W$135,$BR35,$V$64:$V$135,CA$29)</f>
        <v>0</v>
      </c>
      <c r="CB35" s="4"/>
    </row>
    <row r="36" spans="2:80" s="2" customFormat="1" x14ac:dyDescent="0.2">
      <c r="C36" s="2" t="str">
        <f t="shared" si="35"/>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3"/>
        <v/>
      </c>
      <c r="BS36" s="9">
        <f t="shared" ca="1" si="36"/>
        <v>0</v>
      </c>
      <c r="BT36" s="9">
        <f t="shared" ca="1" si="36"/>
        <v>0</v>
      </c>
      <c r="BU36" s="9">
        <f t="shared" ca="1" si="36"/>
        <v>0</v>
      </c>
      <c r="BV36" s="9">
        <f ca="1">SUMIFS($AH$64:$AH$135,$V$64:$V$135,$BR36,$W$64:$W$135,BV$29)+SUMIFS($AI$64:$AI$135,$W$64:$W$135,$BR36,$V$64:$V$135,BV$29)</f>
        <v>0</v>
      </c>
      <c r="BW36" s="9">
        <f ca="1">SUMIFS($AH$64:$AH$135,$V$64:$V$135,$BR36,$W$64:$W$135,BW$29)+SUMIFS($AI$64:$AI$135,$W$64:$W$135,$BR36,$V$64:$V$135,BW$29)</f>
        <v>0</v>
      </c>
      <c r="BX36" s="9">
        <f ca="1">SUMIFS($AH$64:$AH$135,$V$64:$V$135,$BR36,$W$64:$W$135,BX$29)+SUMIFS($AI$64:$AI$135,$W$64:$W$135,$BR36,$V$64:$V$135,BX$29)</f>
        <v>0</v>
      </c>
      <c r="BY36" s="7"/>
      <c r="BZ36" s="8">
        <f ca="1">SUMIFS($AH$64:$AH$135,$V$64:$V$135,$BR36,$W$64:$W$135,BZ$29)+SUMIFS($AI$64:$AI$135,$W$64:$W$135,$BR36,$V$64:$V$135,BZ$29)</f>
        <v>0</v>
      </c>
      <c r="CA36" s="8">
        <f ca="1">SUMIFS($AH$64:$AH$135,$V$64:$V$135,$BR36,$W$64:$W$135,CA$29)+SUMIFS($AI$64:$AI$135,$W$64:$W$135,$BR36,$V$64:$V$135,CA$29)</f>
        <v>0</v>
      </c>
      <c r="CB36" s="4"/>
    </row>
    <row r="37" spans="2:80" s="2" customFormat="1" x14ac:dyDescent="0.2">
      <c r="C37" s="2" t="str">
        <f t="shared" si="35"/>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3"/>
        <v/>
      </c>
      <c r="BS37" s="9">
        <f t="shared" ca="1" si="36"/>
        <v>0</v>
      </c>
      <c r="BT37" s="9">
        <f t="shared" ca="1" si="36"/>
        <v>0</v>
      </c>
      <c r="BU37" s="9">
        <f t="shared" ca="1" si="36"/>
        <v>0</v>
      </c>
      <c r="BV37" s="9">
        <f ca="1">SUMIFS($AH$64:$AH$135,$V$64:$V$135,$BR37,$W$64:$W$135,BV$29)+SUMIFS($AI$64:$AI$135,$W$64:$W$135,$BR37,$V$64:$V$135,BV$29)</f>
        <v>0</v>
      </c>
      <c r="BW37" s="9">
        <f ca="1">SUMIFS($AH$64:$AH$135,$V$64:$V$135,$BR37,$W$64:$W$135,BW$29)+SUMIFS($AI$64:$AI$135,$W$64:$W$135,$BR37,$V$64:$V$135,BW$29)</f>
        <v>0</v>
      </c>
      <c r="BX37" s="9">
        <f ca="1">SUMIFS($AH$64:$AH$135,$V$64:$V$135,$BR37,$W$64:$W$135,BX$29)+SUMIFS($AI$64:$AI$135,$W$64:$W$135,$BR37,$V$64:$V$135,BX$29)</f>
        <v>0</v>
      </c>
      <c r="BY37" s="9">
        <f ca="1">SUMIFS($AH$64:$AH$135,$V$64:$V$135,$BR37,$W$64:$W$135,BY$29)+SUMIFS($AI$64:$AI$135,$W$64:$W$135,$BR37,$V$64:$V$135,BY$29)</f>
        <v>0</v>
      </c>
      <c r="BZ37" s="7"/>
      <c r="CA37" s="8">
        <f ca="1">SUMIFS($AH$64:$AH$135,$V$64:$V$135,$BR37,$W$64:$W$135,CA$29)+SUMIFS($AI$64:$AI$135,$W$64:$W$135,$BR37,$V$64:$V$135,CA$29)</f>
        <v>0</v>
      </c>
      <c r="CB37" s="4"/>
    </row>
    <row r="38" spans="2:80" s="2" customFormat="1" x14ac:dyDescent="0.2">
      <c r="C38" s="2" t="str">
        <f t="shared" si="35"/>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3"/>
        <v/>
      </c>
      <c r="BS38" s="9">
        <f t="shared" ca="1" si="36"/>
        <v>0</v>
      </c>
      <c r="BT38" s="9">
        <f t="shared" ca="1" si="36"/>
        <v>0</v>
      </c>
      <c r="BU38" s="9">
        <f t="shared" ca="1" si="36"/>
        <v>0</v>
      </c>
      <c r="BV38" s="9">
        <f ca="1">SUMIFS($AH$64:$AH$135,$V$64:$V$135,$BR38,$W$64:$W$135,BV$29)+SUMIFS($AI$64:$AI$135,$W$64:$W$135,$BR38,$V$64:$V$135,BV$29)</f>
        <v>0</v>
      </c>
      <c r="BW38" s="9">
        <f ca="1">SUMIFS($AH$64:$AH$135,$V$64:$V$135,$BR38,$W$64:$W$135,BW$29)+SUMIFS($AI$64:$AI$135,$W$64:$W$135,$BR38,$V$64:$V$135,BW$29)</f>
        <v>0</v>
      </c>
      <c r="BX38" s="9">
        <f ca="1">SUMIFS($AH$64:$AH$135,$V$64:$V$135,$BR38,$W$64:$W$135,BX$29)+SUMIFS($AI$64:$AI$135,$W$64:$W$135,$BR38,$V$64:$V$135,BX$29)</f>
        <v>0</v>
      </c>
      <c r="BY38" s="9">
        <f ca="1">SUMIFS($AH$64:$AH$135,$V$64:$V$135,$BR38,$W$64:$W$135,BY$29)+SUMIFS($AI$64:$AI$135,$W$64:$W$135,$BR38,$V$64:$V$135,BY$29)</f>
        <v>0</v>
      </c>
      <c r="BZ38" s="9">
        <f ca="1">SUMIFS($AH$64:$AH$135,$V$64:$V$135,$BR38,$W$64:$W$135,BZ$29)+SUMIFS($AI$64:$AI$135,$W$64:$W$135,$BR38,$V$64:$V$135,BZ$29)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102</v>
      </c>
      <c r="BS40" s="2" t="str">
        <f ca="1">$F$4</f>
        <v>FC Barcelona</v>
      </c>
      <c r="BT40" s="2" t="str">
        <f ca="1">$F$5</f>
        <v>Inter Mailand</v>
      </c>
      <c r="BU40" s="2" t="str">
        <f ca="1">$F$6</f>
        <v/>
      </c>
      <c r="BV40" s="2" t="str">
        <f ca="1">$F$7</f>
        <v/>
      </c>
      <c r="BW40" s="2" t="str">
        <f>$F$8</f>
        <v/>
      </c>
      <c r="BX40" s="2" t="str">
        <f>$F$9</f>
        <v/>
      </c>
      <c r="BY40" s="2" t="str">
        <f>$F$10</f>
        <v/>
      </c>
      <c r="BZ40" s="2" t="str">
        <f>$F$11</f>
        <v/>
      </c>
      <c r="CA40" s="2" t="str">
        <f>$F$12</f>
        <v/>
      </c>
      <c r="CB40" s="4"/>
    </row>
    <row r="41" spans="2:80" s="2" customFormat="1" x14ac:dyDescent="0.2">
      <c r="B41" s="596"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7">F4</f>
        <v>FC Barcelona</v>
      </c>
      <c r="BS41" s="7"/>
      <c r="BT41" s="8">
        <f ca="1">BT30-BS31</f>
        <v>5</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7"/>
        <v>Inter Mailand</v>
      </c>
      <c r="BS42" s="9">
        <f ca="1">IF(BT41="","",-1*BT41)</f>
        <v>-5</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7"/>
        <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37"/>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7"/>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7"/>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7"/>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7"/>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7"/>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38">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95</v>
      </c>
      <c r="BS51" s="2" t="str">
        <f ca="1">$F$4</f>
        <v>FC Barcelona</v>
      </c>
      <c r="BT51" s="2" t="str">
        <f ca="1">$F$5</f>
        <v>Inter Mailand</v>
      </c>
      <c r="BU51" s="2" t="str">
        <f ca="1">$F$6</f>
        <v/>
      </c>
      <c r="BV51" s="2" t="str">
        <f ca="1">$F$7</f>
        <v/>
      </c>
      <c r="BW51" s="2" t="str">
        <f>$F$8</f>
        <v/>
      </c>
      <c r="BX51" s="2" t="str">
        <f>$F$9</f>
        <v/>
      </c>
      <c r="BY51" s="2" t="str">
        <f>$F$10</f>
        <v/>
      </c>
      <c r="BZ51" s="2" t="str">
        <f>$F$11</f>
        <v/>
      </c>
      <c r="CA51" s="2" t="str">
        <f>$F$12</f>
        <v/>
      </c>
      <c r="CB51" s="4"/>
    </row>
    <row r="52" spans="2:80" s="2" customFormat="1" x14ac:dyDescent="0.2">
      <c r="B52" s="596" t="s">
        <v>101</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39">F4</f>
        <v>FC Barcelona</v>
      </c>
      <c r="BS52" s="7"/>
      <c r="BT52" s="8">
        <f t="shared" ref="BT52:CA54" ca="1" si="40">SUMIFS($AJ$64:$AJ$135,$V$64:$V$135,$BR52,$W$64:$W$135,BT$51)+SUMIFS($AK$64:$AK$135,$W$64:$W$135,$BR52,$V$64:$V$135,BT$51)</f>
        <v>2</v>
      </c>
      <c r="BU52" s="8">
        <f t="shared" ca="1" si="40"/>
        <v>0</v>
      </c>
      <c r="BV52" s="8">
        <f t="shared" ca="1" si="40"/>
        <v>0</v>
      </c>
      <c r="BW52" s="8">
        <f t="shared" ca="1" si="40"/>
        <v>0</v>
      </c>
      <c r="BX52" s="8">
        <f t="shared" ca="1" si="40"/>
        <v>0</v>
      </c>
      <c r="BY52" s="8">
        <f t="shared" ca="1" si="40"/>
        <v>0</v>
      </c>
      <c r="BZ52" s="8">
        <f t="shared" ca="1" si="40"/>
        <v>0</v>
      </c>
      <c r="CA52" s="8">
        <f t="shared" ca="1" si="40"/>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39"/>
        <v>Inter Mailand</v>
      </c>
      <c r="BS53" s="9">
        <f t="shared" ref="BS53:BU60" ca="1" si="41">SUMIFS($AJ$64:$AJ$135,$V$64:$V$135,$BR53,$W$64:$W$135,BS$51)+SUMIFS($AK$64:$AK$135,$W$64:$W$135,$BR53,$V$64:$V$135,BS$51)</f>
        <v>1</v>
      </c>
      <c r="BT53" s="7"/>
      <c r="BU53" s="8">
        <f t="shared" ca="1" si="40"/>
        <v>0</v>
      </c>
      <c r="BV53" s="8">
        <f t="shared" ca="1" si="40"/>
        <v>0</v>
      </c>
      <c r="BW53" s="8">
        <f t="shared" ca="1" si="40"/>
        <v>0</v>
      </c>
      <c r="BX53" s="8">
        <f t="shared" ca="1" si="40"/>
        <v>0</v>
      </c>
      <c r="BY53" s="8">
        <f t="shared" ca="1" si="40"/>
        <v>0</v>
      </c>
      <c r="BZ53" s="8">
        <f t="shared" ca="1" si="40"/>
        <v>0</v>
      </c>
      <c r="CA53" s="8">
        <f t="shared" ca="1" si="40"/>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39"/>
        <v/>
      </c>
      <c r="BS54" s="9">
        <f t="shared" ca="1" si="41"/>
        <v>0</v>
      </c>
      <c r="BT54" s="9">
        <f t="shared" ca="1" si="41"/>
        <v>0</v>
      </c>
      <c r="BU54" s="7"/>
      <c r="BV54" s="8">
        <f t="shared" ca="1" si="40"/>
        <v>0</v>
      </c>
      <c r="BW54" s="8">
        <f t="shared" ca="1" si="40"/>
        <v>0</v>
      </c>
      <c r="BX54" s="8">
        <f t="shared" ca="1" si="40"/>
        <v>0</v>
      </c>
      <c r="BY54" s="8">
        <f t="shared" ca="1" si="40"/>
        <v>0</v>
      </c>
      <c r="BZ54" s="8">
        <f t="shared" ca="1" si="40"/>
        <v>0</v>
      </c>
      <c r="CA54" s="8">
        <f t="shared" ca="1" si="40"/>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39"/>
        <v/>
      </c>
      <c r="BS55" s="9">
        <f t="shared" ca="1" si="41"/>
        <v>0</v>
      </c>
      <c r="BT55" s="9">
        <f t="shared" ca="1" si="41"/>
        <v>0</v>
      </c>
      <c r="BU55" s="9">
        <f t="shared" ca="1" si="41"/>
        <v>0</v>
      </c>
      <c r="BV55" s="7"/>
      <c r="BW55" s="8">
        <f ca="1">SUMIFS($AJ$64:$AJ$135,$V$64:$V$135,$BR55,$W$64:$W$135,BW$51)+SUMIFS($AK$64:$AK$135,$W$64:$W$135,$BR55,$V$64:$V$135,BW$51)</f>
        <v>0</v>
      </c>
      <c r="BX55" s="8">
        <f ca="1">SUMIFS($AJ$64:$AJ$135,$V$64:$V$135,$BR55,$W$64:$W$135,BX$51)+SUMIFS($AK$64:$AK$135,$W$64:$W$135,$BR55,$V$64:$V$135,BX$51)</f>
        <v>0</v>
      </c>
      <c r="BY55" s="8">
        <f ca="1">SUMIFS($AJ$64:$AJ$135,$V$64:$V$135,$BR55,$W$64:$W$135,BY$51)+SUMIFS($AK$64:$AK$135,$W$64:$W$135,$BR55,$V$64:$V$135,BY$51)</f>
        <v>0</v>
      </c>
      <c r="BZ55" s="8">
        <f ca="1">SUMIFS($AJ$64:$AJ$135,$V$64:$V$135,$BR55,$W$64:$W$135,BZ$51)+SUMIFS($AK$64:$AK$135,$W$64:$W$135,$BR55,$V$64:$V$135,BZ$51)</f>
        <v>0</v>
      </c>
      <c r="CA55" s="8">
        <f ca="1">SUMIFS($AJ$64:$AJ$135,$V$64:$V$135,$BR55,$W$64:$W$135,CA$51)+SUMIFS($AK$64:$AK$135,$W$64:$W$135,$BR55,$V$64:$V$135,CA$51)</f>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39"/>
        <v/>
      </c>
      <c r="BS56" s="9">
        <f t="shared" ca="1" si="41"/>
        <v>0</v>
      </c>
      <c r="BT56" s="9">
        <f t="shared" ca="1" si="41"/>
        <v>0</v>
      </c>
      <c r="BU56" s="9">
        <f t="shared" ca="1" si="41"/>
        <v>0</v>
      </c>
      <c r="BV56" s="9">
        <f ca="1">SUMIFS($AJ$64:$AJ$135,$V$64:$V$135,$BR56,$W$64:$W$135,BV$51)+SUMIFS($AK$64:$AK$135,$W$64:$W$135,$BR56,$V$64:$V$135,BV$51)</f>
        <v>0</v>
      </c>
      <c r="BW56" s="7"/>
      <c r="BX56" s="8">
        <f ca="1">SUMIFS($AJ$64:$AJ$135,$V$64:$V$135,$BR56,$W$64:$W$135,BX$51)+SUMIFS($AK$64:$AK$135,$W$64:$W$135,$BR56,$V$64:$V$135,BX$51)</f>
        <v>0</v>
      </c>
      <c r="BY56" s="8">
        <f ca="1">SUMIFS($AJ$64:$AJ$135,$V$64:$V$135,$BR56,$W$64:$W$135,BY$51)+SUMIFS($AK$64:$AK$135,$W$64:$W$135,$BR56,$V$64:$V$135,BY$51)</f>
        <v>0</v>
      </c>
      <c r="BZ56" s="8">
        <f ca="1">SUMIFS($AJ$64:$AJ$135,$V$64:$V$135,$BR56,$W$64:$W$135,BZ$51)+SUMIFS($AK$64:$AK$135,$W$64:$W$135,$BR56,$V$64:$V$135,BZ$51)</f>
        <v>0</v>
      </c>
      <c r="CA56" s="8">
        <f ca="1">SUMIFS($AJ$64:$AJ$135,$V$64:$V$135,$BR56,$W$64:$W$135,CA$51)+SUMIFS($AK$64:$AK$135,$W$64:$W$135,$BR56,$V$64:$V$135,CA$51)</f>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39"/>
        <v/>
      </c>
      <c r="BS57" s="9">
        <f t="shared" ca="1" si="41"/>
        <v>0</v>
      </c>
      <c r="BT57" s="9">
        <f t="shared" ca="1" si="41"/>
        <v>0</v>
      </c>
      <c r="BU57" s="9">
        <f t="shared" ca="1" si="41"/>
        <v>0</v>
      </c>
      <c r="BV57" s="9">
        <f ca="1">SUMIFS($AJ$64:$AJ$135,$V$64:$V$135,$BR57,$W$64:$W$135,BV$51)+SUMIFS($AK$64:$AK$135,$W$64:$W$135,$BR57,$V$64:$V$135,BV$51)</f>
        <v>0</v>
      </c>
      <c r="BW57" s="9">
        <f ca="1">SUMIFS($AJ$64:$AJ$135,$V$64:$V$135,$BR57,$W$64:$W$135,BW$51)+SUMIFS($AK$64:$AK$135,$W$64:$W$135,$BR57,$V$64:$V$135,BW$51)</f>
        <v>0</v>
      </c>
      <c r="BX57" s="7"/>
      <c r="BY57" s="8">
        <f ca="1">SUMIFS($AJ$64:$AJ$135,$V$64:$V$135,$BR57,$W$64:$W$135,BY$51)+SUMIFS($AK$64:$AK$135,$W$64:$W$135,$BR57,$V$64:$V$135,BY$51)</f>
        <v>0</v>
      </c>
      <c r="BZ57" s="8">
        <f ca="1">SUMIFS($AJ$64:$AJ$135,$V$64:$V$135,$BR57,$W$64:$W$135,BZ$51)+SUMIFS($AK$64:$AK$135,$W$64:$W$135,$BR57,$V$64:$V$135,BZ$51)</f>
        <v>0</v>
      </c>
      <c r="CA57" s="8">
        <f ca="1">SUMIFS($AJ$64:$AJ$135,$V$64:$V$135,$BR57,$W$64:$W$135,CA$51)+SUMIFS($AK$64:$AK$135,$W$64:$W$135,$BR57,$V$64:$V$135,CA$51)</f>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39"/>
        <v/>
      </c>
      <c r="BS58" s="9">
        <f t="shared" ca="1" si="41"/>
        <v>0</v>
      </c>
      <c r="BT58" s="9">
        <f t="shared" ca="1" si="41"/>
        <v>0</v>
      </c>
      <c r="BU58" s="9">
        <f t="shared" ca="1" si="41"/>
        <v>0</v>
      </c>
      <c r="BV58" s="9">
        <f ca="1">SUMIFS($AJ$64:$AJ$135,$V$64:$V$135,$BR58,$W$64:$W$135,BV$51)+SUMIFS($AK$64:$AK$135,$W$64:$W$135,$BR58,$V$64:$V$135,BV$51)</f>
        <v>0</v>
      </c>
      <c r="BW58" s="9">
        <f ca="1">SUMIFS($AJ$64:$AJ$135,$V$64:$V$135,$BR58,$W$64:$W$135,BW$51)+SUMIFS($AK$64:$AK$135,$W$64:$W$135,$BR58,$V$64:$V$135,BW$51)</f>
        <v>0</v>
      </c>
      <c r="BX58" s="9">
        <f ca="1">SUMIFS($AJ$64:$AJ$135,$V$64:$V$135,$BR58,$W$64:$W$135,BX$51)+SUMIFS($AK$64:$AK$135,$W$64:$W$135,$BR58,$V$64:$V$135,BX$51)</f>
        <v>0</v>
      </c>
      <c r="BY58" s="7"/>
      <c r="BZ58" s="8">
        <f ca="1">SUMIFS($AJ$64:$AJ$135,$V$64:$V$135,$BR58,$W$64:$W$135,BZ$51)+SUMIFS($AK$64:$AK$135,$W$64:$W$135,$BR58,$V$64:$V$135,BZ$51)</f>
        <v>0</v>
      </c>
      <c r="CA58" s="8">
        <f ca="1">SUMIFS($AJ$64:$AJ$135,$V$64:$V$135,$BR58,$W$64:$W$135,CA$51)+SUMIFS($AK$64:$AK$135,$W$64:$W$135,$BR58,$V$64:$V$135,CA$51)</f>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39"/>
        <v/>
      </c>
      <c r="BS59" s="9">
        <f t="shared" ca="1" si="41"/>
        <v>0</v>
      </c>
      <c r="BT59" s="9">
        <f t="shared" ca="1" si="41"/>
        <v>0</v>
      </c>
      <c r="BU59" s="9">
        <f t="shared" ca="1" si="41"/>
        <v>0</v>
      </c>
      <c r="BV59" s="9">
        <f ca="1">SUMIFS($AJ$64:$AJ$135,$V$64:$V$135,$BR59,$W$64:$W$135,BV$51)+SUMIFS($AK$64:$AK$135,$W$64:$W$135,$BR59,$V$64:$V$135,BV$51)</f>
        <v>0</v>
      </c>
      <c r="BW59" s="9">
        <f ca="1">SUMIFS($AJ$64:$AJ$135,$V$64:$V$135,$BR59,$W$64:$W$135,BW$51)+SUMIFS($AK$64:$AK$135,$W$64:$W$135,$BR59,$V$64:$V$135,BW$51)</f>
        <v>0</v>
      </c>
      <c r="BX59" s="9">
        <f ca="1">SUMIFS($AJ$64:$AJ$135,$V$64:$V$135,$BR59,$W$64:$W$135,BX$51)+SUMIFS($AK$64:$AK$135,$W$64:$W$135,$BR59,$V$64:$V$135,BX$51)</f>
        <v>0</v>
      </c>
      <c r="BY59" s="9">
        <f ca="1">SUMIFS($AJ$64:$AJ$135,$V$64:$V$135,$BR59,$W$64:$W$135,BY$51)+SUMIFS($AK$64:$AK$135,$W$64:$W$135,$BR59,$V$64:$V$135,BY$51)</f>
        <v>0</v>
      </c>
      <c r="BZ59" s="7"/>
      <c r="CA59" s="8">
        <f ca="1">SUMIFS($AJ$64:$AJ$135,$V$64:$V$135,$BR59,$W$64:$W$135,CA$51)+SUMIFS($AK$64:$AK$135,$W$64:$W$135,$BR59,$V$64:$V$135,CA$51)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39"/>
        <v/>
      </c>
      <c r="BS60" s="9">
        <f t="shared" ca="1" si="41"/>
        <v>0</v>
      </c>
      <c r="BT60" s="9">
        <f t="shared" ca="1" si="41"/>
        <v>0</v>
      </c>
      <c r="BU60" s="9">
        <f t="shared" ca="1" si="41"/>
        <v>0</v>
      </c>
      <c r="BV60" s="9">
        <f ca="1">SUMIFS($AJ$64:$AJ$135,$V$64:$V$135,$BR60,$W$64:$W$135,BV$51)+SUMIFS($AK$64:$AK$135,$W$64:$W$135,$BR60,$V$64:$V$135,BV$51)</f>
        <v>0</v>
      </c>
      <c r="BW60" s="9">
        <f ca="1">SUMIFS($AJ$64:$AJ$135,$V$64:$V$135,$BR60,$W$64:$W$135,BW$51)+SUMIFS($AK$64:$AK$135,$W$64:$W$135,$BR60,$V$64:$V$135,BW$51)</f>
        <v>0</v>
      </c>
      <c r="BX60" s="9">
        <f ca="1">SUMIFS($AJ$64:$AJ$135,$V$64:$V$135,$BR60,$W$64:$W$135,BX$51)+SUMIFS($AK$64:$AK$135,$W$64:$W$135,$BR60,$V$64:$V$135,BX$51)</f>
        <v>0</v>
      </c>
      <c r="BY60" s="9">
        <f ca="1">SUMIFS($AJ$64:$AJ$135,$V$64:$V$135,$BR60,$W$64:$W$135,BY$51)+SUMIFS($AK$64:$AK$135,$W$64:$W$135,$BR60,$V$64:$V$135,BY$51)</f>
        <v>0</v>
      </c>
      <c r="BZ60" s="9">
        <f ca="1">SUMIFS($AJ$64:$AJ$135,$V$64:$V$135,$BR60,$W$64:$W$135,BZ$51)+SUMIFS($AK$64:$AK$135,$W$64:$W$135,$BR60,$V$64:$V$135,BZ$51)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73" t="s">
        <v>167</v>
      </c>
      <c r="X63" s="979" t="s">
        <v>374</v>
      </c>
      <c r="Y63" s="979"/>
      <c r="Z63" s="68" t="s">
        <v>153</v>
      </c>
      <c r="AA63" s="68" t="s">
        <v>16</v>
      </c>
      <c r="AB63" s="68" t="s">
        <v>372</v>
      </c>
      <c r="AC63" s="592" t="s">
        <v>370</v>
      </c>
      <c r="AD63" s="980" t="s">
        <v>376</v>
      </c>
      <c r="AE63" s="980"/>
      <c r="AF63" s="980" t="s">
        <v>378</v>
      </c>
      <c r="AG63" s="980"/>
      <c r="AH63" s="978" t="s">
        <v>372</v>
      </c>
      <c r="AI63" s="978"/>
      <c r="AJ63" s="978" t="s">
        <v>370</v>
      </c>
      <c r="AK63" s="978"/>
      <c r="AL63" s="978" t="s">
        <v>380</v>
      </c>
      <c r="AM63" s="978"/>
      <c r="AN63" s="4"/>
      <c r="AO63" s="4"/>
      <c r="AP63" s="4"/>
      <c r="AQ63" s="4"/>
      <c r="AR63" s="4"/>
    </row>
    <row r="64" spans="2:80" s="2" customFormat="1" ht="14.25" thickTop="1" thickBot="1" x14ac:dyDescent="0.25">
      <c r="F64" s="685">
        <v>1000000</v>
      </c>
      <c r="G64" s="686" t="s">
        <v>441</v>
      </c>
      <c r="H64" s="687"/>
      <c r="I64" s="687"/>
      <c r="P64" s="44" t="s">
        <v>7</v>
      </c>
      <c r="Q64" s="59" t="str">
        <f ca="1">IF('Endrunde 4'!$AS26="","",'Endrunde 4'!$AS26)</f>
        <v>FC Barcelona</v>
      </c>
      <c r="U64" s="64" t="s">
        <v>7</v>
      </c>
      <c r="V64" s="39" t="str">
        <f ca="1">'Endrunde 4'!$I12</f>
        <v/>
      </c>
      <c r="W64" s="32" t="str">
        <f ca="1">'Endrunde 4'!$K12</f>
        <v/>
      </c>
      <c r="X64" s="32" t="str">
        <f ca="1">IF(AND($AA64=1,'Endrunde 4'!$L12&lt;&gt;"",'Endrunde 4'!$N12&lt;&gt;"",ABS('Endrunde 4'!$L12-'Endrunde 4'!$N12)&gt;1),'Endrunde 4'!$L12,"")</f>
        <v/>
      </c>
      <c r="Y64" s="33" t="str">
        <f ca="1">IF(AND($AA64=1,'Endrunde 4'!$L12&lt;&gt;"",'Endrunde 4'!$N12&lt;&gt;"",ABS('Endrunde 4'!$L12-'Endrunde 4'!$N12)&gt;1),'Endrunde 4'!$N12,"")</f>
        <v/>
      </c>
      <c r="Z64" s="31" t="str">
        <f ca="1">V64&amp;W64</f>
        <v/>
      </c>
      <c r="AA64" s="32">
        <f ca="1">IF(AND(V64&lt;&gt;"",W64&lt;&gt;"",V64&lt;&gt;W64,'Endrunde 4'!$U12&lt;&gt;"",'Endrunde 4'!$W12&lt;&gt;""),1,0)</f>
        <v>0</v>
      </c>
      <c r="AB64" s="138" t="str">
        <f ca="1">IF(AA64&gt;0,AH64&amp;Sprache!$E$108&amp;AI64,"")</f>
        <v/>
      </c>
      <c r="AC64" s="35" t="str">
        <f ca="1">IF(AA64&gt;0,AJ64&amp;Sprache!$E$108&amp;AK64,"")</f>
        <v/>
      </c>
      <c r="AD64" s="39" t="str">
        <f ca="1">IF(AND($AA64=1,'Endrunde 4'!$O12&lt;&gt;"",'Endrunde 4'!$Q12&lt;&gt;"",ABS('Endrunde 4'!$O12-'Endrunde 4'!$Q12)&gt;1),'Endrunde 4'!$O12,"")</f>
        <v/>
      </c>
      <c r="AE64" s="33" t="str">
        <f ca="1">IF(AND($AA64=1,'Endrunde 4'!$O12&lt;&gt;"",'Endrunde 4'!$Q12&lt;&gt;"",ABS('Endrunde 4'!$O12-'Endrunde 4'!$Q12)&gt;1),'Endrunde 4'!$Q12,"")</f>
        <v/>
      </c>
      <c r="AF64" s="39" t="str">
        <f ca="1">IF(AND($AA64=1,'Endrunde 4'!$R12&lt;&gt;"",'Endrunde 4'!$T12&lt;&gt;"",ABS('Endrunde 4'!$R12-'Endrunde 4'!$T12)&gt;1),'Endrunde 4'!$R12,"")</f>
        <v/>
      </c>
      <c r="AG64" s="33" t="str">
        <f ca="1">IF(AND($AA64=1,'Endrunde 4'!$R12&lt;&gt;"",'Endrunde 4'!$T12&lt;&gt;"",ABS('Endrunde 4'!$R12-'Endrunde 4'!$T12)&gt;1),'Endrunde 4'!$T12,"")</f>
        <v/>
      </c>
      <c r="AH64" s="39" t="str">
        <f ca="1">IF(AA64&gt;0,SUM(X64,AD64,AF64),"")</f>
        <v/>
      </c>
      <c r="AI64" s="33" t="str">
        <f ca="1">IF(AA64&gt;0,SUM(Y64,AE64,AG64),"")</f>
        <v/>
      </c>
      <c r="AJ64" s="39">
        <f ca="1">IF('Endrunde 4'!$U12="",0,'Endrunde 4'!$U12)</f>
        <v>0</v>
      </c>
      <c r="AK64" s="33">
        <f ca="1">IF('Endrunde 4'!$W12="",0,'Endrunde 4'!$W12)</f>
        <v>0</v>
      </c>
      <c r="AL64" s="32" t="str">
        <f ca="1">IF($AA64=0,"",IF($AJ64&gt;$AK64,Einstellungen!$C$4,IF($AJ64=$AK64,1,0)))</f>
        <v/>
      </c>
      <c r="AM64" s="33" t="str">
        <f ca="1">IF($AA64=0,"",IF($AJ64&lt;$AK64,Einstellungen!$C$4,IF($AJ64=$AK64,1,0)))</f>
        <v/>
      </c>
      <c r="AN64" s="4"/>
      <c r="AO64" s="4"/>
      <c r="AP64" s="4"/>
      <c r="AQ64" s="4"/>
      <c r="AR64" s="4"/>
    </row>
    <row r="65" spans="2:43" s="2" customFormat="1" ht="13.5" thickBot="1" x14ac:dyDescent="0.25">
      <c r="F65" s="688">
        <v>1000</v>
      </c>
      <c r="G65" s="689" t="s">
        <v>442</v>
      </c>
      <c r="H65" s="690">
        <v>500</v>
      </c>
      <c r="I65" s="691" t="s">
        <v>443</v>
      </c>
      <c r="P65" s="45" t="s">
        <v>8</v>
      </c>
      <c r="Q65" s="60" t="str">
        <f ca="1">IF('Endrunde 4'!$AS27="","",'Endrunde 4'!$AS27)</f>
        <v>Inter Mailand</v>
      </c>
      <c r="U65" s="65" t="s">
        <v>8</v>
      </c>
      <c r="V65" s="40" t="str">
        <f ca="1">'Endrunde 4'!$I13</f>
        <v/>
      </c>
      <c r="W65" s="13" t="str">
        <f ca="1">'Endrunde 4'!$K13</f>
        <v/>
      </c>
      <c r="X65" s="13" t="str">
        <f ca="1">IF(AND($AA65=1,'Endrunde 4'!$L13&lt;&gt;"",'Endrunde 4'!$N13&lt;&gt;"",ABS('Endrunde 4'!$L13-'Endrunde 4'!$N13)&gt;1),'Endrunde 4'!$L13,"")</f>
        <v/>
      </c>
      <c r="Y65" s="35" t="str">
        <f ca="1">IF(AND($AA65=1,'Endrunde 4'!$L13&lt;&gt;"",'Endrunde 4'!$N13&lt;&gt;"",ABS('Endrunde 4'!$L13-'Endrunde 4'!$N13)&gt;1),'Endrunde 4'!$N13,"")</f>
        <v/>
      </c>
      <c r="Z65" s="34" t="str">
        <f t="shared" ref="Z65:Z88" ca="1" si="42">V65&amp;W65</f>
        <v/>
      </c>
      <c r="AA65" s="13">
        <f ca="1">IF(AND(V65&lt;&gt;"",W65&lt;&gt;"",V65&lt;&gt;W65,'Endrunde 4'!$U13&lt;&gt;"",'Endrunde 4'!$W13&lt;&gt;""),1,0)</f>
        <v>0</v>
      </c>
      <c r="AB65" s="13" t="str">
        <f ca="1">IF(AA65&gt;0,AH65&amp;Sprache!$E$108&amp;AI65,"")</f>
        <v/>
      </c>
      <c r="AC65" s="35" t="str">
        <f ca="1">IF(AA65&gt;0,AJ65&amp;Sprache!$E$108&amp;AK65,"")</f>
        <v/>
      </c>
      <c r="AD65" s="40" t="str">
        <f ca="1">IF(AND($AA65=1,'Endrunde 4'!$O13&lt;&gt;"",'Endrunde 4'!$Q13&lt;&gt;"",ABS('Endrunde 4'!$O13-'Endrunde 4'!$Q13)&gt;1),'Endrunde 4'!$O13,"")</f>
        <v/>
      </c>
      <c r="AE65" s="35" t="str">
        <f ca="1">IF(AND($AA65=1,'Endrunde 4'!$O13&lt;&gt;"",'Endrunde 4'!$Q13&lt;&gt;"",ABS('Endrunde 4'!$O13-'Endrunde 4'!$Q13)&gt;1),'Endrunde 4'!$Q13,"")</f>
        <v/>
      </c>
      <c r="AF65" s="40" t="str">
        <f ca="1">IF(AND($AA65=1,'Endrunde 4'!$R13&lt;&gt;"",'Endrunde 4'!$T13&lt;&gt;"",ABS('Endrunde 4'!$R13-'Endrunde 4'!$T13)&gt;1),'Endrunde 4'!$R13,"")</f>
        <v/>
      </c>
      <c r="AG65" s="35" t="str">
        <f ca="1">IF(AND($AA65=1,'Endrunde 4'!$R13&lt;&gt;"",'Endrunde 4'!$T13&lt;&gt;"",ABS('Endrunde 4'!$R13-'Endrunde 4'!$T13)&gt;1),'Endrunde 4'!$T13,"")</f>
        <v/>
      </c>
      <c r="AH65" s="40" t="str">
        <f t="shared" ref="AH65:AH88" ca="1" si="43">IF(AA65&gt;0,SUM(X65,AD65,AF65),"")</f>
        <v/>
      </c>
      <c r="AI65" s="35" t="str">
        <f t="shared" ref="AI65:AI88" ca="1" si="44">IF(AA65&gt;0,SUM(Y65,AE65,AG65),"")</f>
        <v/>
      </c>
      <c r="AJ65" s="40">
        <f ca="1">IF('Endrunde 4'!$U13="",0,'Endrunde 4'!$U13)</f>
        <v>0</v>
      </c>
      <c r="AK65" s="35">
        <f ca="1">IF('Endrunde 4'!$W13="",0,'Endrunde 4'!$W13)</f>
        <v>0</v>
      </c>
      <c r="AL65" s="13" t="str">
        <f ca="1">IF($AA65=0,"",IF($AJ65&gt;$AK65,Einstellungen!$C$4,IF($AJ65=$AK65,1,0)))</f>
        <v/>
      </c>
      <c r="AM65" s="35" t="str">
        <f ca="1">IF($AA65=0,"",IF($AJ65&lt;$AK65,Einstellungen!$C$4,IF($AJ65=$AK65,1,0)))</f>
        <v/>
      </c>
      <c r="AN65" s="13"/>
      <c r="AO65" s="13"/>
      <c r="AP65" s="13"/>
      <c r="AQ65" s="13"/>
    </row>
    <row r="66" spans="2:43" s="2" customFormat="1" ht="12.75" x14ac:dyDescent="0.2">
      <c r="F66" s="688">
        <v>1</v>
      </c>
      <c r="G66" s="689" t="s">
        <v>444</v>
      </c>
      <c r="H66" s="687"/>
      <c r="I66" s="687"/>
      <c r="P66" s="45" t="s">
        <v>9</v>
      </c>
      <c r="Q66" s="60" t="str">
        <f ca="1">IF('Endrunde 4'!$AS28="","",'Endrunde 4'!$AS28)</f>
        <v/>
      </c>
      <c r="U66" s="65" t="s">
        <v>9</v>
      </c>
      <c r="V66" s="40" t="str">
        <f ca="1">'Endrunde 4'!$I14</f>
        <v>FC Barcelona</v>
      </c>
      <c r="W66" s="13" t="str">
        <f ca="1">'Endrunde 4'!$K14</f>
        <v/>
      </c>
      <c r="X66" s="13" t="str">
        <f ca="1">IF(AND($AA66=1,'Endrunde 4'!$L14&lt;&gt;"",'Endrunde 4'!$N14&lt;&gt;"",ABS('Endrunde 4'!$L14-'Endrunde 4'!$N14)&gt;1),'Endrunde 4'!$L14,"")</f>
        <v/>
      </c>
      <c r="Y66" s="35" t="str">
        <f ca="1">IF(AND($AA66=1,'Endrunde 4'!$L14&lt;&gt;"",'Endrunde 4'!$N14&lt;&gt;"",ABS('Endrunde 4'!$L14-'Endrunde 4'!$N14)&gt;1),'Endrunde 4'!$N14,"")</f>
        <v/>
      </c>
      <c r="Z66" s="34" t="str">
        <f t="shared" ca="1" si="42"/>
        <v>FC Barcelona</v>
      </c>
      <c r="AA66" s="13">
        <f ca="1">IF(AND(V66&lt;&gt;"",W66&lt;&gt;"",V66&lt;&gt;W66,'Endrunde 4'!$U14&lt;&gt;"",'Endrunde 4'!$W14&lt;&gt;""),1,0)</f>
        <v>0</v>
      </c>
      <c r="AB66" s="13" t="str">
        <f ca="1">IF(AA66&gt;0,AH66&amp;Sprache!$E$108&amp;AI66,"")</f>
        <v/>
      </c>
      <c r="AC66" s="35" t="str">
        <f ca="1">IF(AA66&gt;0,AJ66&amp;Sprache!$E$108&amp;AK66,"")</f>
        <v/>
      </c>
      <c r="AD66" s="40" t="str">
        <f ca="1">IF(AND($AA66=1,'Endrunde 4'!$O14&lt;&gt;"",'Endrunde 4'!$Q14&lt;&gt;"",ABS('Endrunde 4'!$O14-'Endrunde 4'!$Q14)&gt;1),'Endrunde 4'!$O14,"")</f>
        <v/>
      </c>
      <c r="AE66" s="35" t="str">
        <f ca="1">IF(AND($AA66=1,'Endrunde 4'!$O14&lt;&gt;"",'Endrunde 4'!$Q14&lt;&gt;"",ABS('Endrunde 4'!$O14-'Endrunde 4'!$Q14)&gt;1),'Endrunde 4'!$Q14,"")</f>
        <v/>
      </c>
      <c r="AF66" s="40" t="str">
        <f ca="1">IF(AND($AA66=1,'Endrunde 4'!$R14&lt;&gt;"",'Endrunde 4'!$T14&lt;&gt;"",ABS('Endrunde 4'!$R14-'Endrunde 4'!$T14)&gt;1),'Endrunde 4'!$R14,"")</f>
        <v/>
      </c>
      <c r="AG66" s="35" t="str">
        <f ca="1">IF(AND($AA66=1,'Endrunde 4'!$R14&lt;&gt;"",'Endrunde 4'!$T14&lt;&gt;"",ABS('Endrunde 4'!$R14-'Endrunde 4'!$T14)&gt;1),'Endrunde 4'!$T14,"")</f>
        <v/>
      </c>
      <c r="AH66" s="40" t="str">
        <f t="shared" ca="1" si="43"/>
        <v/>
      </c>
      <c r="AI66" s="35" t="str">
        <f t="shared" ca="1" si="44"/>
        <v/>
      </c>
      <c r="AJ66" s="40">
        <f ca="1">IF('Endrunde 4'!$U14="",0,'Endrunde 4'!$U14)</f>
        <v>0</v>
      </c>
      <c r="AK66" s="35">
        <f ca="1">IF('Endrunde 4'!$W14="",0,'Endrunde 4'!$W14)</f>
        <v>0</v>
      </c>
      <c r="AL66" s="13" t="str">
        <f ca="1">IF($AA66=0,"",IF($AJ66&gt;$AK66,Einstellungen!$C$4,IF($AJ66=$AK66,1,0)))</f>
        <v/>
      </c>
      <c r="AM66" s="35" t="str">
        <f ca="1">IF($AA66=0,"",IF($AJ66&lt;$AK66,Einstellungen!$C$4,IF($AJ66=$AK66,1,0)))</f>
        <v/>
      </c>
      <c r="AN66" s="13"/>
      <c r="AO66" s="13"/>
      <c r="AP66" s="13"/>
      <c r="AQ66" s="13"/>
    </row>
    <row r="67" spans="2:43" s="2" customFormat="1" ht="12.75" thickBot="1" x14ac:dyDescent="0.25">
      <c r="F67" s="692">
        <v>1E-3</v>
      </c>
      <c r="G67" s="693" t="s">
        <v>445</v>
      </c>
      <c r="H67" s="687"/>
      <c r="I67" s="687"/>
      <c r="P67" s="45" t="s">
        <v>10</v>
      </c>
      <c r="Q67" s="60" t="str">
        <f ca="1">IF('Endrunde 4'!$AS29="","",'Endrunde 4'!$AS29)</f>
        <v/>
      </c>
      <c r="U67" s="65" t="s">
        <v>10</v>
      </c>
      <c r="V67" s="40" t="str">
        <f ca="1">'Endrunde 4'!$I15</f>
        <v>VFB Essenheim</v>
      </c>
      <c r="W67" s="13" t="str">
        <f ca="1">'Endrunde 4'!$K15</f>
        <v>SSV Wildbach</v>
      </c>
      <c r="X67" s="13">
        <f ca="1">IF(AND($AA67=1,'Endrunde 4'!$L15&lt;&gt;"",'Endrunde 4'!$N15&lt;&gt;"",ABS('Endrunde 4'!$L15-'Endrunde 4'!$N15)&gt;1),'Endrunde 4'!$L15,"")</f>
        <v>25</v>
      </c>
      <c r="Y67" s="35">
        <f ca="1">IF(AND($AA67=1,'Endrunde 4'!$L15&lt;&gt;"",'Endrunde 4'!$N15&lt;&gt;"",ABS('Endrunde 4'!$L15-'Endrunde 4'!$N15)&gt;1),'Endrunde 4'!$N15,"")</f>
        <v>20</v>
      </c>
      <c r="Z67" s="34" t="str">
        <f t="shared" ca="1" si="42"/>
        <v>VFB EssenheimSSV Wildbach</v>
      </c>
      <c r="AA67" s="13">
        <f ca="1">IF(AND(V67&lt;&gt;"",W67&lt;&gt;"",V67&lt;&gt;W67,'Endrunde 4'!$U15&lt;&gt;"",'Endrunde 4'!$W15&lt;&gt;""),1,0)</f>
        <v>1</v>
      </c>
      <c r="AB67" s="13" t="str">
        <f ca="1">IF(AA67&gt;0,AH67&amp;Sprache!$E$108&amp;AI67,"")</f>
        <v>50 : 37</v>
      </c>
      <c r="AC67" s="35" t="str">
        <f ca="1">IF(AA67&gt;0,AJ67&amp;Sprache!$E$108&amp;AK67,"")</f>
        <v>2 : 0</v>
      </c>
      <c r="AD67" s="40">
        <f ca="1">IF(AND($AA67=1,'Endrunde 4'!$O15&lt;&gt;"",'Endrunde 4'!$Q15&lt;&gt;"",ABS('Endrunde 4'!$O15-'Endrunde 4'!$Q15)&gt;1),'Endrunde 4'!$O15,"")</f>
        <v>25</v>
      </c>
      <c r="AE67" s="35">
        <f ca="1">IF(AND($AA67=1,'Endrunde 4'!$O15&lt;&gt;"",'Endrunde 4'!$Q15&lt;&gt;"",ABS('Endrunde 4'!$O15-'Endrunde 4'!$Q15)&gt;1),'Endrunde 4'!$Q15,"")</f>
        <v>17</v>
      </c>
      <c r="AF67" s="40" t="str">
        <f ca="1">IF(AND($AA67=1,'Endrunde 4'!$R15&lt;&gt;"",'Endrunde 4'!$T15&lt;&gt;"",ABS('Endrunde 4'!$R15-'Endrunde 4'!$T15)&gt;1),'Endrunde 4'!$R15,"")</f>
        <v/>
      </c>
      <c r="AG67" s="35" t="str">
        <f ca="1">IF(AND($AA67=1,'Endrunde 4'!$R15&lt;&gt;"",'Endrunde 4'!$T15&lt;&gt;"",ABS('Endrunde 4'!$R15-'Endrunde 4'!$T15)&gt;1),'Endrunde 4'!$T15,"")</f>
        <v/>
      </c>
      <c r="AH67" s="40">
        <f t="shared" ca="1" si="43"/>
        <v>50</v>
      </c>
      <c r="AI67" s="35">
        <f t="shared" ca="1" si="44"/>
        <v>37</v>
      </c>
      <c r="AJ67" s="40">
        <f ca="1">IF('Endrunde 4'!$U15="",0,'Endrunde 4'!$U15)</f>
        <v>2</v>
      </c>
      <c r="AK67" s="35">
        <f ca="1">IF('Endrunde 4'!$W15="",0,'Endrunde 4'!$W15)</f>
        <v>0</v>
      </c>
      <c r="AL67" s="13">
        <f ca="1">IF($AA67=0,"",IF($AJ67&gt;$AK67,Einstellungen!$C$4,IF($AJ67=$AK67,1,0)))</f>
        <v>2</v>
      </c>
      <c r="AM67" s="35">
        <f ca="1">IF($AA67=0,"",IF($AJ67&lt;$AK67,Einstellungen!$C$4,IF($AJ67=$AK67,1,0)))</f>
        <v>0</v>
      </c>
      <c r="AN67" s="13"/>
      <c r="AO67" s="13"/>
      <c r="AP67" s="13"/>
      <c r="AQ67" s="13"/>
    </row>
    <row r="68" spans="2:43" s="2" customFormat="1" x14ac:dyDescent="0.2">
      <c r="P68" s="45" t="s">
        <v>11</v>
      </c>
      <c r="Q68" s="60" t="str">
        <f>""</f>
        <v/>
      </c>
      <c r="U68" s="65" t="s">
        <v>11</v>
      </c>
      <c r="V68" s="40" t="str">
        <f ca="1">'Endrunde 4'!$I16</f>
        <v>Eintracht Frankfurt</v>
      </c>
      <c r="W68" s="13" t="str">
        <f ca="1">'Endrunde 4'!$K16</f>
        <v>Manchester City</v>
      </c>
      <c r="X68" s="13">
        <f ca="1">IF(AND($AA68=1,'Endrunde 4'!$L16&lt;&gt;"",'Endrunde 4'!$N16&lt;&gt;"",ABS('Endrunde 4'!$L16-'Endrunde 4'!$N16)&gt;1),'Endrunde 4'!$L16,"")</f>
        <v>19</v>
      </c>
      <c r="Y68" s="35">
        <f ca="1">IF(AND($AA68=1,'Endrunde 4'!$L16&lt;&gt;"",'Endrunde 4'!$N16&lt;&gt;"",ABS('Endrunde 4'!$L16-'Endrunde 4'!$N16)&gt;1),'Endrunde 4'!$N16,"")</f>
        <v>25</v>
      </c>
      <c r="Z68" s="34" t="str">
        <f t="shared" ca="1" si="42"/>
        <v>Eintracht FrankfurtManchester City</v>
      </c>
      <c r="AA68" s="13">
        <f ca="1">IF(AND(V68&lt;&gt;"",W68&lt;&gt;"",V68&lt;&gt;W68,'Endrunde 4'!$U16&lt;&gt;"",'Endrunde 4'!$W16&lt;&gt;""),1,0)</f>
        <v>1</v>
      </c>
      <c r="AB68" s="13" t="str">
        <f ca="1">IF(AA68&gt;0,AH68&amp;Sprache!$E$108&amp;AI68,"")</f>
        <v>35 : 50</v>
      </c>
      <c r="AC68" s="35" t="str">
        <f ca="1">IF(AA68&gt;0,AJ68&amp;Sprache!$E$108&amp;AK68,"")</f>
        <v>0 : 2</v>
      </c>
      <c r="AD68" s="40">
        <f ca="1">IF(AND($AA68=1,'Endrunde 4'!$O16&lt;&gt;"",'Endrunde 4'!$Q16&lt;&gt;"",ABS('Endrunde 4'!$O16-'Endrunde 4'!$Q16)&gt;1),'Endrunde 4'!$O16,"")</f>
        <v>16</v>
      </c>
      <c r="AE68" s="35">
        <f ca="1">IF(AND($AA68=1,'Endrunde 4'!$O16&lt;&gt;"",'Endrunde 4'!$Q16&lt;&gt;"",ABS('Endrunde 4'!$O16-'Endrunde 4'!$Q16)&gt;1),'Endrunde 4'!$Q16,"")</f>
        <v>25</v>
      </c>
      <c r="AF68" s="40" t="str">
        <f ca="1">IF(AND($AA68=1,'Endrunde 4'!$R16&lt;&gt;"",'Endrunde 4'!$T16&lt;&gt;"",ABS('Endrunde 4'!$R16-'Endrunde 4'!$T16)&gt;1),'Endrunde 4'!$R16,"")</f>
        <v/>
      </c>
      <c r="AG68" s="35" t="str">
        <f ca="1">IF(AND($AA68=1,'Endrunde 4'!$R16&lt;&gt;"",'Endrunde 4'!$T16&lt;&gt;"",ABS('Endrunde 4'!$R16-'Endrunde 4'!$T16)&gt;1),'Endrunde 4'!$T16,"")</f>
        <v/>
      </c>
      <c r="AH68" s="40">
        <f t="shared" ca="1" si="43"/>
        <v>35</v>
      </c>
      <c r="AI68" s="35">
        <f t="shared" ca="1" si="44"/>
        <v>50</v>
      </c>
      <c r="AJ68" s="40">
        <f ca="1">IF('Endrunde 4'!$U16="",0,'Endrunde 4'!$U16)</f>
        <v>0</v>
      </c>
      <c r="AK68" s="35">
        <f ca="1">IF('Endrunde 4'!$W16="",0,'Endrunde 4'!$W16)</f>
        <v>2</v>
      </c>
      <c r="AL68" s="13">
        <f ca="1">IF($AA68=0,"",IF($AJ68&gt;$AK68,Einstellungen!$C$4,IF($AJ68=$AK68,1,0)))</f>
        <v>0</v>
      </c>
      <c r="AM68" s="35">
        <f ca="1">IF($AA68=0,"",IF($AJ68&lt;$AK68,Einstellungen!$C$4,IF($AJ68=$AK68,1,0)))</f>
        <v>2</v>
      </c>
      <c r="AN68" s="13"/>
      <c r="AO68" s="13"/>
      <c r="AP68" s="13"/>
      <c r="AQ68" s="13"/>
    </row>
    <row r="69" spans="2:43" s="2" customFormat="1" x14ac:dyDescent="0.2">
      <c r="P69" s="45" t="s">
        <v>12</v>
      </c>
      <c r="Q69" s="60" t="str">
        <f>""</f>
        <v/>
      </c>
      <c r="U69" s="65" t="s">
        <v>12</v>
      </c>
      <c r="V69" s="40" t="str">
        <f ca="1">'Endrunde 4'!$I17</f>
        <v/>
      </c>
      <c r="W69" s="13" t="str">
        <f ca="1">'Endrunde 4'!$K17</f>
        <v/>
      </c>
      <c r="X69" s="13" t="str">
        <f ca="1">IF(AND($AA69=1,'Endrunde 4'!$L17&lt;&gt;"",'Endrunde 4'!$N17&lt;&gt;"",ABS('Endrunde 4'!$L17-'Endrunde 4'!$N17)&gt;1),'Endrunde 4'!$L17,"")</f>
        <v/>
      </c>
      <c r="Y69" s="35" t="str">
        <f ca="1">IF(AND($AA69=1,'Endrunde 4'!$L17&lt;&gt;"",'Endrunde 4'!$N17&lt;&gt;"",ABS('Endrunde 4'!$L17-'Endrunde 4'!$N17)&gt;1),'Endrunde 4'!$N17,"")</f>
        <v/>
      </c>
      <c r="Z69" s="34" t="str">
        <f t="shared" ca="1" si="42"/>
        <v/>
      </c>
      <c r="AA69" s="13">
        <f ca="1">IF(AND(V69&lt;&gt;"",W69&lt;&gt;"",V69&lt;&gt;W69,'Endrunde 4'!$U17&lt;&gt;"",'Endrunde 4'!$W17&lt;&gt;""),1,0)</f>
        <v>0</v>
      </c>
      <c r="AB69" s="13" t="str">
        <f ca="1">IF(AA69&gt;0,AH69&amp;Sprache!$E$108&amp;AI69,"")</f>
        <v/>
      </c>
      <c r="AC69" s="35" t="str">
        <f ca="1">IF(AA69&gt;0,AJ69&amp;Sprache!$E$108&amp;AK69,"")</f>
        <v/>
      </c>
      <c r="AD69" s="40" t="str">
        <f ca="1">IF(AND($AA69=1,'Endrunde 4'!$O17&lt;&gt;"",'Endrunde 4'!$Q17&lt;&gt;"",ABS('Endrunde 4'!$O17-'Endrunde 4'!$Q17)&gt;1),'Endrunde 4'!$O17,"")</f>
        <v/>
      </c>
      <c r="AE69" s="35" t="str">
        <f ca="1">IF(AND($AA69=1,'Endrunde 4'!$O17&lt;&gt;"",'Endrunde 4'!$Q17&lt;&gt;"",ABS('Endrunde 4'!$O17-'Endrunde 4'!$Q17)&gt;1),'Endrunde 4'!$Q17,"")</f>
        <v/>
      </c>
      <c r="AF69" s="40" t="str">
        <f ca="1">IF(AND($AA69=1,'Endrunde 4'!$R17&lt;&gt;"",'Endrunde 4'!$T17&lt;&gt;"",ABS('Endrunde 4'!$R17-'Endrunde 4'!$T17)&gt;1),'Endrunde 4'!$R17,"")</f>
        <v/>
      </c>
      <c r="AG69" s="35" t="str">
        <f ca="1">IF(AND($AA69=1,'Endrunde 4'!$R17&lt;&gt;"",'Endrunde 4'!$T17&lt;&gt;"",ABS('Endrunde 4'!$R17-'Endrunde 4'!$T17)&gt;1),'Endrunde 4'!$T17,"")</f>
        <v/>
      </c>
      <c r="AH69" s="40" t="str">
        <f t="shared" ca="1" si="43"/>
        <v/>
      </c>
      <c r="AI69" s="35" t="str">
        <f t="shared" ca="1" si="44"/>
        <v/>
      </c>
      <c r="AJ69" s="40">
        <f ca="1">IF('Endrunde 4'!$U17="",0,'Endrunde 4'!$U17)</f>
        <v>0</v>
      </c>
      <c r="AK69" s="35">
        <f ca="1">IF('Endrunde 4'!$W17="",0,'Endrunde 4'!$W17)</f>
        <v>0</v>
      </c>
      <c r="AL69" s="13" t="str">
        <f ca="1">IF($AA69=0,"",IF($AJ69&gt;$AK69,Einstellungen!$C$4,IF($AJ69=$AK69,1,0)))</f>
        <v/>
      </c>
      <c r="AM69" s="35" t="str">
        <f ca="1">IF($AA69=0,"",IF($AJ69&lt;$AK69,Einstellungen!$C$4,IF($AJ69=$AK69,1,0)))</f>
        <v/>
      </c>
      <c r="AN69" s="13"/>
      <c r="AO69" s="13"/>
      <c r="AP69" s="13"/>
      <c r="AQ69" s="13"/>
    </row>
    <row r="70" spans="2:43" s="2" customFormat="1" x14ac:dyDescent="0.2">
      <c r="P70" s="45" t="s">
        <v>17</v>
      </c>
      <c r="Q70" s="60" t="str">
        <f>""</f>
        <v/>
      </c>
      <c r="U70" s="65" t="s">
        <v>17</v>
      </c>
      <c r="V70" s="40" t="str">
        <f ca="1">'Endrunde 4'!$I18</f>
        <v>Inter Mailand</v>
      </c>
      <c r="W70" s="13" t="str">
        <f ca="1">'Endrunde 4'!$K18</f>
        <v/>
      </c>
      <c r="X70" s="13" t="str">
        <f ca="1">IF(AND($AA70=1,'Endrunde 4'!$L18&lt;&gt;"",'Endrunde 4'!$N18&lt;&gt;"",ABS('Endrunde 4'!$L18-'Endrunde 4'!$N18)&gt;1),'Endrunde 4'!$L18,"")</f>
        <v/>
      </c>
      <c r="Y70" s="35" t="str">
        <f ca="1">IF(AND($AA70=1,'Endrunde 4'!$L18&lt;&gt;"",'Endrunde 4'!$N18&lt;&gt;"",ABS('Endrunde 4'!$L18-'Endrunde 4'!$N18)&gt;1),'Endrunde 4'!$N18,"")</f>
        <v/>
      </c>
      <c r="Z70" s="34" t="str">
        <f t="shared" ca="1" si="42"/>
        <v>Inter Mailand</v>
      </c>
      <c r="AA70" s="13">
        <f ca="1">IF(AND(V70&lt;&gt;"",W70&lt;&gt;"",V70&lt;&gt;W70,'Endrunde 4'!$U18&lt;&gt;"",'Endrunde 4'!$W18&lt;&gt;""),1,0)</f>
        <v>0</v>
      </c>
      <c r="AB70" s="13" t="str">
        <f ca="1">IF(AA70&gt;0,AH70&amp;Sprache!$E$108&amp;AI70,"")</f>
        <v/>
      </c>
      <c r="AC70" s="35" t="str">
        <f ca="1">IF(AA70&gt;0,AJ70&amp;Sprache!$E$108&amp;AK70,"")</f>
        <v/>
      </c>
      <c r="AD70" s="40" t="str">
        <f ca="1">IF(AND($AA70=1,'Endrunde 4'!$O18&lt;&gt;"",'Endrunde 4'!$Q18&lt;&gt;"",ABS('Endrunde 4'!$O18-'Endrunde 4'!$Q18)&gt;1),'Endrunde 4'!$O18,"")</f>
        <v/>
      </c>
      <c r="AE70" s="35" t="str">
        <f ca="1">IF(AND($AA70=1,'Endrunde 4'!$O18&lt;&gt;"",'Endrunde 4'!$Q18&lt;&gt;"",ABS('Endrunde 4'!$O18-'Endrunde 4'!$Q18)&gt;1),'Endrunde 4'!$Q18,"")</f>
        <v/>
      </c>
      <c r="AF70" s="40" t="str">
        <f ca="1">IF(AND($AA70=1,'Endrunde 4'!$R18&lt;&gt;"",'Endrunde 4'!$T18&lt;&gt;"",ABS('Endrunde 4'!$R18-'Endrunde 4'!$T18)&gt;1),'Endrunde 4'!$R18,"")</f>
        <v/>
      </c>
      <c r="AG70" s="35" t="str">
        <f ca="1">IF(AND($AA70=1,'Endrunde 4'!$R18&lt;&gt;"",'Endrunde 4'!$T18&lt;&gt;"",ABS('Endrunde 4'!$R18-'Endrunde 4'!$T18)&gt;1),'Endrunde 4'!$T18,"")</f>
        <v/>
      </c>
      <c r="AH70" s="40" t="str">
        <f t="shared" ca="1" si="43"/>
        <v/>
      </c>
      <c r="AI70" s="35" t="str">
        <f t="shared" ca="1" si="44"/>
        <v/>
      </c>
      <c r="AJ70" s="40">
        <f ca="1">IF('Endrunde 4'!$U18="",0,'Endrunde 4'!$U18)</f>
        <v>0</v>
      </c>
      <c r="AK70" s="35">
        <f ca="1">IF('Endrunde 4'!$W18="",0,'Endrunde 4'!$W18)</f>
        <v>0</v>
      </c>
      <c r="AL70" s="13" t="str">
        <f ca="1">IF($AA70=0,"",IF($AJ70&gt;$AK70,Einstellungen!$C$4,IF($AJ70=$AK70,1,0)))</f>
        <v/>
      </c>
      <c r="AM70" s="35" t="str">
        <f ca="1">IF($AA70=0,"",IF($AJ70&lt;$AK70,Einstellungen!$C$4,IF($AJ70=$AK70,1,0)))</f>
        <v/>
      </c>
      <c r="AN70" s="4"/>
      <c r="AO70" s="13"/>
      <c r="AP70" s="13"/>
      <c r="AQ70" s="13"/>
    </row>
    <row r="71" spans="2:43" s="2" customFormat="1" x14ac:dyDescent="0.2">
      <c r="B71" s="4"/>
      <c r="C71" s="4"/>
      <c r="D71" s="4"/>
      <c r="E71" s="4"/>
      <c r="F71" s="4"/>
      <c r="G71" s="4"/>
      <c r="H71" s="4"/>
      <c r="I71" s="4"/>
      <c r="J71" s="4"/>
      <c r="K71" s="4"/>
      <c r="L71" s="4"/>
      <c r="M71" s="4"/>
      <c r="P71" s="45" t="s">
        <v>18</v>
      </c>
      <c r="Q71" s="60" t="str">
        <f>""</f>
        <v/>
      </c>
      <c r="U71" s="65" t="s">
        <v>18</v>
      </c>
      <c r="V71" s="40" t="str">
        <f ca="1">'Endrunde 4'!$I19</f>
        <v>FC Grönlingen</v>
      </c>
      <c r="W71" s="13" t="str">
        <f ca="1">'Endrunde 4'!$K19</f>
        <v>1. FC Riedwald</v>
      </c>
      <c r="X71" s="13">
        <f ca="1">IF(AND($AA71=1,'Endrunde 4'!$L19&lt;&gt;"",'Endrunde 4'!$N19&lt;&gt;"",ABS('Endrunde 4'!$L19-'Endrunde 4'!$N19)&gt;1),'Endrunde 4'!$L19,"")</f>
        <v>25</v>
      </c>
      <c r="Y71" s="35">
        <f ca="1">IF(AND($AA71=1,'Endrunde 4'!$L19&lt;&gt;"",'Endrunde 4'!$N19&lt;&gt;"",ABS('Endrunde 4'!$L19-'Endrunde 4'!$N19)&gt;1),'Endrunde 4'!$N19,"")</f>
        <v>23</v>
      </c>
      <c r="Z71" s="34" t="str">
        <f t="shared" ca="1" si="42"/>
        <v>FC Grönlingen1. FC Riedwald</v>
      </c>
      <c r="AA71" s="13">
        <f ca="1">IF(AND(V71&lt;&gt;"",W71&lt;&gt;"",V71&lt;&gt;W71,'Endrunde 4'!$U19&lt;&gt;"",'Endrunde 4'!$W19&lt;&gt;""),1,0)</f>
        <v>1</v>
      </c>
      <c r="AB71" s="13" t="str">
        <f ca="1">IF(AA71&gt;0,AH71&amp;Sprache!$E$108&amp;AI71,"")</f>
        <v>50 : 44</v>
      </c>
      <c r="AC71" s="35" t="str">
        <f ca="1">IF(AA71&gt;0,AJ71&amp;Sprache!$E$108&amp;AK71,"")</f>
        <v>2 : 0</v>
      </c>
      <c r="AD71" s="40">
        <f ca="1">IF(AND($AA71=1,'Endrunde 4'!$O19&lt;&gt;"",'Endrunde 4'!$Q19&lt;&gt;"",ABS('Endrunde 4'!$O19-'Endrunde 4'!$Q19)&gt;1),'Endrunde 4'!$O19,"")</f>
        <v>25</v>
      </c>
      <c r="AE71" s="35">
        <f ca="1">IF(AND($AA71=1,'Endrunde 4'!$O19&lt;&gt;"",'Endrunde 4'!$Q19&lt;&gt;"",ABS('Endrunde 4'!$O19-'Endrunde 4'!$Q19)&gt;1),'Endrunde 4'!$Q19,"")</f>
        <v>21</v>
      </c>
      <c r="AF71" s="40" t="str">
        <f ca="1">IF(AND($AA71=1,'Endrunde 4'!$R19&lt;&gt;"",'Endrunde 4'!$T19&lt;&gt;"",ABS('Endrunde 4'!$R19-'Endrunde 4'!$T19)&gt;1),'Endrunde 4'!$R19,"")</f>
        <v/>
      </c>
      <c r="AG71" s="35" t="str">
        <f ca="1">IF(AND($AA71=1,'Endrunde 4'!$R19&lt;&gt;"",'Endrunde 4'!$T19&lt;&gt;"",ABS('Endrunde 4'!$R19-'Endrunde 4'!$T19)&gt;1),'Endrunde 4'!$T19,"")</f>
        <v/>
      </c>
      <c r="AH71" s="40">
        <f t="shared" ca="1" si="43"/>
        <v>50</v>
      </c>
      <c r="AI71" s="35">
        <f t="shared" ca="1" si="44"/>
        <v>44</v>
      </c>
      <c r="AJ71" s="40">
        <f ca="1">IF('Endrunde 4'!$U19="",0,'Endrunde 4'!$U19)</f>
        <v>2</v>
      </c>
      <c r="AK71" s="35">
        <f ca="1">IF('Endrunde 4'!$W19="",0,'Endrunde 4'!$W19)</f>
        <v>0</v>
      </c>
      <c r="AL71" s="13">
        <f ca="1">IF($AA71=0,"",IF($AJ71&gt;$AK71,Einstellungen!$C$4,IF($AJ71=$AK71,1,0)))</f>
        <v>2</v>
      </c>
      <c r="AM71" s="35">
        <f ca="1">IF($AA71=0,"",IF($AJ71&lt;$AK71,Einstellungen!$C$4,IF($AJ71=$AK71,1,0)))</f>
        <v>0</v>
      </c>
      <c r="AN71" s="13"/>
      <c r="AO71" s="4"/>
      <c r="AP71" s="13"/>
      <c r="AQ71" s="13"/>
    </row>
    <row r="72" spans="2:43" s="2" customFormat="1" ht="12.75" thickBot="1" x14ac:dyDescent="0.25">
      <c r="B72" s="4"/>
      <c r="C72" s="4"/>
      <c r="D72" s="4"/>
      <c r="E72" s="4"/>
      <c r="F72" s="13"/>
      <c r="G72" s="13"/>
      <c r="H72" s="13"/>
      <c r="I72" s="13"/>
      <c r="J72" s="13"/>
      <c r="K72" s="13"/>
      <c r="L72" s="13"/>
      <c r="M72" s="13"/>
      <c r="P72" s="46" t="s">
        <v>19</v>
      </c>
      <c r="Q72" s="61" t="str">
        <f>""</f>
        <v/>
      </c>
      <c r="U72" s="65" t="s">
        <v>19</v>
      </c>
      <c r="V72" s="40" t="str">
        <f ca="1">'Endrunde 4'!$I20</f>
        <v>Mainz 05</v>
      </c>
      <c r="W72" s="13" t="str">
        <f ca="1">'Endrunde 4'!$K20</f>
        <v>Maibach 1822 eV</v>
      </c>
      <c r="X72" s="13">
        <f ca="1">IF(AND($AA72=1,'Endrunde 4'!$L20&lt;&gt;"",'Endrunde 4'!$N20&lt;&gt;"",ABS('Endrunde 4'!$L20-'Endrunde 4'!$N20)&gt;1),'Endrunde 4'!$L20,"")</f>
        <v>25</v>
      </c>
      <c r="Y72" s="35">
        <f ca="1">IF(AND($AA72=1,'Endrunde 4'!$L20&lt;&gt;"",'Endrunde 4'!$N20&lt;&gt;"",ABS('Endrunde 4'!$L20-'Endrunde 4'!$N20)&gt;1),'Endrunde 4'!$N20,"")</f>
        <v>17</v>
      </c>
      <c r="Z72" s="34" t="str">
        <f t="shared" ca="1" si="42"/>
        <v>Mainz 05Maibach 1822 eV</v>
      </c>
      <c r="AA72" s="13">
        <f ca="1">IF(AND(V72&lt;&gt;"",W72&lt;&gt;"",V72&lt;&gt;W72,'Endrunde 4'!$U20&lt;&gt;"",'Endrunde 4'!$W20&lt;&gt;""),1,0)</f>
        <v>1</v>
      </c>
      <c r="AB72" s="13" t="str">
        <f ca="1">IF(AA72&gt;0,AH72&amp;Sprache!$E$108&amp;AI72,"")</f>
        <v>50 : 39</v>
      </c>
      <c r="AC72" s="35" t="str">
        <f ca="1">IF(AA72&gt;0,AJ72&amp;Sprache!$E$108&amp;AK72,"")</f>
        <v>2 : 0</v>
      </c>
      <c r="AD72" s="40">
        <f ca="1">IF(AND($AA72=1,'Endrunde 4'!$O20&lt;&gt;"",'Endrunde 4'!$Q20&lt;&gt;"",ABS('Endrunde 4'!$O20-'Endrunde 4'!$Q20)&gt;1),'Endrunde 4'!$O20,"")</f>
        <v>25</v>
      </c>
      <c r="AE72" s="35">
        <f ca="1">IF(AND($AA72=1,'Endrunde 4'!$O20&lt;&gt;"",'Endrunde 4'!$Q20&lt;&gt;"",ABS('Endrunde 4'!$O20-'Endrunde 4'!$Q20)&gt;1),'Endrunde 4'!$Q20,"")</f>
        <v>22</v>
      </c>
      <c r="AF72" s="40" t="str">
        <f ca="1">IF(AND($AA72=1,'Endrunde 4'!$R20&lt;&gt;"",'Endrunde 4'!$T20&lt;&gt;"",ABS('Endrunde 4'!$R20-'Endrunde 4'!$T20)&gt;1),'Endrunde 4'!$R20,"")</f>
        <v/>
      </c>
      <c r="AG72" s="35" t="str">
        <f ca="1">IF(AND($AA72=1,'Endrunde 4'!$R20&lt;&gt;"",'Endrunde 4'!$T20&lt;&gt;"",ABS('Endrunde 4'!$R20-'Endrunde 4'!$T20)&gt;1),'Endrunde 4'!$T20,"")</f>
        <v/>
      </c>
      <c r="AH72" s="40">
        <f t="shared" ca="1" si="43"/>
        <v>50</v>
      </c>
      <c r="AI72" s="35">
        <f t="shared" ca="1" si="44"/>
        <v>39</v>
      </c>
      <c r="AJ72" s="40">
        <f ca="1">IF('Endrunde 4'!$U20="",0,'Endrunde 4'!$U20)</f>
        <v>2</v>
      </c>
      <c r="AK72" s="35">
        <f ca="1">IF('Endrunde 4'!$W20="",0,'Endrunde 4'!$W20)</f>
        <v>0</v>
      </c>
      <c r="AL72" s="13">
        <f ca="1">IF($AA72=0,"",IF($AJ72&gt;$AK72,Einstellungen!$C$4,IF($AJ72=$AK72,1,0)))</f>
        <v>2</v>
      </c>
      <c r="AM72" s="35">
        <f ca="1">IF($AA72=0,"",IF($AJ72&lt;$AK72,Einstellungen!$C$4,IF($AJ72=$AK72,1,0)))</f>
        <v>0</v>
      </c>
      <c r="AN72" s="13"/>
      <c r="AO72" s="13"/>
      <c r="AP72" s="4"/>
      <c r="AQ72" s="13"/>
    </row>
    <row r="73" spans="2:43" s="2" customFormat="1" ht="12.75" thickTop="1" x14ac:dyDescent="0.2">
      <c r="B73" s="4"/>
      <c r="C73" s="4"/>
      <c r="D73" s="4"/>
      <c r="E73" s="4"/>
      <c r="F73" s="13"/>
      <c r="G73" s="13"/>
      <c r="H73" s="13"/>
      <c r="I73" s="13"/>
      <c r="J73" s="13"/>
      <c r="K73" s="13"/>
      <c r="L73" s="13"/>
      <c r="M73" s="13"/>
      <c r="U73" s="65" t="s">
        <v>25</v>
      </c>
      <c r="V73" s="40" t="str">
        <f ca="1">'Endrunde 4'!$I21</f>
        <v/>
      </c>
      <c r="W73" s="13" t="str">
        <f ca="1">'Endrunde 4'!$K21</f>
        <v/>
      </c>
      <c r="X73" s="13" t="str">
        <f ca="1">IF(AND($AA73=1,'Endrunde 4'!$L21&lt;&gt;"",'Endrunde 4'!$N21&lt;&gt;"",ABS('Endrunde 4'!$L21-'Endrunde 4'!$N21)&gt;1),'Endrunde 4'!$L21,"")</f>
        <v/>
      </c>
      <c r="Y73" s="35" t="str">
        <f ca="1">IF(AND($AA73=1,'Endrunde 4'!$L21&lt;&gt;"",'Endrunde 4'!$N21&lt;&gt;"",ABS('Endrunde 4'!$L21-'Endrunde 4'!$N21)&gt;1),'Endrunde 4'!$N21,"")</f>
        <v/>
      </c>
      <c r="Z73" s="34" t="str">
        <f t="shared" ca="1" si="42"/>
        <v/>
      </c>
      <c r="AA73" s="13">
        <f ca="1">IF(AND(V73&lt;&gt;"",W73&lt;&gt;"",V73&lt;&gt;W73,'Endrunde 4'!$U21&lt;&gt;"",'Endrunde 4'!$W21&lt;&gt;""),1,0)</f>
        <v>0</v>
      </c>
      <c r="AB73" s="13" t="str">
        <f ca="1">IF(AA73&gt;0,AH73&amp;Sprache!$E$108&amp;AI73,"")</f>
        <v/>
      </c>
      <c r="AC73" s="35" t="str">
        <f ca="1">IF(AA73&gt;0,AJ73&amp;Sprache!$E$108&amp;AK73,"")</f>
        <v/>
      </c>
      <c r="AD73" s="40" t="str">
        <f ca="1">IF(AND($AA73=1,'Endrunde 4'!$O21&lt;&gt;"",'Endrunde 4'!$Q21&lt;&gt;"",ABS('Endrunde 4'!$O21-'Endrunde 4'!$Q21)&gt;1),'Endrunde 4'!$O21,"")</f>
        <v/>
      </c>
      <c r="AE73" s="35" t="str">
        <f ca="1">IF(AND($AA73=1,'Endrunde 4'!$O21&lt;&gt;"",'Endrunde 4'!$Q21&lt;&gt;"",ABS('Endrunde 4'!$O21-'Endrunde 4'!$Q21)&gt;1),'Endrunde 4'!$Q21,"")</f>
        <v/>
      </c>
      <c r="AF73" s="40" t="str">
        <f ca="1">IF(AND($AA73=1,'Endrunde 4'!$R21&lt;&gt;"",'Endrunde 4'!$T21&lt;&gt;"",ABS('Endrunde 4'!$R21-'Endrunde 4'!$T21)&gt;1),'Endrunde 4'!$R21,"")</f>
        <v/>
      </c>
      <c r="AG73" s="35" t="str">
        <f ca="1">IF(AND($AA73=1,'Endrunde 4'!$R21&lt;&gt;"",'Endrunde 4'!$T21&lt;&gt;"",ABS('Endrunde 4'!$R21-'Endrunde 4'!$T21)&gt;1),'Endrunde 4'!$T21,"")</f>
        <v/>
      </c>
      <c r="AH73" s="40" t="str">
        <f t="shared" ca="1" si="43"/>
        <v/>
      </c>
      <c r="AI73" s="35" t="str">
        <f t="shared" ca="1" si="44"/>
        <v/>
      </c>
      <c r="AJ73" s="40">
        <f ca="1">IF('Endrunde 4'!$U21="",0,'Endrunde 4'!$U21)</f>
        <v>0</v>
      </c>
      <c r="AK73" s="35">
        <f ca="1">IF('Endrunde 4'!$W21="",0,'Endrunde 4'!$W21)</f>
        <v>0</v>
      </c>
      <c r="AL73" s="13" t="str">
        <f ca="1">IF($AA73=0,"",IF($AJ73&gt;$AK73,Einstellungen!$C$4,IF($AJ73=$AK73,1,0)))</f>
        <v/>
      </c>
      <c r="AM73" s="35" t="str">
        <f ca="1">IF($AA73=0,"",IF($AJ73&lt;$AK73,Einstellungen!$C$4,IF($AJ73=$AK73,1,0)))</f>
        <v/>
      </c>
      <c r="AN73" s="13"/>
      <c r="AO73" s="13"/>
      <c r="AP73" s="13"/>
      <c r="AQ73" s="4"/>
    </row>
    <row r="74" spans="2:43" s="2" customFormat="1" x14ac:dyDescent="0.2">
      <c r="B74" s="4"/>
      <c r="C74" s="4"/>
      <c r="D74" s="4"/>
      <c r="E74" s="4"/>
      <c r="F74" s="13"/>
      <c r="G74" s="13"/>
      <c r="H74" s="13"/>
      <c r="I74" s="13"/>
      <c r="J74" s="13"/>
      <c r="K74" s="13"/>
      <c r="L74" s="13"/>
      <c r="M74" s="13"/>
      <c r="U74" s="65" t="s">
        <v>26</v>
      </c>
      <c r="V74" s="40" t="str">
        <f ca="1">'Endrunde 4'!$I22</f>
        <v>FC Barcelona</v>
      </c>
      <c r="W74" s="13" t="str">
        <f ca="1">'Endrunde 4'!$K22</f>
        <v/>
      </c>
      <c r="X74" s="13" t="str">
        <f ca="1">IF(AND($AA74=1,'Endrunde 4'!$L22&lt;&gt;"",'Endrunde 4'!$N22&lt;&gt;"",ABS('Endrunde 4'!$L22-'Endrunde 4'!$N22)&gt;1),'Endrunde 4'!$L22,"")</f>
        <v/>
      </c>
      <c r="Y74" s="35" t="str">
        <f ca="1">IF(AND($AA74=1,'Endrunde 4'!$L22&lt;&gt;"",'Endrunde 4'!$N22&lt;&gt;"",ABS('Endrunde 4'!$L22-'Endrunde 4'!$N22)&gt;1),'Endrunde 4'!$N22,"")</f>
        <v/>
      </c>
      <c r="Z74" s="34" t="str">
        <f t="shared" ca="1" si="42"/>
        <v>FC Barcelona</v>
      </c>
      <c r="AA74" s="13">
        <f ca="1">IF(AND(V74&lt;&gt;"",W74&lt;&gt;"",V74&lt;&gt;W74,'Endrunde 4'!$U22&lt;&gt;"",'Endrunde 4'!$W22&lt;&gt;""),1,0)</f>
        <v>0</v>
      </c>
      <c r="AB74" s="13" t="str">
        <f ca="1">IF(AA74&gt;0,AH74&amp;Sprache!$E$108&amp;AI74,"")</f>
        <v/>
      </c>
      <c r="AC74" s="35" t="str">
        <f ca="1">IF(AA74&gt;0,AJ74&amp;Sprache!$E$108&amp;AK74,"")</f>
        <v/>
      </c>
      <c r="AD74" s="40" t="str">
        <f ca="1">IF(AND($AA74=1,'Endrunde 4'!$O22&lt;&gt;"",'Endrunde 4'!$Q22&lt;&gt;"",ABS('Endrunde 4'!$O22-'Endrunde 4'!$Q22)&gt;1),'Endrunde 4'!$O22,"")</f>
        <v/>
      </c>
      <c r="AE74" s="35" t="str">
        <f ca="1">IF(AND($AA74=1,'Endrunde 4'!$O22&lt;&gt;"",'Endrunde 4'!$Q22&lt;&gt;"",ABS('Endrunde 4'!$O22-'Endrunde 4'!$Q22)&gt;1),'Endrunde 4'!$Q22,"")</f>
        <v/>
      </c>
      <c r="AF74" s="40" t="str">
        <f ca="1">IF(AND($AA74=1,'Endrunde 4'!$R22&lt;&gt;"",'Endrunde 4'!$T22&lt;&gt;"",ABS('Endrunde 4'!$R22-'Endrunde 4'!$T22)&gt;1),'Endrunde 4'!$R22,"")</f>
        <v/>
      </c>
      <c r="AG74" s="35" t="str">
        <f ca="1">IF(AND($AA74=1,'Endrunde 4'!$R22&lt;&gt;"",'Endrunde 4'!$T22&lt;&gt;"",ABS('Endrunde 4'!$R22-'Endrunde 4'!$T22)&gt;1),'Endrunde 4'!$T22,"")</f>
        <v/>
      </c>
      <c r="AH74" s="40" t="str">
        <f t="shared" ca="1" si="43"/>
        <v/>
      </c>
      <c r="AI74" s="35" t="str">
        <f t="shared" ca="1" si="44"/>
        <v/>
      </c>
      <c r="AJ74" s="40">
        <f ca="1">IF('Endrunde 4'!$U22="",0,'Endrunde 4'!$U22)</f>
        <v>0</v>
      </c>
      <c r="AK74" s="35">
        <f ca="1">IF('Endrunde 4'!$W22="",0,'Endrunde 4'!$W22)</f>
        <v>0</v>
      </c>
      <c r="AL74" s="13" t="str">
        <f ca="1">IF($AA74=0,"",IF($AJ74&gt;$AK74,Einstellungen!$C$4,IF($AJ74=$AK74,1,0)))</f>
        <v/>
      </c>
      <c r="AM74" s="35" t="str">
        <f ca="1">IF($AA74=0,"",IF($AJ74&lt;$AK74,Einstellungen!$C$4,IF($AJ74=$AK74,1,0)))</f>
        <v/>
      </c>
    </row>
    <row r="75" spans="2:43" s="2" customFormat="1" x14ac:dyDescent="0.2">
      <c r="B75" s="4"/>
      <c r="C75" s="4"/>
      <c r="D75" s="4"/>
      <c r="E75" s="4"/>
      <c r="F75" s="13"/>
      <c r="G75" s="13"/>
      <c r="H75" s="13"/>
      <c r="I75" s="13"/>
      <c r="J75" s="13"/>
      <c r="K75" s="13"/>
      <c r="L75" s="13"/>
      <c r="M75" s="13"/>
      <c r="U75" s="65" t="s">
        <v>27</v>
      </c>
      <c r="V75" s="40" t="str">
        <f ca="1">'Endrunde 4'!$I23</f>
        <v>VFB Essenheim</v>
      </c>
      <c r="W75" s="13" t="str">
        <f ca="1">'Endrunde 4'!$K23</f>
        <v>1. FC Riedwald</v>
      </c>
      <c r="X75" s="13">
        <f ca="1">IF(AND($AA75=1,'Endrunde 4'!$L23&lt;&gt;"",'Endrunde 4'!$N23&lt;&gt;"",ABS('Endrunde 4'!$L23-'Endrunde 4'!$N23)&gt;1),'Endrunde 4'!$L23,"")</f>
        <v>19</v>
      </c>
      <c r="Y75" s="35">
        <f ca="1">IF(AND($AA75=1,'Endrunde 4'!$L23&lt;&gt;"",'Endrunde 4'!$N23&lt;&gt;"",ABS('Endrunde 4'!$L23-'Endrunde 4'!$N23)&gt;1),'Endrunde 4'!$N23,"")</f>
        <v>25</v>
      </c>
      <c r="Z75" s="34" t="str">
        <f t="shared" ca="1" si="42"/>
        <v>VFB Essenheim1. FC Riedwald</v>
      </c>
      <c r="AA75" s="13">
        <f ca="1">IF(AND(V75&lt;&gt;"",W75&lt;&gt;"",V75&lt;&gt;W75,'Endrunde 4'!$U23&lt;&gt;"",'Endrunde 4'!$W23&lt;&gt;""),1,0)</f>
        <v>1</v>
      </c>
      <c r="AB75" s="13" t="str">
        <f ca="1">IF(AA75&gt;0,AH75&amp;Sprache!$E$108&amp;AI75,"")</f>
        <v>44 : 37</v>
      </c>
      <c r="AC75" s="35" t="str">
        <f ca="1">IF(AA75&gt;0,AJ75&amp;Sprache!$E$108&amp;AK75,"")</f>
        <v>1 : 1</v>
      </c>
      <c r="AD75" s="40">
        <f ca="1">IF(AND($AA75=1,'Endrunde 4'!$O23&lt;&gt;"",'Endrunde 4'!$Q23&lt;&gt;"",ABS('Endrunde 4'!$O23-'Endrunde 4'!$Q23)&gt;1),'Endrunde 4'!$O23,"")</f>
        <v>25</v>
      </c>
      <c r="AE75" s="35">
        <f ca="1">IF(AND($AA75=1,'Endrunde 4'!$O23&lt;&gt;"",'Endrunde 4'!$Q23&lt;&gt;"",ABS('Endrunde 4'!$O23-'Endrunde 4'!$Q23)&gt;1),'Endrunde 4'!$Q23,"")</f>
        <v>12</v>
      </c>
      <c r="AF75" s="40" t="str">
        <f ca="1">IF(AND($AA75=1,'Endrunde 4'!$R23&lt;&gt;"",'Endrunde 4'!$T23&lt;&gt;"",ABS('Endrunde 4'!$R23-'Endrunde 4'!$T23)&gt;1),'Endrunde 4'!$R23,"")</f>
        <v/>
      </c>
      <c r="AG75" s="35" t="str">
        <f ca="1">IF(AND($AA75=1,'Endrunde 4'!$R23&lt;&gt;"",'Endrunde 4'!$T23&lt;&gt;"",ABS('Endrunde 4'!$R23-'Endrunde 4'!$T23)&gt;1),'Endrunde 4'!$T23,"")</f>
        <v/>
      </c>
      <c r="AH75" s="40">
        <f t="shared" ca="1" si="43"/>
        <v>44</v>
      </c>
      <c r="AI75" s="35">
        <f t="shared" ca="1" si="44"/>
        <v>37</v>
      </c>
      <c r="AJ75" s="40">
        <f ca="1">IF('Endrunde 4'!$U23="",0,'Endrunde 4'!$U23)</f>
        <v>1</v>
      </c>
      <c r="AK75" s="35">
        <f ca="1">IF('Endrunde 4'!$W23="",0,'Endrunde 4'!$W23)</f>
        <v>1</v>
      </c>
      <c r="AL75" s="13">
        <f ca="1">IF($AA75=0,"",IF($AJ75&gt;$AK75,Einstellungen!$C$4,IF($AJ75=$AK75,1,0)))</f>
        <v>1</v>
      </c>
      <c r="AM75" s="35">
        <f ca="1">IF($AA75=0,"",IF($AJ75&lt;$AK75,Einstellungen!$C$4,IF($AJ75=$AK75,1,0)))</f>
        <v>1</v>
      </c>
    </row>
    <row r="76" spans="2:43" s="2" customFormat="1" x14ac:dyDescent="0.2">
      <c r="B76" s="4"/>
      <c r="C76" s="4"/>
      <c r="D76" s="4"/>
      <c r="E76" s="4"/>
      <c r="F76" s="13"/>
      <c r="G76" s="13"/>
      <c r="H76" s="13"/>
      <c r="I76" s="13"/>
      <c r="J76" s="13"/>
      <c r="K76" s="13"/>
      <c r="L76" s="13"/>
      <c r="M76" s="13"/>
      <c r="U76" s="65" t="s">
        <v>28</v>
      </c>
      <c r="V76" s="40" t="str">
        <f ca="1">'Endrunde 4'!$I24</f>
        <v>Eintracht Frankfurt</v>
      </c>
      <c r="W76" s="13" t="str">
        <f ca="1">'Endrunde 4'!$K24</f>
        <v>Maibach 1822 eV</v>
      </c>
      <c r="X76" s="13">
        <f ca="1">IF(AND($AA76=1,'Endrunde 4'!$L24&lt;&gt;"",'Endrunde 4'!$N24&lt;&gt;"",ABS('Endrunde 4'!$L24-'Endrunde 4'!$N24)&gt;1),'Endrunde 4'!$L24,"")</f>
        <v>13</v>
      </c>
      <c r="Y76" s="35">
        <f ca="1">IF(AND($AA76=1,'Endrunde 4'!$L24&lt;&gt;"",'Endrunde 4'!$N24&lt;&gt;"",ABS('Endrunde 4'!$L24-'Endrunde 4'!$N24)&gt;1),'Endrunde 4'!$N24,"")</f>
        <v>25</v>
      </c>
      <c r="Z76" s="34" t="str">
        <f t="shared" ca="1" si="42"/>
        <v>Eintracht FrankfurtMaibach 1822 eV</v>
      </c>
      <c r="AA76" s="13">
        <f ca="1">IF(AND(V76&lt;&gt;"",W76&lt;&gt;"",V76&lt;&gt;W76,'Endrunde 4'!$U24&lt;&gt;"",'Endrunde 4'!$W24&lt;&gt;""),1,0)</f>
        <v>1</v>
      </c>
      <c r="AB76" s="13" t="str">
        <f ca="1">IF(AA76&gt;0,AH76&amp;Sprache!$E$108&amp;AI76,"")</f>
        <v>31 : 50</v>
      </c>
      <c r="AC76" s="35" t="str">
        <f ca="1">IF(AA76&gt;0,AJ76&amp;Sprache!$E$108&amp;AK76,"")</f>
        <v>0 : 2</v>
      </c>
      <c r="AD76" s="40">
        <f ca="1">IF(AND($AA76=1,'Endrunde 4'!$O24&lt;&gt;"",'Endrunde 4'!$Q24&lt;&gt;"",ABS('Endrunde 4'!$O24-'Endrunde 4'!$Q24)&gt;1),'Endrunde 4'!$O24,"")</f>
        <v>18</v>
      </c>
      <c r="AE76" s="35">
        <f ca="1">IF(AND($AA76=1,'Endrunde 4'!$O24&lt;&gt;"",'Endrunde 4'!$Q24&lt;&gt;"",ABS('Endrunde 4'!$O24-'Endrunde 4'!$Q24)&gt;1),'Endrunde 4'!$Q24,"")</f>
        <v>25</v>
      </c>
      <c r="AF76" s="40" t="str">
        <f ca="1">IF(AND($AA76=1,'Endrunde 4'!$R24&lt;&gt;"",'Endrunde 4'!$T24&lt;&gt;"",ABS('Endrunde 4'!$R24-'Endrunde 4'!$T24)&gt;1),'Endrunde 4'!$R24,"")</f>
        <v/>
      </c>
      <c r="AG76" s="35" t="str">
        <f ca="1">IF(AND($AA76=1,'Endrunde 4'!$R24&lt;&gt;"",'Endrunde 4'!$T24&lt;&gt;"",ABS('Endrunde 4'!$R24-'Endrunde 4'!$T24)&gt;1),'Endrunde 4'!$T24,"")</f>
        <v/>
      </c>
      <c r="AH76" s="40">
        <f t="shared" ca="1" si="43"/>
        <v>31</v>
      </c>
      <c r="AI76" s="35">
        <f t="shared" ca="1" si="44"/>
        <v>50</v>
      </c>
      <c r="AJ76" s="40">
        <f ca="1">IF('Endrunde 4'!$U24="",0,'Endrunde 4'!$U24)</f>
        <v>0</v>
      </c>
      <c r="AK76" s="35">
        <f ca="1">IF('Endrunde 4'!$W24="",0,'Endrunde 4'!$W24)</f>
        <v>2</v>
      </c>
      <c r="AL76" s="13">
        <f ca="1">IF($AA76=0,"",IF($AJ76&gt;$AK76,Einstellungen!$C$4,IF($AJ76=$AK76,1,0)))</f>
        <v>0</v>
      </c>
      <c r="AM76" s="35">
        <f ca="1">IF($AA76=0,"",IF($AJ76&lt;$AK76,Einstellungen!$C$4,IF($AJ76=$AK76,1,0)))</f>
        <v>2</v>
      </c>
    </row>
    <row r="77" spans="2:43" s="2" customFormat="1" x14ac:dyDescent="0.2">
      <c r="B77" s="4"/>
      <c r="C77" s="4"/>
      <c r="D77" s="4"/>
      <c r="E77" s="4"/>
      <c r="F77" s="13"/>
      <c r="G77" s="13"/>
      <c r="H77" s="13"/>
      <c r="I77" s="13"/>
      <c r="J77" s="13"/>
      <c r="K77" s="13"/>
      <c r="L77" s="13"/>
      <c r="M77" s="13"/>
      <c r="U77" s="65" t="s">
        <v>29</v>
      </c>
      <c r="V77" s="40" t="str">
        <f ca="1">'Endrunde 4'!$I25</f>
        <v/>
      </c>
      <c r="W77" s="13" t="str">
        <f ca="1">'Endrunde 4'!$K25</f>
        <v/>
      </c>
      <c r="X77" s="13" t="str">
        <f ca="1">IF(AND($AA77=1,'Endrunde 4'!$L25&lt;&gt;"",'Endrunde 4'!$N25&lt;&gt;"",ABS('Endrunde 4'!$L25-'Endrunde 4'!$N25)&gt;1),'Endrunde 4'!$L25,"")</f>
        <v/>
      </c>
      <c r="Y77" s="35" t="str">
        <f ca="1">IF(AND($AA77=1,'Endrunde 4'!$L25&lt;&gt;"",'Endrunde 4'!$N25&lt;&gt;"",ABS('Endrunde 4'!$L25-'Endrunde 4'!$N25)&gt;1),'Endrunde 4'!$N25,"")</f>
        <v/>
      </c>
      <c r="Z77" s="34" t="str">
        <f t="shared" ca="1" si="42"/>
        <v/>
      </c>
      <c r="AA77" s="13">
        <f ca="1">IF(AND(V77&lt;&gt;"",W77&lt;&gt;"",V77&lt;&gt;W77,'Endrunde 4'!$U25&lt;&gt;"",'Endrunde 4'!$W25&lt;&gt;""),1,0)</f>
        <v>0</v>
      </c>
      <c r="AB77" s="13" t="str">
        <f ca="1">IF(AA77&gt;0,AH77&amp;Sprache!$E$108&amp;AI77,"")</f>
        <v/>
      </c>
      <c r="AC77" s="35" t="str">
        <f ca="1">IF(AA77&gt;0,AJ77&amp;Sprache!$E$108&amp;AK77,"")</f>
        <v/>
      </c>
      <c r="AD77" s="40" t="str">
        <f ca="1">IF(AND($AA77=1,'Endrunde 4'!$O25&lt;&gt;"",'Endrunde 4'!$Q25&lt;&gt;"",ABS('Endrunde 4'!$O25-'Endrunde 4'!$Q25)&gt;1),'Endrunde 4'!$O25,"")</f>
        <v/>
      </c>
      <c r="AE77" s="35" t="str">
        <f ca="1">IF(AND($AA77=1,'Endrunde 4'!$O25&lt;&gt;"",'Endrunde 4'!$Q25&lt;&gt;"",ABS('Endrunde 4'!$O25-'Endrunde 4'!$Q25)&gt;1),'Endrunde 4'!$Q25,"")</f>
        <v/>
      </c>
      <c r="AF77" s="40" t="str">
        <f ca="1">IF(AND($AA77=1,'Endrunde 4'!$R25&lt;&gt;"",'Endrunde 4'!$T25&lt;&gt;"",ABS('Endrunde 4'!$R25-'Endrunde 4'!$T25)&gt;1),'Endrunde 4'!$R25,"")</f>
        <v/>
      </c>
      <c r="AG77" s="35" t="str">
        <f ca="1">IF(AND($AA77=1,'Endrunde 4'!$R25&lt;&gt;"",'Endrunde 4'!$T25&lt;&gt;"",ABS('Endrunde 4'!$R25-'Endrunde 4'!$T25)&gt;1),'Endrunde 4'!$T25,"")</f>
        <v/>
      </c>
      <c r="AH77" s="40" t="str">
        <f t="shared" ca="1" si="43"/>
        <v/>
      </c>
      <c r="AI77" s="35" t="str">
        <f t="shared" ca="1" si="44"/>
        <v/>
      </c>
      <c r="AJ77" s="40">
        <f ca="1">IF('Endrunde 4'!$U25="",0,'Endrunde 4'!$U25)</f>
        <v>0</v>
      </c>
      <c r="AK77" s="35">
        <f ca="1">IF('Endrunde 4'!$W25="",0,'Endrunde 4'!$W25)</f>
        <v>0</v>
      </c>
      <c r="AL77" s="13" t="str">
        <f ca="1">IF($AA77=0,"",IF($AJ77&gt;$AK77,Einstellungen!$C$4,IF($AJ77=$AK77,1,0)))</f>
        <v/>
      </c>
      <c r="AM77" s="35" t="str">
        <f ca="1">IF($AA77=0,"",IF($AJ77&lt;$AK77,Einstellungen!$C$4,IF($AJ77=$AK77,1,0)))</f>
        <v/>
      </c>
    </row>
    <row r="78" spans="2:43" s="2" customFormat="1" x14ac:dyDescent="0.2">
      <c r="B78" s="4"/>
      <c r="C78" s="4"/>
      <c r="D78" s="4"/>
      <c r="E78" s="4"/>
      <c r="F78" s="13"/>
      <c r="G78" s="13"/>
      <c r="H78" s="13"/>
      <c r="I78" s="13"/>
      <c r="J78" s="13"/>
      <c r="K78" s="13"/>
      <c r="L78" s="13"/>
      <c r="M78" s="13"/>
      <c r="U78" s="65" t="s">
        <v>30</v>
      </c>
      <c r="V78" s="40" t="str">
        <f ca="1">'Endrunde 4'!$I26</f>
        <v>Inter Mailand</v>
      </c>
      <c r="W78" s="13" t="str">
        <f ca="1">'Endrunde 4'!$K26</f>
        <v/>
      </c>
      <c r="X78" s="13" t="str">
        <f ca="1">IF(AND($AA78=1,'Endrunde 4'!$L26&lt;&gt;"",'Endrunde 4'!$N26&lt;&gt;"",ABS('Endrunde 4'!$L26-'Endrunde 4'!$N26)&gt;1),'Endrunde 4'!$L26,"")</f>
        <v/>
      </c>
      <c r="Y78" s="35" t="str">
        <f ca="1">IF(AND($AA78=1,'Endrunde 4'!$L26&lt;&gt;"",'Endrunde 4'!$N26&lt;&gt;"",ABS('Endrunde 4'!$L26-'Endrunde 4'!$N26)&gt;1),'Endrunde 4'!$N26,"")</f>
        <v/>
      </c>
      <c r="Z78" s="34" t="str">
        <f t="shared" ca="1" si="42"/>
        <v>Inter Mailand</v>
      </c>
      <c r="AA78" s="13">
        <f ca="1">IF(AND(V78&lt;&gt;"",W78&lt;&gt;"",V78&lt;&gt;W78,'Endrunde 4'!$U26&lt;&gt;"",'Endrunde 4'!$W26&lt;&gt;""),1,0)</f>
        <v>0</v>
      </c>
      <c r="AB78" s="13" t="str">
        <f ca="1">IF(AA78&gt;0,AH78&amp;Sprache!$E$108&amp;AI78,"")</f>
        <v/>
      </c>
      <c r="AC78" s="35" t="str">
        <f ca="1">IF(AA78&gt;0,AJ78&amp;Sprache!$E$108&amp;AK78,"")</f>
        <v/>
      </c>
      <c r="AD78" s="40" t="str">
        <f ca="1">IF(AND($AA78=1,'Endrunde 4'!$O26&lt;&gt;"",'Endrunde 4'!$Q26&lt;&gt;"",ABS('Endrunde 4'!$O26-'Endrunde 4'!$Q26)&gt;1),'Endrunde 4'!$O26,"")</f>
        <v/>
      </c>
      <c r="AE78" s="35" t="str">
        <f ca="1">IF(AND($AA78=1,'Endrunde 4'!$O26&lt;&gt;"",'Endrunde 4'!$Q26&lt;&gt;"",ABS('Endrunde 4'!$O26-'Endrunde 4'!$Q26)&gt;1),'Endrunde 4'!$Q26,"")</f>
        <v/>
      </c>
      <c r="AF78" s="40" t="str">
        <f ca="1">IF(AND($AA78=1,'Endrunde 4'!$R26&lt;&gt;"",'Endrunde 4'!$T26&lt;&gt;"",ABS('Endrunde 4'!$R26-'Endrunde 4'!$T26)&gt;1),'Endrunde 4'!$R26,"")</f>
        <v/>
      </c>
      <c r="AG78" s="35" t="str">
        <f ca="1">IF(AND($AA78=1,'Endrunde 4'!$R26&lt;&gt;"",'Endrunde 4'!$T26&lt;&gt;"",ABS('Endrunde 4'!$R26-'Endrunde 4'!$T26)&gt;1),'Endrunde 4'!$T26,"")</f>
        <v/>
      </c>
      <c r="AH78" s="40" t="str">
        <f t="shared" ca="1" si="43"/>
        <v/>
      </c>
      <c r="AI78" s="35" t="str">
        <f t="shared" ca="1" si="44"/>
        <v/>
      </c>
      <c r="AJ78" s="40">
        <f ca="1">IF('Endrunde 4'!$U26="",0,'Endrunde 4'!$U26)</f>
        <v>0</v>
      </c>
      <c r="AK78" s="35">
        <f ca="1">IF('Endrunde 4'!$W26="",0,'Endrunde 4'!$W26)</f>
        <v>0</v>
      </c>
      <c r="AL78" s="13" t="str">
        <f ca="1">IF($AA78=0,"",IF($AJ78&gt;$AK78,Einstellungen!$C$4,IF($AJ78=$AK78,1,0)))</f>
        <v/>
      </c>
      <c r="AM78" s="35" t="str">
        <f ca="1">IF($AA78=0,"",IF($AJ78&lt;$AK78,Einstellungen!$C$4,IF($AJ78=$AK78,1,0)))</f>
        <v/>
      </c>
    </row>
    <row r="79" spans="2:43" s="2" customFormat="1" x14ac:dyDescent="0.2">
      <c r="B79" s="4"/>
      <c r="C79" s="4"/>
      <c r="D79" s="4"/>
      <c r="E79" s="4"/>
      <c r="F79" s="13"/>
      <c r="G79" s="13"/>
      <c r="H79" s="13"/>
      <c r="I79" s="13"/>
      <c r="J79" s="13"/>
      <c r="K79" s="13"/>
      <c r="L79" s="13"/>
      <c r="M79" s="13"/>
      <c r="U79" s="65" t="s">
        <v>31</v>
      </c>
      <c r="V79" s="40" t="str">
        <f ca="1">'Endrunde 4'!$I27</f>
        <v>FC Grönlingen</v>
      </c>
      <c r="W79" s="13" t="str">
        <f ca="1">'Endrunde 4'!$K27</f>
        <v>SSV Wildbach</v>
      </c>
      <c r="X79" s="13">
        <f ca="1">IF(AND($AA79=1,'Endrunde 4'!$L27&lt;&gt;"",'Endrunde 4'!$N27&lt;&gt;"",ABS('Endrunde 4'!$L27-'Endrunde 4'!$N27)&gt;1),'Endrunde 4'!$L27,"")</f>
        <v>22</v>
      </c>
      <c r="Y79" s="35">
        <f ca="1">IF(AND($AA79=1,'Endrunde 4'!$L27&lt;&gt;"",'Endrunde 4'!$N27&lt;&gt;"",ABS('Endrunde 4'!$L27-'Endrunde 4'!$N27)&gt;1),'Endrunde 4'!$N27,"")</f>
        <v>25</v>
      </c>
      <c r="Z79" s="34" t="str">
        <f t="shared" ca="1" si="42"/>
        <v>FC GrönlingenSSV Wildbach</v>
      </c>
      <c r="AA79" s="13">
        <f ca="1">IF(AND(V79&lt;&gt;"",W79&lt;&gt;"",V79&lt;&gt;W79,'Endrunde 4'!$U27&lt;&gt;"",'Endrunde 4'!$W27&lt;&gt;""),1,0)</f>
        <v>1</v>
      </c>
      <c r="AB79" s="13" t="str">
        <f ca="1">IF(AA79&gt;0,AH79&amp;Sprache!$E$108&amp;AI79,"")</f>
        <v>47 : 45</v>
      </c>
      <c r="AC79" s="35" t="str">
        <f ca="1">IF(AA79&gt;0,AJ79&amp;Sprache!$E$108&amp;AK79,"")</f>
        <v>1 : 1</v>
      </c>
      <c r="AD79" s="40">
        <f ca="1">IF(AND($AA79=1,'Endrunde 4'!$O27&lt;&gt;"",'Endrunde 4'!$Q27&lt;&gt;"",ABS('Endrunde 4'!$O27-'Endrunde 4'!$Q27)&gt;1),'Endrunde 4'!$O27,"")</f>
        <v>25</v>
      </c>
      <c r="AE79" s="35">
        <f ca="1">IF(AND($AA79=1,'Endrunde 4'!$O27&lt;&gt;"",'Endrunde 4'!$Q27&lt;&gt;"",ABS('Endrunde 4'!$O27-'Endrunde 4'!$Q27)&gt;1),'Endrunde 4'!$Q27,"")</f>
        <v>20</v>
      </c>
      <c r="AF79" s="40" t="str">
        <f ca="1">IF(AND($AA79=1,'Endrunde 4'!$R27&lt;&gt;"",'Endrunde 4'!$T27&lt;&gt;"",ABS('Endrunde 4'!$R27-'Endrunde 4'!$T27)&gt;1),'Endrunde 4'!$R27,"")</f>
        <v/>
      </c>
      <c r="AG79" s="35" t="str">
        <f ca="1">IF(AND($AA79=1,'Endrunde 4'!$R27&lt;&gt;"",'Endrunde 4'!$T27&lt;&gt;"",ABS('Endrunde 4'!$R27-'Endrunde 4'!$T27)&gt;1),'Endrunde 4'!$T27,"")</f>
        <v/>
      </c>
      <c r="AH79" s="40">
        <f t="shared" ca="1" si="43"/>
        <v>47</v>
      </c>
      <c r="AI79" s="35">
        <f t="shared" ca="1" si="44"/>
        <v>45</v>
      </c>
      <c r="AJ79" s="40">
        <f ca="1">IF('Endrunde 4'!$U27="",0,'Endrunde 4'!$U27)</f>
        <v>1</v>
      </c>
      <c r="AK79" s="35">
        <f ca="1">IF('Endrunde 4'!$W27="",0,'Endrunde 4'!$W27)</f>
        <v>1</v>
      </c>
      <c r="AL79" s="13">
        <f ca="1">IF($AA79=0,"",IF($AJ79&gt;$AK79,Einstellungen!$C$4,IF($AJ79=$AK79,1,0)))</f>
        <v>1</v>
      </c>
      <c r="AM79" s="35">
        <f ca="1">IF($AA79=0,"",IF($AJ79&lt;$AK79,Einstellungen!$C$4,IF($AJ79=$AK79,1,0)))</f>
        <v>1</v>
      </c>
    </row>
    <row r="80" spans="2:43" s="2" customFormat="1" x14ac:dyDescent="0.2">
      <c r="B80" s="4"/>
      <c r="C80" s="4"/>
      <c r="D80" s="4"/>
      <c r="E80" s="4"/>
      <c r="F80" s="13"/>
      <c r="G80" s="13"/>
      <c r="H80" s="13"/>
      <c r="I80" s="13"/>
      <c r="J80" s="13"/>
      <c r="K80" s="13"/>
      <c r="L80" s="13"/>
      <c r="M80" s="13"/>
      <c r="U80" s="65" t="s">
        <v>32</v>
      </c>
      <c r="V80" s="40" t="str">
        <f ca="1">'Endrunde 4'!$I28</f>
        <v>Mainz 05</v>
      </c>
      <c r="W80" s="13" t="str">
        <f ca="1">'Endrunde 4'!$K28</f>
        <v>Manchester City</v>
      </c>
      <c r="X80" s="13">
        <f ca="1">IF(AND($AA80=1,'Endrunde 4'!$L28&lt;&gt;"",'Endrunde 4'!$N28&lt;&gt;"",ABS('Endrunde 4'!$L28-'Endrunde 4'!$N28)&gt;1),'Endrunde 4'!$L28,"")</f>
        <v>19</v>
      </c>
      <c r="Y80" s="35">
        <f ca="1">IF(AND($AA80=1,'Endrunde 4'!$L28&lt;&gt;"",'Endrunde 4'!$N28&lt;&gt;"",ABS('Endrunde 4'!$L28-'Endrunde 4'!$N28)&gt;1),'Endrunde 4'!$N28,"")</f>
        <v>25</v>
      </c>
      <c r="Z80" s="34" t="str">
        <f t="shared" ca="1" si="42"/>
        <v>Mainz 05Manchester City</v>
      </c>
      <c r="AA80" s="13">
        <f ca="1">IF(AND(V80&lt;&gt;"",W80&lt;&gt;"",V80&lt;&gt;W80,'Endrunde 4'!$U28&lt;&gt;"",'Endrunde 4'!$W28&lt;&gt;""),1,0)</f>
        <v>1</v>
      </c>
      <c r="AB80" s="13" t="str">
        <f ca="1">IF(AA80&gt;0,AH80&amp;Sprache!$E$108&amp;AI80,"")</f>
        <v>44 : 44</v>
      </c>
      <c r="AC80" s="35" t="str">
        <f ca="1">IF(AA80&gt;0,AJ80&amp;Sprache!$E$108&amp;AK80,"")</f>
        <v>1 : 1</v>
      </c>
      <c r="AD80" s="40">
        <f ca="1">IF(AND($AA80=1,'Endrunde 4'!$O28&lt;&gt;"",'Endrunde 4'!$Q28&lt;&gt;"",ABS('Endrunde 4'!$O28-'Endrunde 4'!$Q28)&gt;1),'Endrunde 4'!$O28,"")</f>
        <v>25</v>
      </c>
      <c r="AE80" s="35">
        <f ca="1">IF(AND($AA80=1,'Endrunde 4'!$O28&lt;&gt;"",'Endrunde 4'!$Q28&lt;&gt;"",ABS('Endrunde 4'!$O28-'Endrunde 4'!$Q28)&gt;1),'Endrunde 4'!$Q28,"")</f>
        <v>19</v>
      </c>
      <c r="AF80" s="40" t="str">
        <f ca="1">IF(AND($AA80=1,'Endrunde 4'!$R28&lt;&gt;"",'Endrunde 4'!$T28&lt;&gt;"",ABS('Endrunde 4'!$R28-'Endrunde 4'!$T28)&gt;1),'Endrunde 4'!$R28,"")</f>
        <v/>
      </c>
      <c r="AG80" s="35" t="str">
        <f ca="1">IF(AND($AA80=1,'Endrunde 4'!$R28&lt;&gt;"",'Endrunde 4'!$T28&lt;&gt;"",ABS('Endrunde 4'!$R28-'Endrunde 4'!$T28)&gt;1),'Endrunde 4'!$T28,"")</f>
        <v/>
      </c>
      <c r="AH80" s="40">
        <f t="shared" ca="1" si="43"/>
        <v>44</v>
      </c>
      <c r="AI80" s="35">
        <f t="shared" ca="1" si="44"/>
        <v>44</v>
      </c>
      <c r="AJ80" s="40">
        <f ca="1">IF('Endrunde 4'!$U28="",0,'Endrunde 4'!$U28)</f>
        <v>1</v>
      </c>
      <c r="AK80" s="35">
        <f ca="1">IF('Endrunde 4'!$W28="",0,'Endrunde 4'!$W28)</f>
        <v>1</v>
      </c>
      <c r="AL80" s="13">
        <f ca="1">IF($AA80=0,"",IF($AJ80&gt;$AK80,Einstellungen!$C$4,IF($AJ80=$AK80,1,0)))</f>
        <v>1</v>
      </c>
      <c r="AM80" s="35">
        <f ca="1">IF($AA80=0,"",IF($AJ80&lt;$AK80,Einstellungen!$C$4,IF($AJ80=$AK80,1,0)))</f>
        <v>1</v>
      </c>
    </row>
    <row r="81" spans="2:39" s="2" customFormat="1" x14ac:dyDescent="0.2">
      <c r="B81" s="4"/>
      <c r="C81" s="4"/>
      <c r="D81" s="4"/>
      <c r="E81" s="4"/>
      <c r="F81" s="13"/>
      <c r="G81" s="13"/>
      <c r="H81" s="13"/>
      <c r="I81" s="13"/>
      <c r="J81" s="13"/>
      <c r="K81" s="13"/>
      <c r="L81" s="13"/>
      <c r="M81" s="13"/>
      <c r="U81" s="65" t="s">
        <v>33</v>
      </c>
      <c r="V81" s="40" t="str">
        <f ca="1">'Endrunde 4'!$I29</f>
        <v/>
      </c>
      <c r="W81" s="13" t="str">
        <f ca="1">'Endrunde 4'!$K29</f>
        <v/>
      </c>
      <c r="X81" s="13" t="str">
        <f ca="1">IF(AND($AA81=1,'Endrunde 4'!$L29&lt;&gt;"",'Endrunde 4'!$N29&lt;&gt;"",ABS('Endrunde 4'!$L29-'Endrunde 4'!$N29)&gt;1),'Endrunde 4'!$L29,"")</f>
        <v/>
      </c>
      <c r="Y81" s="35" t="str">
        <f ca="1">IF(AND($AA81=1,'Endrunde 4'!$L29&lt;&gt;"",'Endrunde 4'!$N29&lt;&gt;"",ABS('Endrunde 4'!$L29-'Endrunde 4'!$N29)&gt;1),'Endrunde 4'!$N29,"")</f>
        <v/>
      </c>
      <c r="Z81" s="34" t="str">
        <f t="shared" ca="1" si="42"/>
        <v/>
      </c>
      <c r="AA81" s="13">
        <f ca="1">IF(AND(V81&lt;&gt;"",W81&lt;&gt;"",V81&lt;&gt;W81,'Endrunde 4'!$U29&lt;&gt;"",'Endrunde 4'!$W29&lt;&gt;""),1,0)</f>
        <v>0</v>
      </c>
      <c r="AB81" s="13" t="str">
        <f ca="1">IF(AA81&gt;0,AH81&amp;Sprache!$E$108&amp;AI81,"")</f>
        <v/>
      </c>
      <c r="AC81" s="35" t="str">
        <f ca="1">IF(AA81&gt;0,AJ81&amp;Sprache!$E$108&amp;AK81,"")</f>
        <v/>
      </c>
      <c r="AD81" s="40" t="str">
        <f ca="1">IF(AND($AA81=1,'Endrunde 4'!$O29&lt;&gt;"",'Endrunde 4'!$Q29&lt;&gt;"",ABS('Endrunde 4'!$O29-'Endrunde 4'!$Q29)&gt;1),'Endrunde 4'!$O29,"")</f>
        <v/>
      </c>
      <c r="AE81" s="35" t="str">
        <f ca="1">IF(AND($AA81=1,'Endrunde 4'!$O29&lt;&gt;"",'Endrunde 4'!$Q29&lt;&gt;"",ABS('Endrunde 4'!$O29-'Endrunde 4'!$Q29)&gt;1),'Endrunde 4'!$Q29,"")</f>
        <v/>
      </c>
      <c r="AF81" s="40" t="str">
        <f ca="1">IF(AND($AA81=1,'Endrunde 4'!$R29&lt;&gt;"",'Endrunde 4'!$T29&lt;&gt;"",ABS('Endrunde 4'!$R29-'Endrunde 4'!$T29)&gt;1),'Endrunde 4'!$R29,"")</f>
        <v/>
      </c>
      <c r="AG81" s="35" t="str">
        <f ca="1">IF(AND($AA81=1,'Endrunde 4'!$R29&lt;&gt;"",'Endrunde 4'!$T29&lt;&gt;"",ABS('Endrunde 4'!$R29-'Endrunde 4'!$T29)&gt;1),'Endrunde 4'!$T29,"")</f>
        <v/>
      </c>
      <c r="AH81" s="40" t="str">
        <f t="shared" ca="1" si="43"/>
        <v/>
      </c>
      <c r="AI81" s="35" t="str">
        <f t="shared" ca="1" si="44"/>
        <v/>
      </c>
      <c r="AJ81" s="40">
        <f ca="1">IF('Endrunde 4'!$U29="",0,'Endrunde 4'!$U29)</f>
        <v>0</v>
      </c>
      <c r="AK81" s="35">
        <f ca="1">IF('Endrunde 4'!$W29="",0,'Endrunde 4'!$W29)</f>
        <v>0</v>
      </c>
      <c r="AL81" s="13" t="str">
        <f ca="1">IF($AA81=0,"",IF($AJ81&gt;$AK81,Einstellungen!$C$4,IF($AJ81=$AK81,1,0)))</f>
        <v/>
      </c>
      <c r="AM81" s="35" t="str">
        <f ca="1">IF($AA81=0,"",IF($AJ81&lt;$AK81,Einstellungen!$C$4,IF($AJ81=$AK81,1,0)))</f>
        <v/>
      </c>
    </row>
    <row r="82" spans="2:39" s="2" customFormat="1" x14ac:dyDescent="0.2">
      <c r="B82" s="4"/>
      <c r="C82" s="4"/>
      <c r="D82" s="4"/>
      <c r="E82" s="4"/>
      <c r="F82" s="13"/>
      <c r="G82" s="13"/>
      <c r="H82" s="13"/>
      <c r="I82" s="13"/>
      <c r="J82" s="13"/>
      <c r="K82" s="13"/>
      <c r="L82" s="13"/>
      <c r="M82" s="13"/>
      <c r="U82" s="65" t="s">
        <v>34</v>
      </c>
      <c r="V82" s="40" t="str">
        <f ca="1">'Endrunde 4'!$I30</f>
        <v/>
      </c>
      <c r="W82" s="13" t="str">
        <f ca="1">'Endrunde 4'!$K30</f>
        <v/>
      </c>
      <c r="X82" s="13" t="str">
        <f ca="1">IF(AND($AA82=1,'Endrunde 4'!$L30&lt;&gt;"",'Endrunde 4'!$N30&lt;&gt;"",ABS('Endrunde 4'!$L30-'Endrunde 4'!$N30)&gt;1),'Endrunde 4'!$L30,"")</f>
        <v/>
      </c>
      <c r="Y82" s="35" t="str">
        <f ca="1">IF(AND($AA82=1,'Endrunde 4'!$L30&lt;&gt;"",'Endrunde 4'!$N30&lt;&gt;"",ABS('Endrunde 4'!$L30-'Endrunde 4'!$N30)&gt;1),'Endrunde 4'!$N30,"")</f>
        <v/>
      </c>
      <c r="Z82" s="34" t="str">
        <f t="shared" ca="1" si="42"/>
        <v/>
      </c>
      <c r="AA82" s="13">
        <f ca="1">IF(AND(V82&lt;&gt;"",W82&lt;&gt;"",V82&lt;&gt;W82,'Endrunde 4'!$U30&lt;&gt;"",'Endrunde 4'!$W30&lt;&gt;""),1,0)</f>
        <v>0</v>
      </c>
      <c r="AB82" s="13" t="str">
        <f ca="1">IF(AA82&gt;0,AH82&amp;Sprache!$E$108&amp;AI82,"")</f>
        <v/>
      </c>
      <c r="AC82" s="35" t="str">
        <f ca="1">IF(AA82&gt;0,AJ82&amp;Sprache!$E$108&amp;AK82,"")</f>
        <v/>
      </c>
      <c r="AD82" s="40" t="str">
        <f ca="1">IF(AND($AA82=1,'Endrunde 4'!$O30&lt;&gt;"",'Endrunde 4'!$Q30&lt;&gt;"",ABS('Endrunde 4'!$O30-'Endrunde 4'!$Q30)&gt;1),'Endrunde 4'!$O30,"")</f>
        <v/>
      </c>
      <c r="AE82" s="35" t="str">
        <f ca="1">IF(AND($AA82=1,'Endrunde 4'!$O30&lt;&gt;"",'Endrunde 4'!$Q30&lt;&gt;"",ABS('Endrunde 4'!$O30-'Endrunde 4'!$Q30)&gt;1),'Endrunde 4'!$Q30,"")</f>
        <v/>
      </c>
      <c r="AF82" s="40" t="str">
        <f ca="1">IF(AND($AA82=1,'Endrunde 4'!$R30&lt;&gt;"",'Endrunde 4'!$T30&lt;&gt;"",ABS('Endrunde 4'!$R30-'Endrunde 4'!$T30)&gt;1),'Endrunde 4'!$R30,"")</f>
        <v/>
      </c>
      <c r="AG82" s="35" t="str">
        <f ca="1">IF(AND($AA82=1,'Endrunde 4'!$R30&lt;&gt;"",'Endrunde 4'!$T30&lt;&gt;"",ABS('Endrunde 4'!$R30-'Endrunde 4'!$T30)&gt;1),'Endrunde 4'!$T30,"")</f>
        <v/>
      </c>
      <c r="AH82" s="40" t="str">
        <f t="shared" ca="1" si="43"/>
        <v/>
      </c>
      <c r="AI82" s="35" t="str">
        <f t="shared" ca="1" si="44"/>
        <v/>
      </c>
      <c r="AJ82" s="40">
        <f ca="1">IF('Endrunde 4'!$U30="",0,'Endrunde 4'!$U30)</f>
        <v>0</v>
      </c>
      <c r="AK82" s="35">
        <f ca="1">IF('Endrunde 4'!$W30="",0,'Endrunde 4'!$W30)</f>
        <v>0</v>
      </c>
      <c r="AL82" s="13" t="str">
        <f ca="1">IF($AA82=0,"",IF($AJ82&gt;$AK82,Einstellungen!$C$4,IF($AJ82=$AK82,1,0)))</f>
        <v/>
      </c>
      <c r="AM82" s="35" t="str">
        <f ca="1">IF($AA82=0,"",IF($AJ82&lt;$AK82,Einstellungen!$C$4,IF($AJ82=$AK82,1,0)))</f>
        <v/>
      </c>
    </row>
    <row r="83" spans="2:39" s="2" customFormat="1" x14ac:dyDescent="0.2">
      <c r="B83" s="4"/>
      <c r="C83" s="4"/>
      <c r="D83" s="4"/>
      <c r="E83" s="4"/>
      <c r="F83" s="13"/>
      <c r="G83" s="13"/>
      <c r="H83" s="13"/>
      <c r="I83" s="13"/>
      <c r="J83" s="13"/>
      <c r="K83" s="13"/>
      <c r="L83" s="13"/>
      <c r="M83" s="13"/>
      <c r="U83" s="65" t="s">
        <v>35</v>
      </c>
      <c r="V83" s="40" t="str">
        <f ca="1">'Endrunde 4'!$I31</f>
        <v>1. FC Riedwald</v>
      </c>
      <c r="W83" s="13" t="str">
        <f ca="1">'Endrunde 4'!$K31</f>
        <v>SSV Wildbach</v>
      </c>
      <c r="X83" s="13">
        <f ca="1">IF(AND($AA83=1,'Endrunde 4'!$L31&lt;&gt;"",'Endrunde 4'!$N31&lt;&gt;"",ABS('Endrunde 4'!$L31-'Endrunde 4'!$N31)&gt;1),'Endrunde 4'!$L31,"")</f>
        <v>14</v>
      </c>
      <c r="Y83" s="35">
        <f ca="1">IF(AND($AA83=1,'Endrunde 4'!$L31&lt;&gt;"",'Endrunde 4'!$N31&lt;&gt;"",ABS('Endrunde 4'!$L31-'Endrunde 4'!$N31)&gt;1),'Endrunde 4'!$N31,"")</f>
        <v>25</v>
      </c>
      <c r="Z83" s="34" t="str">
        <f t="shared" ca="1" si="42"/>
        <v>1. FC RiedwaldSSV Wildbach</v>
      </c>
      <c r="AA83" s="13">
        <f ca="1">IF(AND(V83&lt;&gt;"",W83&lt;&gt;"",V83&lt;&gt;W83,'Endrunde 4'!$U31&lt;&gt;"",'Endrunde 4'!$W31&lt;&gt;""),1,0)</f>
        <v>1</v>
      </c>
      <c r="AB83" s="13" t="str">
        <f ca="1">IF(AA83&gt;0,AH83&amp;Sprache!$E$108&amp;AI83,"")</f>
        <v>39 : 48</v>
      </c>
      <c r="AC83" s="35" t="str">
        <f ca="1">IF(AA83&gt;0,AJ83&amp;Sprache!$E$108&amp;AK83,"")</f>
        <v>1 : 1</v>
      </c>
      <c r="AD83" s="40">
        <f ca="1">IF(AND($AA83=1,'Endrunde 4'!$O31&lt;&gt;"",'Endrunde 4'!$Q31&lt;&gt;"",ABS('Endrunde 4'!$O31-'Endrunde 4'!$Q31)&gt;1),'Endrunde 4'!$O31,"")</f>
        <v>25</v>
      </c>
      <c r="AE83" s="35">
        <f ca="1">IF(AND($AA83=1,'Endrunde 4'!$O31&lt;&gt;"",'Endrunde 4'!$Q31&lt;&gt;"",ABS('Endrunde 4'!$O31-'Endrunde 4'!$Q31)&gt;1),'Endrunde 4'!$Q31,"")</f>
        <v>23</v>
      </c>
      <c r="AF83" s="40" t="str">
        <f ca="1">IF(AND($AA83=1,'Endrunde 4'!$R31&lt;&gt;"",'Endrunde 4'!$T31&lt;&gt;"",ABS('Endrunde 4'!$R31-'Endrunde 4'!$T31)&gt;1),'Endrunde 4'!$R31,"")</f>
        <v/>
      </c>
      <c r="AG83" s="35" t="str">
        <f ca="1">IF(AND($AA83=1,'Endrunde 4'!$R31&lt;&gt;"",'Endrunde 4'!$T31&lt;&gt;"",ABS('Endrunde 4'!$R31-'Endrunde 4'!$T31)&gt;1),'Endrunde 4'!$T31,"")</f>
        <v/>
      </c>
      <c r="AH83" s="40">
        <f t="shared" ca="1" si="43"/>
        <v>39</v>
      </c>
      <c r="AI83" s="35">
        <f t="shared" ca="1" si="44"/>
        <v>48</v>
      </c>
      <c r="AJ83" s="40">
        <f ca="1">IF('Endrunde 4'!$U31="",0,'Endrunde 4'!$U31)</f>
        <v>1</v>
      </c>
      <c r="AK83" s="35">
        <f ca="1">IF('Endrunde 4'!$W31="",0,'Endrunde 4'!$W31)</f>
        <v>1</v>
      </c>
      <c r="AL83" s="13">
        <f ca="1">IF($AA83=0,"",IF($AJ83&gt;$AK83,Einstellungen!$C$4,IF($AJ83=$AK83,1,0)))</f>
        <v>1</v>
      </c>
      <c r="AM83" s="35">
        <f ca="1">IF($AA83=0,"",IF($AJ83&lt;$AK83,Einstellungen!$C$4,IF($AJ83=$AK83,1,0)))</f>
        <v>1</v>
      </c>
    </row>
    <row r="84" spans="2:39" s="2" customFormat="1" x14ac:dyDescent="0.2">
      <c r="B84" s="4"/>
      <c r="C84" s="4"/>
      <c r="D84" s="4"/>
      <c r="E84" s="4"/>
      <c r="F84" s="13"/>
      <c r="G84" s="13"/>
      <c r="H84" s="13"/>
      <c r="I84" s="13"/>
      <c r="J84" s="13"/>
      <c r="K84" s="13"/>
      <c r="L84" s="13"/>
      <c r="M84" s="13"/>
      <c r="U84" s="65" t="s">
        <v>36</v>
      </c>
      <c r="V84" s="40" t="str">
        <f ca="1">'Endrunde 4'!$I32</f>
        <v>Maibach 1822 eV</v>
      </c>
      <c r="W84" s="13" t="str">
        <f ca="1">'Endrunde 4'!$K32</f>
        <v>Manchester City</v>
      </c>
      <c r="X84" s="13">
        <f ca="1">IF(AND($AA84=1,'Endrunde 4'!$L32&lt;&gt;"",'Endrunde 4'!$N32&lt;&gt;"",ABS('Endrunde 4'!$L32-'Endrunde 4'!$N32)&gt;1),'Endrunde 4'!$L32,"")</f>
        <v>21</v>
      </c>
      <c r="Y84" s="35">
        <f ca="1">IF(AND($AA84=1,'Endrunde 4'!$L32&lt;&gt;"",'Endrunde 4'!$N32&lt;&gt;"",ABS('Endrunde 4'!$L32-'Endrunde 4'!$N32)&gt;1),'Endrunde 4'!$N32,"")</f>
        <v>25</v>
      </c>
      <c r="Z84" s="34" t="str">
        <f t="shared" ca="1" si="42"/>
        <v>Maibach 1822 eVManchester City</v>
      </c>
      <c r="AA84" s="13">
        <f ca="1">IF(AND(V84&lt;&gt;"",W84&lt;&gt;"",V84&lt;&gt;W84,'Endrunde 4'!$U32&lt;&gt;"",'Endrunde 4'!$W32&lt;&gt;""),1,0)</f>
        <v>1</v>
      </c>
      <c r="AB84" s="13" t="str">
        <f ca="1">IF(AA84&gt;0,AH84&amp;Sprache!$E$108&amp;AI84,"")</f>
        <v>46 : 42</v>
      </c>
      <c r="AC84" s="35" t="str">
        <f ca="1">IF(AA84&gt;0,AJ84&amp;Sprache!$E$108&amp;AK84,"")</f>
        <v>1 : 1</v>
      </c>
      <c r="AD84" s="40">
        <f ca="1">IF(AND($AA84=1,'Endrunde 4'!$O32&lt;&gt;"",'Endrunde 4'!$Q32&lt;&gt;"",ABS('Endrunde 4'!$O32-'Endrunde 4'!$Q32)&gt;1),'Endrunde 4'!$O32,"")</f>
        <v>25</v>
      </c>
      <c r="AE84" s="35">
        <f ca="1">IF(AND($AA84=1,'Endrunde 4'!$O32&lt;&gt;"",'Endrunde 4'!$Q32&lt;&gt;"",ABS('Endrunde 4'!$O32-'Endrunde 4'!$Q32)&gt;1),'Endrunde 4'!$Q32,"")</f>
        <v>17</v>
      </c>
      <c r="AF84" s="40" t="str">
        <f ca="1">IF(AND($AA84=1,'Endrunde 4'!$R32&lt;&gt;"",'Endrunde 4'!$T32&lt;&gt;"",ABS('Endrunde 4'!$R32-'Endrunde 4'!$T32)&gt;1),'Endrunde 4'!$R32,"")</f>
        <v/>
      </c>
      <c r="AG84" s="35" t="str">
        <f ca="1">IF(AND($AA84=1,'Endrunde 4'!$R32&lt;&gt;"",'Endrunde 4'!$T32&lt;&gt;"",ABS('Endrunde 4'!$R32-'Endrunde 4'!$T32)&gt;1),'Endrunde 4'!$T32,"")</f>
        <v/>
      </c>
      <c r="AH84" s="40">
        <f t="shared" ca="1" si="43"/>
        <v>46</v>
      </c>
      <c r="AI84" s="35">
        <f t="shared" ca="1" si="44"/>
        <v>42</v>
      </c>
      <c r="AJ84" s="40">
        <f ca="1">IF('Endrunde 4'!$U32="",0,'Endrunde 4'!$U32)</f>
        <v>1</v>
      </c>
      <c r="AK84" s="35">
        <f ca="1">IF('Endrunde 4'!$W32="",0,'Endrunde 4'!$W32)</f>
        <v>1</v>
      </c>
      <c r="AL84" s="13">
        <f ca="1">IF($AA84=0,"",IF($AJ84&gt;$AK84,Einstellungen!$C$4,IF($AJ84=$AK84,1,0)))</f>
        <v>1</v>
      </c>
      <c r="AM84" s="35">
        <f ca="1">IF($AA84=0,"",IF($AJ84&lt;$AK84,Einstellungen!$C$4,IF($AJ84=$AK84,1,0)))</f>
        <v>1</v>
      </c>
    </row>
    <row r="85" spans="2:39" s="2" customFormat="1" x14ac:dyDescent="0.2">
      <c r="B85" s="4"/>
      <c r="C85" s="4"/>
      <c r="D85" s="4"/>
      <c r="E85" s="4"/>
      <c r="F85" s="13"/>
      <c r="G85" s="13"/>
      <c r="H85" s="13"/>
      <c r="I85" s="13"/>
      <c r="J85" s="13"/>
      <c r="K85" s="13"/>
      <c r="L85" s="13"/>
      <c r="M85" s="13"/>
      <c r="U85" s="65" t="s">
        <v>37</v>
      </c>
      <c r="V85" s="40" t="str">
        <f ca="1">'Endrunde 4'!$I33</f>
        <v/>
      </c>
      <c r="W85" s="13" t="str">
        <f ca="1">'Endrunde 4'!$K33</f>
        <v/>
      </c>
      <c r="X85" s="13" t="str">
        <f ca="1">IF(AND($AA85=1,'Endrunde 4'!$L33&lt;&gt;"",'Endrunde 4'!$N33&lt;&gt;"",ABS('Endrunde 4'!$L33-'Endrunde 4'!$N33)&gt;1),'Endrunde 4'!$L33,"")</f>
        <v/>
      </c>
      <c r="Y85" s="35" t="str">
        <f ca="1">IF(AND($AA85=1,'Endrunde 4'!$L33&lt;&gt;"",'Endrunde 4'!$N33&lt;&gt;"",ABS('Endrunde 4'!$L33-'Endrunde 4'!$N33)&gt;1),'Endrunde 4'!$N33,"")</f>
        <v/>
      </c>
      <c r="Z85" s="34" t="str">
        <f t="shared" ca="1" si="42"/>
        <v/>
      </c>
      <c r="AA85" s="13">
        <f ca="1">IF(AND(V85&lt;&gt;"",W85&lt;&gt;"",V85&lt;&gt;W85,'Endrunde 4'!$U33&lt;&gt;"",'Endrunde 4'!$W33&lt;&gt;""),1,0)</f>
        <v>0</v>
      </c>
      <c r="AB85" s="13" t="str">
        <f ca="1">IF(AA85&gt;0,AH85&amp;Sprache!$E$108&amp;AI85,"")</f>
        <v/>
      </c>
      <c r="AC85" s="35" t="str">
        <f ca="1">IF(AA85&gt;0,AJ85&amp;Sprache!$E$108&amp;AK85,"")</f>
        <v/>
      </c>
      <c r="AD85" s="40" t="str">
        <f ca="1">IF(AND($AA85=1,'Endrunde 4'!$O33&lt;&gt;"",'Endrunde 4'!$Q33&lt;&gt;"",ABS('Endrunde 4'!$O33-'Endrunde 4'!$Q33)&gt;1),'Endrunde 4'!$O33,"")</f>
        <v/>
      </c>
      <c r="AE85" s="35" t="str">
        <f ca="1">IF(AND($AA85=1,'Endrunde 4'!$O33&lt;&gt;"",'Endrunde 4'!$Q33&lt;&gt;"",ABS('Endrunde 4'!$O33-'Endrunde 4'!$Q33)&gt;1),'Endrunde 4'!$Q33,"")</f>
        <v/>
      </c>
      <c r="AF85" s="40" t="str">
        <f ca="1">IF(AND($AA85=1,'Endrunde 4'!$R33&lt;&gt;"",'Endrunde 4'!$T33&lt;&gt;"",ABS('Endrunde 4'!$R33-'Endrunde 4'!$T33)&gt;1),'Endrunde 4'!$R33,"")</f>
        <v/>
      </c>
      <c r="AG85" s="35" t="str">
        <f ca="1">IF(AND($AA85=1,'Endrunde 4'!$R33&lt;&gt;"",'Endrunde 4'!$T33&lt;&gt;"",ABS('Endrunde 4'!$R33-'Endrunde 4'!$T33)&gt;1),'Endrunde 4'!$T33,"")</f>
        <v/>
      </c>
      <c r="AH85" s="40" t="str">
        <f t="shared" ca="1" si="43"/>
        <v/>
      </c>
      <c r="AI85" s="35" t="str">
        <f t="shared" ca="1" si="44"/>
        <v/>
      </c>
      <c r="AJ85" s="40">
        <f ca="1">IF('Endrunde 4'!$U33="",0,'Endrunde 4'!$U33)</f>
        <v>0</v>
      </c>
      <c r="AK85" s="35">
        <f ca="1">IF('Endrunde 4'!$W33="",0,'Endrunde 4'!$W33)</f>
        <v>0</v>
      </c>
      <c r="AL85" s="13" t="str">
        <f ca="1">IF($AA85=0,"",IF($AJ85&gt;$AK85,Einstellungen!$C$4,IF($AJ85=$AK85,1,0)))</f>
        <v/>
      </c>
      <c r="AM85" s="35" t="str">
        <f ca="1">IF($AA85=0,"",IF($AJ85&lt;$AK85,Einstellungen!$C$4,IF($AJ85=$AK85,1,0)))</f>
        <v/>
      </c>
    </row>
    <row r="86" spans="2:39" s="2" customFormat="1" x14ac:dyDescent="0.2">
      <c r="B86" s="4"/>
      <c r="C86" s="4"/>
      <c r="D86" s="4"/>
      <c r="E86" s="4"/>
      <c r="F86" s="13"/>
      <c r="G86" s="13"/>
      <c r="H86" s="13"/>
      <c r="I86" s="13"/>
      <c r="J86" s="13"/>
      <c r="K86" s="13"/>
      <c r="L86" s="13"/>
      <c r="M86" s="13"/>
      <c r="U86" s="65" t="s">
        <v>38</v>
      </c>
      <c r="V86" s="40" t="str">
        <f ca="1">'Endrunde 4'!$I34</f>
        <v>FC Barcelona</v>
      </c>
      <c r="W86" s="13" t="str">
        <f ca="1">'Endrunde 4'!$K34</f>
        <v>Inter Mailand</v>
      </c>
      <c r="X86" s="13">
        <f ca="1">IF(AND($AA86=1,'Endrunde 4'!$L34&lt;&gt;"",'Endrunde 4'!$N34&lt;&gt;"",ABS('Endrunde 4'!$L34-'Endrunde 4'!$N34)&gt;1),'Endrunde 4'!$L34,"")</f>
        <v>20</v>
      </c>
      <c r="Y86" s="35">
        <f ca="1">IF(AND($AA86=1,'Endrunde 4'!$L34&lt;&gt;"",'Endrunde 4'!$N34&lt;&gt;"",ABS('Endrunde 4'!$L34-'Endrunde 4'!$N34)&gt;1),'Endrunde 4'!$N34,"")</f>
        <v>25</v>
      </c>
      <c r="Z86" s="34" t="str">
        <f t="shared" ca="1" si="42"/>
        <v>FC BarcelonaInter Mailand</v>
      </c>
      <c r="AA86" s="13">
        <f ca="1">IF(AND(V86&lt;&gt;"",W86&lt;&gt;"",V86&lt;&gt;W86,'Endrunde 4'!$U34&lt;&gt;"",'Endrunde 4'!$W34&lt;&gt;""),1,0)</f>
        <v>1</v>
      </c>
      <c r="AB86" s="13" t="str">
        <f ca="1">IF(AA86&gt;0,AH86&amp;Sprache!$E$108&amp;AI86,"")</f>
        <v>70 : 65</v>
      </c>
      <c r="AC86" s="35" t="str">
        <f ca="1">IF(AA86&gt;0,AJ86&amp;Sprache!$E$108&amp;AK86,"")</f>
        <v>2 : 1</v>
      </c>
      <c r="AD86" s="40">
        <f ca="1">IF(AND($AA86=1,'Endrunde 4'!$O34&lt;&gt;"",'Endrunde 4'!$Q34&lt;&gt;"",ABS('Endrunde 4'!$O34-'Endrunde 4'!$Q34)&gt;1),'Endrunde 4'!$O34,"")</f>
        <v>25</v>
      </c>
      <c r="AE86" s="35">
        <f ca="1">IF(AND($AA86=1,'Endrunde 4'!$O34&lt;&gt;"",'Endrunde 4'!$Q34&lt;&gt;"",ABS('Endrunde 4'!$O34-'Endrunde 4'!$Q34)&gt;1),'Endrunde 4'!$Q34,"")</f>
        <v>18</v>
      </c>
      <c r="AF86" s="40">
        <f ca="1">IF(AND($AA86=1,'Endrunde 4'!$R34&lt;&gt;"",'Endrunde 4'!$T34&lt;&gt;"",ABS('Endrunde 4'!$R34-'Endrunde 4'!$T34)&gt;1),'Endrunde 4'!$R34,"")</f>
        <v>25</v>
      </c>
      <c r="AG86" s="35">
        <f ca="1">IF(AND($AA86=1,'Endrunde 4'!$R34&lt;&gt;"",'Endrunde 4'!$T34&lt;&gt;"",ABS('Endrunde 4'!$R34-'Endrunde 4'!$T34)&gt;1),'Endrunde 4'!$T34,"")</f>
        <v>22</v>
      </c>
      <c r="AH86" s="40">
        <f t="shared" ca="1" si="43"/>
        <v>70</v>
      </c>
      <c r="AI86" s="35">
        <f t="shared" ca="1" si="44"/>
        <v>65</v>
      </c>
      <c r="AJ86" s="40">
        <f ca="1">IF('Endrunde 4'!$U34="",0,'Endrunde 4'!$U34)</f>
        <v>2</v>
      </c>
      <c r="AK86" s="35">
        <f ca="1">IF('Endrunde 4'!$W34="",0,'Endrunde 4'!$W34)</f>
        <v>1</v>
      </c>
      <c r="AL86" s="13">
        <f ca="1">IF($AA86=0,"",IF($AJ86&gt;$AK86,Einstellungen!$C$4,IF($AJ86=$AK86,1,0)))</f>
        <v>2</v>
      </c>
      <c r="AM86" s="35">
        <f ca="1">IF($AA86=0,"",IF($AJ86&lt;$AK86,Einstellungen!$C$4,IF($AJ86=$AK86,1,0)))</f>
        <v>0</v>
      </c>
    </row>
    <row r="87" spans="2:39" s="2" customFormat="1" x14ac:dyDescent="0.2">
      <c r="B87" s="4"/>
      <c r="C87" s="4"/>
      <c r="D87" s="4"/>
      <c r="E87" s="4"/>
      <c r="F87" s="13"/>
      <c r="G87" s="13"/>
      <c r="H87" s="13"/>
      <c r="I87" s="13"/>
      <c r="J87" s="13"/>
      <c r="K87" s="13"/>
      <c r="L87" s="13"/>
      <c r="M87" s="13"/>
      <c r="U87" s="65" t="s">
        <v>39</v>
      </c>
      <c r="V87" s="40" t="str">
        <f ca="1">'Endrunde 4'!$I35</f>
        <v>VFB Essenheim</v>
      </c>
      <c r="W87" s="13" t="str">
        <f ca="1">'Endrunde 4'!$K35</f>
        <v>FC Grönlingen</v>
      </c>
      <c r="X87" s="13">
        <f ca="1">IF(AND($AA87=1,'Endrunde 4'!$L35&lt;&gt;"",'Endrunde 4'!$N35&lt;&gt;"",ABS('Endrunde 4'!$L35-'Endrunde 4'!$N35)&gt;1),'Endrunde 4'!$L35,"")</f>
        <v>25</v>
      </c>
      <c r="Y87" s="35">
        <f ca="1">IF(AND($AA87=1,'Endrunde 4'!$L35&lt;&gt;"",'Endrunde 4'!$N35&lt;&gt;"",ABS('Endrunde 4'!$L35-'Endrunde 4'!$N35)&gt;1),'Endrunde 4'!$N35,"")</f>
        <v>20</v>
      </c>
      <c r="Z87" s="34" t="str">
        <f t="shared" ca="1" si="42"/>
        <v>VFB EssenheimFC Grönlingen</v>
      </c>
      <c r="AA87" s="13">
        <f ca="1">IF(AND(V87&lt;&gt;"",W87&lt;&gt;"",V87&lt;&gt;W87,'Endrunde 4'!$U35&lt;&gt;"",'Endrunde 4'!$W35&lt;&gt;""),1,0)</f>
        <v>1</v>
      </c>
      <c r="AB87" s="13" t="str">
        <f ca="1">IF(AA87&gt;0,AH87&amp;Sprache!$E$108&amp;AI87,"")</f>
        <v>50 : 39</v>
      </c>
      <c r="AC87" s="35" t="str">
        <f ca="1">IF(AA87&gt;0,AJ87&amp;Sprache!$E$108&amp;AK87,"")</f>
        <v>2 : 0</v>
      </c>
      <c r="AD87" s="40">
        <f ca="1">IF(AND($AA87=1,'Endrunde 4'!$O35&lt;&gt;"",'Endrunde 4'!$Q35&lt;&gt;"",ABS('Endrunde 4'!$O35-'Endrunde 4'!$Q35)&gt;1),'Endrunde 4'!$O35,"")</f>
        <v>25</v>
      </c>
      <c r="AE87" s="35">
        <f ca="1">IF(AND($AA87=1,'Endrunde 4'!$O35&lt;&gt;"",'Endrunde 4'!$Q35&lt;&gt;"",ABS('Endrunde 4'!$O35-'Endrunde 4'!$Q35)&gt;1),'Endrunde 4'!$Q35,"")</f>
        <v>19</v>
      </c>
      <c r="AF87" s="40" t="str">
        <f ca="1">IF(AND($AA87=1,'Endrunde 4'!$R35&lt;&gt;"",'Endrunde 4'!$T35&lt;&gt;"",ABS('Endrunde 4'!$R35-'Endrunde 4'!$T35)&gt;1),'Endrunde 4'!$R35,"")</f>
        <v/>
      </c>
      <c r="AG87" s="35" t="str">
        <f ca="1">IF(AND($AA87=1,'Endrunde 4'!$R35&lt;&gt;"",'Endrunde 4'!$T35&lt;&gt;"",ABS('Endrunde 4'!$R35-'Endrunde 4'!$T35)&gt;1),'Endrunde 4'!$T35,"")</f>
        <v/>
      </c>
      <c r="AH87" s="40">
        <f t="shared" ca="1" si="43"/>
        <v>50</v>
      </c>
      <c r="AI87" s="35">
        <f t="shared" ca="1" si="44"/>
        <v>39</v>
      </c>
      <c r="AJ87" s="40">
        <f ca="1">IF('Endrunde 4'!$U35="",0,'Endrunde 4'!$U35)</f>
        <v>2</v>
      </c>
      <c r="AK87" s="35">
        <f ca="1">IF('Endrunde 4'!$W35="",0,'Endrunde 4'!$W35)</f>
        <v>0</v>
      </c>
      <c r="AL87" s="13">
        <f ca="1">IF($AA87=0,"",IF($AJ87&gt;$AK87,Einstellungen!$C$4,IF($AJ87=$AK87,1,0)))</f>
        <v>2</v>
      </c>
      <c r="AM87" s="35">
        <f ca="1">IF($AA87=0,"",IF($AJ87&lt;$AK87,Einstellungen!$C$4,IF($AJ87=$AK87,1,0)))</f>
        <v>0</v>
      </c>
    </row>
    <row r="88" spans="2:39" s="2" customFormat="1" ht="12.75" thickBot="1" x14ac:dyDescent="0.25">
      <c r="B88" s="4"/>
      <c r="C88" s="4"/>
      <c r="D88" s="4"/>
      <c r="E88" s="4"/>
      <c r="F88" s="13"/>
      <c r="G88" s="13"/>
      <c r="H88" s="13"/>
      <c r="I88" s="13"/>
      <c r="J88" s="13"/>
      <c r="K88" s="13"/>
      <c r="L88" s="13"/>
      <c r="M88" s="13"/>
      <c r="U88" s="754" t="s">
        <v>40</v>
      </c>
      <c r="V88" s="755" t="str">
        <f ca="1">'Endrunde 4'!$I36</f>
        <v>Eintracht Frankfurt</v>
      </c>
      <c r="W88" s="756" t="str">
        <f ca="1">'Endrunde 4'!$K36</f>
        <v>Mainz 05</v>
      </c>
      <c r="X88" s="756">
        <f ca="1">IF(AND($AA88=1,'Endrunde 4'!$L36&lt;&gt;"",'Endrunde 4'!$N36&lt;&gt;"",ABS('Endrunde 4'!$L36-'Endrunde 4'!$N36)&gt;1),'Endrunde 4'!$L36,"")</f>
        <v>25</v>
      </c>
      <c r="Y88" s="757">
        <f ca="1">IF(AND($AA88=1,'Endrunde 4'!$L36&lt;&gt;"",'Endrunde 4'!$N36&lt;&gt;"",ABS('Endrunde 4'!$L36-'Endrunde 4'!$N36)&gt;1),'Endrunde 4'!$N36,"")</f>
        <v>13</v>
      </c>
      <c r="Z88" s="758" t="str">
        <f t="shared" ca="1" si="42"/>
        <v>Eintracht FrankfurtMainz 05</v>
      </c>
      <c r="AA88" s="756">
        <f ca="1">IF(AND(V88&lt;&gt;"",W88&lt;&gt;"",V88&lt;&gt;W88,'Endrunde 4'!$U36&lt;&gt;"",'Endrunde 4'!$W36&lt;&gt;""),1,0)</f>
        <v>1</v>
      </c>
      <c r="AB88" s="756" t="str">
        <f ca="1">IF(AA88&gt;0,AH88&amp;Sprache!$E$108&amp;AI88,"")</f>
        <v>50 : 33</v>
      </c>
      <c r="AC88" s="757" t="str">
        <f ca="1">IF(AA88&gt;0,AJ88&amp;Sprache!$E$108&amp;AK88,"")</f>
        <v>2 : 0</v>
      </c>
      <c r="AD88" s="755">
        <f ca="1">IF(AND($AA88=1,'Endrunde 4'!$O36&lt;&gt;"",'Endrunde 4'!$Q36&lt;&gt;"",ABS('Endrunde 4'!$O36-'Endrunde 4'!$Q36)&gt;1),'Endrunde 4'!$O36,"")</f>
        <v>25</v>
      </c>
      <c r="AE88" s="757">
        <f ca="1">IF(AND($AA88=1,'Endrunde 4'!$O36&lt;&gt;"",'Endrunde 4'!$Q36&lt;&gt;"",ABS('Endrunde 4'!$O36-'Endrunde 4'!$Q36)&gt;1),'Endrunde 4'!$Q36,"")</f>
        <v>20</v>
      </c>
      <c r="AF88" s="755" t="str">
        <f ca="1">IF(AND($AA88=1,'Endrunde 4'!$R36&lt;&gt;"",'Endrunde 4'!$T36&lt;&gt;"",ABS('Endrunde 4'!$R36-'Endrunde 4'!$T36)&gt;1),'Endrunde 4'!$R36,"")</f>
        <v/>
      </c>
      <c r="AG88" s="757" t="str">
        <f ca="1">IF(AND($AA88=1,'Endrunde 4'!$R36&lt;&gt;"",'Endrunde 4'!$T36&lt;&gt;"",ABS('Endrunde 4'!$R36-'Endrunde 4'!$T36)&gt;1),'Endrunde 4'!$T36,"")</f>
        <v/>
      </c>
      <c r="AH88" s="755">
        <f t="shared" ca="1" si="43"/>
        <v>50</v>
      </c>
      <c r="AI88" s="757">
        <f t="shared" ca="1" si="44"/>
        <v>33</v>
      </c>
      <c r="AJ88" s="755">
        <f ca="1">IF('Endrunde 4'!$U36="",0,'Endrunde 4'!$U36)</f>
        <v>2</v>
      </c>
      <c r="AK88" s="757">
        <f ca="1">IF('Endrunde 4'!$W36="",0,'Endrunde 4'!$W36)</f>
        <v>0</v>
      </c>
      <c r="AL88" s="756">
        <f ca="1">IF($AA88=0,"",IF($AJ88&gt;$AK88,Einstellungen!$C$4,IF($AJ88=$AK88,1,0)))</f>
        <v>2</v>
      </c>
      <c r="AM88" s="757">
        <f ca="1">IF($AA88=0,"",IF($AJ88&lt;$AK88,Einstellungen!$C$4,IF($AJ88=$AK88,1,0)))</f>
        <v>0</v>
      </c>
    </row>
    <row r="89" spans="2:39" s="2" customFormat="1" ht="12.75" thickTop="1" x14ac:dyDescent="0.2">
      <c r="B89" s="4"/>
      <c r="C89" s="4"/>
      <c r="D89" s="4"/>
      <c r="E89" s="4"/>
      <c r="F89" s="13"/>
      <c r="G89" s="13"/>
      <c r="H89" s="13"/>
      <c r="I89" s="13"/>
      <c r="J89" s="13"/>
      <c r="K89" s="13"/>
      <c r="L89" s="13"/>
      <c r="M89" s="13"/>
      <c r="U89" s="65" t="s">
        <v>41</v>
      </c>
      <c r="V89" s="40" t="str">
        <f>""</f>
        <v/>
      </c>
      <c r="W89" s="13" t="str">
        <f>""</f>
        <v/>
      </c>
      <c r="X89" s="13" t="str">
        <f>""</f>
        <v/>
      </c>
      <c r="Y89" s="35" t="str">
        <f>""</f>
        <v/>
      </c>
      <c r="Z89" s="34" t="str">
        <f>""</f>
        <v/>
      </c>
      <c r="AA89" s="13">
        <v>0</v>
      </c>
      <c r="AB89" s="13" t="str">
        <f>""</f>
        <v/>
      </c>
      <c r="AC89" s="35"/>
      <c r="AD89" s="40" t="str">
        <f>""</f>
        <v/>
      </c>
      <c r="AE89" s="35" t="str">
        <f>""</f>
        <v/>
      </c>
      <c r="AF89" s="40" t="str">
        <f>""</f>
        <v/>
      </c>
      <c r="AG89" s="35" t="str">
        <f>""</f>
        <v/>
      </c>
      <c r="AH89" s="40" t="str">
        <f>""</f>
        <v/>
      </c>
      <c r="AI89" s="35" t="str">
        <f>""</f>
        <v/>
      </c>
      <c r="AJ89" s="40"/>
      <c r="AK89" s="35"/>
      <c r="AL89" s="13" t="str">
        <f>""</f>
        <v/>
      </c>
      <c r="AM89" s="35" t="str">
        <f>""</f>
        <v/>
      </c>
    </row>
    <row r="90" spans="2:39" s="2" customFormat="1" x14ac:dyDescent="0.2">
      <c r="B90" s="4"/>
      <c r="C90" s="4"/>
      <c r="D90" s="4"/>
      <c r="E90" s="4"/>
      <c r="F90" s="13"/>
      <c r="G90" s="13"/>
      <c r="H90" s="13"/>
      <c r="I90" s="13"/>
      <c r="J90" s="13"/>
      <c r="K90" s="13"/>
      <c r="L90" s="13"/>
      <c r="M90" s="13"/>
      <c r="U90" s="65" t="s">
        <v>42</v>
      </c>
      <c r="V90" s="40" t="str">
        <f>""</f>
        <v/>
      </c>
      <c r="W90" s="13" t="str">
        <f>""</f>
        <v/>
      </c>
      <c r="X90" s="13" t="str">
        <f>""</f>
        <v/>
      </c>
      <c r="Y90" s="35" t="str">
        <f>""</f>
        <v/>
      </c>
      <c r="Z90" s="34" t="str">
        <f>""</f>
        <v/>
      </c>
      <c r="AA90" s="13">
        <v>0</v>
      </c>
      <c r="AB90" s="13" t="str">
        <f>""</f>
        <v/>
      </c>
      <c r="AC90" s="35"/>
      <c r="AD90" s="40" t="str">
        <f>""</f>
        <v/>
      </c>
      <c r="AE90" s="35" t="str">
        <f>""</f>
        <v/>
      </c>
      <c r="AF90" s="40" t="str">
        <f>""</f>
        <v/>
      </c>
      <c r="AG90" s="35" t="str">
        <f>""</f>
        <v/>
      </c>
      <c r="AH90" s="40" t="str">
        <f>""</f>
        <v/>
      </c>
      <c r="AI90" s="35" t="str">
        <f>""</f>
        <v/>
      </c>
      <c r="AJ90" s="40"/>
      <c r="AK90" s="35"/>
      <c r="AL90" s="13" t="str">
        <f>""</f>
        <v/>
      </c>
      <c r="AM90" s="35" t="str">
        <f>""</f>
        <v/>
      </c>
    </row>
    <row r="91" spans="2:39" s="2" customFormat="1" x14ac:dyDescent="0.2">
      <c r="B91" s="4"/>
      <c r="C91" s="4"/>
      <c r="D91" s="4"/>
      <c r="E91" s="4"/>
      <c r="F91" s="13"/>
      <c r="G91" s="13"/>
      <c r="H91" s="13"/>
      <c r="I91" s="13"/>
      <c r="J91" s="13"/>
      <c r="K91" s="13"/>
      <c r="L91" s="13"/>
      <c r="M91" s="13"/>
      <c r="U91" s="65" t="s">
        <v>43</v>
      </c>
      <c r="V91" s="40" t="str">
        <f>""</f>
        <v/>
      </c>
      <c r="W91" s="13" t="str">
        <f>""</f>
        <v/>
      </c>
      <c r="X91" s="13" t="str">
        <f>""</f>
        <v/>
      </c>
      <c r="Y91" s="35" t="str">
        <f>""</f>
        <v/>
      </c>
      <c r="Z91" s="34" t="str">
        <f>""</f>
        <v/>
      </c>
      <c r="AA91" s="13">
        <v>0</v>
      </c>
      <c r="AB91" s="13" t="str">
        <f>""</f>
        <v/>
      </c>
      <c r="AC91" s="35"/>
      <c r="AD91" s="40" t="str">
        <f>""</f>
        <v/>
      </c>
      <c r="AE91" s="35" t="str">
        <f>""</f>
        <v/>
      </c>
      <c r="AF91" s="40" t="str">
        <f>""</f>
        <v/>
      </c>
      <c r="AG91" s="35" t="str">
        <f>""</f>
        <v/>
      </c>
      <c r="AH91" s="40" t="str">
        <f>""</f>
        <v/>
      </c>
      <c r="AI91" s="35" t="str">
        <f>""</f>
        <v/>
      </c>
      <c r="AJ91" s="40"/>
      <c r="AK91" s="35"/>
      <c r="AL91" s="13" t="str">
        <f>""</f>
        <v/>
      </c>
      <c r="AM91" s="35" t="str">
        <f>""</f>
        <v/>
      </c>
    </row>
    <row r="92" spans="2:39" s="2" customFormat="1" x14ac:dyDescent="0.2">
      <c r="B92" s="4"/>
      <c r="C92" s="4"/>
      <c r="D92" s="4"/>
      <c r="E92" s="4"/>
      <c r="F92" s="13"/>
      <c r="G92" s="13"/>
      <c r="H92" s="13"/>
      <c r="I92" s="13"/>
      <c r="J92" s="13"/>
      <c r="K92" s="13"/>
      <c r="L92" s="13"/>
      <c r="M92" s="13"/>
      <c r="U92" s="65" t="s">
        <v>44</v>
      </c>
      <c r="V92" s="40" t="str">
        <f>""</f>
        <v/>
      </c>
      <c r="W92" s="13" t="str">
        <f>""</f>
        <v/>
      </c>
      <c r="X92" s="13" t="str">
        <f>""</f>
        <v/>
      </c>
      <c r="Y92" s="35" t="str">
        <f>""</f>
        <v/>
      </c>
      <c r="Z92" s="34" t="str">
        <f>""</f>
        <v/>
      </c>
      <c r="AA92" s="13">
        <v>0</v>
      </c>
      <c r="AB92" s="13" t="str">
        <f>""</f>
        <v/>
      </c>
      <c r="AC92" s="35"/>
      <c r="AD92" s="40" t="str">
        <f>""</f>
        <v/>
      </c>
      <c r="AE92" s="35" t="str">
        <f>""</f>
        <v/>
      </c>
      <c r="AF92" s="40" t="str">
        <f>""</f>
        <v/>
      </c>
      <c r="AG92" s="35" t="str">
        <f>""</f>
        <v/>
      </c>
      <c r="AH92" s="40" t="str">
        <f>""</f>
        <v/>
      </c>
      <c r="AI92" s="35" t="str">
        <f>""</f>
        <v/>
      </c>
      <c r="AJ92" s="40"/>
      <c r="AK92" s="35"/>
      <c r="AL92" s="13" t="str">
        <f>""</f>
        <v/>
      </c>
      <c r="AM92" s="35" t="str">
        <f>""</f>
        <v/>
      </c>
    </row>
    <row r="93" spans="2:39" s="2" customFormat="1" x14ac:dyDescent="0.2">
      <c r="B93" s="4"/>
      <c r="C93" s="4"/>
      <c r="D93" s="4"/>
      <c r="E93" s="4"/>
      <c r="F93" s="13"/>
      <c r="G93" s="13"/>
      <c r="H93" s="13"/>
      <c r="I93" s="13"/>
      <c r="J93" s="13"/>
      <c r="K93" s="13"/>
      <c r="L93" s="13"/>
      <c r="M93" s="13"/>
      <c r="U93" s="65" t="s">
        <v>45</v>
      </c>
      <c r="V93" s="40" t="str">
        <f>""</f>
        <v/>
      </c>
      <c r="W93" s="13" t="str">
        <f>""</f>
        <v/>
      </c>
      <c r="X93" s="13" t="str">
        <f>""</f>
        <v/>
      </c>
      <c r="Y93" s="35" t="str">
        <f>""</f>
        <v/>
      </c>
      <c r="Z93" s="34" t="str">
        <f>""</f>
        <v/>
      </c>
      <c r="AA93" s="13">
        <v>0</v>
      </c>
      <c r="AB93" s="13" t="str">
        <f>""</f>
        <v/>
      </c>
      <c r="AC93" s="35"/>
      <c r="AD93" s="40" t="str">
        <f>""</f>
        <v/>
      </c>
      <c r="AE93" s="35" t="str">
        <f>""</f>
        <v/>
      </c>
      <c r="AF93" s="40" t="str">
        <f>""</f>
        <v/>
      </c>
      <c r="AG93" s="35" t="str">
        <f>""</f>
        <v/>
      </c>
      <c r="AH93" s="40" t="str">
        <f>""</f>
        <v/>
      </c>
      <c r="AI93" s="35" t="str">
        <f>""</f>
        <v/>
      </c>
      <c r="AJ93" s="40"/>
      <c r="AK93" s="35"/>
      <c r="AL93" s="13" t="str">
        <f>""</f>
        <v/>
      </c>
      <c r="AM93" s="35" t="str">
        <f>""</f>
        <v/>
      </c>
    </row>
    <row r="94" spans="2:39" s="2" customFormat="1" x14ac:dyDescent="0.2">
      <c r="B94" s="4"/>
      <c r="C94" s="4"/>
      <c r="D94" s="4"/>
      <c r="E94" s="4"/>
      <c r="F94" s="13"/>
      <c r="G94" s="13"/>
      <c r="H94" s="13"/>
      <c r="I94" s="13"/>
      <c r="J94" s="13"/>
      <c r="K94" s="13"/>
      <c r="L94" s="13"/>
      <c r="M94" s="13"/>
      <c r="U94" s="65" t="s">
        <v>46</v>
      </c>
      <c r="V94" s="40" t="str">
        <f>""</f>
        <v/>
      </c>
      <c r="W94" s="13" t="str">
        <f>""</f>
        <v/>
      </c>
      <c r="X94" s="13" t="str">
        <f>""</f>
        <v/>
      </c>
      <c r="Y94" s="35" t="str">
        <f>""</f>
        <v/>
      </c>
      <c r="Z94" s="34" t="str">
        <f>""</f>
        <v/>
      </c>
      <c r="AA94" s="13">
        <v>0</v>
      </c>
      <c r="AB94" s="13" t="str">
        <f>""</f>
        <v/>
      </c>
      <c r="AC94" s="35"/>
      <c r="AD94" s="40" t="str">
        <f>""</f>
        <v/>
      </c>
      <c r="AE94" s="35" t="str">
        <f>""</f>
        <v/>
      </c>
      <c r="AF94" s="40" t="str">
        <f>""</f>
        <v/>
      </c>
      <c r="AG94" s="35" t="str">
        <f>""</f>
        <v/>
      </c>
      <c r="AH94" s="40" t="str">
        <f>""</f>
        <v/>
      </c>
      <c r="AI94" s="35" t="str">
        <f>""</f>
        <v/>
      </c>
      <c r="AJ94" s="40"/>
      <c r="AK94" s="35"/>
      <c r="AL94" s="13" t="str">
        <f>""</f>
        <v/>
      </c>
      <c r="AM94" s="35" t="str">
        <f>""</f>
        <v/>
      </c>
    </row>
    <row r="95" spans="2:39" s="2" customFormat="1" x14ac:dyDescent="0.2">
      <c r="B95" s="4"/>
      <c r="C95" s="4"/>
      <c r="D95" s="4"/>
      <c r="E95" s="4"/>
      <c r="F95" s="13"/>
      <c r="G95" s="13"/>
      <c r="H95" s="13"/>
      <c r="I95" s="13"/>
      <c r="J95" s="13"/>
      <c r="K95" s="13"/>
      <c r="L95" s="13"/>
      <c r="M95" s="13"/>
      <c r="U95" s="65" t="s">
        <v>47</v>
      </c>
      <c r="V95" s="40" t="str">
        <f>""</f>
        <v/>
      </c>
      <c r="W95" s="13" t="str">
        <f>""</f>
        <v/>
      </c>
      <c r="X95" s="13" t="str">
        <f>""</f>
        <v/>
      </c>
      <c r="Y95" s="35" t="str">
        <f>""</f>
        <v/>
      </c>
      <c r="Z95" s="34" t="str">
        <f>""</f>
        <v/>
      </c>
      <c r="AA95" s="13">
        <v>0</v>
      </c>
      <c r="AB95" s="13" t="str">
        <f>""</f>
        <v/>
      </c>
      <c r="AC95" s="35"/>
      <c r="AD95" s="40" t="str">
        <f>""</f>
        <v/>
      </c>
      <c r="AE95" s="35" t="str">
        <f>""</f>
        <v/>
      </c>
      <c r="AF95" s="40" t="str">
        <f>""</f>
        <v/>
      </c>
      <c r="AG95" s="35" t="str">
        <f>""</f>
        <v/>
      </c>
      <c r="AH95" s="40" t="str">
        <f>""</f>
        <v/>
      </c>
      <c r="AI95" s="35" t="str">
        <f>""</f>
        <v/>
      </c>
      <c r="AJ95" s="40"/>
      <c r="AK95" s="35"/>
      <c r="AL95" s="13" t="str">
        <f>""</f>
        <v/>
      </c>
      <c r="AM95" s="35" t="str">
        <f>""</f>
        <v/>
      </c>
    </row>
    <row r="96" spans="2:39" s="2" customFormat="1" x14ac:dyDescent="0.2">
      <c r="B96" s="4"/>
      <c r="C96" s="4"/>
      <c r="D96" s="4"/>
      <c r="E96" s="4"/>
      <c r="F96" s="13"/>
      <c r="G96" s="13"/>
      <c r="H96" s="13"/>
      <c r="I96" s="13"/>
      <c r="J96" s="13"/>
      <c r="K96" s="13"/>
      <c r="L96" s="13"/>
      <c r="M96" s="13"/>
      <c r="U96" s="65" t="s">
        <v>48</v>
      </c>
      <c r="V96" s="40" t="str">
        <f>""</f>
        <v/>
      </c>
      <c r="W96" s="13" t="str">
        <f>""</f>
        <v/>
      </c>
      <c r="X96" s="13" t="str">
        <f>""</f>
        <v/>
      </c>
      <c r="Y96" s="35" t="str">
        <f>""</f>
        <v/>
      </c>
      <c r="Z96" s="34" t="str">
        <f>""</f>
        <v/>
      </c>
      <c r="AA96" s="13">
        <v>0</v>
      </c>
      <c r="AB96" s="13" t="str">
        <f>""</f>
        <v/>
      </c>
      <c r="AC96" s="35"/>
      <c r="AD96" s="40" t="str">
        <f>""</f>
        <v/>
      </c>
      <c r="AE96" s="35" t="str">
        <f>""</f>
        <v/>
      </c>
      <c r="AF96" s="40" t="str">
        <f>""</f>
        <v/>
      </c>
      <c r="AG96" s="35" t="str">
        <f>""</f>
        <v/>
      </c>
      <c r="AH96" s="40" t="str">
        <f>""</f>
        <v/>
      </c>
      <c r="AI96" s="35" t="str">
        <f>""</f>
        <v/>
      </c>
      <c r="AJ96" s="40"/>
      <c r="AK96" s="35"/>
      <c r="AL96" s="13" t="str">
        <f>""</f>
        <v/>
      </c>
      <c r="AM96" s="35" t="str">
        <f>""</f>
        <v/>
      </c>
    </row>
    <row r="97" spans="2:39" s="2" customFormat="1" x14ac:dyDescent="0.2">
      <c r="B97" s="4"/>
      <c r="C97" s="4"/>
      <c r="D97" s="4"/>
      <c r="E97" s="4"/>
      <c r="F97" s="13"/>
      <c r="G97" s="13"/>
      <c r="H97" s="13"/>
      <c r="I97" s="13"/>
      <c r="J97" s="13"/>
      <c r="K97" s="13"/>
      <c r="L97" s="13"/>
      <c r="M97" s="13"/>
      <c r="U97" s="65" t="s">
        <v>49</v>
      </c>
      <c r="V97" s="40" t="str">
        <f>""</f>
        <v/>
      </c>
      <c r="W97" s="13" t="str">
        <f>""</f>
        <v/>
      </c>
      <c r="X97" s="13" t="str">
        <f>""</f>
        <v/>
      </c>
      <c r="Y97" s="35" t="str">
        <f>""</f>
        <v/>
      </c>
      <c r="Z97" s="34" t="str">
        <f>""</f>
        <v/>
      </c>
      <c r="AA97" s="13">
        <v>0</v>
      </c>
      <c r="AB97" s="13" t="str">
        <f>""</f>
        <v/>
      </c>
      <c r="AC97" s="35"/>
      <c r="AD97" s="40" t="str">
        <f>""</f>
        <v/>
      </c>
      <c r="AE97" s="35" t="str">
        <f>""</f>
        <v/>
      </c>
      <c r="AF97" s="40" t="str">
        <f>""</f>
        <v/>
      </c>
      <c r="AG97" s="35" t="str">
        <f>""</f>
        <v/>
      </c>
      <c r="AH97" s="40" t="str">
        <f>""</f>
        <v/>
      </c>
      <c r="AI97" s="35" t="str">
        <f>""</f>
        <v/>
      </c>
      <c r="AJ97" s="40"/>
      <c r="AK97" s="35"/>
      <c r="AL97" s="13" t="str">
        <f>""</f>
        <v/>
      </c>
      <c r="AM97" s="35" t="str">
        <f>""</f>
        <v/>
      </c>
    </row>
    <row r="98" spans="2:39" s="2" customFormat="1" x14ac:dyDescent="0.2">
      <c r="B98" s="4"/>
      <c r="C98" s="4"/>
      <c r="D98" s="4"/>
      <c r="E98" s="4"/>
      <c r="F98" s="13"/>
      <c r="G98" s="13"/>
      <c r="H98" s="13"/>
      <c r="I98" s="13"/>
      <c r="J98" s="13"/>
      <c r="K98" s="13"/>
      <c r="L98" s="13"/>
      <c r="M98" s="13"/>
      <c r="U98" s="65" t="s">
        <v>50</v>
      </c>
      <c r="V98" s="40" t="str">
        <f>""</f>
        <v/>
      </c>
      <c r="W98" s="13" t="str">
        <f>""</f>
        <v/>
      </c>
      <c r="X98" s="13" t="str">
        <f>""</f>
        <v/>
      </c>
      <c r="Y98" s="35" t="str">
        <f>""</f>
        <v/>
      </c>
      <c r="Z98" s="34" t="str">
        <f>""</f>
        <v/>
      </c>
      <c r="AA98" s="13">
        <v>0</v>
      </c>
      <c r="AB98" s="13" t="str">
        <f>""</f>
        <v/>
      </c>
      <c r="AC98" s="35"/>
      <c r="AD98" s="40" t="str">
        <f>""</f>
        <v/>
      </c>
      <c r="AE98" s="35" t="str">
        <f>""</f>
        <v/>
      </c>
      <c r="AF98" s="40" t="str">
        <f>""</f>
        <v/>
      </c>
      <c r="AG98" s="35" t="str">
        <f>""</f>
        <v/>
      </c>
      <c r="AH98" s="40" t="str">
        <f>""</f>
        <v/>
      </c>
      <c r="AI98" s="35" t="str">
        <f>""</f>
        <v/>
      </c>
      <c r="AJ98" s="40"/>
      <c r="AK98" s="35"/>
      <c r="AL98" s="13" t="str">
        <f>""</f>
        <v/>
      </c>
      <c r="AM98" s="35" t="str">
        <f>""</f>
        <v/>
      </c>
    </row>
    <row r="99" spans="2:39" s="2" customFormat="1" x14ac:dyDescent="0.2">
      <c r="B99" s="4"/>
      <c r="C99" s="4"/>
      <c r="D99" s="4"/>
      <c r="E99" s="4"/>
      <c r="F99" s="13"/>
      <c r="G99" s="13"/>
      <c r="H99" s="13"/>
      <c r="I99" s="13"/>
      <c r="J99" s="13"/>
      <c r="K99" s="13"/>
      <c r="L99" s="13"/>
      <c r="M99" s="13"/>
      <c r="U99" s="65" t="s">
        <v>51</v>
      </c>
      <c r="V99" s="40" t="str">
        <f>""</f>
        <v/>
      </c>
      <c r="W99" s="13" t="str">
        <f>""</f>
        <v/>
      </c>
      <c r="X99" s="13" t="str">
        <f>""</f>
        <v/>
      </c>
      <c r="Y99" s="35" t="str">
        <f>""</f>
        <v/>
      </c>
      <c r="Z99" s="34" t="str">
        <f>""</f>
        <v/>
      </c>
      <c r="AA99" s="13">
        <v>0</v>
      </c>
      <c r="AB99" s="13" t="str">
        <f>""</f>
        <v/>
      </c>
      <c r="AC99" s="35"/>
      <c r="AD99" s="40" t="str">
        <f>""</f>
        <v/>
      </c>
      <c r="AE99" s="35" t="str">
        <f>""</f>
        <v/>
      </c>
      <c r="AF99" s="40" t="str">
        <f>""</f>
        <v/>
      </c>
      <c r="AG99" s="35" t="str">
        <f>""</f>
        <v/>
      </c>
      <c r="AH99" s="40" t="str">
        <f>""</f>
        <v/>
      </c>
      <c r="AI99" s="35" t="str">
        <f>""</f>
        <v/>
      </c>
      <c r="AJ99" s="40"/>
      <c r="AK99" s="35"/>
      <c r="AL99" s="13" t="str">
        <f>""</f>
        <v/>
      </c>
      <c r="AM99" s="35" t="str">
        <f>""</f>
        <v/>
      </c>
    </row>
    <row r="100" spans="2:39" s="2" customFormat="1" x14ac:dyDescent="0.2">
      <c r="B100" s="4"/>
      <c r="C100" s="4"/>
      <c r="D100" s="4"/>
      <c r="E100" s="4"/>
      <c r="F100" s="13"/>
      <c r="G100" s="13"/>
      <c r="H100" s="13"/>
      <c r="I100" s="13"/>
      <c r="J100" s="13"/>
      <c r="K100" s="13"/>
      <c r="L100" s="13"/>
      <c r="M100" s="13"/>
      <c r="U100" s="65" t="s">
        <v>58</v>
      </c>
      <c r="V100" s="40" t="str">
        <f>""</f>
        <v/>
      </c>
      <c r="W100" s="13" t="str">
        <f>""</f>
        <v/>
      </c>
      <c r="X100" s="13" t="str">
        <f>""</f>
        <v/>
      </c>
      <c r="Y100" s="35" t="str">
        <f>""</f>
        <v/>
      </c>
      <c r="Z100" s="34" t="str">
        <f>""</f>
        <v/>
      </c>
      <c r="AA100" s="13">
        <v>0</v>
      </c>
      <c r="AB100" s="13" t="str">
        <f>""</f>
        <v/>
      </c>
      <c r="AC100" s="35"/>
      <c r="AD100" s="40" t="str">
        <f>""</f>
        <v/>
      </c>
      <c r="AE100" s="35" t="str">
        <f>""</f>
        <v/>
      </c>
      <c r="AF100" s="40" t="str">
        <f>""</f>
        <v/>
      </c>
      <c r="AG100" s="35" t="str">
        <f>""</f>
        <v/>
      </c>
      <c r="AH100" s="40" t="str">
        <f>""</f>
        <v/>
      </c>
      <c r="AI100" s="35" t="str">
        <f>""</f>
        <v/>
      </c>
      <c r="AJ100" s="40"/>
      <c r="AK100" s="35"/>
      <c r="AL100" s="13" t="str">
        <f>""</f>
        <v/>
      </c>
      <c r="AM100" s="35" t="str">
        <f>""</f>
        <v/>
      </c>
    </row>
    <row r="101" spans="2:39" s="2" customFormat="1" x14ac:dyDescent="0.2">
      <c r="B101" s="4"/>
      <c r="C101" s="4"/>
      <c r="D101" s="4"/>
      <c r="E101" s="4"/>
      <c r="F101" s="13"/>
      <c r="G101" s="13"/>
      <c r="H101" s="13"/>
      <c r="I101" s="13"/>
      <c r="J101" s="13"/>
      <c r="K101" s="13"/>
      <c r="L101" s="13"/>
      <c r="M101" s="13"/>
      <c r="U101" s="65" t="s">
        <v>59</v>
      </c>
      <c r="V101" s="40" t="str">
        <f>""</f>
        <v/>
      </c>
      <c r="W101" s="13" t="str">
        <f>""</f>
        <v/>
      </c>
      <c r="X101" s="13" t="str">
        <f>""</f>
        <v/>
      </c>
      <c r="Y101" s="35" t="str">
        <f>""</f>
        <v/>
      </c>
      <c r="Z101" s="34" t="str">
        <f>""</f>
        <v/>
      </c>
      <c r="AA101" s="13">
        <v>0</v>
      </c>
      <c r="AB101" s="13" t="str">
        <f>""</f>
        <v/>
      </c>
      <c r="AC101" s="35"/>
      <c r="AD101" s="40" t="str">
        <f>""</f>
        <v/>
      </c>
      <c r="AE101" s="35" t="str">
        <f>""</f>
        <v/>
      </c>
      <c r="AF101" s="40" t="str">
        <f>""</f>
        <v/>
      </c>
      <c r="AG101" s="35" t="str">
        <f>""</f>
        <v/>
      </c>
      <c r="AH101" s="40" t="str">
        <f>""</f>
        <v/>
      </c>
      <c r="AI101" s="35" t="str">
        <f>""</f>
        <v/>
      </c>
      <c r="AJ101" s="40"/>
      <c r="AK101" s="35"/>
      <c r="AL101" s="13" t="str">
        <f>""</f>
        <v/>
      </c>
      <c r="AM101" s="35" t="str">
        <f>""</f>
        <v/>
      </c>
    </row>
    <row r="102" spans="2:39" s="2" customFormat="1" x14ac:dyDescent="0.2">
      <c r="B102" s="4"/>
      <c r="C102" s="4"/>
      <c r="D102" s="4"/>
      <c r="E102" s="4"/>
      <c r="F102" s="13"/>
      <c r="G102" s="13"/>
      <c r="H102" s="13"/>
      <c r="I102" s="13"/>
      <c r="J102" s="13"/>
      <c r="K102" s="13"/>
      <c r="L102" s="13"/>
      <c r="M102" s="13"/>
      <c r="U102" s="65" t="s">
        <v>60</v>
      </c>
      <c r="V102" s="40" t="str">
        <f>""</f>
        <v/>
      </c>
      <c r="W102" s="13" t="str">
        <f>""</f>
        <v/>
      </c>
      <c r="X102" s="13" t="str">
        <f>""</f>
        <v/>
      </c>
      <c r="Y102" s="35" t="str">
        <f>""</f>
        <v/>
      </c>
      <c r="Z102" s="34" t="str">
        <f>""</f>
        <v/>
      </c>
      <c r="AA102" s="13">
        <v>0</v>
      </c>
      <c r="AB102" s="13" t="str">
        <f>""</f>
        <v/>
      </c>
      <c r="AC102" s="35"/>
      <c r="AD102" s="40" t="str">
        <f>""</f>
        <v/>
      </c>
      <c r="AE102" s="35" t="str">
        <f>""</f>
        <v/>
      </c>
      <c r="AF102" s="40" t="str">
        <f>""</f>
        <v/>
      </c>
      <c r="AG102" s="35" t="str">
        <f>""</f>
        <v/>
      </c>
      <c r="AH102" s="40" t="str">
        <f>""</f>
        <v/>
      </c>
      <c r="AI102" s="35" t="str">
        <f>""</f>
        <v/>
      </c>
      <c r="AJ102" s="40"/>
      <c r="AK102" s="35"/>
      <c r="AL102" s="13" t="str">
        <f>""</f>
        <v/>
      </c>
      <c r="AM102" s="35" t="str">
        <f>""</f>
        <v/>
      </c>
    </row>
    <row r="103" spans="2:39" s="2" customFormat="1" x14ac:dyDescent="0.2">
      <c r="B103" s="4"/>
      <c r="C103" s="4"/>
      <c r="D103" s="4"/>
      <c r="E103" s="4"/>
      <c r="F103" s="13"/>
      <c r="G103" s="13"/>
      <c r="H103" s="13"/>
      <c r="I103" s="13"/>
      <c r="J103" s="13"/>
      <c r="K103" s="13"/>
      <c r="L103" s="13"/>
      <c r="M103" s="13"/>
      <c r="U103" s="65" t="s">
        <v>61</v>
      </c>
      <c r="V103" s="40" t="str">
        <f>""</f>
        <v/>
      </c>
      <c r="W103" s="13" t="str">
        <f>""</f>
        <v/>
      </c>
      <c r="X103" s="13" t="str">
        <f>""</f>
        <v/>
      </c>
      <c r="Y103" s="35" t="str">
        <f>""</f>
        <v/>
      </c>
      <c r="Z103" s="34" t="str">
        <f>""</f>
        <v/>
      </c>
      <c r="AA103" s="13">
        <v>0</v>
      </c>
      <c r="AB103" s="13" t="str">
        <f>""</f>
        <v/>
      </c>
      <c r="AC103" s="35"/>
      <c r="AD103" s="40" t="str">
        <f>""</f>
        <v/>
      </c>
      <c r="AE103" s="35" t="str">
        <f>""</f>
        <v/>
      </c>
      <c r="AF103" s="40" t="str">
        <f>""</f>
        <v/>
      </c>
      <c r="AG103" s="35" t="str">
        <f>""</f>
        <v/>
      </c>
      <c r="AH103" s="40" t="str">
        <f>""</f>
        <v/>
      </c>
      <c r="AI103" s="35" t="str">
        <f>""</f>
        <v/>
      </c>
      <c r="AJ103" s="40"/>
      <c r="AK103" s="35"/>
      <c r="AL103" s="13" t="str">
        <f>""</f>
        <v/>
      </c>
      <c r="AM103" s="35" t="str">
        <f>""</f>
        <v/>
      </c>
    </row>
    <row r="104" spans="2:39" s="2" customFormat="1" x14ac:dyDescent="0.2">
      <c r="B104" s="4"/>
      <c r="C104" s="4"/>
      <c r="D104" s="4"/>
      <c r="E104" s="4"/>
      <c r="F104" s="13"/>
      <c r="G104" s="13"/>
      <c r="H104" s="13"/>
      <c r="I104" s="13"/>
      <c r="J104" s="13"/>
      <c r="K104" s="13"/>
      <c r="L104" s="13"/>
      <c r="M104" s="13"/>
      <c r="U104" s="65" t="s">
        <v>62</v>
      </c>
      <c r="V104" s="40" t="str">
        <f>""</f>
        <v/>
      </c>
      <c r="W104" s="13" t="str">
        <f>""</f>
        <v/>
      </c>
      <c r="X104" s="13" t="str">
        <f>""</f>
        <v/>
      </c>
      <c r="Y104" s="35" t="str">
        <f>""</f>
        <v/>
      </c>
      <c r="Z104" s="34" t="str">
        <f>""</f>
        <v/>
      </c>
      <c r="AA104" s="13">
        <v>0</v>
      </c>
      <c r="AB104" s="13" t="str">
        <f>""</f>
        <v/>
      </c>
      <c r="AC104" s="35"/>
      <c r="AD104" s="40" t="str">
        <f>""</f>
        <v/>
      </c>
      <c r="AE104" s="35" t="str">
        <f>""</f>
        <v/>
      </c>
      <c r="AF104" s="40" t="str">
        <f>""</f>
        <v/>
      </c>
      <c r="AG104" s="35" t="str">
        <f>""</f>
        <v/>
      </c>
      <c r="AH104" s="40" t="str">
        <f>""</f>
        <v/>
      </c>
      <c r="AI104" s="35" t="str">
        <f>""</f>
        <v/>
      </c>
      <c r="AJ104" s="40"/>
      <c r="AK104" s="35"/>
      <c r="AL104" s="13" t="str">
        <f>""</f>
        <v/>
      </c>
      <c r="AM104" s="35" t="str">
        <f>""</f>
        <v/>
      </c>
    </row>
    <row r="105" spans="2:39" s="2" customFormat="1" x14ac:dyDescent="0.2">
      <c r="B105" s="4"/>
      <c r="C105" s="4"/>
      <c r="D105" s="4"/>
      <c r="E105" s="4"/>
      <c r="F105" s="13"/>
      <c r="G105" s="13"/>
      <c r="H105" s="13"/>
      <c r="I105" s="13"/>
      <c r="J105" s="13"/>
      <c r="K105" s="13"/>
      <c r="L105" s="13"/>
      <c r="M105" s="13"/>
      <c r="U105" s="65" t="s">
        <v>63</v>
      </c>
      <c r="V105" s="40" t="str">
        <f>""</f>
        <v/>
      </c>
      <c r="W105" s="13" t="str">
        <f>""</f>
        <v/>
      </c>
      <c r="X105" s="13" t="str">
        <f>""</f>
        <v/>
      </c>
      <c r="Y105" s="35" t="str">
        <f>""</f>
        <v/>
      </c>
      <c r="Z105" s="34" t="str">
        <f>""</f>
        <v/>
      </c>
      <c r="AA105" s="13">
        <v>0</v>
      </c>
      <c r="AB105" s="13" t="str">
        <f>""</f>
        <v/>
      </c>
      <c r="AC105" s="35"/>
      <c r="AD105" s="40" t="str">
        <f>""</f>
        <v/>
      </c>
      <c r="AE105" s="35" t="str">
        <f>""</f>
        <v/>
      </c>
      <c r="AF105" s="40" t="str">
        <f>""</f>
        <v/>
      </c>
      <c r="AG105" s="35" t="str">
        <f>""</f>
        <v/>
      </c>
      <c r="AH105" s="40" t="str">
        <f>""</f>
        <v/>
      </c>
      <c r="AI105" s="35" t="str">
        <f>""</f>
        <v/>
      </c>
      <c r="AJ105" s="40"/>
      <c r="AK105" s="35"/>
      <c r="AL105" s="13" t="str">
        <f>""</f>
        <v/>
      </c>
      <c r="AM105" s="35" t="str">
        <f>""</f>
        <v/>
      </c>
    </row>
    <row r="106" spans="2:39" s="2" customFormat="1" x14ac:dyDescent="0.2">
      <c r="B106" s="4"/>
      <c r="C106" s="4"/>
      <c r="D106" s="4"/>
      <c r="E106" s="4"/>
      <c r="F106" s="13"/>
      <c r="G106" s="13"/>
      <c r="H106" s="13"/>
      <c r="I106" s="13"/>
      <c r="J106" s="13"/>
      <c r="K106" s="13"/>
      <c r="L106" s="13"/>
      <c r="M106" s="13"/>
      <c r="U106" s="65" t="s">
        <v>64</v>
      </c>
      <c r="V106" s="40" t="str">
        <f>""</f>
        <v/>
      </c>
      <c r="W106" s="13" t="str">
        <f>""</f>
        <v/>
      </c>
      <c r="X106" s="13" t="str">
        <f>""</f>
        <v/>
      </c>
      <c r="Y106" s="35" t="str">
        <f>""</f>
        <v/>
      </c>
      <c r="Z106" s="34" t="str">
        <f>""</f>
        <v/>
      </c>
      <c r="AA106" s="13">
        <v>0</v>
      </c>
      <c r="AB106" s="13" t="str">
        <f>""</f>
        <v/>
      </c>
      <c r="AC106" s="35"/>
      <c r="AD106" s="40" t="str">
        <f>""</f>
        <v/>
      </c>
      <c r="AE106" s="35" t="str">
        <f>""</f>
        <v/>
      </c>
      <c r="AF106" s="40" t="str">
        <f>""</f>
        <v/>
      </c>
      <c r="AG106" s="35" t="str">
        <f>""</f>
        <v/>
      </c>
      <c r="AH106" s="40" t="str">
        <f>""</f>
        <v/>
      </c>
      <c r="AI106" s="35" t="str">
        <f>""</f>
        <v/>
      </c>
      <c r="AJ106" s="40"/>
      <c r="AK106" s="35"/>
      <c r="AL106" s="13" t="str">
        <f>""</f>
        <v/>
      </c>
      <c r="AM106" s="35" t="str">
        <f>""</f>
        <v/>
      </c>
    </row>
    <row r="107" spans="2:39" s="2" customFormat="1" x14ac:dyDescent="0.2">
      <c r="B107" s="4"/>
      <c r="C107" s="4"/>
      <c r="D107" s="4"/>
      <c r="E107" s="4"/>
      <c r="F107" s="13"/>
      <c r="G107" s="13"/>
      <c r="H107" s="13"/>
      <c r="I107" s="13"/>
      <c r="J107" s="13"/>
      <c r="K107" s="13"/>
      <c r="L107" s="13"/>
      <c r="M107" s="13"/>
      <c r="U107" s="65" t="s">
        <v>65</v>
      </c>
      <c r="V107" s="40" t="str">
        <f>""</f>
        <v/>
      </c>
      <c r="W107" s="13" t="str">
        <f>""</f>
        <v/>
      </c>
      <c r="X107" s="13" t="str">
        <f>""</f>
        <v/>
      </c>
      <c r="Y107" s="35" t="str">
        <f>""</f>
        <v/>
      </c>
      <c r="Z107" s="34" t="str">
        <f>""</f>
        <v/>
      </c>
      <c r="AA107" s="13">
        <v>0</v>
      </c>
      <c r="AB107" s="13" t="str">
        <f>""</f>
        <v/>
      </c>
      <c r="AC107" s="35"/>
      <c r="AD107" s="40" t="str">
        <f>""</f>
        <v/>
      </c>
      <c r="AE107" s="35" t="str">
        <f>""</f>
        <v/>
      </c>
      <c r="AF107" s="40" t="str">
        <f>""</f>
        <v/>
      </c>
      <c r="AG107" s="35" t="str">
        <f>""</f>
        <v/>
      </c>
      <c r="AH107" s="40" t="str">
        <f>""</f>
        <v/>
      </c>
      <c r="AI107" s="35" t="str">
        <f>""</f>
        <v/>
      </c>
      <c r="AJ107" s="40"/>
      <c r="AK107" s="35"/>
      <c r="AL107" s="13" t="str">
        <f>""</f>
        <v/>
      </c>
      <c r="AM107" s="35" t="str">
        <f>""</f>
        <v/>
      </c>
    </row>
    <row r="108" spans="2:39" s="2" customFormat="1" x14ac:dyDescent="0.2">
      <c r="B108" s="4"/>
      <c r="C108" s="4"/>
      <c r="D108" s="4"/>
      <c r="E108" s="4"/>
      <c r="F108" s="13"/>
      <c r="G108" s="13"/>
      <c r="H108" s="13"/>
      <c r="I108" s="13"/>
      <c r="J108" s="13"/>
      <c r="K108" s="13"/>
      <c r="L108" s="13"/>
      <c r="M108" s="13"/>
      <c r="U108" s="65" t="s">
        <v>66</v>
      </c>
      <c r="V108" s="40" t="str">
        <f>""</f>
        <v/>
      </c>
      <c r="W108" s="13" t="str">
        <f>""</f>
        <v/>
      </c>
      <c r="X108" s="13" t="str">
        <f>""</f>
        <v/>
      </c>
      <c r="Y108" s="35" t="str">
        <f>""</f>
        <v/>
      </c>
      <c r="Z108" s="34" t="str">
        <f>""</f>
        <v/>
      </c>
      <c r="AA108" s="13">
        <v>0</v>
      </c>
      <c r="AB108" s="13" t="str">
        <f>""</f>
        <v/>
      </c>
      <c r="AC108" s="35"/>
      <c r="AD108" s="40" t="str">
        <f>""</f>
        <v/>
      </c>
      <c r="AE108" s="35" t="str">
        <f>""</f>
        <v/>
      </c>
      <c r="AF108" s="40" t="str">
        <f>""</f>
        <v/>
      </c>
      <c r="AG108" s="35" t="str">
        <f>""</f>
        <v/>
      </c>
      <c r="AH108" s="40" t="str">
        <f>""</f>
        <v/>
      </c>
      <c r="AI108" s="35" t="str">
        <f>""</f>
        <v/>
      </c>
      <c r="AJ108" s="40"/>
      <c r="AK108" s="35"/>
      <c r="AL108" s="13" t="str">
        <f>""</f>
        <v/>
      </c>
      <c r="AM108" s="35" t="str">
        <f>""</f>
        <v/>
      </c>
    </row>
    <row r="109" spans="2:39" s="2" customFormat="1" x14ac:dyDescent="0.2">
      <c r="B109" s="4"/>
      <c r="C109" s="4"/>
      <c r="D109" s="4"/>
      <c r="E109" s="4"/>
      <c r="F109" s="13"/>
      <c r="G109" s="13"/>
      <c r="H109" s="13"/>
      <c r="I109" s="13"/>
      <c r="J109" s="13"/>
      <c r="K109" s="13"/>
      <c r="L109" s="13"/>
      <c r="M109" s="13"/>
      <c r="U109" s="65" t="s">
        <v>67</v>
      </c>
      <c r="V109" s="40" t="str">
        <f>""</f>
        <v/>
      </c>
      <c r="W109" s="13" t="str">
        <f>""</f>
        <v/>
      </c>
      <c r="X109" s="13" t="str">
        <f>""</f>
        <v/>
      </c>
      <c r="Y109" s="35" t="str">
        <f>""</f>
        <v/>
      </c>
      <c r="Z109" s="34" t="str">
        <f>""</f>
        <v/>
      </c>
      <c r="AA109" s="13">
        <v>0</v>
      </c>
      <c r="AB109" s="13" t="str">
        <f>""</f>
        <v/>
      </c>
      <c r="AC109" s="35"/>
      <c r="AD109" s="40" t="str">
        <f>""</f>
        <v/>
      </c>
      <c r="AE109" s="35" t="str">
        <f>""</f>
        <v/>
      </c>
      <c r="AF109" s="40" t="str">
        <f>""</f>
        <v/>
      </c>
      <c r="AG109" s="35" t="str">
        <f>""</f>
        <v/>
      </c>
      <c r="AH109" s="40" t="str">
        <f>""</f>
        <v/>
      </c>
      <c r="AI109" s="35" t="str">
        <f>""</f>
        <v/>
      </c>
      <c r="AJ109" s="40"/>
      <c r="AK109" s="35"/>
      <c r="AL109" s="13" t="str">
        <f>""</f>
        <v/>
      </c>
      <c r="AM109" s="35" t="str">
        <f>""</f>
        <v/>
      </c>
    </row>
    <row r="110" spans="2:39" s="2" customFormat="1" x14ac:dyDescent="0.2">
      <c r="B110" s="4"/>
      <c r="C110" s="4"/>
      <c r="D110" s="4"/>
      <c r="E110" s="4"/>
      <c r="F110" s="13"/>
      <c r="G110" s="13"/>
      <c r="H110" s="13"/>
      <c r="I110" s="13"/>
      <c r="J110" s="13"/>
      <c r="K110" s="13"/>
      <c r="L110" s="13"/>
      <c r="M110" s="13"/>
      <c r="U110" s="65" t="s">
        <v>68</v>
      </c>
      <c r="V110" s="40" t="str">
        <f>""</f>
        <v/>
      </c>
      <c r="W110" s="13" t="str">
        <f>""</f>
        <v/>
      </c>
      <c r="X110" s="13" t="str">
        <f>""</f>
        <v/>
      </c>
      <c r="Y110" s="35" t="str">
        <f>""</f>
        <v/>
      </c>
      <c r="Z110" s="34" t="str">
        <f>""</f>
        <v/>
      </c>
      <c r="AA110" s="13">
        <v>0</v>
      </c>
      <c r="AB110" s="13" t="str">
        <f>""</f>
        <v/>
      </c>
      <c r="AC110" s="35"/>
      <c r="AD110" s="40" t="str">
        <f>""</f>
        <v/>
      </c>
      <c r="AE110" s="35" t="str">
        <f>""</f>
        <v/>
      </c>
      <c r="AF110" s="40" t="str">
        <f>""</f>
        <v/>
      </c>
      <c r="AG110" s="35" t="str">
        <f>""</f>
        <v/>
      </c>
      <c r="AH110" s="40" t="str">
        <f>""</f>
        <v/>
      </c>
      <c r="AI110" s="35" t="str">
        <f>""</f>
        <v/>
      </c>
      <c r="AJ110" s="40"/>
      <c r="AK110" s="35"/>
      <c r="AL110" s="13" t="str">
        <f>""</f>
        <v/>
      </c>
      <c r="AM110" s="35" t="str">
        <f>""</f>
        <v/>
      </c>
    </row>
    <row r="111" spans="2:39" s="2" customFormat="1" x14ac:dyDescent="0.2">
      <c r="B111" s="4"/>
      <c r="C111" s="4"/>
      <c r="D111" s="4"/>
      <c r="E111" s="4"/>
      <c r="F111" s="13"/>
      <c r="G111" s="13"/>
      <c r="H111" s="13"/>
      <c r="I111" s="13"/>
      <c r="J111" s="13"/>
      <c r="K111" s="13"/>
      <c r="L111" s="13"/>
      <c r="M111" s="13"/>
      <c r="U111" s="65" t="s">
        <v>69</v>
      </c>
      <c r="V111" s="40" t="str">
        <f>""</f>
        <v/>
      </c>
      <c r="W111" s="13" t="str">
        <f>""</f>
        <v/>
      </c>
      <c r="X111" s="13" t="str">
        <f>""</f>
        <v/>
      </c>
      <c r="Y111" s="35" t="str">
        <f>""</f>
        <v/>
      </c>
      <c r="Z111" s="34" t="str">
        <f>""</f>
        <v/>
      </c>
      <c r="AA111" s="13">
        <v>0</v>
      </c>
      <c r="AB111" s="13" t="str">
        <f>""</f>
        <v/>
      </c>
      <c r="AC111" s="35"/>
      <c r="AD111" s="40" t="str">
        <f>""</f>
        <v/>
      </c>
      <c r="AE111" s="35" t="str">
        <f>""</f>
        <v/>
      </c>
      <c r="AF111" s="40" t="str">
        <f>""</f>
        <v/>
      </c>
      <c r="AG111" s="35" t="str">
        <f>""</f>
        <v/>
      </c>
      <c r="AH111" s="40" t="str">
        <f>""</f>
        <v/>
      </c>
      <c r="AI111" s="35" t="str">
        <f>""</f>
        <v/>
      </c>
      <c r="AJ111" s="40"/>
      <c r="AK111" s="35"/>
      <c r="AL111" s="13" t="str">
        <f>""</f>
        <v/>
      </c>
      <c r="AM111" s="35" t="str">
        <f>""</f>
        <v/>
      </c>
    </row>
    <row r="112" spans="2:39" s="2" customFormat="1" x14ac:dyDescent="0.2">
      <c r="B112" s="4"/>
      <c r="C112" s="4"/>
      <c r="D112" s="4"/>
      <c r="E112" s="4"/>
      <c r="F112" s="13"/>
      <c r="G112" s="13"/>
      <c r="H112" s="13"/>
      <c r="I112" s="13"/>
      <c r="J112" s="13"/>
      <c r="K112" s="13"/>
      <c r="L112" s="13"/>
      <c r="M112" s="13"/>
      <c r="U112" s="65" t="s">
        <v>70</v>
      </c>
      <c r="V112" s="40" t="str">
        <f>""</f>
        <v/>
      </c>
      <c r="W112" s="13" t="str">
        <f>""</f>
        <v/>
      </c>
      <c r="X112" s="13" t="str">
        <f>""</f>
        <v/>
      </c>
      <c r="Y112" s="35" t="str">
        <f>""</f>
        <v/>
      </c>
      <c r="Z112" s="34" t="str">
        <f>""</f>
        <v/>
      </c>
      <c r="AA112" s="13">
        <v>0</v>
      </c>
      <c r="AB112" s="13" t="str">
        <f>""</f>
        <v/>
      </c>
      <c r="AC112" s="35"/>
      <c r="AD112" s="40" t="str">
        <f>""</f>
        <v/>
      </c>
      <c r="AE112" s="35" t="str">
        <f>""</f>
        <v/>
      </c>
      <c r="AF112" s="40" t="str">
        <f>""</f>
        <v/>
      </c>
      <c r="AG112" s="35" t="str">
        <f>""</f>
        <v/>
      </c>
      <c r="AH112" s="40" t="str">
        <f>""</f>
        <v/>
      </c>
      <c r="AI112" s="35" t="str">
        <f>""</f>
        <v/>
      </c>
      <c r="AJ112" s="40"/>
      <c r="AK112" s="35"/>
      <c r="AL112" s="13" t="str">
        <f>""</f>
        <v/>
      </c>
      <c r="AM112" s="35" t="str">
        <f>""</f>
        <v/>
      </c>
    </row>
    <row r="113" spans="2:39" s="2" customFormat="1" x14ac:dyDescent="0.2">
      <c r="B113" s="4"/>
      <c r="C113" s="4"/>
      <c r="D113" s="4"/>
      <c r="E113" s="4"/>
      <c r="F113" s="13"/>
      <c r="G113" s="13"/>
      <c r="H113" s="13"/>
      <c r="I113" s="13"/>
      <c r="J113" s="13"/>
      <c r="K113" s="13"/>
      <c r="L113" s="13"/>
      <c r="M113" s="13"/>
      <c r="U113" s="65" t="s">
        <v>71</v>
      </c>
      <c r="V113" s="40" t="str">
        <f>""</f>
        <v/>
      </c>
      <c r="W113" s="13" t="str">
        <f>""</f>
        <v/>
      </c>
      <c r="X113" s="13" t="str">
        <f>""</f>
        <v/>
      </c>
      <c r="Y113" s="35" t="str">
        <f>""</f>
        <v/>
      </c>
      <c r="Z113" s="34" t="str">
        <f>""</f>
        <v/>
      </c>
      <c r="AA113" s="13">
        <v>0</v>
      </c>
      <c r="AB113" s="13" t="str">
        <f>""</f>
        <v/>
      </c>
      <c r="AC113" s="35"/>
      <c r="AD113" s="40" t="str">
        <f>""</f>
        <v/>
      </c>
      <c r="AE113" s="35" t="str">
        <f>""</f>
        <v/>
      </c>
      <c r="AF113" s="40" t="str">
        <f>""</f>
        <v/>
      </c>
      <c r="AG113" s="35" t="str">
        <f>""</f>
        <v/>
      </c>
      <c r="AH113" s="40" t="str">
        <f>""</f>
        <v/>
      </c>
      <c r="AI113" s="35" t="str">
        <f>""</f>
        <v/>
      </c>
      <c r="AJ113" s="40"/>
      <c r="AK113" s="35"/>
      <c r="AL113" s="13" t="str">
        <f>""</f>
        <v/>
      </c>
      <c r="AM113" s="35" t="str">
        <f>""</f>
        <v/>
      </c>
    </row>
    <row r="114" spans="2:39" s="2" customFormat="1" x14ac:dyDescent="0.2">
      <c r="B114" s="4"/>
      <c r="C114" s="4"/>
      <c r="D114" s="4"/>
      <c r="E114" s="4"/>
      <c r="F114" s="13"/>
      <c r="G114" s="13"/>
      <c r="H114" s="13"/>
      <c r="I114" s="13"/>
      <c r="J114" s="13"/>
      <c r="K114" s="13"/>
      <c r="L114" s="13"/>
      <c r="M114" s="13"/>
      <c r="U114" s="65" t="s">
        <v>72</v>
      </c>
      <c r="V114" s="40" t="str">
        <f>""</f>
        <v/>
      </c>
      <c r="W114" s="13" t="str">
        <f>""</f>
        <v/>
      </c>
      <c r="X114" s="13" t="str">
        <f>""</f>
        <v/>
      </c>
      <c r="Y114" s="35" t="str">
        <f>""</f>
        <v/>
      </c>
      <c r="Z114" s="34" t="str">
        <f>""</f>
        <v/>
      </c>
      <c r="AA114" s="13">
        <v>0</v>
      </c>
      <c r="AB114" s="13" t="str">
        <f>""</f>
        <v/>
      </c>
      <c r="AC114" s="35"/>
      <c r="AD114" s="40" t="str">
        <f>""</f>
        <v/>
      </c>
      <c r="AE114" s="35" t="str">
        <f>""</f>
        <v/>
      </c>
      <c r="AF114" s="40" t="str">
        <f>""</f>
        <v/>
      </c>
      <c r="AG114" s="35" t="str">
        <f>""</f>
        <v/>
      </c>
      <c r="AH114" s="40" t="str">
        <f>""</f>
        <v/>
      </c>
      <c r="AI114" s="35" t="str">
        <f>""</f>
        <v/>
      </c>
      <c r="AJ114" s="40"/>
      <c r="AK114" s="35"/>
      <c r="AL114" s="13" t="str">
        <f>""</f>
        <v/>
      </c>
      <c r="AM114" s="35" t="str">
        <f>""</f>
        <v/>
      </c>
    </row>
    <row r="115" spans="2:39" s="2" customFormat="1" x14ac:dyDescent="0.2">
      <c r="B115" s="4"/>
      <c r="C115" s="4"/>
      <c r="D115" s="4"/>
      <c r="E115" s="4"/>
      <c r="F115" s="13"/>
      <c r="G115" s="13"/>
      <c r="H115" s="13"/>
      <c r="I115" s="13"/>
      <c r="J115" s="13"/>
      <c r="K115" s="13"/>
      <c r="L115" s="13"/>
      <c r="M115" s="13"/>
      <c r="U115" s="65" t="s">
        <v>73</v>
      </c>
      <c r="V115" s="40" t="str">
        <f>""</f>
        <v/>
      </c>
      <c r="W115" s="13" t="str">
        <f>""</f>
        <v/>
      </c>
      <c r="X115" s="13" t="str">
        <f>""</f>
        <v/>
      </c>
      <c r="Y115" s="35" t="str">
        <f>""</f>
        <v/>
      </c>
      <c r="Z115" s="34" t="str">
        <f>""</f>
        <v/>
      </c>
      <c r="AA115" s="13">
        <v>0</v>
      </c>
      <c r="AB115" s="13" t="str">
        <f>""</f>
        <v/>
      </c>
      <c r="AC115" s="35"/>
      <c r="AD115" s="40" t="str">
        <f>""</f>
        <v/>
      </c>
      <c r="AE115" s="35" t="str">
        <f>""</f>
        <v/>
      </c>
      <c r="AF115" s="40" t="str">
        <f>""</f>
        <v/>
      </c>
      <c r="AG115" s="35" t="str">
        <f>""</f>
        <v/>
      </c>
      <c r="AH115" s="40" t="str">
        <f>""</f>
        <v/>
      </c>
      <c r="AI115" s="35" t="str">
        <f>""</f>
        <v/>
      </c>
      <c r="AJ115" s="40"/>
      <c r="AK115" s="35"/>
      <c r="AL115" s="13" t="str">
        <f>""</f>
        <v/>
      </c>
      <c r="AM115" s="35" t="str">
        <f>""</f>
        <v/>
      </c>
    </row>
    <row r="116" spans="2:39" s="2" customFormat="1" x14ac:dyDescent="0.2">
      <c r="B116" s="4"/>
      <c r="C116" s="4"/>
      <c r="D116" s="4"/>
      <c r="E116" s="4"/>
      <c r="F116" s="13"/>
      <c r="G116" s="13"/>
      <c r="H116" s="13"/>
      <c r="I116" s="13"/>
      <c r="J116" s="13"/>
      <c r="K116" s="13"/>
      <c r="L116" s="13"/>
      <c r="M116" s="13"/>
      <c r="U116" s="65" t="s">
        <v>74</v>
      </c>
      <c r="V116" s="40" t="str">
        <f>""</f>
        <v/>
      </c>
      <c r="W116" s="13" t="str">
        <f>""</f>
        <v/>
      </c>
      <c r="X116" s="13" t="str">
        <f>""</f>
        <v/>
      </c>
      <c r="Y116" s="35" t="str">
        <f>""</f>
        <v/>
      </c>
      <c r="Z116" s="34" t="str">
        <f>""</f>
        <v/>
      </c>
      <c r="AA116" s="13">
        <v>0</v>
      </c>
      <c r="AB116" s="13" t="str">
        <f>""</f>
        <v/>
      </c>
      <c r="AC116" s="35"/>
      <c r="AD116" s="40" t="str">
        <f>""</f>
        <v/>
      </c>
      <c r="AE116" s="35" t="str">
        <f>""</f>
        <v/>
      </c>
      <c r="AF116" s="40" t="str">
        <f>""</f>
        <v/>
      </c>
      <c r="AG116" s="35" t="str">
        <f>""</f>
        <v/>
      </c>
      <c r="AH116" s="40" t="str">
        <f>""</f>
        <v/>
      </c>
      <c r="AI116" s="35" t="str">
        <f>""</f>
        <v/>
      </c>
      <c r="AJ116" s="40"/>
      <c r="AK116" s="35"/>
      <c r="AL116" s="13" t="str">
        <f>""</f>
        <v/>
      </c>
      <c r="AM116" s="35" t="str">
        <f>""</f>
        <v/>
      </c>
    </row>
    <row r="117" spans="2:39" s="2" customFormat="1" x14ac:dyDescent="0.2">
      <c r="B117" s="4"/>
      <c r="C117" s="4"/>
      <c r="D117" s="4"/>
      <c r="E117" s="4"/>
      <c r="F117" s="13"/>
      <c r="G117" s="13"/>
      <c r="H117" s="13"/>
      <c r="I117" s="13"/>
      <c r="J117" s="13"/>
      <c r="K117" s="13"/>
      <c r="L117" s="13"/>
      <c r="M117" s="13"/>
      <c r="U117" s="65" t="s">
        <v>75</v>
      </c>
      <c r="V117" s="40" t="str">
        <f>""</f>
        <v/>
      </c>
      <c r="W117" s="13" t="str">
        <f>""</f>
        <v/>
      </c>
      <c r="X117" s="13" t="str">
        <f>""</f>
        <v/>
      </c>
      <c r="Y117" s="35" t="str">
        <f>""</f>
        <v/>
      </c>
      <c r="Z117" s="34" t="str">
        <f>""</f>
        <v/>
      </c>
      <c r="AA117" s="13">
        <v>0</v>
      </c>
      <c r="AB117" s="13" t="str">
        <f>""</f>
        <v/>
      </c>
      <c r="AC117" s="35"/>
      <c r="AD117" s="40" t="str">
        <f>""</f>
        <v/>
      </c>
      <c r="AE117" s="35" t="str">
        <f>""</f>
        <v/>
      </c>
      <c r="AF117" s="40" t="str">
        <f>""</f>
        <v/>
      </c>
      <c r="AG117" s="35" t="str">
        <f>""</f>
        <v/>
      </c>
      <c r="AH117" s="40" t="str">
        <f>""</f>
        <v/>
      </c>
      <c r="AI117" s="35" t="str">
        <f>""</f>
        <v/>
      </c>
      <c r="AJ117" s="40"/>
      <c r="AK117" s="35"/>
      <c r="AL117" s="13" t="str">
        <f>""</f>
        <v/>
      </c>
      <c r="AM117" s="35" t="str">
        <f>""</f>
        <v/>
      </c>
    </row>
    <row r="118" spans="2:39" s="2" customFormat="1" x14ac:dyDescent="0.2">
      <c r="B118" s="4"/>
      <c r="C118" s="4"/>
      <c r="D118" s="4"/>
      <c r="E118" s="4"/>
      <c r="F118" s="13"/>
      <c r="G118" s="13"/>
      <c r="H118" s="13"/>
      <c r="I118" s="13"/>
      <c r="J118" s="13"/>
      <c r="K118" s="13"/>
      <c r="L118" s="13"/>
      <c r="M118" s="13"/>
      <c r="U118" s="65" t="s">
        <v>76</v>
      </c>
      <c r="V118" s="40" t="str">
        <f>""</f>
        <v/>
      </c>
      <c r="W118" s="13" t="str">
        <f>""</f>
        <v/>
      </c>
      <c r="X118" s="13" t="str">
        <f>""</f>
        <v/>
      </c>
      <c r="Y118" s="35" t="str">
        <f>""</f>
        <v/>
      </c>
      <c r="Z118" s="34" t="str">
        <f>""</f>
        <v/>
      </c>
      <c r="AA118" s="13">
        <v>0</v>
      </c>
      <c r="AB118" s="13" t="str">
        <f>""</f>
        <v/>
      </c>
      <c r="AC118" s="35"/>
      <c r="AD118" s="40" t="str">
        <f>""</f>
        <v/>
      </c>
      <c r="AE118" s="35" t="str">
        <f>""</f>
        <v/>
      </c>
      <c r="AF118" s="40" t="str">
        <f>""</f>
        <v/>
      </c>
      <c r="AG118" s="35" t="str">
        <f>""</f>
        <v/>
      </c>
      <c r="AH118" s="40" t="str">
        <f>""</f>
        <v/>
      </c>
      <c r="AI118" s="35" t="str">
        <f>""</f>
        <v/>
      </c>
      <c r="AJ118" s="40"/>
      <c r="AK118" s="35"/>
      <c r="AL118" s="13" t="str">
        <f>""</f>
        <v/>
      </c>
      <c r="AM118" s="35" t="str">
        <f>""</f>
        <v/>
      </c>
    </row>
    <row r="119" spans="2:39" s="2" customFormat="1" x14ac:dyDescent="0.2">
      <c r="B119" s="4"/>
      <c r="C119" s="4"/>
      <c r="D119" s="4"/>
      <c r="E119" s="4"/>
      <c r="F119" s="13"/>
      <c r="G119" s="13"/>
      <c r="H119" s="13"/>
      <c r="I119" s="13"/>
      <c r="J119" s="13"/>
      <c r="K119" s="13"/>
      <c r="L119" s="13"/>
      <c r="M119" s="13"/>
      <c r="U119" s="65" t="s">
        <v>77</v>
      </c>
      <c r="V119" s="40" t="str">
        <f>""</f>
        <v/>
      </c>
      <c r="W119" s="13" t="str">
        <f>""</f>
        <v/>
      </c>
      <c r="X119" s="13" t="str">
        <f>""</f>
        <v/>
      </c>
      <c r="Y119" s="35" t="str">
        <f>""</f>
        <v/>
      </c>
      <c r="Z119" s="34" t="str">
        <f>""</f>
        <v/>
      </c>
      <c r="AA119" s="13">
        <v>0</v>
      </c>
      <c r="AB119" s="13" t="str">
        <f>""</f>
        <v/>
      </c>
      <c r="AC119" s="35"/>
      <c r="AD119" s="40" t="str">
        <f>""</f>
        <v/>
      </c>
      <c r="AE119" s="35" t="str">
        <f>""</f>
        <v/>
      </c>
      <c r="AF119" s="40" t="str">
        <f>""</f>
        <v/>
      </c>
      <c r="AG119" s="35" t="str">
        <f>""</f>
        <v/>
      </c>
      <c r="AH119" s="40" t="str">
        <f>""</f>
        <v/>
      </c>
      <c r="AI119" s="35" t="str">
        <f>""</f>
        <v/>
      </c>
      <c r="AJ119" s="40"/>
      <c r="AK119" s="35"/>
      <c r="AL119" s="13" t="str">
        <f>""</f>
        <v/>
      </c>
      <c r="AM119" s="35" t="str">
        <f>""</f>
        <v/>
      </c>
    </row>
    <row r="120" spans="2:39" s="2" customFormat="1" x14ac:dyDescent="0.2">
      <c r="B120" s="4"/>
      <c r="C120" s="4"/>
      <c r="D120" s="4"/>
      <c r="E120" s="4"/>
      <c r="F120" s="13"/>
      <c r="G120" s="13"/>
      <c r="H120" s="13"/>
      <c r="I120" s="13"/>
      <c r="J120" s="13"/>
      <c r="K120" s="13"/>
      <c r="L120" s="13"/>
      <c r="M120" s="13"/>
      <c r="U120" s="65" t="s">
        <v>78</v>
      </c>
      <c r="V120" s="40" t="str">
        <f>""</f>
        <v/>
      </c>
      <c r="W120" s="13" t="str">
        <f>""</f>
        <v/>
      </c>
      <c r="X120" s="13" t="str">
        <f>""</f>
        <v/>
      </c>
      <c r="Y120" s="35" t="str">
        <f>""</f>
        <v/>
      </c>
      <c r="Z120" s="34" t="str">
        <f>""</f>
        <v/>
      </c>
      <c r="AA120" s="13">
        <v>0</v>
      </c>
      <c r="AB120" s="13" t="str">
        <f>""</f>
        <v/>
      </c>
      <c r="AC120" s="35"/>
      <c r="AD120" s="40" t="str">
        <f>""</f>
        <v/>
      </c>
      <c r="AE120" s="35" t="str">
        <f>""</f>
        <v/>
      </c>
      <c r="AF120" s="40" t="str">
        <f>""</f>
        <v/>
      </c>
      <c r="AG120" s="35" t="str">
        <f>""</f>
        <v/>
      </c>
      <c r="AH120" s="40" t="str">
        <f>""</f>
        <v/>
      </c>
      <c r="AI120" s="35" t="str">
        <f>""</f>
        <v/>
      </c>
      <c r="AJ120" s="40"/>
      <c r="AK120" s="35"/>
      <c r="AL120" s="13" t="str">
        <f>""</f>
        <v/>
      </c>
      <c r="AM120" s="35" t="str">
        <f>""</f>
        <v/>
      </c>
    </row>
    <row r="121" spans="2:39" s="2" customFormat="1" x14ac:dyDescent="0.2">
      <c r="B121" s="4"/>
      <c r="C121" s="4"/>
      <c r="D121" s="4"/>
      <c r="E121" s="4"/>
      <c r="F121" s="13"/>
      <c r="G121" s="13"/>
      <c r="H121" s="13"/>
      <c r="I121" s="13"/>
      <c r="J121" s="13"/>
      <c r="K121" s="13"/>
      <c r="L121" s="13"/>
      <c r="M121" s="13"/>
      <c r="U121" s="65" t="s">
        <v>79</v>
      </c>
      <c r="V121" s="40" t="str">
        <f>""</f>
        <v/>
      </c>
      <c r="W121" s="13" t="str">
        <f>""</f>
        <v/>
      </c>
      <c r="X121" s="13" t="str">
        <f>""</f>
        <v/>
      </c>
      <c r="Y121" s="35" t="str">
        <f>""</f>
        <v/>
      </c>
      <c r="Z121" s="34" t="str">
        <f>""</f>
        <v/>
      </c>
      <c r="AA121" s="13">
        <v>0</v>
      </c>
      <c r="AB121" s="13" t="str">
        <f>""</f>
        <v/>
      </c>
      <c r="AC121" s="35"/>
      <c r="AD121" s="40" t="str">
        <f>""</f>
        <v/>
      </c>
      <c r="AE121" s="35" t="str">
        <f>""</f>
        <v/>
      </c>
      <c r="AF121" s="40" t="str">
        <f>""</f>
        <v/>
      </c>
      <c r="AG121" s="35" t="str">
        <f>""</f>
        <v/>
      </c>
      <c r="AH121" s="40" t="str">
        <f>""</f>
        <v/>
      </c>
      <c r="AI121" s="35" t="str">
        <f>""</f>
        <v/>
      </c>
      <c r="AJ121" s="40"/>
      <c r="AK121" s="35"/>
      <c r="AL121" s="13" t="str">
        <f>""</f>
        <v/>
      </c>
      <c r="AM121" s="35" t="str">
        <f>""</f>
        <v/>
      </c>
    </row>
    <row r="122" spans="2:39" s="2" customFormat="1" x14ac:dyDescent="0.2">
      <c r="B122" s="4"/>
      <c r="C122" s="4"/>
      <c r="D122" s="4"/>
      <c r="E122" s="4"/>
      <c r="F122" s="13"/>
      <c r="G122" s="13"/>
      <c r="H122" s="13"/>
      <c r="I122" s="13"/>
      <c r="J122" s="13"/>
      <c r="K122" s="13"/>
      <c r="L122" s="13"/>
      <c r="M122" s="13"/>
      <c r="U122" s="65" t="s">
        <v>80</v>
      </c>
      <c r="V122" s="40" t="str">
        <f>""</f>
        <v/>
      </c>
      <c r="W122" s="13" t="str">
        <f>""</f>
        <v/>
      </c>
      <c r="X122" s="13" t="str">
        <f>""</f>
        <v/>
      </c>
      <c r="Y122" s="35" t="str">
        <f>""</f>
        <v/>
      </c>
      <c r="Z122" s="34" t="str">
        <f>""</f>
        <v/>
      </c>
      <c r="AA122" s="13">
        <v>0</v>
      </c>
      <c r="AB122" s="13" t="str">
        <f>""</f>
        <v/>
      </c>
      <c r="AC122" s="35"/>
      <c r="AD122" s="40" t="str">
        <f>""</f>
        <v/>
      </c>
      <c r="AE122" s="35" t="str">
        <f>""</f>
        <v/>
      </c>
      <c r="AF122" s="40" t="str">
        <f>""</f>
        <v/>
      </c>
      <c r="AG122" s="35" t="str">
        <f>""</f>
        <v/>
      </c>
      <c r="AH122" s="40" t="str">
        <f>""</f>
        <v/>
      </c>
      <c r="AI122" s="35" t="str">
        <f>""</f>
        <v/>
      </c>
      <c r="AJ122" s="40"/>
      <c r="AK122" s="35"/>
      <c r="AL122" s="13" t="str">
        <f>""</f>
        <v/>
      </c>
      <c r="AM122" s="35" t="str">
        <f>""</f>
        <v/>
      </c>
    </row>
    <row r="123" spans="2:39" s="2" customFormat="1" x14ac:dyDescent="0.2">
      <c r="B123" s="4"/>
      <c r="C123" s="4"/>
      <c r="D123" s="4"/>
      <c r="E123" s="4"/>
      <c r="F123" s="13"/>
      <c r="G123" s="13"/>
      <c r="H123" s="13"/>
      <c r="I123" s="13"/>
      <c r="J123" s="13"/>
      <c r="K123" s="13"/>
      <c r="L123" s="13"/>
      <c r="M123" s="13"/>
      <c r="U123" s="65" t="s">
        <v>81</v>
      </c>
      <c r="V123" s="40" t="str">
        <f>""</f>
        <v/>
      </c>
      <c r="W123" s="13" t="str">
        <f>""</f>
        <v/>
      </c>
      <c r="X123" s="13" t="str">
        <f>""</f>
        <v/>
      </c>
      <c r="Y123" s="35" t="str">
        <f>""</f>
        <v/>
      </c>
      <c r="Z123" s="34" t="str">
        <f>""</f>
        <v/>
      </c>
      <c r="AA123" s="13">
        <v>0</v>
      </c>
      <c r="AB123" s="13" t="str">
        <f>""</f>
        <v/>
      </c>
      <c r="AC123" s="35"/>
      <c r="AD123" s="40" t="str">
        <f>""</f>
        <v/>
      </c>
      <c r="AE123" s="35" t="str">
        <f>""</f>
        <v/>
      </c>
      <c r="AF123" s="40" t="str">
        <f>""</f>
        <v/>
      </c>
      <c r="AG123" s="35" t="str">
        <f>""</f>
        <v/>
      </c>
      <c r="AH123" s="40" t="str">
        <f>""</f>
        <v/>
      </c>
      <c r="AI123" s="35" t="str">
        <f>""</f>
        <v/>
      </c>
      <c r="AJ123" s="40"/>
      <c r="AK123" s="35"/>
      <c r="AL123" s="13" t="str">
        <f>""</f>
        <v/>
      </c>
      <c r="AM123" s="35" t="str">
        <f>""</f>
        <v/>
      </c>
    </row>
    <row r="124" spans="2:39" s="2" customFormat="1" x14ac:dyDescent="0.2">
      <c r="B124" s="4"/>
      <c r="C124" s="4"/>
      <c r="D124" s="4"/>
      <c r="E124" s="4"/>
      <c r="F124" s="13"/>
      <c r="G124" s="13"/>
      <c r="H124" s="13"/>
      <c r="I124" s="13"/>
      <c r="J124" s="13"/>
      <c r="K124" s="13"/>
      <c r="L124" s="13"/>
      <c r="M124" s="13"/>
      <c r="U124" s="65" t="s">
        <v>82</v>
      </c>
      <c r="V124" s="40" t="str">
        <f>""</f>
        <v/>
      </c>
      <c r="W124" s="13" t="str">
        <f>""</f>
        <v/>
      </c>
      <c r="X124" s="13" t="str">
        <f>""</f>
        <v/>
      </c>
      <c r="Y124" s="35" t="str">
        <f>""</f>
        <v/>
      </c>
      <c r="Z124" s="34" t="str">
        <f>""</f>
        <v/>
      </c>
      <c r="AA124" s="13">
        <v>0</v>
      </c>
      <c r="AB124" s="13" t="str">
        <f>""</f>
        <v/>
      </c>
      <c r="AC124" s="35"/>
      <c r="AD124" s="40" t="str">
        <f>""</f>
        <v/>
      </c>
      <c r="AE124" s="35" t="str">
        <f>""</f>
        <v/>
      </c>
      <c r="AF124" s="40" t="str">
        <f>""</f>
        <v/>
      </c>
      <c r="AG124" s="35" t="str">
        <f>""</f>
        <v/>
      </c>
      <c r="AH124" s="40" t="str">
        <f>""</f>
        <v/>
      </c>
      <c r="AI124" s="35" t="str">
        <f>""</f>
        <v/>
      </c>
      <c r="AJ124" s="40"/>
      <c r="AK124" s="35"/>
      <c r="AL124" s="13" t="str">
        <f>""</f>
        <v/>
      </c>
      <c r="AM124" s="35" t="str">
        <f>""</f>
        <v/>
      </c>
    </row>
    <row r="125" spans="2:39" s="2" customFormat="1" x14ac:dyDescent="0.2">
      <c r="B125" s="4"/>
      <c r="C125" s="4"/>
      <c r="D125" s="4"/>
      <c r="E125" s="4"/>
      <c r="F125" s="13"/>
      <c r="G125" s="13"/>
      <c r="H125" s="13"/>
      <c r="I125" s="13"/>
      <c r="J125" s="13"/>
      <c r="K125" s="13"/>
      <c r="L125" s="13"/>
      <c r="M125" s="13"/>
      <c r="U125" s="65" t="s">
        <v>83</v>
      </c>
      <c r="V125" s="40" t="str">
        <f>""</f>
        <v/>
      </c>
      <c r="W125" s="13" t="str">
        <f>""</f>
        <v/>
      </c>
      <c r="X125" s="13" t="str">
        <f>""</f>
        <v/>
      </c>
      <c r="Y125" s="35" t="str">
        <f>""</f>
        <v/>
      </c>
      <c r="Z125" s="34" t="str">
        <f>""</f>
        <v/>
      </c>
      <c r="AA125" s="13">
        <v>0</v>
      </c>
      <c r="AB125" s="13" t="str">
        <f>""</f>
        <v/>
      </c>
      <c r="AC125" s="35"/>
      <c r="AD125" s="40" t="str">
        <f>""</f>
        <v/>
      </c>
      <c r="AE125" s="35" t="str">
        <f>""</f>
        <v/>
      </c>
      <c r="AF125" s="40" t="str">
        <f>""</f>
        <v/>
      </c>
      <c r="AG125" s="35" t="str">
        <f>""</f>
        <v/>
      </c>
      <c r="AH125" s="40" t="str">
        <f>""</f>
        <v/>
      </c>
      <c r="AI125" s="35" t="str">
        <f>""</f>
        <v/>
      </c>
      <c r="AJ125" s="40"/>
      <c r="AK125" s="35"/>
      <c r="AL125" s="13" t="str">
        <f>""</f>
        <v/>
      </c>
      <c r="AM125" s="35" t="str">
        <f>""</f>
        <v/>
      </c>
    </row>
    <row r="126" spans="2:39" s="2" customFormat="1" x14ac:dyDescent="0.2">
      <c r="B126" s="4"/>
      <c r="C126" s="4"/>
      <c r="D126" s="4"/>
      <c r="E126" s="4"/>
      <c r="F126" s="13"/>
      <c r="G126" s="13"/>
      <c r="H126" s="13"/>
      <c r="I126" s="13"/>
      <c r="J126" s="13"/>
      <c r="K126" s="13"/>
      <c r="L126" s="13"/>
      <c r="M126" s="13"/>
      <c r="U126" s="65" t="s">
        <v>84</v>
      </c>
      <c r="V126" s="40" t="str">
        <f>""</f>
        <v/>
      </c>
      <c r="W126" s="13" t="str">
        <f>""</f>
        <v/>
      </c>
      <c r="X126" s="13" t="str">
        <f>""</f>
        <v/>
      </c>
      <c r="Y126" s="35" t="str">
        <f>""</f>
        <v/>
      </c>
      <c r="Z126" s="34" t="str">
        <f>""</f>
        <v/>
      </c>
      <c r="AA126" s="13">
        <v>0</v>
      </c>
      <c r="AB126" s="13" t="str">
        <f>""</f>
        <v/>
      </c>
      <c r="AC126" s="35"/>
      <c r="AD126" s="40" t="str">
        <f>""</f>
        <v/>
      </c>
      <c r="AE126" s="35" t="str">
        <f>""</f>
        <v/>
      </c>
      <c r="AF126" s="40" t="str">
        <f>""</f>
        <v/>
      </c>
      <c r="AG126" s="35" t="str">
        <f>""</f>
        <v/>
      </c>
      <c r="AH126" s="40" t="str">
        <f>""</f>
        <v/>
      </c>
      <c r="AI126" s="35" t="str">
        <f>""</f>
        <v/>
      </c>
      <c r="AJ126" s="40"/>
      <c r="AK126" s="35"/>
      <c r="AL126" s="13" t="str">
        <f>""</f>
        <v/>
      </c>
      <c r="AM126" s="35" t="str">
        <f>""</f>
        <v/>
      </c>
    </row>
    <row r="127" spans="2:39" s="2" customFormat="1" x14ac:dyDescent="0.2">
      <c r="B127" s="4"/>
      <c r="C127" s="4"/>
      <c r="D127" s="4"/>
      <c r="E127" s="4"/>
      <c r="F127" s="13"/>
      <c r="G127" s="13"/>
      <c r="H127" s="13"/>
      <c r="I127" s="13"/>
      <c r="J127" s="13"/>
      <c r="K127" s="13"/>
      <c r="L127" s="13"/>
      <c r="M127" s="13"/>
      <c r="U127" s="65" t="s">
        <v>85</v>
      </c>
      <c r="V127" s="40" t="str">
        <f>""</f>
        <v/>
      </c>
      <c r="W127" s="13" t="str">
        <f>""</f>
        <v/>
      </c>
      <c r="X127" s="13" t="str">
        <f>""</f>
        <v/>
      </c>
      <c r="Y127" s="35" t="str">
        <f>""</f>
        <v/>
      </c>
      <c r="Z127" s="34" t="str">
        <f>""</f>
        <v/>
      </c>
      <c r="AA127" s="13">
        <v>0</v>
      </c>
      <c r="AB127" s="13" t="str">
        <f>""</f>
        <v/>
      </c>
      <c r="AC127" s="35"/>
      <c r="AD127" s="40" t="str">
        <f>""</f>
        <v/>
      </c>
      <c r="AE127" s="35" t="str">
        <f>""</f>
        <v/>
      </c>
      <c r="AF127" s="40" t="str">
        <f>""</f>
        <v/>
      </c>
      <c r="AG127" s="35" t="str">
        <f>""</f>
        <v/>
      </c>
      <c r="AH127" s="40" t="str">
        <f>""</f>
        <v/>
      </c>
      <c r="AI127" s="35" t="str">
        <f>""</f>
        <v/>
      </c>
      <c r="AJ127" s="40"/>
      <c r="AK127" s="35"/>
      <c r="AL127" s="13" t="str">
        <f>""</f>
        <v/>
      </c>
      <c r="AM127" s="35" t="str">
        <f>""</f>
        <v/>
      </c>
    </row>
    <row r="128" spans="2:39" s="2" customFormat="1" x14ac:dyDescent="0.2">
      <c r="B128" s="4"/>
      <c r="C128" s="4"/>
      <c r="D128" s="4"/>
      <c r="E128" s="4"/>
      <c r="F128" s="13"/>
      <c r="G128" s="13"/>
      <c r="H128" s="13"/>
      <c r="I128" s="13"/>
      <c r="J128" s="13"/>
      <c r="K128" s="13"/>
      <c r="L128" s="13"/>
      <c r="M128" s="13"/>
      <c r="U128" s="65" t="s">
        <v>86</v>
      </c>
      <c r="V128" s="40" t="str">
        <f>""</f>
        <v/>
      </c>
      <c r="W128" s="13" t="str">
        <f>""</f>
        <v/>
      </c>
      <c r="X128" s="13" t="str">
        <f>""</f>
        <v/>
      </c>
      <c r="Y128" s="35" t="str">
        <f>""</f>
        <v/>
      </c>
      <c r="Z128" s="34" t="str">
        <f>""</f>
        <v/>
      </c>
      <c r="AA128" s="13">
        <v>0</v>
      </c>
      <c r="AB128" s="13" t="str">
        <f>""</f>
        <v/>
      </c>
      <c r="AC128" s="35"/>
      <c r="AD128" s="40" t="str">
        <f>""</f>
        <v/>
      </c>
      <c r="AE128" s="35" t="str">
        <f>""</f>
        <v/>
      </c>
      <c r="AF128" s="40" t="str">
        <f>""</f>
        <v/>
      </c>
      <c r="AG128" s="35" t="str">
        <f>""</f>
        <v/>
      </c>
      <c r="AH128" s="40" t="str">
        <f>""</f>
        <v/>
      </c>
      <c r="AI128" s="35" t="str">
        <f>""</f>
        <v/>
      </c>
      <c r="AJ128" s="40"/>
      <c r="AK128" s="35"/>
      <c r="AL128" s="13" t="str">
        <f>""</f>
        <v/>
      </c>
      <c r="AM128" s="35" t="str">
        <f>""</f>
        <v/>
      </c>
    </row>
    <row r="129" spans="2:39" s="2" customFormat="1" x14ac:dyDescent="0.2">
      <c r="B129" s="4"/>
      <c r="C129" s="4"/>
      <c r="D129" s="4"/>
      <c r="E129" s="4"/>
      <c r="F129" s="13"/>
      <c r="G129" s="13"/>
      <c r="H129" s="13"/>
      <c r="I129" s="13"/>
      <c r="J129" s="13"/>
      <c r="K129" s="13"/>
      <c r="L129" s="13"/>
      <c r="M129" s="13"/>
      <c r="U129" s="65" t="s">
        <v>87</v>
      </c>
      <c r="V129" s="40" t="str">
        <f>""</f>
        <v/>
      </c>
      <c r="W129" s="13" t="str">
        <f>""</f>
        <v/>
      </c>
      <c r="X129" s="13" t="str">
        <f>""</f>
        <v/>
      </c>
      <c r="Y129" s="35" t="str">
        <f>""</f>
        <v/>
      </c>
      <c r="Z129" s="34" t="str">
        <f>""</f>
        <v/>
      </c>
      <c r="AA129" s="13">
        <v>0</v>
      </c>
      <c r="AB129" s="13" t="str">
        <f>""</f>
        <v/>
      </c>
      <c r="AC129" s="35"/>
      <c r="AD129" s="40" t="str">
        <f>""</f>
        <v/>
      </c>
      <c r="AE129" s="35" t="str">
        <f>""</f>
        <v/>
      </c>
      <c r="AF129" s="40" t="str">
        <f>""</f>
        <v/>
      </c>
      <c r="AG129" s="35" t="str">
        <f>""</f>
        <v/>
      </c>
      <c r="AH129" s="40" t="str">
        <f>""</f>
        <v/>
      </c>
      <c r="AI129" s="35" t="str">
        <f>""</f>
        <v/>
      </c>
      <c r="AJ129" s="40"/>
      <c r="AK129" s="35"/>
      <c r="AL129" s="13" t="str">
        <f>""</f>
        <v/>
      </c>
      <c r="AM129" s="35" t="str">
        <f>""</f>
        <v/>
      </c>
    </row>
    <row r="130" spans="2:39" s="2" customFormat="1" x14ac:dyDescent="0.2">
      <c r="B130" s="4"/>
      <c r="C130" s="4"/>
      <c r="D130" s="4"/>
      <c r="E130" s="4"/>
      <c r="F130" s="13"/>
      <c r="G130" s="13"/>
      <c r="H130" s="13"/>
      <c r="I130" s="13"/>
      <c r="J130" s="13"/>
      <c r="K130" s="13"/>
      <c r="L130" s="13"/>
      <c r="M130" s="13"/>
      <c r="U130" s="65" t="s">
        <v>88</v>
      </c>
      <c r="V130" s="40" t="str">
        <f>""</f>
        <v/>
      </c>
      <c r="W130" s="13" t="str">
        <f>""</f>
        <v/>
      </c>
      <c r="X130" s="13" t="str">
        <f>""</f>
        <v/>
      </c>
      <c r="Y130" s="35" t="str">
        <f>""</f>
        <v/>
      </c>
      <c r="Z130" s="34" t="str">
        <f>""</f>
        <v/>
      </c>
      <c r="AA130" s="13">
        <v>0</v>
      </c>
      <c r="AB130" s="13" t="str">
        <f>""</f>
        <v/>
      </c>
      <c r="AC130" s="35"/>
      <c r="AD130" s="40" t="str">
        <f>""</f>
        <v/>
      </c>
      <c r="AE130" s="35" t="str">
        <f>""</f>
        <v/>
      </c>
      <c r="AF130" s="40" t="str">
        <f>""</f>
        <v/>
      </c>
      <c r="AG130" s="35" t="str">
        <f>""</f>
        <v/>
      </c>
      <c r="AH130" s="40" t="str">
        <f>""</f>
        <v/>
      </c>
      <c r="AI130" s="35" t="str">
        <f>""</f>
        <v/>
      </c>
      <c r="AJ130" s="40"/>
      <c r="AK130" s="35"/>
      <c r="AL130" s="13" t="str">
        <f>""</f>
        <v/>
      </c>
      <c r="AM130" s="35" t="str">
        <f>""</f>
        <v/>
      </c>
    </row>
    <row r="131" spans="2:39" s="2" customFormat="1" x14ac:dyDescent="0.2">
      <c r="B131" s="4"/>
      <c r="C131" s="4"/>
      <c r="D131" s="4"/>
      <c r="E131" s="4"/>
      <c r="F131" s="13"/>
      <c r="G131" s="13"/>
      <c r="H131" s="13"/>
      <c r="I131" s="13"/>
      <c r="J131" s="13"/>
      <c r="K131" s="13"/>
      <c r="L131" s="13"/>
      <c r="M131" s="13"/>
      <c r="U131" s="65" t="s">
        <v>89</v>
      </c>
      <c r="V131" s="40" t="str">
        <f>""</f>
        <v/>
      </c>
      <c r="W131" s="13" t="str">
        <f>""</f>
        <v/>
      </c>
      <c r="X131" s="13" t="str">
        <f>""</f>
        <v/>
      </c>
      <c r="Y131" s="35" t="str">
        <f>""</f>
        <v/>
      </c>
      <c r="Z131" s="34" t="str">
        <f>""</f>
        <v/>
      </c>
      <c r="AA131" s="13">
        <v>0</v>
      </c>
      <c r="AB131" s="13" t="str">
        <f>""</f>
        <v/>
      </c>
      <c r="AC131" s="35"/>
      <c r="AD131" s="40" t="str">
        <f>""</f>
        <v/>
      </c>
      <c r="AE131" s="35" t="str">
        <f>""</f>
        <v/>
      </c>
      <c r="AF131" s="40" t="str">
        <f>""</f>
        <v/>
      </c>
      <c r="AG131" s="35" t="str">
        <f>""</f>
        <v/>
      </c>
      <c r="AH131" s="40" t="str">
        <f>""</f>
        <v/>
      </c>
      <c r="AI131" s="35" t="str">
        <f>""</f>
        <v/>
      </c>
      <c r="AJ131" s="40"/>
      <c r="AK131" s="35"/>
      <c r="AL131" s="13" t="str">
        <f>""</f>
        <v/>
      </c>
      <c r="AM131" s="35" t="str">
        <f>""</f>
        <v/>
      </c>
    </row>
    <row r="132" spans="2:39" s="2" customFormat="1" x14ac:dyDescent="0.2">
      <c r="B132" s="4"/>
      <c r="C132" s="4"/>
      <c r="D132" s="4"/>
      <c r="E132" s="4"/>
      <c r="F132" s="13"/>
      <c r="G132" s="13"/>
      <c r="H132" s="13"/>
      <c r="I132" s="13"/>
      <c r="J132" s="13"/>
      <c r="K132" s="13"/>
      <c r="L132" s="13"/>
      <c r="M132" s="13"/>
      <c r="U132" s="65" t="s">
        <v>90</v>
      </c>
      <c r="V132" s="40" t="str">
        <f>""</f>
        <v/>
      </c>
      <c r="W132" s="13" t="str">
        <f>""</f>
        <v/>
      </c>
      <c r="X132" s="13" t="str">
        <f>""</f>
        <v/>
      </c>
      <c r="Y132" s="35" t="str">
        <f>""</f>
        <v/>
      </c>
      <c r="Z132" s="34" t="str">
        <f>""</f>
        <v/>
      </c>
      <c r="AA132" s="13">
        <v>0</v>
      </c>
      <c r="AB132" s="13" t="str">
        <f>""</f>
        <v/>
      </c>
      <c r="AC132" s="35"/>
      <c r="AD132" s="40" t="str">
        <f>""</f>
        <v/>
      </c>
      <c r="AE132" s="35" t="str">
        <f>""</f>
        <v/>
      </c>
      <c r="AF132" s="40" t="str">
        <f>""</f>
        <v/>
      </c>
      <c r="AG132" s="35" t="str">
        <f>""</f>
        <v/>
      </c>
      <c r="AH132" s="40" t="str">
        <f>""</f>
        <v/>
      </c>
      <c r="AI132" s="35" t="str">
        <f>""</f>
        <v/>
      </c>
      <c r="AJ132" s="40"/>
      <c r="AK132" s="35"/>
      <c r="AL132" s="13" t="str">
        <f>""</f>
        <v/>
      </c>
      <c r="AM132" s="35" t="str">
        <f>""</f>
        <v/>
      </c>
    </row>
    <row r="133" spans="2:39" s="2" customFormat="1" x14ac:dyDescent="0.2">
      <c r="B133" s="4"/>
      <c r="C133" s="4"/>
      <c r="D133" s="4"/>
      <c r="E133" s="4"/>
      <c r="F133" s="13"/>
      <c r="G133" s="13"/>
      <c r="H133" s="13"/>
      <c r="I133" s="13"/>
      <c r="J133" s="13"/>
      <c r="K133" s="13"/>
      <c r="L133" s="13"/>
      <c r="M133" s="13"/>
      <c r="U133" s="65" t="s">
        <v>91</v>
      </c>
      <c r="V133" s="40" t="str">
        <f>""</f>
        <v/>
      </c>
      <c r="W133" s="13" t="str">
        <f>""</f>
        <v/>
      </c>
      <c r="X133" s="13" t="str">
        <f>""</f>
        <v/>
      </c>
      <c r="Y133" s="35" t="str">
        <f>""</f>
        <v/>
      </c>
      <c r="Z133" s="34" t="str">
        <f>""</f>
        <v/>
      </c>
      <c r="AA133" s="13">
        <v>0</v>
      </c>
      <c r="AB133" s="13" t="str">
        <f>""</f>
        <v/>
      </c>
      <c r="AC133" s="35"/>
      <c r="AD133" s="40" t="str">
        <f>""</f>
        <v/>
      </c>
      <c r="AE133" s="35" t="str">
        <f>""</f>
        <v/>
      </c>
      <c r="AF133" s="40" t="str">
        <f>""</f>
        <v/>
      </c>
      <c r="AG133" s="35" t="str">
        <f>""</f>
        <v/>
      </c>
      <c r="AH133" s="40" t="str">
        <f>""</f>
        <v/>
      </c>
      <c r="AI133" s="35" t="str">
        <f>""</f>
        <v/>
      </c>
      <c r="AJ133" s="40"/>
      <c r="AK133" s="35"/>
      <c r="AL133" s="13" t="str">
        <f>""</f>
        <v/>
      </c>
      <c r="AM133" s="35" t="str">
        <f>""</f>
        <v/>
      </c>
    </row>
    <row r="134" spans="2:39" s="2" customFormat="1" x14ac:dyDescent="0.2">
      <c r="B134" s="4"/>
      <c r="C134" s="4"/>
      <c r="D134" s="4"/>
      <c r="E134" s="4"/>
      <c r="F134" s="13"/>
      <c r="G134" s="13"/>
      <c r="H134" s="13"/>
      <c r="I134" s="13"/>
      <c r="J134" s="13"/>
      <c r="K134" s="13"/>
      <c r="L134" s="13"/>
      <c r="M134" s="13"/>
      <c r="U134" s="65" t="s">
        <v>92</v>
      </c>
      <c r="V134" s="40" t="str">
        <f>""</f>
        <v/>
      </c>
      <c r="W134" s="13" t="str">
        <f>""</f>
        <v/>
      </c>
      <c r="X134" s="13" t="str">
        <f>""</f>
        <v/>
      </c>
      <c r="Y134" s="35" t="str">
        <f>""</f>
        <v/>
      </c>
      <c r="Z134" s="34" t="str">
        <f>""</f>
        <v/>
      </c>
      <c r="AA134" s="13">
        <v>0</v>
      </c>
      <c r="AB134" s="13" t="str">
        <f>""</f>
        <v/>
      </c>
      <c r="AC134" s="35"/>
      <c r="AD134" s="40" t="str">
        <f>""</f>
        <v/>
      </c>
      <c r="AE134" s="35" t="str">
        <f>""</f>
        <v/>
      </c>
      <c r="AF134" s="40" t="str">
        <f>""</f>
        <v/>
      </c>
      <c r="AG134" s="35" t="str">
        <f>""</f>
        <v/>
      </c>
      <c r="AH134" s="40" t="str">
        <f>""</f>
        <v/>
      </c>
      <c r="AI134" s="35" t="str">
        <f>""</f>
        <v/>
      </c>
      <c r="AJ134" s="40"/>
      <c r="AK134" s="35"/>
      <c r="AL134" s="13" t="str">
        <f>""</f>
        <v/>
      </c>
      <c r="AM134" s="35" t="str">
        <f>""</f>
        <v/>
      </c>
    </row>
    <row r="135" spans="2:39" s="2" customFormat="1" ht="12.75" thickBot="1" x14ac:dyDescent="0.25">
      <c r="B135" s="4"/>
      <c r="C135" s="4"/>
      <c r="D135" s="4"/>
      <c r="E135" s="4"/>
      <c r="F135" s="13"/>
      <c r="G135" s="13"/>
      <c r="H135" s="13"/>
      <c r="I135" s="13"/>
      <c r="J135" s="13"/>
      <c r="K135" s="13"/>
      <c r="L135" s="13"/>
      <c r="M135" s="13"/>
      <c r="U135" s="66" t="s">
        <v>93</v>
      </c>
      <c r="V135" s="41" t="str">
        <f>""</f>
        <v/>
      </c>
      <c r="W135" s="37" t="str">
        <f>""</f>
        <v/>
      </c>
      <c r="X135" s="37" t="str">
        <f>""</f>
        <v/>
      </c>
      <c r="Y135" s="38" t="str">
        <f>""</f>
        <v/>
      </c>
      <c r="Z135" s="36" t="str">
        <f>""</f>
        <v/>
      </c>
      <c r="AA135" s="37">
        <v>0</v>
      </c>
      <c r="AB135" s="37" t="str">
        <f>""</f>
        <v/>
      </c>
      <c r="AC135" s="38"/>
      <c r="AD135" s="41" t="str">
        <f>""</f>
        <v/>
      </c>
      <c r="AE135" s="38" t="str">
        <f>""</f>
        <v/>
      </c>
      <c r="AF135" s="41" t="str">
        <f>""</f>
        <v/>
      </c>
      <c r="AG135" s="38" t="str">
        <f>""</f>
        <v/>
      </c>
      <c r="AH135" s="41" t="str">
        <f>""</f>
        <v/>
      </c>
      <c r="AI135" s="38" t="str">
        <f>""</f>
        <v/>
      </c>
      <c r="AJ135" s="41"/>
      <c r="AK135" s="38"/>
      <c r="AL135" s="37" t="str">
        <f>""</f>
        <v/>
      </c>
      <c r="AM135" s="38" t="str">
        <f>""</f>
        <v/>
      </c>
    </row>
    <row r="136" spans="2:39" s="2" customFormat="1" ht="12.75" thickTop="1" x14ac:dyDescent="0.2">
      <c r="B136" s="4"/>
      <c r="C136" s="4"/>
      <c r="D136" s="4"/>
      <c r="E136" s="4"/>
      <c r="F136" s="13"/>
      <c r="G136" s="13"/>
      <c r="H136" s="13"/>
      <c r="I136" s="13"/>
      <c r="J136" s="13"/>
      <c r="K136" s="13"/>
      <c r="L136" s="13"/>
      <c r="M136" s="13"/>
      <c r="Y136" s="65" t="s">
        <v>7</v>
      </c>
      <c r="Z136" s="31" t="str">
        <f ca="1">W64&amp;V64</f>
        <v/>
      </c>
      <c r="AA136" s="32">
        <f ca="1">AA64</f>
        <v>0</v>
      </c>
      <c r="AB136" s="32" t="str">
        <f ca="1">IF(AA64&gt;0,AI64&amp;Sprache!$E$108&amp;AH64,"")</f>
        <v/>
      </c>
      <c r="AC136" s="593" t="str">
        <f ca="1">IF(AA64&gt;0,AK64&amp;Sprache!$E$108&amp;AJ64,"")</f>
        <v/>
      </c>
      <c r="AD136" s="32"/>
    </row>
    <row r="137" spans="2:39" x14ac:dyDescent="0.2">
      <c r="Y137" s="65" t="s">
        <v>8</v>
      </c>
      <c r="Z137" s="34" t="str">
        <f ca="1">W65&amp;V65</f>
        <v/>
      </c>
      <c r="AA137" s="13">
        <f t="shared" ref="AA137:AA160" ca="1" si="45">AA65</f>
        <v>0</v>
      </c>
      <c r="AB137" s="13" t="str">
        <f ca="1">IF(AA65&gt;0,AI65&amp;Sprache!$E$108&amp;AH65,"")</f>
        <v/>
      </c>
      <c r="AC137" s="594" t="str">
        <f ca="1">IF(AA65&gt;0,AK65&amp;Sprache!$E$108&amp;AJ65,"")</f>
        <v/>
      </c>
      <c r="AD137" s="13"/>
    </row>
    <row r="138" spans="2:39" x14ac:dyDescent="0.2">
      <c r="Y138" s="65" t="s">
        <v>9</v>
      </c>
      <c r="Z138" s="34" t="str">
        <f t="shared" ref="Z138:Z160" ca="1" si="46">W66&amp;V66</f>
        <v>FC Barcelona</v>
      </c>
      <c r="AA138" s="13">
        <f t="shared" ca="1" si="45"/>
        <v>0</v>
      </c>
      <c r="AB138" s="13" t="str">
        <f ca="1">IF(AA66&gt;0,AI66&amp;Sprache!$E$108&amp;AH66,"")</f>
        <v/>
      </c>
      <c r="AC138" s="594" t="str">
        <f ca="1">IF(AA66&gt;0,AK66&amp;Sprache!$E$108&amp;AJ66,"")</f>
        <v/>
      </c>
      <c r="AD138" s="13"/>
    </row>
    <row r="139" spans="2:39" x14ac:dyDescent="0.2">
      <c r="Y139" s="65" t="s">
        <v>10</v>
      </c>
      <c r="Z139" s="34" t="str">
        <f t="shared" ca="1" si="46"/>
        <v>SSV WildbachVFB Essenheim</v>
      </c>
      <c r="AA139" s="13">
        <f t="shared" ca="1" si="45"/>
        <v>1</v>
      </c>
      <c r="AB139" s="13" t="str">
        <f ca="1">IF(AA67&gt;0,AI67&amp;Sprache!$E$108&amp;AH67,"")</f>
        <v>37 : 50</v>
      </c>
      <c r="AC139" s="594" t="str">
        <f ca="1">IF(AA67&gt;0,AK67&amp;Sprache!$E$108&amp;AJ67,"")</f>
        <v>0 : 2</v>
      </c>
      <c r="AD139" s="13"/>
    </row>
    <row r="140" spans="2:39" x14ac:dyDescent="0.2">
      <c r="Y140" s="65" t="s">
        <v>11</v>
      </c>
      <c r="Z140" s="34" t="str">
        <f t="shared" ca="1" si="46"/>
        <v>Manchester CityEintracht Frankfurt</v>
      </c>
      <c r="AA140" s="13">
        <f t="shared" ca="1" si="45"/>
        <v>1</v>
      </c>
      <c r="AB140" s="13" t="str">
        <f ca="1">IF(AA68&gt;0,AI68&amp;Sprache!$E$108&amp;AH68,"")</f>
        <v>50 : 35</v>
      </c>
      <c r="AC140" s="594" t="str">
        <f ca="1">IF(AA68&gt;0,AK68&amp;Sprache!$E$108&amp;AJ68,"")</f>
        <v>2 : 0</v>
      </c>
      <c r="AD140" s="13"/>
    </row>
    <row r="141" spans="2:39" x14ac:dyDescent="0.2">
      <c r="Y141" s="65" t="s">
        <v>12</v>
      </c>
      <c r="Z141" s="34" t="str">
        <f t="shared" ca="1" si="46"/>
        <v/>
      </c>
      <c r="AA141" s="13">
        <f t="shared" ca="1" si="45"/>
        <v>0</v>
      </c>
      <c r="AB141" s="13" t="str">
        <f ca="1">IF(AA69&gt;0,AI69&amp;Sprache!$E$108&amp;AH69,"")</f>
        <v/>
      </c>
      <c r="AC141" s="594" t="str">
        <f ca="1">IF(AA69&gt;0,AK69&amp;Sprache!$E$108&amp;AJ69,"")</f>
        <v/>
      </c>
      <c r="AD141" s="13"/>
    </row>
    <row r="142" spans="2:39" x14ac:dyDescent="0.2">
      <c r="Y142" s="65" t="s">
        <v>17</v>
      </c>
      <c r="Z142" s="34" t="str">
        <f t="shared" ca="1" si="46"/>
        <v>Inter Mailand</v>
      </c>
      <c r="AA142" s="13">
        <f t="shared" ca="1" si="45"/>
        <v>0</v>
      </c>
      <c r="AB142" s="13" t="str">
        <f ca="1">IF(AA70&gt;0,AI70&amp;Sprache!$E$108&amp;AH70,"")</f>
        <v/>
      </c>
      <c r="AC142" s="594" t="str">
        <f ca="1">IF(AA70&gt;0,AK70&amp;Sprache!$E$108&amp;AJ70,"")</f>
        <v/>
      </c>
      <c r="AD142" s="13"/>
    </row>
    <row r="143" spans="2:39" x14ac:dyDescent="0.2">
      <c r="Y143" s="65" t="s">
        <v>18</v>
      </c>
      <c r="Z143" s="34" t="str">
        <f t="shared" ca="1" si="46"/>
        <v>1. FC RiedwaldFC Grönlingen</v>
      </c>
      <c r="AA143" s="13">
        <f t="shared" ca="1" si="45"/>
        <v>1</v>
      </c>
      <c r="AB143" s="13" t="str">
        <f ca="1">IF(AA71&gt;0,AI71&amp;Sprache!$E$108&amp;AH71,"")</f>
        <v>44 : 50</v>
      </c>
      <c r="AC143" s="594" t="str">
        <f ca="1">IF(AA71&gt;0,AK71&amp;Sprache!$E$108&amp;AJ71,"")</f>
        <v>0 : 2</v>
      </c>
      <c r="AD143" s="13"/>
    </row>
    <row r="144" spans="2:39" x14ac:dyDescent="0.2">
      <c r="Y144" s="65" t="s">
        <v>19</v>
      </c>
      <c r="Z144" s="34" t="str">
        <f t="shared" ca="1" si="46"/>
        <v>Maibach 1822 eVMainz 05</v>
      </c>
      <c r="AA144" s="13">
        <f t="shared" ca="1" si="45"/>
        <v>1</v>
      </c>
      <c r="AB144" s="13" t="str">
        <f ca="1">IF(AA72&gt;0,AI72&amp;Sprache!$E$108&amp;AH72,"")</f>
        <v>39 : 50</v>
      </c>
      <c r="AC144" s="594" t="str">
        <f ca="1">IF(AA72&gt;0,AK72&amp;Sprache!$E$108&amp;AJ72,"")</f>
        <v>0 : 2</v>
      </c>
      <c r="AD144" s="13"/>
    </row>
    <row r="145" spans="25:30" x14ac:dyDescent="0.2">
      <c r="Y145" s="65" t="s">
        <v>25</v>
      </c>
      <c r="Z145" s="34" t="str">
        <f t="shared" ca="1" si="46"/>
        <v/>
      </c>
      <c r="AA145" s="13">
        <f t="shared" ca="1" si="45"/>
        <v>0</v>
      </c>
      <c r="AB145" s="13" t="str">
        <f ca="1">IF(AA73&gt;0,AI73&amp;Sprache!$E$108&amp;AH73,"")</f>
        <v/>
      </c>
      <c r="AC145" s="594" t="str">
        <f ca="1">IF(AA73&gt;0,AK73&amp;Sprache!$E$108&amp;AJ73,"")</f>
        <v/>
      </c>
      <c r="AD145" s="13"/>
    </row>
    <row r="146" spans="25:30" x14ac:dyDescent="0.2">
      <c r="Y146" s="65" t="s">
        <v>26</v>
      </c>
      <c r="Z146" s="34" t="str">
        <f t="shared" ca="1" si="46"/>
        <v>FC Barcelona</v>
      </c>
      <c r="AA146" s="13">
        <f t="shared" ca="1" si="45"/>
        <v>0</v>
      </c>
      <c r="AB146" s="13" t="str">
        <f ca="1">IF(AA74&gt;0,AI74&amp;Sprache!$E$108&amp;AH74,"")</f>
        <v/>
      </c>
      <c r="AC146" s="594" t="str">
        <f ca="1">IF(AA74&gt;0,AK74&amp;Sprache!$E$108&amp;AJ74,"")</f>
        <v/>
      </c>
      <c r="AD146" s="13"/>
    </row>
    <row r="147" spans="25:30" x14ac:dyDescent="0.2">
      <c r="Y147" s="65" t="s">
        <v>27</v>
      </c>
      <c r="Z147" s="34" t="str">
        <f t="shared" ca="1" si="46"/>
        <v>1. FC RiedwaldVFB Essenheim</v>
      </c>
      <c r="AA147" s="13">
        <f t="shared" ca="1" si="45"/>
        <v>1</v>
      </c>
      <c r="AB147" s="13" t="str">
        <f ca="1">IF(AA75&gt;0,AI75&amp;Sprache!$E$108&amp;AH75,"")</f>
        <v>37 : 44</v>
      </c>
      <c r="AC147" s="594" t="str">
        <f ca="1">IF(AA75&gt;0,AK75&amp;Sprache!$E$108&amp;AJ75,"")</f>
        <v>1 : 1</v>
      </c>
      <c r="AD147" s="13"/>
    </row>
    <row r="148" spans="25:30" x14ac:dyDescent="0.2">
      <c r="Y148" s="65" t="s">
        <v>28</v>
      </c>
      <c r="Z148" s="34" t="str">
        <f t="shared" ca="1" si="46"/>
        <v>Maibach 1822 eVEintracht Frankfurt</v>
      </c>
      <c r="AA148" s="13">
        <f t="shared" ca="1" si="45"/>
        <v>1</v>
      </c>
      <c r="AB148" s="13" t="str">
        <f ca="1">IF(AA76&gt;0,AI76&amp;Sprache!$E$108&amp;AH76,"")</f>
        <v>50 : 31</v>
      </c>
      <c r="AC148" s="594" t="str">
        <f ca="1">IF(AA76&gt;0,AK76&amp;Sprache!$E$108&amp;AJ76,"")</f>
        <v>2 : 0</v>
      </c>
      <c r="AD148" s="13"/>
    </row>
    <row r="149" spans="25:30" x14ac:dyDescent="0.2">
      <c r="Y149" s="65" t="s">
        <v>29</v>
      </c>
      <c r="Z149" s="34" t="str">
        <f t="shared" ca="1" si="46"/>
        <v/>
      </c>
      <c r="AA149" s="13">
        <f t="shared" ca="1" si="45"/>
        <v>0</v>
      </c>
      <c r="AB149" s="13" t="str">
        <f ca="1">IF(AA77&gt;0,AI77&amp;Sprache!$E$108&amp;AH77,"")</f>
        <v/>
      </c>
      <c r="AC149" s="594" t="str">
        <f ca="1">IF(AA77&gt;0,AK77&amp;Sprache!$E$108&amp;AJ77,"")</f>
        <v/>
      </c>
      <c r="AD149" s="13"/>
    </row>
    <row r="150" spans="25:30" x14ac:dyDescent="0.2">
      <c r="Y150" s="65" t="s">
        <v>30</v>
      </c>
      <c r="Z150" s="34" t="str">
        <f t="shared" ca="1" si="46"/>
        <v>Inter Mailand</v>
      </c>
      <c r="AA150" s="13">
        <f t="shared" ca="1" si="45"/>
        <v>0</v>
      </c>
      <c r="AB150" s="13" t="str">
        <f ca="1">IF(AA78&gt;0,AI78&amp;Sprache!$E$108&amp;AH78,"")</f>
        <v/>
      </c>
      <c r="AC150" s="594" t="str">
        <f ca="1">IF(AA78&gt;0,AK78&amp;Sprache!$E$108&amp;AJ78,"")</f>
        <v/>
      </c>
      <c r="AD150" s="13"/>
    </row>
    <row r="151" spans="25:30" x14ac:dyDescent="0.2">
      <c r="Y151" s="65" t="s">
        <v>31</v>
      </c>
      <c r="Z151" s="34" t="str">
        <f t="shared" ca="1" si="46"/>
        <v>SSV WildbachFC Grönlingen</v>
      </c>
      <c r="AA151" s="13">
        <f t="shared" ca="1" si="45"/>
        <v>1</v>
      </c>
      <c r="AB151" s="13" t="str">
        <f ca="1">IF(AA79&gt;0,AI79&amp;Sprache!$E$108&amp;AH79,"")</f>
        <v>45 : 47</v>
      </c>
      <c r="AC151" s="594" t="str">
        <f ca="1">IF(AA79&gt;0,AK79&amp;Sprache!$E$108&amp;AJ79,"")</f>
        <v>1 : 1</v>
      </c>
      <c r="AD151" s="13"/>
    </row>
    <row r="152" spans="25:30" x14ac:dyDescent="0.2">
      <c r="Y152" s="65" t="s">
        <v>32</v>
      </c>
      <c r="Z152" s="34" t="str">
        <f t="shared" ca="1" si="46"/>
        <v>Manchester CityMainz 05</v>
      </c>
      <c r="AA152" s="13">
        <f t="shared" ca="1" si="45"/>
        <v>1</v>
      </c>
      <c r="AB152" s="13" t="str">
        <f ca="1">IF(AA80&gt;0,AI80&amp;Sprache!$E$108&amp;AH80,"")</f>
        <v>44 : 44</v>
      </c>
      <c r="AC152" s="594" t="str">
        <f ca="1">IF(AA80&gt;0,AK80&amp;Sprache!$E$108&amp;AJ80,"")</f>
        <v>1 : 1</v>
      </c>
      <c r="AD152" s="13"/>
    </row>
    <row r="153" spans="25:30" x14ac:dyDescent="0.2">
      <c r="Y153" s="65" t="s">
        <v>33</v>
      </c>
      <c r="Z153" s="34" t="str">
        <f t="shared" ca="1" si="46"/>
        <v/>
      </c>
      <c r="AA153" s="13">
        <f t="shared" ca="1" si="45"/>
        <v>0</v>
      </c>
      <c r="AB153" s="13" t="str">
        <f ca="1">IF(AA81&gt;0,AI81&amp;Sprache!$E$108&amp;AH81,"")</f>
        <v/>
      </c>
      <c r="AC153" s="594" t="str">
        <f ca="1">IF(AA81&gt;0,AK81&amp;Sprache!$E$108&amp;AJ81,"")</f>
        <v/>
      </c>
      <c r="AD153" s="13"/>
    </row>
    <row r="154" spans="25:30" x14ac:dyDescent="0.2">
      <c r="Y154" s="65" t="s">
        <v>34</v>
      </c>
      <c r="Z154" s="34" t="str">
        <f t="shared" ca="1" si="46"/>
        <v/>
      </c>
      <c r="AA154" s="13">
        <f t="shared" ca="1" si="45"/>
        <v>0</v>
      </c>
      <c r="AB154" s="13" t="str">
        <f ca="1">IF(AA82&gt;0,AI82&amp;Sprache!$E$108&amp;AH82,"")</f>
        <v/>
      </c>
      <c r="AC154" s="594" t="str">
        <f ca="1">IF(AA82&gt;0,AK82&amp;Sprache!$E$108&amp;AJ82,"")</f>
        <v/>
      </c>
      <c r="AD154" s="13"/>
    </row>
    <row r="155" spans="25:30" x14ac:dyDescent="0.2">
      <c r="Y155" s="65" t="s">
        <v>35</v>
      </c>
      <c r="Z155" s="34" t="str">
        <f t="shared" ca="1" si="46"/>
        <v>SSV Wildbach1. FC Riedwald</v>
      </c>
      <c r="AA155" s="13">
        <f t="shared" ca="1" si="45"/>
        <v>1</v>
      </c>
      <c r="AB155" s="13" t="str">
        <f ca="1">IF(AA83&gt;0,AI83&amp;Sprache!$E$108&amp;AH83,"")</f>
        <v>48 : 39</v>
      </c>
      <c r="AC155" s="594" t="str">
        <f ca="1">IF(AA83&gt;0,AK83&amp;Sprache!$E$108&amp;AJ83,"")</f>
        <v>1 : 1</v>
      </c>
      <c r="AD155" s="13"/>
    </row>
    <row r="156" spans="25:30" x14ac:dyDescent="0.2">
      <c r="Y156" s="65" t="s">
        <v>36</v>
      </c>
      <c r="Z156" s="34" t="str">
        <f t="shared" ca="1" si="46"/>
        <v>Manchester CityMaibach 1822 eV</v>
      </c>
      <c r="AA156" s="13">
        <f t="shared" ca="1" si="45"/>
        <v>1</v>
      </c>
      <c r="AB156" s="13" t="str">
        <f ca="1">IF(AA84&gt;0,AI84&amp;Sprache!$E$108&amp;AH84,"")</f>
        <v>42 : 46</v>
      </c>
      <c r="AC156" s="594" t="str">
        <f ca="1">IF(AA84&gt;0,AK84&amp;Sprache!$E$108&amp;AJ84,"")</f>
        <v>1 : 1</v>
      </c>
      <c r="AD156" s="13"/>
    </row>
    <row r="157" spans="25:30" x14ac:dyDescent="0.2">
      <c r="Y157" s="65" t="s">
        <v>37</v>
      </c>
      <c r="Z157" s="34" t="str">
        <f t="shared" ca="1" si="46"/>
        <v/>
      </c>
      <c r="AA157" s="13">
        <f t="shared" ca="1" si="45"/>
        <v>0</v>
      </c>
      <c r="AB157" s="13" t="str">
        <f ca="1">IF(AA85&gt;0,AI85&amp;Sprache!$E$108&amp;AH85,"")</f>
        <v/>
      </c>
      <c r="AC157" s="594" t="str">
        <f ca="1">IF(AA85&gt;0,AK85&amp;Sprache!$E$108&amp;AJ85,"")</f>
        <v/>
      </c>
      <c r="AD157" s="13"/>
    </row>
    <row r="158" spans="25:30" x14ac:dyDescent="0.2">
      <c r="Y158" s="65" t="s">
        <v>38</v>
      </c>
      <c r="Z158" s="34" t="str">
        <f t="shared" ca="1" si="46"/>
        <v>Inter MailandFC Barcelona</v>
      </c>
      <c r="AA158" s="13">
        <f t="shared" ca="1" si="45"/>
        <v>1</v>
      </c>
      <c r="AB158" s="13" t="str">
        <f ca="1">IF(AA86&gt;0,AI86&amp;Sprache!$E$108&amp;AH86,"")</f>
        <v>65 : 70</v>
      </c>
      <c r="AC158" s="594" t="str">
        <f ca="1">IF(AA86&gt;0,AK86&amp;Sprache!$E$108&amp;AJ86,"")</f>
        <v>1 : 2</v>
      </c>
      <c r="AD158" s="13"/>
    </row>
    <row r="159" spans="25:30" x14ac:dyDescent="0.2">
      <c r="Y159" s="65" t="s">
        <v>39</v>
      </c>
      <c r="Z159" s="34" t="str">
        <f t="shared" ca="1" si="46"/>
        <v>FC GrönlingenVFB Essenheim</v>
      </c>
      <c r="AA159" s="13">
        <f t="shared" ca="1" si="45"/>
        <v>1</v>
      </c>
      <c r="AB159" s="13" t="str">
        <f ca="1">IF(AA87&gt;0,AI87&amp;Sprache!$E$108&amp;AH87,"")</f>
        <v>39 : 50</v>
      </c>
      <c r="AC159" s="594" t="str">
        <f ca="1">IF(AA87&gt;0,AK87&amp;Sprache!$E$108&amp;AJ87,"")</f>
        <v>0 : 2</v>
      </c>
      <c r="AD159" s="13"/>
    </row>
    <row r="160" spans="25:30" ht="12.75" thickBot="1" x14ac:dyDescent="0.25">
      <c r="Y160" s="754" t="s">
        <v>40</v>
      </c>
      <c r="Z160" s="758" t="str">
        <f t="shared" ca="1" si="46"/>
        <v>Mainz 05Eintracht Frankfurt</v>
      </c>
      <c r="AA160" s="756">
        <f t="shared" ca="1" si="45"/>
        <v>1</v>
      </c>
      <c r="AB160" s="756" t="str">
        <f ca="1">IF(AA88&gt;0,AI88&amp;Sprache!$E$108&amp;AH88,"")</f>
        <v>33 : 50</v>
      </c>
      <c r="AC160" s="759" t="str">
        <f ca="1">IF(AA88&gt;0,AK88&amp;Sprache!$E$108&amp;AJ88,"")</f>
        <v>0 : 2</v>
      </c>
      <c r="AD160" s="13"/>
    </row>
    <row r="161" spans="25:30" ht="12.75" thickTop="1" x14ac:dyDescent="0.2">
      <c r="Y161" s="65" t="s">
        <v>41</v>
      </c>
      <c r="Z161" s="34" t="str">
        <f>""</f>
        <v/>
      </c>
      <c r="AA161" s="13">
        <v>0</v>
      </c>
      <c r="AB161" s="13" t="str">
        <f>""</f>
        <v/>
      </c>
      <c r="AC161" s="594" t="str">
        <f>""</f>
        <v/>
      </c>
      <c r="AD161" s="13"/>
    </row>
    <row r="162" spans="25:30" x14ac:dyDescent="0.2">
      <c r="Y162" s="65" t="s">
        <v>42</v>
      </c>
      <c r="Z162" s="34" t="str">
        <f>""</f>
        <v/>
      </c>
      <c r="AA162" s="13">
        <v>0</v>
      </c>
      <c r="AB162" s="13" t="str">
        <f>""</f>
        <v/>
      </c>
      <c r="AC162" s="594" t="str">
        <f>""</f>
        <v/>
      </c>
      <c r="AD162" s="13"/>
    </row>
    <row r="163" spans="25:30" x14ac:dyDescent="0.2">
      <c r="Y163" s="65" t="s">
        <v>43</v>
      </c>
      <c r="Z163" s="34" t="str">
        <f>""</f>
        <v/>
      </c>
      <c r="AA163" s="13">
        <v>0</v>
      </c>
      <c r="AB163" s="13" t="str">
        <f>""</f>
        <v/>
      </c>
      <c r="AC163" s="594" t="str">
        <f>""</f>
        <v/>
      </c>
      <c r="AD163" s="13"/>
    </row>
    <row r="164" spans="25:30" x14ac:dyDescent="0.2">
      <c r="Y164" s="65" t="s">
        <v>44</v>
      </c>
      <c r="Z164" s="34" t="str">
        <f>""</f>
        <v/>
      </c>
      <c r="AA164" s="13">
        <v>0</v>
      </c>
      <c r="AB164" s="13" t="str">
        <f>""</f>
        <v/>
      </c>
      <c r="AC164" s="594" t="str">
        <f>""</f>
        <v/>
      </c>
      <c r="AD164" s="13"/>
    </row>
    <row r="165" spans="25:30" x14ac:dyDescent="0.2">
      <c r="Y165" s="65" t="s">
        <v>45</v>
      </c>
      <c r="Z165" s="34" t="str">
        <f>""</f>
        <v/>
      </c>
      <c r="AA165" s="13">
        <v>0</v>
      </c>
      <c r="AB165" s="13" t="str">
        <f>""</f>
        <v/>
      </c>
      <c r="AC165" s="594" t="str">
        <f>""</f>
        <v/>
      </c>
      <c r="AD165" s="13"/>
    </row>
    <row r="166" spans="25:30" x14ac:dyDescent="0.2">
      <c r="Y166" s="65" t="s">
        <v>46</v>
      </c>
      <c r="Z166" s="34" t="str">
        <f>""</f>
        <v/>
      </c>
      <c r="AA166" s="13">
        <v>0</v>
      </c>
      <c r="AB166" s="13" t="str">
        <f>""</f>
        <v/>
      </c>
      <c r="AC166" s="594" t="str">
        <f>""</f>
        <v/>
      </c>
      <c r="AD166" s="13"/>
    </row>
    <row r="167" spans="25:30" x14ac:dyDescent="0.2">
      <c r="Y167" s="65" t="s">
        <v>47</v>
      </c>
      <c r="Z167" s="34" t="str">
        <f>""</f>
        <v/>
      </c>
      <c r="AA167" s="13">
        <v>0</v>
      </c>
      <c r="AB167" s="13" t="str">
        <f>""</f>
        <v/>
      </c>
      <c r="AC167" s="594" t="str">
        <f>""</f>
        <v/>
      </c>
      <c r="AD167" s="13"/>
    </row>
    <row r="168" spans="25:30" x14ac:dyDescent="0.2">
      <c r="Y168" s="65" t="s">
        <v>48</v>
      </c>
      <c r="Z168" s="34" t="str">
        <f>""</f>
        <v/>
      </c>
      <c r="AA168" s="13">
        <v>0</v>
      </c>
      <c r="AB168" s="13" t="str">
        <f>""</f>
        <v/>
      </c>
      <c r="AC168" s="594" t="str">
        <f>""</f>
        <v/>
      </c>
      <c r="AD168" s="13"/>
    </row>
    <row r="169" spans="25:30" x14ac:dyDescent="0.2">
      <c r="Y169" s="65" t="s">
        <v>49</v>
      </c>
      <c r="Z169" s="34" t="str">
        <f>""</f>
        <v/>
      </c>
      <c r="AA169" s="13">
        <v>0</v>
      </c>
      <c r="AB169" s="13" t="str">
        <f>""</f>
        <v/>
      </c>
      <c r="AC169" s="594" t="str">
        <f>""</f>
        <v/>
      </c>
      <c r="AD169" s="13"/>
    </row>
    <row r="170" spans="25:30" x14ac:dyDescent="0.2">
      <c r="Y170" s="65" t="s">
        <v>50</v>
      </c>
      <c r="Z170" s="34" t="str">
        <f>""</f>
        <v/>
      </c>
      <c r="AA170" s="13">
        <v>0</v>
      </c>
      <c r="AB170" s="13" t="str">
        <f>""</f>
        <v/>
      </c>
      <c r="AC170" s="594" t="str">
        <f>""</f>
        <v/>
      </c>
      <c r="AD170" s="13"/>
    </row>
    <row r="171" spans="25:30" x14ac:dyDescent="0.2">
      <c r="Y171" s="65" t="s">
        <v>51</v>
      </c>
      <c r="Z171" s="34" t="str">
        <f>""</f>
        <v/>
      </c>
      <c r="AA171" s="13">
        <v>0</v>
      </c>
      <c r="AB171" s="13" t="str">
        <f>""</f>
        <v/>
      </c>
      <c r="AC171" s="594" t="str">
        <f>""</f>
        <v/>
      </c>
      <c r="AD171" s="13"/>
    </row>
    <row r="172" spans="25:30" x14ac:dyDescent="0.2">
      <c r="Y172" s="65" t="s">
        <v>58</v>
      </c>
      <c r="Z172" s="34" t="str">
        <f>""</f>
        <v/>
      </c>
      <c r="AA172" s="13">
        <v>0</v>
      </c>
      <c r="AB172" s="13" t="str">
        <f>""</f>
        <v/>
      </c>
      <c r="AC172" s="594" t="str">
        <f>""</f>
        <v/>
      </c>
      <c r="AD172" s="13"/>
    </row>
    <row r="173" spans="25:30" x14ac:dyDescent="0.2">
      <c r="Y173" s="65" t="s">
        <v>59</v>
      </c>
      <c r="Z173" s="34" t="str">
        <f>""</f>
        <v/>
      </c>
      <c r="AA173" s="13">
        <v>0</v>
      </c>
      <c r="AB173" s="13" t="str">
        <f>""</f>
        <v/>
      </c>
      <c r="AC173" s="594" t="str">
        <f>""</f>
        <v/>
      </c>
      <c r="AD173" s="13"/>
    </row>
    <row r="174" spans="25:30" x14ac:dyDescent="0.2">
      <c r="Y174" s="65" t="s">
        <v>60</v>
      </c>
      <c r="Z174" s="34" t="str">
        <f>""</f>
        <v/>
      </c>
      <c r="AA174" s="13">
        <v>0</v>
      </c>
      <c r="AB174" s="13" t="str">
        <f>""</f>
        <v/>
      </c>
      <c r="AC174" s="594" t="str">
        <f>""</f>
        <v/>
      </c>
      <c r="AD174" s="13"/>
    </row>
    <row r="175" spans="25:30" x14ac:dyDescent="0.2">
      <c r="Y175" s="65" t="s">
        <v>61</v>
      </c>
      <c r="Z175" s="34" t="str">
        <f>""</f>
        <v/>
      </c>
      <c r="AA175" s="13">
        <v>0</v>
      </c>
      <c r="AB175" s="13" t="str">
        <f>""</f>
        <v/>
      </c>
      <c r="AC175" s="594" t="str">
        <f>""</f>
        <v/>
      </c>
      <c r="AD175" s="13"/>
    </row>
    <row r="176" spans="25:30" x14ac:dyDescent="0.2">
      <c r="Y176" s="65" t="s">
        <v>62</v>
      </c>
      <c r="Z176" s="34" t="str">
        <f>""</f>
        <v/>
      </c>
      <c r="AA176" s="13">
        <v>0</v>
      </c>
      <c r="AB176" s="13" t="str">
        <f>""</f>
        <v/>
      </c>
      <c r="AC176" s="594" t="str">
        <f>""</f>
        <v/>
      </c>
      <c r="AD176" s="13"/>
    </row>
    <row r="177" spans="25:30" x14ac:dyDescent="0.2">
      <c r="Y177" s="65" t="s">
        <v>63</v>
      </c>
      <c r="Z177" s="34" t="str">
        <f>""</f>
        <v/>
      </c>
      <c r="AA177" s="13">
        <v>0</v>
      </c>
      <c r="AB177" s="13" t="str">
        <f>""</f>
        <v/>
      </c>
      <c r="AC177" s="594" t="str">
        <f>""</f>
        <v/>
      </c>
      <c r="AD177" s="13"/>
    </row>
    <row r="178" spans="25:30" x14ac:dyDescent="0.2">
      <c r="Y178" s="65" t="s">
        <v>64</v>
      </c>
      <c r="Z178" s="34" t="str">
        <f>""</f>
        <v/>
      </c>
      <c r="AA178" s="13">
        <v>0</v>
      </c>
      <c r="AB178" s="13" t="str">
        <f>""</f>
        <v/>
      </c>
      <c r="AC178" s="594" t="str">
        <f>""</f>
        <v/>
      </c>
      <c r="AD178" s="13"/>
    </row>
    <row r="179" spans="25:30" x14ac:dyDescent="0.2">
      <c r="Y179" s="65" t="s">
        <v>65</v>
      </c>
      <c r="Z179" s="34" t="str">
        <f>""</f>
        <v/>
      </c>
      <c r="AA179" s="13">
        <v>0</v>
      </c>
      <c r="AB179" s="13" t="str">
        <f>""</f>
        <v/>
      </c>
      <c r="AC179" s="594" t="str">
        <f>""</f>
        <v/>
      </c>
      <c r="AD179" s="13"/>
    </row>
    <row r="180" spans="25:30" x14ac:dyDescent="0.2">
      <c r="Y180" s="65" t="s">
        <v>66</v>
      </c>
      <c r="Z180" s="34" t="str">
        <f>""</f>
        <v/>
      </c>
      <c r="AA180" s="13">
        <v>0</v>
      </c>
      <c r="AB180" s="13" t="str">
        <f>""</f>
        <v/>
      </c>
      <c r="AC180" s="594" t="str">
        <f>""</f>
        <v/>
      </c>
      <c r="AD180" s="13"/>
    </row>
    <row r="181" spans="25:30" x14ac:dyDescent="0.2">
      <c r="Y181" s="65" t="s">
        <v>67</v>
      </c>
      <c r="Z181" s="34" t="str">
        <f>""</f>
        <v/>
      </c>
      <c r="AA181" s="13">
        <v>0</v>
      </c>
      <c r="AB181" s="13" t="str">
        <f>""</f>
        <v/>
      </c>
      <c r="AC181" s="594" t="str">
        <f>""</f>
        <v/>
      </c>
      <c r="AD181" s="13"/>
    </row>
    <row r="182" spans="25:30" x14ac:dyDescent="0.2">
      <c r="Y182" s="65" t="s">
        <v>68</v>
      </c>
      <c r="Z182" s="34" t="str">
        <f>""</f>
        <v/>
      </c>
      <c r="AA182" s="13">
        <v>0</v>
      </c>
      <c r="AB182" s="13" t="str">
        <f>""</f>
        <v/>
      </c>
      <c r="AC182" s="594" t="str">
        <f>""</f>
        <v/>
      </c>
      <c r="AD182" s="13"/>
    </row>
    <row r="183" spans="25:30" x14ac:dyDescent="0.2">
      <c r="Y183" s="65" t="s">
        <v>69</v>
      </c>
      <c r="Z183" s="34" t="str">
        <f>""</f>
        <v/>
      </c>
      <c r="AA183" s="13">
        <v>0</v>
      </c>
      <c r="AB183" s="13" t="str">
        <f>""</f>
        <v/>
      </c>
      <c r="AC183" s="594" t="str">
        <f>""</f>
        <v/>
      </c>
      <c r="AD183" s="13"/>
    </row>
    <row r="184" spans="25:30" x14ac:dyDescent="0.2">
      <c r="Y184" s="65" t="s">
        <v>70</v>
      </c>
      <c r="Z184" s="34" t="str">
        <f>""</f>
        <v/>
      </c>
      <c r="AA184" s="13">
        <v>0</v>
      </c>
      <c r="AB184" s="13" t="str">
        <f>""</f>
        <v/>
      </c>
      <c r="AC184" s="594" t="str">
        <f>""</f>
        <v/>
      </c>
      <c r="AD184" s="13"/>
    </row>
    <row r="185" spans="25:30" x14ac:dyDescent="0.2">
      <c r="Y185" s="65" t="s">
        <v>71</v>
      </c>
      <c r="Z185" s="34" t="str">
        <f>""</f>
        <v/>
      </c>
      <c r="AA185" s="13">
        <v>0</v>
      </c>
      <c r="AB185" s="13" t="str">
        <f>""</f>
        <v/>
      </c>
      <c r="AC185" s="594" t="str">
        <f>""</f>
        <v/>
      </c>
      <c r="AD185" s="13"/>
    </row>
    <row r="186" spans="25:30" x14ac:dyDescent="0.2">
      <c r="Y186" s="65" t="s">
        <v>72</v>
      </c>
      <c r="Z186" s="34" t="str">
        <f>""</f>
        <v/>
      </c>
      <c r="AA186" s="13">
        <v>0</v>
      </c>
      <c r="AB186" s="13" t="str">
        <f>""</f>
        <v/>
      </c>
      <c r="AC186" s="594" t="str">
        <f>""</f>
        <v/>
      </c>
      <c r="AD186" s="13"/>
    </row>
    <row r="187" spans="25:30" x14ac:dyDescent="0.2">
      <c r="Y187" s="65" t="s">
        <v>73</v>
      </c>
      <c r="Z187" s="34" t="str">
        <f>""</f>
        <v/>
      </c>
      <c r="AA187" s="13">
        <v>0</v>
      </c>
      <c r="AB187" s="13" t="str">
        <f>""</f>
        <v/>
      </c>
      <c r="AC187" s="594" t="str">
        <f>""</f>
        <v/>
      </c>
      <c r="AD187" s="13"/>
    </row>
    <row r="188" spans="25:30" x14ac:dyDescent="0.2">
      <c r="Y188" s="65" t="s">
        <v>74</v>
      </c>
      <c r="Z188" s="34" t="str">
        <f>""</f>
        <v/>
      </c>
      <c r="AA188" s="13">
        <v>0</v>
      </c>
      <c r="AB188" s="13" t="str">
        <f>""</f>
        <v/>
      </c>
      <c r="AC188" s="594" t="str">
        <f>""</f>
        <v/>
      </c>
      <c r="AD188" s="13"/>
    </row>
    <row r="189" spans="25:30" x14ac:dyDescent="0.2">
      <c r="Y189" s="65" t="s">
        <v>75</v>
      </c>
      <c r="Z189" s="34" t="str">
        <f>""</f>
        <v/>
      </c>
      <c r="AA189" s="13">
        <v>0</v>
      </c>
      <c r="AB189" s="13" t="str">
        <f>""</f>
        <v/>
      </c>
      <c r="AC189" s="594" t="str">
        <f>""</f>
        <v/>
      </c>
      <c r="AD189" s="13"/>
    </row>
    <row r="190" spans="25:30" x14ac:dyDescent="0.2">
      <c r="Y190" s="65" t="s">
        <v>76</v>
      </c>
      <c r="Z190" s="34" t="str">
        <f>""</f>
        <v/>
      </c>
      <c r="AA190" s="13">
        <v>0</v>
      </c>
      <c r="AB190" s="13" t="str">
        <f>""</f>
        <v/>
      </c>
      <c r="AC190" s="594" t="str">
        <f>""</f>
        <v/>
      </c>
      <c r="AD190" s="13"/>
    </row>
    <row r="191" spans="25:30" x14ac:dyDescent="0.2">
      <c r="Y191" s="65" t="s">
        <v>77</v>
      </c>
      <c r="Z191" s="34" t="str">
        <f>""</f>
        <v/>
      </c>
      <c r="AA191" s="13">
        <v>0</v>
      </c>
      <c r="AB191" s="13" t="str">
        <f>""</f>
        <v/>
      </c>
      <c r="AC191" s="594" t="str">
        <f>""</f>
        <v/>
      </c>
      <c r="AD191" s="13"/>
    </row>
    <row r="192" spans="25:30" x14ac:dyDescent="0.2">
      <c r="Y192" s="65" t="s">
        <v>78</v>
      </c>
      <c r="Z192" s="34" t="str">
        <f>""</f>
        <v/>
      </c>
      <c r="AA192" s="13">
        <v>0</v>
      </c>
      <c r="AB192" s="13" t="str">
        <f>""</f>
        <v/>
      </c>
      <c r="AC192" s="594" t="str">
        <f>""</f>
        <v/>
      </c>
      <c r="AD192" s="13"/>
    </row>
    <row r="193" spans="25:30" x14ac:dyDescent="0.2">
      <c r="Y193" s="65" t="s">
        <v>79</v>
      </c>
      <c r="Z193" s="34" t="str">
        <f>""</f>
        <v/>
      </c>
      <c r="AA193" s="13">
        <v>0</v>
      </c>
      <c r="AB193" s="13" t="str">
        <f>""</f>
        <v/>
      </c>
      <c r="AC193" s="594" t="str">
        <f>""</f>
        <v/>
      </c>
      <c r="AD193" s="13"/>
    </row>
    <row r="194" spans="25:30" x14ac:dyDescent="0.2">
      <c r="Y194" s="65" t="s">
        <v>80</v>
      </c>
      <c r="Z194" s="34" t="str">
        <f>""</f>
        <v/>
      </c>
      <c r="AA194" s="13">
        <v>0</v>
      </c>
      <c r="AB194" s="13" t="str">
        <f>""</f>
        <v/>
      </c>
      <c r="AC194" s="594" t="str">
        <f>""</f>
        <v/>
      </c>
      <c r="AD194" s="13"/>
    </row>
    <row r="195" spans="25:30" x14ac:dyDescent="0.2">
      <c r="Y195" s="65" t="s">
        <v>81</v>
      </c>
      <c r="Z195" s="34" t="str">
        <f>""</f>
        <v/>
      </c>
      <c r="AA195" s="13">
        <v>0</v>
      </c>
      <c r="AB195" s="13" t="str">
        <f>""</f>
        <v/>
      </c>
      <c r="AC195" s="594" t="str">
        <f>""</f>
        <v/>
      </c>
      <c r="AD195" s="13"/>
    </row>
    <row r="196" spans="25:30" x14ac:dyDescent="0.2">
      <c r="Y196" s="65" t="s">
        <v>82</v>
      </c>
      <c r="Z196" s="34" t="str">
        <f>""</f>
        <v/>
      </c>
      <c r="AA196" s="13">
        <v>0</v>
      </c>
      <c r="AB196" s="13" t="str">
        <f>""</f>
        <v/>
      </c>
      <c r="AC196" s="594" t="str">
        <f>""</f>
        <v/>
      </c>
      <c r="AD196" s="13"/>
    </row>
    <row r="197" spans="25:30" x14ac:dyDescent="0.2">
      <c r="Y197" s="65" t="s">
        <v>83</v>
      </c>
      <c r="Z197" s="34" t="str">
        <f>""</f>
        <v/>
      </c>
      <c r="AA197" s="13">
        <v>0</v>
      </c>
      <c r="AB197" s="13" t="str">
        <f>""</f>
        <v/>
      </c>
      <c r="AC197" s="594" t="str">
        <f>""</f>
        <v/>
      </c>
      <c r="AD197" s="13"/>
    </row>
    <row r="198" spans="25:30" x14ac:dyDescent="0.2">
      <c r="Y198" s="65" t="s">
        <v>84</v>
      </c>
      <c r="Z198" s="34" t="str">
        <f>""</f>
        <v/>
      </c>
      <c r="AA198" s="13">
        <v>0</v>
      </c>
      <c r="AB198" s="13" t="str">
        <f>""</f>
        <v/>
      </c>
      <c r="AC198" s="594" t="str">
        <f>""</f>
        <v/>
      </c>
      <c r="AD198" s="13"/>
    </row>
    <row r="199" spans="25:30" x14ac:dyDescent="0.2">
      <c r="Y199" s="65" t="s">
        <v>85</v>
      </c>
      <c r="Z199" s="34" t="str">
        <f>""</f>
        <v/>
      </c>
      <c r="AA199" s="13">
        <v>0</v>
      </c>
      <c r="AB199" s="13" t="str">
        <f>""</f>
        <v/>
      </c>
      <c r="AC199" s="594" t="str">
        <f>""</f>
        <v/>
      </c>
      <c r="AD199" s="13"/>
    </row>
    <row r="200" spans="25:30" x14ac:dyDescent="0.2">
      <c r="Y200" s="65" t="s">
        <v>86</v>
      </c>
      <c r="Z200" s="34" t="str">
        <f>""</f>
        <v/>
      </c>
      <c r="AA200" s="13">
        <v>0</v>
      </c>
      <c r="AB200" s="13" t="str">
        <f>""</f>
        <v/>
      </c>
      <c r="AC200" s="594" t="str">
        <f>""</f>
        <v/>
      </c>
      <c r="AD200" s="13"/>
    </row>
    <row r="201" spans="25:30" x14ac:dyDescent="0.2">
      <c r="Y201" s="65" t="s">
        <v>87</v>
      </c>
      <c r="Z201" s="34" t="str">
        <f>""</f>
        <v/>
      </c>
      <c r="AA201" s="13">
        <v>0</v>
      </c>
      <c r="AB201" s="13" t="str">
        <f>""</f>
        <v/>
      </c>
      <c r="AC201" s="594" t="str">
        <f>""</f>
        <v/>
      </c>
      <c r="AD201" s="13"/>
    </row>
    <row r="202" spans="25:30" x14ac:dyDescent="0.2">
      <c r="Y202" s="65" t="s">
        <v>88</v>
      </c>
      <c r="Z202" s="34" t="str">
        <f>""</f>
        <v/>
      </c>
      <c r="AA202" s="13">
        <v>0</v>
      </c>
      <c r="AB202" s="13" t="str">
        <f>""</f>
        <v/>
      </c>
      <c r="AC202" s="594" t="str">
        <f>""</f>
        <v/>
      </c>
      <c r="AD202" s="13"/>
    </row>
    <row r="203" spans="25:30" x14ac:dyDescent="0.2">
      <c r="Y203" s="65" t="s">
        <v>89</v>
      </c>
      <c r="Z203" s="34" t="str">
        <f>""</f>
        <v/>
      </c>
      <c r="AA203" s="13">
        <v>0</v>
      </c>
      <c r="AB203" s="13" t="str">
        <f>""</f>
        <v/>
      </c>
      <c r="AC203" s="594" t="str">
        <f>""</f>
        <v/>
      </c>
      <c r="AD203" s="13"/>
    </row>
    <row r="204" spans="25:30" x14ac:dyDescent="0.2">
      <c r="Y204" s="65" t="s">
        <v>90</v>
      </c>
      <c r="Z204" s="34" t="str">
        <f>""</f>
        <v/>
      </c>
      <c r="AA204" s="13">
        <v>0</v>
      </c>
      <c r="AB204" s="13" t="str">
        <f>""</f>
        <v/>
      </c>
      <c r="AC204" s="594" t="str">
        <f>""</f>
        <v/>
      </c>
      <c r="AD204" s="13"/>
    </row>
    <row r="205" spans="25:30" x14ac:dyDescent="0.2">
      <c r="Y205" s="65" t="s">
        <v>91</v>
      </c>
      <c r="Z205" s="34" t="str">
        <f>""</f>
        <v/>
      </c>
      <c r="AA205" s="13">
        <v>0</v>
      </c>
      <c r="AB205" s="13" t="str">
        <f>""</f>
        <v/>
      </c>
      <c r="AC205" s="594" t="str">
        <f>""</f>
        <v/>
      </c>
      <c r="AD205" s="13"/>
    </row>
    <row r="206" spans="25:30" x14ac:dyDescent="0.2">
      <c r="Y206" s="65" t="s">
        <v>92</v>
      </c>
      <c r="Z206" s="34" t="str">
        <f>""</f>
        <v/>
      </c>
      <c r="AA206" s="13">
        <v>0</v>
      </c>
      <c r="AB206" s="13" t="str">
        <f>""</f>
        <v/>
      </c>
      <c r="AC206" s="594" t="str">
        <f>""</f>
        <v/>
      </c>
      <c r="AD206" s="13"/>
    </row>
    <row r="207" spans="25:30" ht="12.75" thickBot="1" x14ac:dyDescent="0.25">
      <c r="Y207" s="66" t="s">
        <v>93</v>
      </c>
      <c r="Z207" s="36" t="str">
        <f>""</f>
        <v/>
      </c>
      <c r="AA207" s="37">
        <v>0</v>
      </c>
      <c r="AB207" s="37" t="str">
        <f>""</f>
        <v/>
      </c>
      <c r="AC207" s="595" t="str">
        <f>""</f>
        <v/>
      </c>
      <c r="AD207" s="40"/>
    </row>
    <row r="208" spans="25:30" ht="12.75" thickTop="1" x14ac:dyDescent="0.2"/>
  </sheetData>
  <mergeCells count="18">
    <mergeCell ref="AL63:AM63"/>
    <mergeCell ref="E29:L29"/>
    <mergeCell ref="M29:T29"/>
    <mergeCell ref="U29:AB29"/>
    <mergeCell ref="AC29:AJ29"/>
    <mergeCell ref="AK29:AR29"/>
    <mergeCell ref="X63:Y63"/>
    <mergeCell ref="AD63:AE63"/>
    <mergeCell ref="AF63:AG63"/>
    <mergeCell ref="AH63:AI63"/>
    <mergeCell ref="AJ63:AK63"/>
    <mergeCell ref="AS29:AZ29"/>
    <mergeCell ref="BA29:BH29"/>
    <mergeCell ref="BI29:BP29"/>
    <mergeCell ref="W3:AA3"/>
    <mergeCell ref="AB3:AF3"/>
    <mergeCell ref="AG3:AK3"/>
    <mergeCell ref="AL3:AP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3639C-05DC-465C-8A1D-6F507C994F6A}">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10.710937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50" s="2" customFormat="1" x14ac:dyDescent="0.2">
      <c r="Z1" s="1"/>
    </row>
    <row r="2" spans="1:50" s="2" customFormat="1" x14ac:dyDescent="0.2">
      <c r="B2" s="13"/>
      <c r="C2" s="13"/>
      <c r="D2" s="13"/>
      <c r="E2" s="13"/>
      <c r="F2" s="1"/>
      <c r="G2" s="1"/>
      <c r="H2" s="1"/>
      <c r="I2" s="1"/>
      <c r="J2" s="1"/>
      <c r="K2" s="1"/>
      <c r="L2" s="1"/>
      <c r="M2" s="1"/>
      <c r="N2" s="13"/>
      <c r="O2" s="1"/>
      <c r="P2" s="1"/>
      <c r="Q2" s="1"/>
      <c r="W2" s="2" t="s">
        <v>148</v>
      </c>
      <c r="AS2" s="1"/>
      <c r="AT2" s="1"/>
      <c r="AU2" s="1"/>
      <c r="AV2" s="1" t="s">
        <v>385</v>
      </c>
      <c r="AW2" s="1"/>
      <c r="AX2" s="1"/>
    </row>
    <row r="3" spans="1:50" s="2" customFormat="1" ht="13.5" customHeight="1" thickBot="1" x14ac:dyDescent="0.25">
      <c r="B3" s="1"/>
      <c r="C3" s="13"/>
      <c r="D3" s="13"/>
      <c r="E3" s="13"/>
      <c r="F3" s="13"/>
      <c r="G3" s="68" t="s">
        <v>107</v>
      </c>
      <c r="H3" s="68" t="s">
        <v>108</v>
      </c>
      <c r="I3" s="729" t="s">
        <v>381</v>
      </c>
      <c r="J3" s="729" t="s">
        <v>110</v>
      </c>
      <c r="K3" s="729" t="s">
        <v>103</v>
      </c>
      <c r="L3" s="28" t="s">
        <v>104</v>
      </c>
      <c r="M3" s="28" t="s">
        <v>105</v>
      </c>
      <c r="N3" s="28" t="s">
        <v>106</v>
      </c>
      <c r="O3" s="107"/>
      <c r="P3" s="108"/>
      <c r="Q3" s="108"/>
      <c r="R3" s="108"/>
      <c r="S3" s="108"/>
      <c r="T3" s="108"/>
      <c r="U3" s="108"/>
      <c r="V3" s="108"/>
      <c r="W3" s="976"/>
      <c r="X3" s="977"/>
      <c r="Y3" s="977"/>
      <c r="Z3" s="977"/>
      <c r="AA3" s="977"/>
      <c r="AB3" s="976"/>
      <c r="AC3" s="977"/>
      <c r="AD3" s="977"/>
      <c r="AE3" s="977"/>
      <c r="AF3" s="977"/>
      <c r="AG3" s="976"/>
      <c r="AH3" s="977"/>
      <c r="AI3" s="977"/>
      <c r="AJ3" s="977"/>
      <c r="AK3" s="977"/>
      <c r="AL3" s="976"/>
      <c r="AM3" s="977"/>
      <c r="AN3" s="977"/>
      <c r="AO3" s="977"/>
      <c r="AP3" s="977"/>
      <c r="AS3" s="28" t="s">
        <v>386</v>
      </c>
      <c r="AT3" s="28" t="s">
        <v>387</v>
      </c>
      <c r="AU3" s="28" t="s">
        <v>388</v>
      </c>
      <c r="AV3" s="28" t="s">
        <v>389</v>
      </c>
      <c r="AW3" s="28"/>
      <c r="AX3" s="28" t="s">
        <v>390</v>
      </c>
    </row>
    <row r="4" spans="1:50" s="2" customFormat="1" ht="12.75" thickTop="1" x14ac:dyDescent="0.2">
      <c r="A4" s="214"/>
      <c r="B4" s="1">
        <v>1</v>
      </c>
      <c r="C4" s="21">
        <f ca="1">RANK(D4,$D$4:$D$12,1)</f>
        <v>1</v>
      </c>
      <c r="D4" s="13">
        <f ca="1">E4+ROW()/1000+(F4="")*10</f>
        <v>11.004</v>
      </c>
      <c r="E4" s="219">
        <f ca="1">IF($AI$15,RANK(AH17,AH$17:AH$25,1),RANK(X17,X$17:X$25,1))</f>
        <v>1</v>
      </c>
      <c r="F4" s="1" t="str">
        <f ca="1">$Q64</f>
        <v/>
      </c>
      <c r="G4" s="1">
        <f ca="1">SUMIFS($AH$64:$AH$135,$V$64:$V$135,$F4)+SUMIFS($AI$64:$AI$135,$W$64:$W$135,$F4)</f>
        <v>0</v>
      </c>
      <c r="H4" s="1">
        <f ca="1">SUMIFS($AI$64:$AI$135,$V$64:$V$135,$F4)+SUMIFS($AH$64:$AH$135,$W$64:$W$135,$F4)</f>
        <v>0</v>
      </c>
      <c r="I4" s="13">
        <f ca="1">IF(Einstellungen!$G$24,G4-H4,IF(H4=0,IF(G4=0,0,Einstellungen!$F$24),G4/H4))</f>
        <v>0</v>
      </c>
      <c r="J4" s="1">
        <f ca="1">$L4*Einstellungen!$C$4+$M4</f>
        <v>0</v>
      </c>
      <c r="K4" s="1">
        <f ca="1">SUMPRODUCT(($V$64:$V$135=F4)*($AJ$64:$AJ$135&lt;&gt;"")*$AA$64:$AA$135)+SUMPRODUCT(($W$64:$W$135=F4)*($AK$64:$AK$135&lt;&gt;"")*$AA$64:$AA$135)</f>
        <v>0</v>
      </c>
      <c r="L4" s="1">
        <f ca="1">SUMPRODUCT(($V$64:$V$135=F4)*($AJ$64:$AJ$135&gt;$AK$64:$AK$135)*$AA$64:$AA$135)+SUMPRODUCT(($W$64:$W$135=F4)*($AJ$64:$AJ$135&lt;$AK$64:$AK$135)*$AA$64:$AA$135)</f>
        <v>0</v>
      </c>
      <c r="M4" s="1">
        <f ca="1">SUMPRODUCT(($V$64:$W$135=F4)*($AJ$64:$AJ$135=$AK$64:$AK$135)*$AA$64:$AA$135)</f>
        <v>0</v>
      </c>
      <c r="N4" s="1">
        <f ca="1">K4-L4-M4</f>
        <v>0</v>
      </c>
      <c r="O4" s="116"/>
      <c r="P4" s="116"/>
      <c r="Q4" s="116"/>
      <c r="R4" s="116"/>
      <c r="V4" s="1"/>
      <c r="W4" s="456"/>
      <c r="X4" s="457"/>
      <c r="Y4" s="458"/>
      <c r="Z4" s="458"/>
      <c r="AA4" s="460"/>
      <c r="AB4" s="456"/>
      <c r="AC4" s="457"/>
      <c r="AD4" s="479"/>
      <c r="AE4" s="458"/>
      <c r="AF4" s="458"/>
      <c r="AG4" s="456"/>
      <c r="AH4" s="457"/>
      <c r="AI4" s="479"/>
      <c r="AJ4" s="458"/>
      <c r="AK4" s="460"/>
      <c r="AL4" s="457"/>
      <c r="AM4" s="457"/>
      <c r="AN4" s="479"/>
      <c r="AO4" s="458"/>
      <c r="AP4" s="460"/>
      <c r="AS4" s="1">
        <f ca="1">SUMPRODUCT(($V$64:$V$135=F4)*$AK$64:$AK$135)+SUMPRODUCT(($W$64:$W$135=F4)*$AJ$64:$AJ$135)</f>
        <v>0</v>
      </c>
      <c r="AT4" s="1">
        <f ca="1">SUMPRODUCT(($V$64:$V$135=F4)*$AJ$64:$AJ$135)+SUMPRODUCT(($W$64:$W$135=F4)*$AK$64:$AK$135)</f>
        <v>0</v>
      </c>
      <c r="AU4" s="1">
        <f ca="1">AT4-AS4</f>
        <v>0</v>
      </c>
      <c r="AV4" s="1">
        <f ca="1">IF(Einstellungen!$G$24,$I4,ROUND($I4,Einstellungen!$H$24))</f>
        <v>0</v>
      </c>
      <c r="AW4" s="1">
        <f ca="1">I4-(F4="")*10000</f>
        <v>-10000</v>
      </c>
      <c r="AX4" s="1">
        <f ca="1" xml:space="preserve"> RANK(AW4,$AW$4:$AW$12,1)</f>
        <v>1</v>
      </c>
    </row>
    <row r="5" spans="1:50" s="2" customFormat="1" x14ac:dyDescent="0.2">
      <c r="A5" s="214"/>
      <c r="B5" s="1">
        <v>2</v>
      </c>
      <c r="C5" s="22">
        <f t="shared" ref="C5:C12" ca="1" si="0">RANK(D5,$D$4:$D$12,1)</f>
        <v>2</v>
      </c>
      <c r="D5" s="13">
        <f t="shared" ref="D5:D12" ca="1" si="1">E5+ROW()/1000+(F5="")*10</f>
        <v>11.004999999999999</v>
      </c>
      <c r="E5" s="219">
        <f t="shared" ref="E5:E12" ca="1" si="2">IF($AI$15,RANK(AH18,AH$17:AH$25,1),RANK(X18,X$17:X$25,1))</f>
        <v>1</v>
      </c>
      <c r="F5" s="1" t="str">
        <f t="shared" ref="F5:F12" ca="1" si="3">$Q65</f>
        <v/>
      </c>
      <c r="G5" s="1">
        <f t="shared" ref="G5:G12" ca="1" si="4">SUMIFS($AH$64:$AH$135,$V$64:$V$135,$F5)+SUMIFS($AI$64:$AI$135,$W$64:$W$135,$F5)</f>
        <v>0</v>
      </c>
      <c r="H5" s="1">
        <f t="shared" ref="H5:H12" ca="1" si="5">SUMIFS($AI$64:$AI$135,$V$64:$V$135,$F5)+SUMIFS($AH$64:$AH$135,$W$64:$W$135,$F5)</f>
        <v>0</v>
      </c>
      <c r="I5" s="13">
        <f ca="1">IF(Einstellungen!$G$24,G5-H5,IF(H5=0,IF(G5=0,0,Einstellungen!$F$24),G5/H5))</f>
        <v>0</v>
      </c>
      <c r="J5" s="1">
        <f ca="1">$L5*Einstellungen!$C$4+$M5</f>
        <v>0</v>
      </c>
      <c r="K5" s="1">
        <f t="shared" ref="K5:K12" ca="1" si="6">SUMPRODUCT(($V$64:$V$135=F5)*($AJ$64:$AJ$135&lt;&gt;"")*$AA$64:$AA$135)+SUMPRODUCT(($W$64:$W$135=F5)*($AK$64:$AK$135&lt;&gt;"")*$AA$64:$AA$135)</f>
        <v>0</v>
      </c>
      <c r="L5" s="1">
        <f t="shared" ref="L5:L12" ca="1" si="7">SUMPRODUCT(($V$64:$V$135=F5)*($AJ$64:$AJ$135&gt;$AK$64:$AK$135)*$AA$64:$AA$135)+SUMPRODUCT(($W$64:$W$135=F5)*($AJ$64:$AJ$135&lt;$AK$64:$AK$135)*$AA$64:$AA$135)</f>
        <v>0</v>
      </c>
      <c r="M5" s="1">
        <f t="shared" ref="M5:M12" ca="1" si="8">SUMPRODUCT(($V$64:$W$135=F5)*($AJ$64:$AJ$135=$AK$64:$AK$135)*$AA$64:$AA$135)</f>
        <v>0</v>
      </c>
      <c r="N5" s="1">
        <f t="shared" ref="N5:N12" ca="1" si="9">K5-L5-M5</f>
        <v>0</v>
      </c>
      <c r="O5" s="24"/>
      <c r="P5" s="25"/>
      <c r="V5" s="1"/>
      <c r="W5" s="461"/>
      <c r="X5" s="462"/>
      <c r="Y5" s="459"/>
      <c r="Z5" s="459"/>
      <c r="AA5" s="464"/>
      <c r="AB5" s="461"/>
      <c r="AC5" s="462"/>
      <c r="AD5" s="463"/>
      <c r="AE5" s="459"/>
      <c r="AF5" s="459"/>
      <c r="AG5" s="461"/>
      <c r="AH5" s="462"/>
      <c r="AI5" s="463"/>
      <c r="AJ5" s="459"/>
      <c r="AK5" s="464"/>
      <c r="AL5" s="462"/>
      <c r="AM5" s="462"/>
      <c r="AN5" s="463"/>
      <c r="AO5" s="459"/>
      <c r="AP5" s="464"/>
      <c r="AS5" s="1">
        <f t="shared" ref="AS5:AS12" ca="1" si="10">SUMPRODUCT(($V$64:$V$135=F5)*$AK$64:$AK$135)+SUMPRODUCT(($W$64:$W$135=F5)*$AJ$64:$AJ$135)</f>
        <v>0</v>
      </c>
      <c r="AT5" s="1">
        <f t="shared" ref="AT5:AT12" ca="1" si="11">SUMPRODUCT(($V$64:$V$135=F5)*$AJ$64:$AJ$135)+SUMPRODUCT(($W$64:$W$135=F5)*$AK$64:$AK$135)</f>
        <v>0</v>
      </c>
      <c r="AU5" s="1">
        <f t="shared" ref="AU5:AU12" ca="1" si="12">AT5-AS5</f>
        <v>0</v>
      </c>
      <c r="AV5" s="1">
        <f ca="1">IF(Einstellungen!$G$24,$I5,ROUND($I5,Einstellungen!$H$24))</f>
        <v>0</v>
      </c>
      <c r="AW5" s="1">
        <f t="shared" ref="AW5:AW12" ca="1" si="13">I5-(F5="")*10000</f>
        <v>-10000</v>
      </c>
      <c r="AX5" s="1">
        <f t="shared" ref="AX5:AX12" ca="1" si="14" xml:space="preserve"> RANK(AW5,$AW$4:$AW$12,1)</f>
        <v>1</v>
      </c>
    </row>
    <row r="6" spans="1:50" s="2" customFormat="1" x14ac:dyDescent="0.2">
      <c r="A6" s="214"/>
      <c r="B6" s="1">
        <v>3</v>
      </c>
      <c r="C6" s="22">
        <f t="shared" ca="1" si="0"/>
        <v>3</v>
      </c>
      <c r="D6" s="13">
        <f t="shared" ca="1" si="1"/>
        <v>11.006</v>
      </c>
      <c r="E6" s="219">
        <f t="shared" ca="1" si="2"/>
        <v>1</v>
      </c>
      <c r="F6" s="1" t="str">
        <f t="shared" ca="1" si="3"/>
        <v/>
      </c>
      <c r="G6" s="1">
        <f t="shared" ca="1" si="4"/>
        <v>0</v>
      </c>
      <c r="H6" s="1">
        <f t="shared" ca="1" si="5"/>
        <v>0</v>
      </c>
      <c r="I6" s="13">
        <f ca="1">IF(Einstellungen!$G$24,G6-H6,IF(H6=0,IF(G6=0,0,Einstellungen!$F$24),G6/H6))</f>
        <v>0</v>
      </c>
      <c r="J6" s="1">
        <f ca="1">$L6*Einstellungen!$C$4+$M6</f>
        <v>0</v>
      </c>
      <c r="K6" s="1">
        <f t="shared" ca="1" si="6"/>
        <v>0</v>
      </c>
      <c r="L6" s="1">
        <f t="shared" ca="1" si="7"/>
        <v>0</v>
      </c>
      <c r="M6" s="1">
        <f t="shared" ca="1" si="8"/>
        <v>0</v>
      </c>
      <c r="N6" s="1">
        <f t="shared" ca="1" si="9"/>
        <v>0</v>
      </c>
      <c r="O6" s="24"/>
      <c r="P6" s="25"/>
      <c r="V6" s="1"/>
      <c r="W6" s="461"/>
      <c r="X6" s="462"/>
      <c r="Y6" s="459"/>
      <c r="Z6" s="459"/>
      <c r="AA6" s="464"/>
      <c r="AB6" s="461"/>
      <c r="AC6" s="462"/>
      <c r="AD6" s="463"/>
      <c r="AE6" s="459"/>
      <c r="AF6" s="459"/>
      <c r="AG6" s="461"/>
      <c r="AH6" s="462"/>
      <c r="AI6" s="463"/>
      <c r="AJ6" s="459"/>
      <c r="AK6" s="464"/>
      <c r="AL6" s="462"/>
      <c r="AM6" s="462"/>
      <c r="AN6" s="463"/>
      <c r="AO6" s="459"/>
      <c r="AP6" s="464"/>
      <c r="AS6" s="1">
        <f t="shared" ca="1" si="10"/>
        <v>0</v>
      </c>
      <c r="AT6" s="1">
        <f t="shared" ca="1" si="11"/>
        <v>0</v>
      </c>
      <c r="AU6" s="1">
        <f t="shared" ca="1" si="12"/>
        <v>0</v>
      </c>
      <c r="AV6" s="1">
        <f ca="1">IF(Einstellungen!$G$24,$I6,ROUND($I6,Einstellungen!$H$24))</f>
        <v>0</v>
      </c>
      <c r="AW6" s="1">
        <f t="shared" ca="1" si="13"/>
        <v>-10000</v>
      </c>
      <c r="AX6" s="1">
        <f t="shared" ca="1" si="14"/>
        <v>1</v>
      </c>
    </row>
    <row r="7" spans="1:50" s="2" customFormat="1" x14ac:dyDescent="0.2">
      <c r="A7" s="214"/>
      <c r="B7" s="1">
        <v>4</v>
      </c>
      <c r="C7" s="22">
        <f t="shared" ca="1" si="0"/>
        <v>4</v>
      </c>
      <c r="D7" s="13">
        <f t="shared" ca="1" si="1"/>
        <v>11.007</v>
      </c>
      <c r="E7" s="219">
        <f t="shared" ca="1" si="2"/>
        <v>1</v>
      </c>
      <c r="F7" s="1" t="str">
        <f t="shared" ca="1" si="3"/>
        <v/>
      </c>
      <c r="G7" s="1">
        <f t="shared" ca="1" si="4"/>
        <v>0</v>
      </c>
      <c r="H7" s="1">
        <f t="shared" ca="1" si="5"/>
        <v>0</v>
      </c>
      <c r="I7" s="13">
        <f ca="1">IF(Einstellungen!$G$24,G7-H7,IF(H7=0,IF(G7=0,0,Einstellungen!$F$24),G7/H7))</f>
        <v>0</v>
      </c>
      <c r="J7" s="1">
        <f ca="1">$L7*Einstellungen!$C$4+$M7</f>
        <v>0</v>
      </c>
      <c r="K7" s="1">
        <f t="shared" ca="1" si="6"/>
        <v>0</v>
      </c>
      <c r="L7" s="1">
        <f t="shared" ca="1" si="7"/>
        <v>0</v>
      </c>
      <c r="M7" s="1">
        <f t="shared" ca="1" si="8"/>
        <v>0</v>
      </c>
      <c r="N7" s="1">
        <f t="shared" ca="1" si="9"/>
        <v>0</v>
      </c>
      <c r="O7" s="24"/>
      <c r="P7" s="25"/>
      <c r="V7" s="1"/>
      <c r="W7" s="461"/>
      <c r="X7" s="462"/>
      <c r="Y7" s="459"/>
      <c r="Z7" s="459"/>
      <c r="AA7" s="464"/>
      <c r="AB7" s="461"/>
      <c r="AC7" s="462"/>
      <c r="AD7" s="463"/>
      <c r="AE7" s="459"/>
      <c r="AF7" s="459"/>
      <c r="AG7" s="461"/>
      <c r="AH7" s="462"/>
      <c r="AI7" s="463"/>
      <c r="AJ7" s="459"/>
      <c r="AK7" s="464"/>
      <c r="AL7" s="462"/>
      <c r="AM7" s="462"/>
      <c r="AN7" s="463"/>
      <c r="AO7" s="459"/>
      <c r="AP7" s="464"/>
      <c r="AS7" s="1">
        <f t="shared" ca="1" si="10"/>
        <v>0</v>
      </c>
      <c r="AT7" s="1">
        <f t="shared" ca="1" si="11"/>
        <v>0</v>
      </c>
      <c r="AU7" s="1">
        <f t="shared" ca="1" si="12"/>
        <v>0</v>
      </c>
      <c r="AV7" s="1">
        <f ca="1">IF(Einstellungen!$G$24,$I7,ROUND($I7,Einstellungen!$H$24))</f>
        <v>0</v>
      </c>
      <c r="AW7" s="1">
        <f t="shared" ca="1" si="13"/>
        <v>-10000</v>
      </c>
      <c r="AX7" s="1">
        <f t="shared" ca="1" si="14"/>
        <v>1</v>
      </c>
    </row>
    <row r="8" spans="1:50" s="2" customFormat="1" x14ac:dyDescent="0.2">
      <c r="A8" s="214"/>
      <c r="B8" s="1">
        <v>5</v>
      </c>
      <c r="C8" s="22">
        <f t="shared" ca="1" si="0"/>
        <v>5</v>
      </c>
      <c r="D8" s="13">
        <f t="shared" ca="1" si="1"/>
        <v>11.007999999999999</v>
      </c>
      <c r="E8" s="219">
        <f t="shared" ca="1" si="2"/>
        <v>1</v>
      </c>
      <c r="F8" s="1" t="str">
        <f t="shared" si="3"/>
        <v/>
      </c>
      <c r="G8" s="1">
        <f t="shared" ca="1" si="4"/>
        <v>0</v>
      </c>
      <c r="H8" s="1">
        <f t="shared" ca="1" si="5"/>
        <v>0</v>
      </c>
      <c r="I8" s="13">
        <f ca="1">IF(Einstellungen!$G$24,G8-H8,IF(H8=0,IF(G8=0,0,Einstellungen!$F$24),G8/H8))</f>
        <v>0</v>
      </c>
      <c r="J8" s="1">
        <f ca="1">$L8*Einstellungen!$C$4+$M8</f>
        <v>0</v>
      </c>
      <c r="K8" s="1">
        <f t="shared" ca="1" si="6"/>
        <v>0</v>
      </c>
      <c r="L8" s="1">
        <f t="shared" ca="1" si="7"/>
        <v>0</v>
      </c>
      <c r="M8" s="1">
        <f t="shared" ca="1" si="8"/>
        <v>0</v>
      </c>
      <c r="N8" s="1">
        <f t="shared" ca="1" si="9"/>
        <v>0</v>
      </c>
      <c r="P8" s="25"/>
      <c r="W8" s="461"/>
      <c r="X8" s="462"/>
      <c r="Y8" s="459"/>
      <c r="Z8" s="459"/>
      <c r="AA8" s="464"/>
      <c r="AB8" s="461"/>
      <c r="AC8" s="462"/>
      <c r="AD8" s="463"/>
      <c r="AE8" s="459"/>
      <c r="AF8" s="459"/>
      <c r="AG8" s="461"/>
      <c r="AH8" s="462"/>
      <c r="AI8" s="463"/>
      <c r="AJ8" s="459"/>
      <c r="AK8" s="464"/>
      <c r="AL8" s="462"/>
      <c r="AM8" s="462"/>
      <c r="AN8" s="463"/>
      <c r="AO8" s="459"/>
      <c r="AP8" s="464"/>
      <c r="AS8" s="1">
        <f t="shared" ca="1" si="10"/>
        <v>0</v>
      </c>
      <c r="AT8" s="1">
        <f t="shared" ca="1" si="11"/>
        <v>0</v>
      </c>
      <c r="AU8" s="1">
        <f t="shared" ca="1" si="12"/>
        <v>0</v>
      </c>
      <c r="AV8" s="1">
        <f ca="1">IF(Einstellungen!$G$24,$I8,ROUND($I8,Einstellungen!$H$24))</f>
        <v>0</v>
      </c>
      <c r="AW8" s="1">
        <f t="shared" ca="1" si="13"/>
        <v>-10000</v>
      </c>
      <c r="AX8" s="1">
        <f t="shared" ca="1" si="14"/>
        <v>1</v>
      </c>
    </row>
    <row r="9" spans="1:50" s="2" customFormat="1" x14ac:dyDescent="0.2">
      <c r="A9" s="214"/>
      <c r="B9" s="1">
        <v>6</v>
      </c>
      <c r="C9" s="22">
        <f t="shared" ca="1" si="0"/>
        <v>6</v>
      </c>
      <c r="D9" s="13">
        <f t="shared" ca="1" si="1"/>
        <v>11.009</v>
      </c>
      <c r="E9" s="219">
        <f t="shared" ca="1" si="2"/>
        <v>1</v>
      </c>
      <c r="F9" s="1" t="str">
        <f t="shared" si="3"/>
        <v/>
      </c>
      <c r="G9" s="1">
        <f t="shared" ca="1" si="4"/>
        <v>0</v>
      </c>
      <c r="H9" s="1">
        <f t="shared" ca="1" si="5"/>
        <v>0</v>
      </c>
      <c r="I9" s="13">
        <f ca="1">IF(Einstellungen!$G$24,G9-H9,IF(H9=0,IF(G9=0,0,Einstellungen!$F$24),G9/H9))</f>
        <v>0</v>
      </c>
      <c r="J9" s="1">
        <f ca="1">$L9*Einstellungen!$C$4+$M9</f>
        <v>0</v>
      </c>
      <c r="K9" s="1">
        <f t="shared" ca="1" si="6"/>
        <v>0</v>
      </c>
      <c r="L9" s="1">
        <f t="shared" ca="1" si="7"/>
        <v>0</v>
      </c>
      <c r="M9" s="1">
        <f t="shared" ca="1" si="8"/>
        <v>0</v>
      </c>
      <c r="N9" s="1">
        <f t="shared" ca="1" si="9"/>
        <v>0</v>
      </c>
      <c r="P9" s="25"/>
      <c r="W9" s="461"/>
      <c r="X9" s="462"/>
      <c r="Y9" s="459"/>
      <c r="Z9" s="459"/>
      <c r="AA9" s="464"/>
      <c r="AB9" s="461"/>
      <c r="AC9" s="462"/>
      <c r="AD9" s="463"/>
      <c r="AE9" s="459"/>
      <c r="AF9" s="459"/>
      <c r="AG9" s="461"/>
      <c r="AH9" s="462"/>
      <c r="AI9" s="463"/>
      <c r="AJ9" s="459"/>
      <c r="AK9" s="464"/>
      <c r="AL9" s="462"/>
      <c r="AM9" s="462"/>
      <c r="AN9" s="463"/>
      <c r="AO9" s="459"/>
      <c r="AP9" s="464"/>
      <c r="AS9" s="1">
        <f t="shared" ca="1" si="10"/>
        <v>0</v>
      </c>
      <c r="AT9" s="1">
        <f t="shared" ca="1" si="11"/>
        <v>0</v>
      </c>
      <c r="AU9" s="1">
        <f t="shared" ca="1" si="12"/>
        <v>0</v>
      </c>
      <c r="AV9" s="1">
        <f ca="1">IF(Einstellungen!$G$24,$I9,ROUND($I9,Einstellungen!$H$24))</f>
        <v>0</v>
      </c>
      <c r="AW9" s="1">
        <f t="shared" ca="1" si="13"/>
        <v>-10000</v>
      </c>
      <c r="AX9" s="1">
        <f t="shared" ca="1" si="14"/>
        <v>1</v>
      </c>
    </row>
    <row r="10" spans="1:50" s="2" customFormat="1" x14ac:dyDescent="0.2">
      <c r="A10" s="214"/>
      <c r="B10" s="1">
        <v>7</v>
      </c>
      <c r="C10" s="22">
        <f t="shared" ca="1" si="0"/>
        <v>7</v>
      </c>
      <c r="D10" s="13">
        <f t="shared" ca="1" si="1"/>
        <v>11.01</v>
      </c>
      <c r="E10" s="219">
        <f t="shared" ca="1" si="2"/>
        <v>1</v>
      </c>
      <c r="F10" s="1" t="str">
        <f t="shared" si="3"/>
        <v/>
      </c>
      <c r="G10" s="1">
        <f t="shared" ca="1" si="4"/>
        <v>0</v>
      </c>
      <c r="H10" s="1">
        <f t="shared" ca="1" si="5"/>
        <v>0</v>
      </c>
      <c r="I10" s="13">
        <f ca="1">IF(Einstellungen!$G$24,G10-H10,IF(H10=0,IF(G10=0,0,Einstellungen!$F$24),G10/H10))</f>
        <v>0</v>
      </c>
      <c r="J10" s="1">
        <f ca="1">$L10*Einstellungen!$C$4+$M10</f>
        <v>0</v>
      </c>
      <c r="K10" s="1">
        <f t="shared" ca="1" si="6"/>
        <v>0</v>
      </c>
      <c r="L10" s="1">
        <f t="shared" ca="1" si="7"/>
        <v>0</v>
      </c>
      <c r="M10" s="1">
        <f t="shared" ca="1" si="8"/>
        <v>0</v>
      </c>
      <c r="N10" s="1">
        <f t="shared" ca="1" si="9"/>
        <v>0</v>
      </c>
      <c r="P10" s="25"/>
      <c r="W10" s="461"/>
      <c r="X10" s="462"/>
      <c r="Y10" s="459"/>
      <c r="Z10" s="459"/>
      <c r="AA10" s="464"/>
      <c r="AB10" s="461"/>
      <c r="AC10" s="462"/>
      <c r="AD10" s="463"/>
      <c r="AE10" s="459"/>
      <c r="AF10" s="459"/>
      <c r="AG10" s="461"/>
      <c r="AH10" s="462"/>
      <c r="AI10" s="463"/>
      <c r="AJ10" s="459"/>
      <c r="AK10" s="464"/>
      <c r="AL10" s="462"/>
      <c r="AM10" s="462"/>
      <c r="AN10" s="463"/>
      <c r="AO10" s="459"/>
      <c r="AP10" s="464"/>
      <c r="AS10" s="1">
        <f t="shared" ca="1" si="10"/>
        <v>0</v>
      </c>
      <c r="AT10" s="1">
        <f t="shared" ca="1" si="11"/>
        <v>0</v>
      </c>
      <c r="AU10" s="1">
        <f t="shared" ca="1" si="12"/>
        <v>0</v>
      </c>
      <c r="AV10" s="1">
        <f ca="1">IF(Einstellungen!$G$24,$I10,ROUND($I10,Einstellungen!$H$24))</f>
        <v>0</v>
      </c>
      <c r="AW10" s="1">
        <f t="shared" ca="1" si="13"/>
        <v>-10000</v>
      </c>
      <c r="AX10" s="1">
        <f t="shared" ca="1" si="14"/>
        <v>1</v>
      </c>
    </row>
    <row r="11" spans="1:50" s="2" customFormat="1" x14ac:dyDescent="0.2">
      <c r="A11" s="214"/>
      <c r="B11" s="1">
        <v>8</v>
      </c>
      <c r="C11" s="22">
        <f t="shared" ca="1" si="0"/>
        <v>8</v>
      </c>
      <c r="D11" s="13">
        <f t="shared" ca="1" si="1"/>
        <v>11.010999999999999</v>
      </c>
      <c r="E11" s="219">
        <f t="shared" ca="1" si="2"/>
        <v>1</v>
      </c>
      <c r="F11" s="1" t="str">
        <f t="shared" si="3"/>
        <v/>
      </c>
      <c r="G11" s="1">
        <f t="shared" ca="1" si="4"/>
        <v>0</v>
      </c>
      <c r="H11" s="1">
        <f t="shared" ca="1" si="5"/>
        <v>0</v>
      </c>
      <c r="I11" s="13">
        <f ca="1">IF(Einstellungen!$G$24,G11-H11,IF(H11=0,IF(G11=0,0,Einstellungen!$F$24),G11/H11))</f>
        <v>0</v>
      </c>
      <c r="J11" s="1">
        <f ca="1">$L11*Einstellungen!$C$4+$M11</f>
        <v>0</v>
      </c>
      <c r="K11" s="1">
        <f t="shared" ca="1" si="6"/>
        <v>0</v>
      </c>
      <c r="L11" s="1">
        <f t="shared" ca="1" si="7"/>
        <v>0</v>
      </c>
      <c r="M11" s="1">
        <f t="shared" ca="1" si="8"/>
        <v>0</v>
      </c>
      <c r="N11" s="1">
        <f t="shared" ca="1" si="9"/>
        <v>0</v>
      </c>
      <c r="O11" s="13"/>
      <c r="P11" s="13"/>
      <c r="Q11" s="13"/>
      <c r="R11" s="13"/>
      <c r="S11" s="13"/>
      <c r="T11" s="13"/>
      <c r="U11" s="13"/>
      <c r="V11" s="13"/>
      <c r="W11" s="461"/>
      <c r="X11" s="462"/>
      <c r="Y11" s="459"/>
      <c r="Z11" s="459"/>
      <c r="AA11" s="464"/>
      <c r="AB11" s="461"/>
      <c r="AC11" s="462"/>
      <c r="AD11" s="463"/>
      <c r="AE11" s="459"/>
      <c r="AF11" s="459"/>
      <c r="AG11" s="461"/>
      <c r="AH11" s="462"/>
      <c r="AI11" s="463"/>
      <c r="AJ11" s="459"/>
      <c r="AK11" s="464"/>
      <c r="AL11" s="462"/>
      <c r="AM11" s="462"/>
      <c r="AN11" s="463"/>
      <c r="AO11" s="459"/>
      <c r="AP11" s="464"/>
      <c r="AS11" s="1">
        <f t="shared" ca="1" si="10"/>
        <v>0</v>
      </c>
      <c r="AT11" s="1">
        <f t="shared" ca="1" si="11"/>
        <v>0</v>
      </c>
      <c r="AU11" s="1">
        <f t="shared" ca="1" si="12"/>
        <v>0</v>
      </c>
      <c r="AV11" s="1">
        <f ca="1">IF(Einstellungen!$G$24,$I11,ROUND($I11,Einstellungen!$H$24))</f>
        <v>0</v>
      </c>
      <c r="AW11" s="1">
        <f t="shared" ca="1" si="13"/>
        <v>-10000</v>
      </c>
      <c r="AX11" s="1">
        <f t="shared" ca="1" si="14"/>
        <v>1</v>
      </c>
    </row>
    <row r="12" spans="1:50" s="2" customFormat="1" ht="12.75" thickBot="1" x14ac:dyDescent="0.25">
      <c r="A12" s="214"/>
      <c r="B12" s="1">
        <v>9</v>
      </c>
      <c r="C12" s="23">
        <f t="shared" ca="1" si="0"/>
        <v>9</v>
      </c>
      <c r="D12" s="13">
        <f t="shared" ca="1" si="1"/>
        <v>11.012</v>
      </c>
      <c r="E12" s="219">
        <f t="shared" ca="1" si="2"/>
        <v>1</v>
      </c>
      <c r="F12" s="1" t="str">
        <f t="shared" si="3"/>
        <v/>
      </c>
      <c r="G12" s="1">
        <f t="shared" ca="1" si="4"/>
        <v>0</v>
      </c>
      <c r="H12" s="1">
        <f t="shared" ca="1" si="5"/>
        <v>0</v>
      </c>
      <c r="I12" s="13">
        <f ca="1">IF(Einstellungen!$G$24,G12-H12,IF(H12=0,IF(G12=0,0,Einstellungen!$F$24),G12/H12))</f>
        <v>0</v>
      </c>
      <c r="J12" s="1">
        <f ca="1">$L12*Einstellungen!$C$4+$M12</f>
        <v>0</v>
      </c>
      <c r="K12" s="29">
        <f t="shared" ca="1" si="6"/>
        <v>0</v>
      </c>
      <c r="L12" s="1">
        <f t="shared" ca="1" si="7"/>
        <v>0</v>
      </c>
      <c r="M12" s="1">
        <f t="shared" ca="1" si="8"/>
        <v>0</v>
      </c>
      <c r="N12" s="1">
        <f t="shared" ca="1" si="9"/>
        <v>0</v>
      </c>
      <c r="O12" s="1"/>
      <c r="P12" s="1"/>
      <c r="Q12" s="1"/>
      <c r="R12" s="1"/>
      <c r="S12" s="1"/>
      <c r="T12" s="1"/>
      <c r="U12" s="1"/>
      <c r="V12" s="1"/>
      <c r="W12" s="465"/>
      <c r="X12" s="466"/>
      <c r="Y12" s="467"/>
      <c r="Z12" s="467"/>
      <c r="AA12" s="468"/>
      <c r="AB12" s="465"/>
      <c r="AC12" s="466"/>
      <c r="AD12" s="469"/>
      <c r="AE12" s="467"/>
      <c r="AF12" s="467"/>
      <c r="AG12" s="465"/>
      <c r="AH12" s="466"/>
      <c r="AI12" s="469"/>
      <c r="AJ12" s="467"/>
      <c r="AK12" s="468"/>
      <c r="AL12" s="466"/>
      <c r="AM12" s="466"/>
      <c r="AN12" s="469"/>
      <c r="AO12" s="467"/>
      <c r="AP12" s="468"/>
      <c r="AS12" s="1">
        <f t="shared" ca="1" si="10"/>
        <v>0</v>
      </c>
      <c r="AT12" s="1">
        <f t="shared" ca="1" si="11"/>
        <v>0</v>
      </c>
      <c r="AU12" s="1">
        <f t="shared" ca="1" si="12"/>
        <v>0</v>
      </c>
      <c r="AV12" s="1">
        <f ca="1">IF(Einstellungen!$G$24,$I12,ROUND($I12,Einstellungen!$H$24))</f>
        <v>0</v>
      </c>
      <c r="AW12" s="1">
        <f t="shared" ca="1" si="13"/>
        <v>-10000</v>
      </c>
      <c r="AX12" s="1">
        <f t="shared" ca="1" si="14"/>
        <v>1</v>
      </c>
    </row>
    <row r="13" spans="1:50" s="2" customFormat="1" ht="12.75" thickTop="1" x14ac:dyDescent="0.2">
      <c r="B13" s="13">
        <f ca="1">$F$13*($F$13-1)</f>
        <v>0</v>
      </c>
      <c r="C13" s="13"/>
      <c r="D13" s="13"/>
      <c r="E13" s="13"/>
      <c r="F13" s="13">
        <f ca="1">9-COUNTBLANK($F$4:$F$12)</f>
        <v>0</v>
      </c>
      <c r="G13" s="13"/>
      <c r="H13" s="13"/>
      <c r="I13" s="13"/>
      <c r="J13" s="13"/>
      <c r="K13" s="28">
        <f ca="1">QUOTIENT(SUM(K4:K12),2)</f>
        <v>0</v>
      </c>
      <c r="L13" s="1"/>
      <c r="M13" s="1"/>
      <c r="N13" s="1"/>
      <c r="O13" s="1"/>
      <c r="P13" s="1"/>
      <c r="Q13" s="1"/>
      <c r="R13" s="1"/>
      <c r="S13" s="1"/>
      <c r="T13" s="1"/>
      <c r="U13" s="1"/>
      <c r="V13" s="1"/>
      <c r="Y13" s="1"/>
      <c r="Z13" s="1"/>
    </row>
    <row r="14" spans="1:50" s="2" customFormat="1" x14ac:dyDescent="0.2">
      <c r="B14" s="14"/>
      <c r="D14" s="1"/>
      <c r="F14" s="14"/>
      <c r="O14" s="1"/>
      <c r="P14" s="1"/>
      <c r="Q14" s="1"/>
      <c r="R14" s="1"/>
      <c r="S14" s="1"/>
      <c r="T14" s="1"/>
      <c r="U14" s="1"/>
      <c r="V14" s="1"/>
      <c r="W14" s="1"/>
      <c r="Y14" s="1"/>
      <c r="Z14" s="1"/>
    </row>
    <row r="15" spans="1:50" s="2" customFormat="1" x14ac:dyDescent="0.2">
      <c r="O15" s="12"/>
      <c r="AD15" s="611"/>
      <c r="AE15" s="611"/>
      <c r="AF15" s="611"/>
      <c r="AG15" s="611"/>
      <c r="AH15" s="611"/>
      <c r="AI15" s="612"/>
      <c r="AK15" s="214"/>
    </row>
    <row r="16" spans="1:50" s="2" customFormat="1" ht="15.75" thickBot="1" x14ac:dyDescent="0.25">
      <c r="B16" s="13" t="s">
        <v>6</v>
      </c>
      <c r="C16" s="729" t="s">
        <v>97</v>
      </c>
      <c r="D16" s="729" t="s">
        <v>103</v>
      </c>
      <c r="E16" s="729" t="s">
        <v>104</v>
      </c>
      <c r="F16" s="729" t="s">
        <v>105</v>
      </c>
      <c r="G16" s="729" t="s">
        <v>106</v>
      </c>
      <c r="H16" s="729" t="s">
        <v>107</v>
      </c>
      <c r="I16" s="729" t="s">
        <v>108</v>
      </c>
      <c r="J16" s="729" t="s">
        <v>109</v>
      </c>
      <c r="K16" s="729" t="s">
        <v>382</v>
      </c>
      <c r="L16" s="11" t="s">
        <v>383</v>
      </c>
      <c r="M16" s="68" t="s">
        <v>96</v>
      </c>
      <c r="N16" s="68" t="s">
        <v>15</v>
      </c>
      <c r="O16" s="30">
        <v>1</v>
      </c>
      <c r="P16" s="1">
        <v>2</v>
      </c>
      <c r="Q16" s="1">
        <v>3</v>
      </c>
      <c r="R16" s="1">
        <v>4</v>
      </c>
      <c r="S16" s="1">
        <v>5</v>
      </c>
      <c r="T16" s="1">
        <v>6</v>
      </c>
      <c r="U16" s="1">
        <v>7</v>
      </c>
      <c r="V16" s="1">
        <v>8</v>
      </c>
      <c r="W16" s="11" t="s">
        <v>98</v>
      </c>
      <c r="X16" s="173" t="s">
        <v>166</v>
      </c>
      <c r="Y16" s="11" t="s">
        <v>454</v>
      </c>
      <c r="Z16" s="173" t="s">
        <v>210</v>
      </c>
      <c r="AA16" s="1" t="s">
        <v>387</v>
      </c>
      <c r="AB16" s="1" t="s">
        <v>109</v>
      </c>
      <c r="AC16" s="1" t="s">
        <v>107</v>
      </c>
      <c r="AD16" s="617" t="s">
        <v>428</v>
      </c>
      <c r="AE16" s="610"/>
      <c r="AF16" s="613"/>
      <c r="AG16" s="613"/>
      <c r="AH16" s="614"/>
      <c r="AI16" s="612"/>
    </row>
    <row r="17" spans="2:80" s="2" customFormat="1" ht="12.75" thickTop="1" x14ac:dyDescent="0.2">
      <c r="C17" s="2" t="str">
        <f ca="1">$Q64</f>
        <v/>
      </c>
      <c r="D17" s="1">
        <f t="shared" ref="D17:G25" ca="1" si="15">K4</f>
        <v>0</v>
      </c>
      <c r="E17" s="1">
        <f t="shared" ca="1" si="15"/>
        <v>0</v>
      </c>
      <c r="F17" s="1">
        <f t="shared" ca="1" si="15"/>
        <v>0</v>
      </c>
      <c r="G17" s="1">
        <f t="shared" ca="1" si="15"/>
        <v>0</v>
      </c>
      <c r="H17" s="1">
        <f t="shared" ref="H17:J25" ca="1" si="16">G4</f>
        <v>0</v>
      </c>
      <c r="I17" s="1">
        <f t="shared" ca="1" si="16"/>
        <v>0</v>
      </c>
      <c r="J17" s="13">
        <f t="shared" ca="1" si="16"/>
        <v>0</v>
      </c>
      <c r="K17" s="1">
        <f ca="1">IF(Einstellungen!$G$9,J4,$AT4)</f>
        <v>0</v>
      </c>
      <c r="L17" s="694">
        <f ca="1">K17*$F$64+(AU4+$H$65)*$F$65*Einstellungen!$G$14+AT4*$F$66*Einstellungen!$G$19+AX4*$F$67</f>
        <v>1E-3</v>
      </c>
      <c r="M17" s="14">
        <f ca="1">IF($AI$15,COUNTIF($K$17:$K$25,K17),COUNTIF($L$17:$L$25,L17))</f>
        <v>9</v>
      </c>
      <c r="N17" s="14">
        <f t="array" aca="1" ref="N17" ca="1">IF($AI$15,SUM(($K$17:$K$25&gt;=K17)/COUNTIF($K$17:$K$25,$K$17:$K$25)),SUM(($L$17:$L$25&gt;=L17)/COUNTIF($L$17:$L$25,$L$17:$L$25)))</f>
        <v>1.0000000000000002</v>
      </c>
      <c r="O17" s="52" t="str">
        <f t="shared" ref="O17:O25" ca="1" si="17">IF(AND(M17&gt;1,N17=1),C17,"")</f>
        <v/>
      </c>
      <c r="P17" s="53" t="str">
        <f t="shared" ref="P17:P25" ca="1" si="18">IF(AND(M17&gt;1,N17=2),C17,"")</f>
        <v/>
      </c>
      <c r="Q17" s="53" t="str">
        <f t="shared" ref="Q17:Q25" ca="1" si="19">IF(AND(M17&gt;1,N17=3),C17,"")</f>
        <v/>
      </c>
      <c r="R17" s="53" t="str">
        <f t="shared" ref="R17:R25" ca="1" si="20">IF(AND(M17&gt;1,N17=4),C17,"")</f>
        <v/>
      </c>
      <c r="S17" s="53" t="str">
        <f t="shared" ref="S17:S25" ca="1" si="21">IF(AND(M17&gt;1,N17=5),C17,"")</f>
        <v/>
      </c>
      <c r="T17" s="53" t="str">
        <f t="shared" ref="T17:T25" ca="1" si="22">IF(AND($M17&gt;1,$N17=6),$C17,"")</f>
        <v/>
      </c>
      <c r="U17" s="53" t="str">
        <f t="shared" ref="U17:U25" ca="1" si="23">IF(AND($M17&gt;1,$N17=7),$C17,"")</f>
        <v/>
      </c>
      <c r="V17" s="54" t="str">
        <f t="shared" ref="V17:V25" ca="1" si="24">IF(AND($M17&gt;1,$N17=8),$C17,"")</f>
        <v/>
      </c>
      <c r="W17" s="62">
        <f ca="1">AA17*$F$64+(AB17+$H$65)*$F$65</f>
        <v>500000</v>
      </c>
      <c r="X17" s="21">
        <f ca="1">RANK($L17,$L$17:$L$25)+RANK($W17,$W$17:$W$25)/100+(9-$Y17)/10000+($C17="")*100</f>
        <v>101.01090000000001</v>
      </c>
      <c r="Y17" s="13">
        <f ca="1">'Endrunde 4'!$AU33+$AD17</f>
        <v>0</v>
      </c>
      <c r="Z17" s="1">
        <f ca="1">RANK($W17,$W$17:$W$25)+(9-$Y17)/10</f>
        <v>1.9</v>
      </c>
      <c r="AA17" s="1">
        <f ca="1">SUM(E30:BP30)</f>
        <v>0</v>
      </c>
      <c r="AB17" s="1">
        <f ca="1">SUM(E41:BP41)</f>
        <v>0</v>
      </c>
      <c r="AC17" s="1">
        <f ca="1">SUM(E52:BP52)</f>
        <v>0</v>
      </c>
      <c r="AD17" s="613">
        <f ca="1">IF($C17="",0,COUNTIF(Playoffs!$U$25:$U$30,$C17))</f>
        <v>0</v>
      </c>
      <c r="AE17" s="615"/>
      <c r="AF17" s="613"/>
      <c r="AG17" s="613"/>
      <c r="AH17" s="616"/>
      <c r="AI17" s="613"/>
    </row>
    <row r="18" spans="2:80" s="2" customFormat="1" x14ac:dyDescent="0.2">
      <c r="C18" s="2" t="str">
        <f t="shared" ref="C18:C25" ca="1" si="25">$Q65</f>
        <v/>
      </c>
      <c r="D18" s="1">
        <f t="shared" ca="1" si="15"/>
        <v>0</v>
      </c>
      <c r="E18" s="1">
        <f t="shared" ca="1" si="15"/>
        <v>0</v>
      </c>
      <c r="F18" s="1">
        <f t="shared" ca="1" si="15"/>
        <v>0</v>
      </c>
      <c r="G18" s="1">
        <f t="shared" ca="1" si="15"/>
        <v>0</v>
      </c>
      <c r="H18" s="1">
        <f t="shared" ca="1" si="16"/>
        <v>0</v>
      </c>
      <c r="I18" s="1">
        <f t="shared" ca="1" si="16"/>
        <v>0</v>
      </c>
      <c r="J18" s="13">
        <f t="shared" ca="1" si="16"/>
        <v>0</v>
      </c>
      <c r="K18" s="1">
        <f ca="1">IF(Einstellungen!$G$9,J5,$AT5)</f>
        <v>0</v>
      </c>
      <c r="L18" s="694">
        <f ca="1">K18*$F$64+(AU5+$H$65)*$F$65*Einstellungen!$G$14+AT5*$F$66*Einstellungen!$G$19+AX5*$F$67</f>
        <v>1E-3</v>
      </c>
      <c r="M18" s="14">
        <f t="shared" ref="M18:M25" ca="1" si="26">IF($AI$15,COUNTIF($K$17:$K$25,K18),COUNTIF($L$17:$L$25,L18))</f>
        <v>9</v>
      </c>
      <c r="N18" s="14">
        <f t="array" aca="1" ref="N18" ca="1">IF($AI$15,SUM(($K$17:$K$25&gt;=K18)/COUNTIF($K$17:$K$25,$K$17:$K$25)),SUM(($L$17:$L$25&gt;=L18)/COUNTIF($L$17:$L$25,$L$17:$L$25)))</f>
        <v>1.0000000000000002</v>
      </c>
      <c r="O18" s="6" t="str">
        <f t="shared" ca="1" si="17"/>
        <v/>
      </c>
      <c r="P18" s="4" t="str">
        <f t="shared" ca="1" si="18"/>
        <v/>
      </c>
      <c r="Q18" s="4" t="str">
        <f t="shared" ca="1" si="19"/>
        <v/>
      </c>
      <c r="R18" s="4" t="str">
        <f t="shared" ca="1" si="20"/>
        <v/>
      </c>
      <c r="S18" s="4" t="str">
        <f t="shared" ca="1" si="21"/>
        <v/>
      </c>
      <c r="T18" s="4" t="str">
        <f t="shared" ca="1" si="22"/>
        <v/>
      </c>
      <c r="U18" s="4" t="str">
        <f t="shared" ca="1" si="23"/>
        <v/>
      </c>
      <c r="V18" s="55" t="str">
        <f t="shared" ca="1" si="24"/>
        <v/>
      </c>
      <c r="W18" s="62">
        <f t="shared" ref="W18:W25" ca="1" si="27">AA18*$F$64+(AB18+$H$65)*$F$65</f>
        <v>500000</v>
      </c>
      <c r="X18" s="22">
        <f ca="1">RANK($L18,$L$17:$L$25)+RANK($W18,$W$17:$W$25)/100+(9-$Y18)/10000+($C18="")*100</f>
        <v>101.01090000000001</v>
      </c>
      <c r="Y18" s="13">
        <f ca="1">'Endrunde 4'!$AU34+$AD18</f>
        <v>0</v>
      </c>
      <c r="Z18" s="1">
        <f t="shared" ref="Z18:Z25" ca="1" si="28">RANK($W18,$W$17:$W$25)+(9-$Y18)/10</f>
        <v>1.9</v>
      </c>
      <c r="AA18" s="1">
        <f t="shared" ref="AA18:AA25" ca="1" si="29">SUM(E31:BP31)</f>
        <v>0</v>
      </c>
      <c r="AB18" s="1">
        <f t="shared" ref="AB18:AB25" ca="1" si="30">SUM(E42:BP42)</f>
        <v>0</v>
      </c>
      <c r="AC18" s="1">
        <f t="shared" ref="AC18:AC25" ca="1" si="31">SUM(E53:BP53)</f>
        <v>0</v>
      </c>
      <c r="AD18" s="613">
        <f ca="1">IF($C18="",0,COUNTIF(Playoffs!$U$25:$U$30,$C18))</f>
        <v>0</v>
      </c>
      <c r="AE18" s="615"/>
      <c r="AF18" s="613"/>
      <c r="AG18" s="613"/>
      <c r="AH18" s="616"/>
      <c r="AI18" s="613"/>
    </row>
    <row r="19" spans="2:80" s="2" customFormat="1" x14ac:dyDescent="0.2">
      <c r="C19" s="2" t="str">
        <f t="shared" ca="1" si="25"/>
        <v/>
      </c>
      <c r="D19" s="1">
        <f t="shared" ca="1" si="15"/>
        <v>0</v>
      </c>
      <c r="E19" s="1">
        <f t="shared" ca="1" si="15"/>
        <v>0</v>
      </c>
      <c r="F19" s="1">
        <f t="shared" ca="1" si="15"/>
        <v>0</v>
      </c>
      <c r="G19" s="1">
        <f t="shared" ca="1" si="15"/>
        <v>0</v>
      </c>
      <c r="H19" s="1">
        <f t="shared" ca="1" si="16"/>
        <v>0</v>
      </c>
      <c r="I19" s="1">
        <f t="shared" ca="1" si="16"/>
        <v>0</v>
      </c>
      <c r="J19" s="13">
        <f t="shared" ca="1" si="16"/>
        <v>0</v>
      </c>
      <c r="K19" s="1">
        <f ca="1">IF(Einstellungen!$G$9,J6,$AT6)</f>
        <v>0</v>
      </c>
      <c r="L19" s="694">
        <f ca="1">K19*$F$64+(AU6+$H$65)*$F$65*Einstellungen!$G$14+AT6*$F$66*Einstellungen!$G$19+AX6*$F$67</f>
        <v>1E-3</v>
      </c>
      <c r="M19" s="14">
        <f t="shared" ca="1" si="26"/>
        <v>9</v>
      </c>
      <c r="N19" s="14">
        <f t="array" aca="1" ref="N19" ca="1">IF($AI$15,SUM(($K$17:$K$25&gt;=K19)/COUNTIF($K$17:$K$25,$K$17:$K$25)),SUM(($L$17:$L$25&gt;=L19)/COUNTIF($L$17:$L$25,$L$17:$L$25)))</f>
        <v>1.0000000000000002</v>
      </c>
      <c r="O19" s="6" t="str">
        <f t="shared" ca="1" si="17"/>
        <v/>
      </c>
      <c r="P19" s="4" t="str">
        <f t="shared" ca="1" si="18"/>
        <v/>
      </c>
      <c r="Q19" s="4" t="str">
        <f t="shared" ca="1" si="19"/>
        <v/>
      </c>
      <c r="R19" s="4" t="str">
        <f t="shared" ca="1" si="20"/>
        <v/>
      </c>
      <c r="S19" s="4" t="str">
        <f t="shared" ca="1" si="21"/>
        <v/>
      </c>
      <c r="T19" s="4" t="str">
        <f t="shared" ca="1" si="22"/>
        <v/>
      </c>
      <c r="U19" s="4" t="str">
        <f t="shared" ca="1" si="23"/>
        <v/>
      </c>
      <c r="V19" s="55" t="str">
        <f t="shared" ca="1" si="24"/>
        <v/>
      </c>
      <c r="W19" s="62">
        <f t="shared" ca="1" si="27"/>
        <v>500000</v>
      </c>
      <c r="X19" s="22">
        <f t="shared" ref="X19:X25" ca="1" si="32">RANK($L19,$L$17:$L$25)+RANK($W19,$W$17:$W$25)/100+(9-$Y19)/10000+($C19="")*100</f>
        <v>101.01090000000001</v>
      </c>
      <c r="Y19" s="13">
        <f ca="1">'Endrunde 4'!$AU35+$AD19</f>
        <v>0</v>
      </c>
      <c r="Z19" s="1">
        <f t="shared" ca="1" si="28"/>
        <v>1.9</v>
      </c>
      <c r="AA19" s="1">
        <f t="shared" ca="1" si="29"/>
        <v>0</v>
      </c>
      <c r="AB19" s="1">
        <f t="shared" ca="1" si="30"/>
        <v>0</v>
      </c>
      <c r="AC19" s="1">
        <f t="shared" ca="1" si="31"/>
        <v>0</v>
      </c>
      <c r="AD19" s="613">
        <f ca="1">IF($C19="",0,COUNTIF(Playoffs!$U$25:$U$30,$C19))</f>
        <v>0</v>
      </c>
      <c r="AE19" s="615"/>
      <c r="AF19" s="613"/>
      <c r="AG19" s="613"/>
      <c r="AH19" s="616"/>
      <c r="AI19" s="613"/>
    </row>
    <row r="20" spans="2:80" s="2" customFormat="1" x14ac:dyDescent="0.2">
      <c r="C20" s="2" t="str">
        <f t="shared" ca="1" si="25"/>
        <v/>
      </c>
      <c r="D20" s="1">
        <f t="shared" ca="1" si="15"/>
        <v>0</v>
      </c>
      <c r="E20" s="1">
        <f t="shared" ca="1" si="15"/>
        <v>0</v>
      </c>
      <c r="F20" s="1">
        <f t="shared" ca="1" si="15"/>
        <v>0</v>
      </c>
      <c r="G20" s="1">
        <f t="shared" ca="1" si="15"/>
        <v>0</v>
      </c>
      <c r="H20" s="1">
        <f t="shared" ca="1" si="16"/>
        <v>0</v>
      </c>
      <c r="I20" s="1">
        <f t="shared" ca="1" si="16"/>
        <v>0</v>
      </c>
      <c r="J20" s="13">
        <f t="shared" ca="1" si="16"/>
        <v>0</v>
      </c>
      <c r="K20" s="1">
        <f ca="1">IF(Einstellungen!$G$9,J7,$AT7)</f>
        <v>0</v>
      </c>
      <c r="L20" s="694">
        <f ca="1">K20*$F$64+(AU7+$H$65)*$F$65*Einstellungen!$G$14+AT7*$F$66*Einstellungen!$G$19+AX7*$F$67</f>
        <v>1E-3</v>
      </c>
      <c r="M20" s="14">
        <f t="shared" ca="1" si="26"/>
        <v>9</v>
      </c>
      <c r="N20" s="14">
        <f t="array" aca="1" ref="N20" ca="1">IF($AI$15,SUM(($K$17:$K$25&gt;=K20)/COUNTIF($K$17:$K$25,$K$17:$K$25)),SUM(($L$17:$L$25&gt;=L20)/COUNTIF($L$17:$L$25,$L$17:$L$25)))</f>
        <v>1.0000000000000002</v>
      </c>
      <c r="O20" s="6" t="str">
        <f t="shared" ca="1" si="17"/>
        <v/>
      </c>
      <c r="P20" s="4" t="str">
        <f t="shared" ca="1" si="18"/>
        <v/>
      </c>
      <c r="Q20" s="4" t="str">
        <f t="shared" ca="1" si="19"/>
        <v/>
      </c>
      <c r="R20" s="4" t="str">
        <f t="shared" ca="1" si="20"/>
        <v/>
      </c>
      <c r="S20" s="4" t="str">
        <f t="shared" ca="1" si="21"/>
        <v/>
      </c>
      <c r="T20" s="4" t="str">
        <f t="shared" ca="1" si="22"/>
        <v/>
      </c>
      <c r="U20" s="4" t="str">
        <f t="shared" ca="1" si="23"/>
        <v/>
      </c>
      <c r="V20" s="55" t="str">
        <f t="shared" ca="1" si="24"/>
        <v/>
      </c>
      <c r="W20" s="62">
        <f t="shared" ca="1" si="27"/>
        <v>500000</v>
      </c>
      <c r="X20" s="22">
        <f t="shared" ca="1" si="32"/>
        <v>101.01090000000001</v>
      </c>
      <c r="Y20" s="13">
        <f ca="1">'Endrunde 4'!$AU36+$AD20</f>
        <v>0</v>
      </c>
      <c r="Z20" s="1">
        <f t="shared" ca="1" si="28"/>
        <v>1.9</v>
      </c>
      <c r="AA20" s="1">
        <f t="shared" ca="1" si="29"/>
        <v>0</v>
      </c>
      <c r="AB20" s="1">
        <f t="shared" ca="1" si="30"/>
        <v>0</v>
      </c>
      <c r="AC20" s="1">
        <f t="shared" ca="1" si="31"/>
        <v>0</v>
      </c>
      <c r="AD20" s="613">
        <f ca="1">IF($C20="",0,COUNTIF(Playoffs!$U$25:$U$30,$C20))</f>
        <v>0</v>
      </c>
      <c r="AE20" s="615"/>
      <c r="AF20" s="613"/>
      <c r="AG20" s="613"/>
      <c r="AH20" s="616"/>
      <c r="AI20" s="613"/>
    </row>
    <row r="21" spans="2:80" s="2" customFormat="1" x14ac:dyDescent="0.2">
      <c r="C21" s="2" t="str">
        <f t="shared" si="25"/>
        <v/>
      </c>
      <c r="D21" s="1">
        <f t="shared" ca="1" si="15"/>
        <v>0</v>
      </c>
      <c r="E21" s="1">
        <f t="shared" ca="1" si="15"/>
        <v>0</v>
      </c>
      <c r="F21" s="1">
        <f t="shared" ca="1" si="15"/>
        <v>0</v>
      </c>
      <c r="G21" s="1">
        <f t="shared" ca="1" si="15"/>
        <v>0</v>
      </c>
      <c r="H21" s="1">
        <f t="shared" ca="1" si="16"/>
        <v>0</v>
      </c>
      <c r="I21" s="1">
        <f t="shared" ca="1" si="16"/>
        <v>0</v>
      </c>
      <c r="J21" s="13">
        <f t="shared" ca="1" si="16"/>
        <v>0</v>
      </c>
      <c r="K21" s="1">
        <f ca="1">IF(Einstellungen!$G$9,J8,$AT8)</f>
        <v>0</v>
      </c>
      <c r="L21" s="694">
        <f ca="1">K21*$F$64+(AU8+$H$65)*$F$65*Einstellungen!$G$14+AT8*$F$66*Einstellungen!$G$19+AX8*$F$67</f>
        <v>1E-3</v>
      </c>
      <c r="M21" s="14">
        <f t="shared" ca="1" si="26"/>
        <v>9</v>
      </c>
      <c r="N21" s="14">
        <f t="array" aca="1" ref="N21" ca="1">IF($AI$15,SUM(($K$17:$K$25&gt;=K21)/COUNTIF($K$17:$K$25,$K$17:$K$25)),SUM(($L$17:$L$25&gt;=L21)/COUNTIF($L$17:$L$25,$L$17:$L$25)))</f>
        <v>1.0000000000000002</v>
      </c>
      <c r="O21" s="6" t="str">
        <f t="shared" ca="1" si="17"/>
        <v/>
      </c>
      <c r="P21" s="4" t="str">
        <f t="shared" ca="1" si="18"/>
        <v/>
      </c>
      <c r="Q21" s="4" t="str">
        <f t="shared" ca="1" si="19"/>
        <v/>
      </c>
      <c r="R21" s="4" t="str">
        <f t="shared" ca="1" si="20"/>
        <v/>
      </c>
      <c r="S21" s="4" t="str">
        <f t="shared" ca="1" si="21"/>
        <v/>
      </c>
      <c r="T21" s="4" t="str">
        <f t="shared" ca="1" si="22"/>
        <v/>
      </c>
      <c r="U21" s="4" t="str">
        <f t="shared" ca="1" si="23"/>
        <v/>
      </c>
      <c r="V21" s="55" t="str">
        <f t="shared" ca="1" si="24"/>
        <v/>
      </c>
      <c r="W21" s="62">
        <f t="shared" ca="1" si="27"/>
        <v>500000</v>
      </c>
      <c r="X21" s="22">
        <f t="shared" ca="1" si="32"/>
        <v>101.01090000000001</v>
      </c>
      <c r="Y21" s="13">
        <v>0</v>
      </c>
      <c r="Z21" s="1">
        <f t="shared" ca="1" si="28"/>
        <v>1.9</v>
      </c>
      <c r="AA21" s="1">
        <f t="shared" ca="1" si="29"/>
        <v>0</v>
      </c>
      <c r="AB21" s="1">
        <f t="shared" ca="1" si="30"/>
        <v>0</v>
      </c>
      <c r="AC21" s="1">
        <f t="shared" ca="1" si="31"/>
        <v>0</v>
      </c>
      <c r="AD21" s="613">
        <v>0</v>
      </c>
      <c r="AE21" s="615"/>
      <c r="AF21" s="613"/>
      <c r="AG21" s="613"/>
      <c r="AH21" s="616"/>
      <c r="AI21" s="613"/>
    </row>
    <row r="22" spans="2:80" s="2" customFormat="1" x14ac:dyDescent="0.2">
      <c r="C22" s="2" t="str">
        <f t="shared" si="25"/>
        <v/>
      </c>
      <c r="D22" s="1">
        <f t="shared" ca="1" si="15"/>
        <v>0</v>
      </c>
      <c r="E22" s="1">
        <f t="shared" ca="1" si="15"/>
        <v>0</v>
      </c>
      <c r="F22" s="1">
        <f t="shared" ca="1" si="15"/>
        <v>0</v>
      </c>
      <c r="G22" s="1">
        <f t="shared" ca="1" si="15"/>
        <v>0</v>
      </c>
      <c r="H22" s="1">
        <f t="shared" ca="1" si="16"/>
        <v>0</v>
      </c>
      <c r="I22" s="1">
        <f t="shared" ca="1" si="16"/>
        <v>0</v>
      </c>
      <c r="J22" s="13">
        <f t="shared" ca="1" si="16"/>
        <v>0</v>
      </c>
      <c r="K22" s="1">
        <f ca="1">IF(Einstellungen!$G$9,J9,$AT9)</f>
        <v>0</v>
      </c>
      <c r="L22" s="694">
        <f ca="1">K22*$F$64+(AU9+$H$65)*$F$65*Einstellungen!$G$14+AT9*$F$66*Einstellungen!$G$19+AX9*$F$67</f>
        <v>1E-3</v>
      </c>
      <c r="M22" s="14">
        <f t="shared" ca="1" si="26"/>
        <v>9</v>
      </c>
      <c r="N22" s="14">
        <f t="array" aca="1" ref="N22" ca="1">IF($AI$15,SUM(($K$17:$K$25&gt;=K22)/COUNTIF($K$17:$K$25,$K$17:$K$25)),SUM(($L$17:$L$25&gt;=L22)/COUNTIF($L$17:$L$25,$L$17:$L$25)))</f>
        <v>1.0000000000000002</v>
      </c>
      <c r="O22" s="6" t="str">
        <f t="shared" ca="1" si="17"/>
        <v/>
      </c>
      <c r="P22" s="4" t="str">
        <f t="shared" ca="1" si="18"/>
        <v/>
      </c>
      <c r="Q22" s="4" t="str">
        <f t="shared" ca="1" si="19"/>
        <v/>
      </c>
      <c r="R22" s="4" t="str">
        <f t="shared" ca="1" si="20"/>
        <v/>
      </c>
      <c r="S22" s="4" t="str">
        <f t="shared" ca="1" si="21"/>
        <v/>
      </c>
      <c r="T22" s="4" t="str">
        <f t="shared" ca="1" si="22"/>
        <v/>
      </c>
      <c r="U22" s="4" t="str">
        <f t="shared" ca="1" si="23"/>
        <v/>
      </c>
      <c r="V22" s="55" t="str">
        <f t="shared" ca="1" si="24"/>
        <v/>
      </c>
      <c r="W22" s="62">
        <f t="shared" ca="1" si="27"/>
        <v>500000</v>
      </c>
      <c r="X22" s="22">
        <f t="shared" ca="1" si="32"/>
        <v>101.01090000000001</v>
      </c>
      <c r="Y22" s="13">
        <v>0</v>
      </c>
      <c r="Z22" s="1">
        <f t="shared" ca="1" si="28"/>
        <v>1.9</v>
      </c>
      <c r="AA22" s="1">
        <f t="shared" ca="1" si="29"/>
        <v>0</v>
      </c>
      <c r="AB22" s="1">
        <f t="shared" ca="1" si="30"/>
        <v>0</v>
      </c>
      <c r="AC22" s="1">
        <f t="shared" ca="1" si="31"/>
        <v>0</v>
      </c>
      <c r="AD22" s="613">
        <v>0</v>
      </c>
      <c r="AE22" s="615"/>
      <c r="AF22" s="613"/>
      <c r="AG22" s="613"/>
      <c r="AH22" s="616"/>
      <c r="AI22" s="613"/>
    </row>
    <row r="23" spans="2:80" s="2" customFormat="1" x14ac:dyDescent="0.2">
      <c r="C23" s="2" t="str">
        <f t="shared" si="25"/>
        <v/>
      </c>
      <c r="D23" s="1">
        <f t="shared" ca="1" si="15"/>
        <v>0</v>
      </c>
      <c r="E23" s="1">
        <f t="shared" ca="1" si="15"/>
        <v>0</v>
      </c>
      <c r="F23" s="1">
        <f t="shared" ca="1" si="15"/>
        <v>0</v>
      </c>
      <c r="G23" s="1">
        <f t="shared" ca="1" si="15"/>
        <v>0</v>
      </c>
      <c r="H23" s="1">
        <f t="shared" ca="1" si="16"/>
        <v>0</v>
      </c>
      <c r="I23" s="1">
        <f t="shared" ca="1" si="16"/>
        <v>0</v>
      </c>
      <c r="J23" s="13">
        <f t="shared" ca="1" si="16"/>
        <v>0</v>
      </c>
      <c r="K23" s="1">
        <f ca="1">IF(Einstellungen!$G$9,J10,$AT10)</f>
        <v>0</v>
      </c>
      <c r="L23" s="694">
        <f ca="1">K23*$F$64+(AU10+$H$65)*$F$65*Einstellungen!$G$14+AT10*$F$66*Einstellungen!$G$19+AX10*$F$67</f>
        <v>1E-3</v>
      </c>
      <c r="M23" s="14">
        <f t="shared" ca="1" si="26"/>
        <v>9</v>
      </c>
      <c r="N23" s="14">
        <f t="array" aca="1" ref="N23" ca="1">IF($AI$15,SUM(($K$17:$K$25&gt;=K23)/COUNTIF($K$17:$K$25,$K$17:$K$25)),SUM(($L$17:$L$25&gt;=L23)/COUNTIF($L$17:$L$25,$L$17:$L$25)))</f>
        <v>1.0000000000000002</v>
      </c>
      <c r="O23" s="6" t="str">
        <f t="shared" ca="1" si="17"/>
        <v/>
      </c>
      <c r="P23" s="4" t="str">
        <f t="shared" ca="1" si="18"/>
        <v/>
      </c>
      <c r="Q23" s="4" t="str">
        <f t="shared" ca="1" si="19"/>
        <v/>
      </c>
      <c r="R23" s="4" t="str">
        <f t="shared" ca="1" si="20"/>
        <v/>
      </c>
      <c r="S23" s="4" t="str">
        <f t="shared" ca="1" si="21"/>
        <v/>
      </c>
      <c r="T23" s="4" t="str">
        <f t="shared" ca="1" si="22"/>
        <v/>
      </c>
      <c r="U23" s="4" t="str">
        <f t="shared" ca="1" si="23"/>
        <v/>
      </c>
      <c r="V23" s="55" t="str">
        <f t="shared" ca="1" si="24"/>
        <v/>
      </c>
      <c r="W23" s="62">
        <f t="shared" ca="1" si="27"/>
        <v>500000</v>
      </c>
      <c r="X23" s="22">
        <f t="shared" ca="1" si="32"/>
        <v>101.01090000000001</v>
      </c>
      <c r="Y23" s="13">
        <v>0</v>
      </c>
      <c r="Z23" s="1">
        <f t="shared" ca="1" si="28"/>
        <v>1.9</v>
      </c>
      <c r="AA23" s="1">
        <f t="shared" ca="1" si="29"/>
        <v>0</v>
      </c>
      <c r="AB23" s="1">
        <f t="shared" ca="1" si="30"/>
        <v>0</v>
      </c>
      <c r="AC23" s="1">
        <f t="shared" ca="1" si="31"/>
        <v>0</v>
      </c>
      <c r="AD23" s="613">
        <v>0</v>
      </c>
      <c r="AE23" s="615"/>
      <c r="AF23" s="613"/>
      <c r="AG23" s="613"/>
      <c r="AH23" s="616"/>
      <c r="AI23" s="613"/>
    </row>
    <row r="24" spans="2:80" s="2" customFormat="1" x14ac:dyDescent="0.2">
      <c r="C24" s="2" t="str">
        <f t="shared" si="25"/>
        <v/>
      </c>
      <c r="D24" s="1">
        <f t="shared" ca="1" si="15"/>
        <v>0</v>
      </c>
      <c r="E24" s="1">
        <f t="shared" ca="1" si="15"/>
        <v>0</v>
      </c>
      <c r="F24" s="1">
        <f t="shared" ca="1" si="15"/>
        <v>0</v>
      </c>
      <c r="G24" s="1">
        <f t="shared" ca="1" si="15"/>
        <v>0</v>
      </c>
      <c r="H24" s="1">
        <f t="shared" ca="1" si="16"/>
        <v>0</v>
      </c>
      <c r="I24" s="1">
        <f t="shared" ca="1" si="16"/>
        <v>0</v>
      </c>
      <c r="J24" s="13">
        <f t="shared" ca="1" si="16"/>
        <v>0</v>
      </c>
      <c r="K24" s="1">
        <f ca="1">IF(Einstellungen!$G$9,J11,$AT11)</f>
        <v>0</v>
      </c>
      <c r="L24" s="694">
        <f ca="1">K24*$F$64+(AU11+$H$65)*$F$65*Einstellungen!$G$14+AT11*$F$66*Einstellungen!$G$19+AX11*$F$67</f>
        <v>1E-3</v>
      </c>
      <c r="M24" s="14">
        <f t="shared" ca="1" si="26"/>
        <v>9</v>
      </c>
      <c r="N24" s="14">
        <f t="array" aca="1" ref="N24" ca="1">IF($AI$15,SUM(($K$17:$K$25&gt;=K24)/COUNTIF($K$17:$K$25,$K$17:$K$25)),SUM(($L$17:$L$25&gt;=L24)/COUNTIF($L$17:$L$25,$L$17:$L$25)))</f>
        <v>1.0000000000000002</v>
      </c>
      <c r="O24" s="6" t="str">
        <f t="shared" ca="1" si="17"/>
        <v/>
      </c>
      <c r="P24" s="4" t="str">
        <f t="shared" ca="1" si="18"/>
        <v/>
      </c>
      <c r="Q24" s="4" t="str">
        <f t="shared" ca="1" si="19"/>
        <v/>
      </c>
      <c r="R24" s="4" t="str">
        <f t="shared" ca="1" si="20"/>
        <v/>
      </c>
      <c r="S24" s="4" t="str">
        <f t="shared" ca="1" si="21"/>
        <v/>
      </c>
      <c r="T24" s="4" t="str">
        <f t="shared" ca="1" si="22"/>
        <v/>
      </c>
      <c r="U24" s="4" t="str">
        <f t="shared" ca="1" si="23"/>
        <v/>
      </c>
      <c r="V24" s="55" t="str">
        <f t="shared" ca="1" si="24"/>
        <v/>
      </c>
      <c r="W24" s="62">
        <f t="shared" ca="1" si="27"/>
        <v>500000</v>
      </c>
      <c r="X24" s="22">
        <f t="shared" ca="1" si="32"/>
        <v>101.01090000000001</v>
      </c>
      <c r="Y24" s="13">
        <v>0</v>
      </c>
      <c r="Z24" s="1">
        <f t="shared" ca="1" si="28"/>
        <v>1.9</v>
      </c>
      <c r="AA24" s="1">
        <f t="shared" ca="1" si="29"/>
        <v>0</v>
      </c>
      <c r="AB24" s="1">
        <f t="shared" ca="1" si="30"/>
        <v>0</v>
      </c>
      <c r="AC24" s="1">
        <f t="shared" ca="1" si="31"/>
        <v>0</v>
      </c>
      <c r="AD24" s="613">
        <v>0</v>
      </c>
      <c r="AE24" s="615"/>
      <c r="AF24" s="613"/>
      <c r="AG24" s="613"/>
      <c r="AH24" s="616"/>
      <c r="AI24" s="613"/>
    </row>
    <row r="25" spans="2:80" s="2" customFormat="1" ht="12.75" thickBot="1" x14ac:dyDescent="0.25">
      <c r="C25" s="2" t="str">
        <f t="shared" si="25"/>
        <v/>
      </c>
      <c r="D25" s="1">
        <f t="shared" ca="1" si="15"/>
        <v>0</v>
      </c>
      <c r="E25" s="1">
        <f t="shared" ca="1" si="15"/>
        <v>0</v>
      </c>
      <c r="F25" s="1">
        <f t="shared" ca="1" si="15"/>
        <v>0</v>
      </c>
      <c r="G25" s="1">
        <f t="shared" ca="1" si="15"/>
        <v>0</v>
      </c>
      <c r="H25" s="1">
        <f t="shared" ca="1" si="16"/>
        <v>0</v>
      </c>
      <c r="I25" s="1">
        <f t="shared" ca="1" si="16"/>
        <v>0</v>
      </c>
      <c r="J25" s="13">
        <f t="shared" ca="1" si="16"/>
        <v>0</v>
      </c>
      <c r="K25" s="1">
        <f ca="1">IF(Einstellungen!$G$9,J12,$AT12)</f>
        <v>0</v>
      </c>
      <c r="L25" s="694">
        <f ca="1">K25*$F$64+(AU12+$H$65)*$F$65*Einstellungen!$G$14+AT12*$F$66*Einstellungen!$G$19+AX12*$F$67</f>
        <v>1E-3</v>
      </c>
      <c r="M25" s="14">
        <f t="shared" ca="1" si="26"/>
        <v>9</v>
      </c>
      <c r="N25" s="14">
        <f t="array" aca="1" ref="N25" ca="1">IF($AI$15,SUM(($K$17:$K$25&gt;=K25)/COUNTIF($K$17:$K$25,$K$17:$K$25)),SUM(($L$17:$L$25&gt;=L25)/COUNTIF($L$17:$L$25,$L$17:$L$25)))</f>
        <v>1.0000000000000002</v>
      </c>
      <c r="O25" s="56" t="str">
        <f t="shared" ca="1" si="17"/>
        <v/>
      </c>
      <c r="P25" s="57" t="str">
        <f t="shared" ca="1" si="18"/>
        <v/>
      </c>
      <c r="Q25" s="57" t="str">
        <f t="shared" ca="1" si="19"/>
        <v/>
      </c>
      <c r="R25" s="57" t="str">
        <f t="shared" ca="1" si="20"/>
        <v/>
      </c>
      <c r="S25" s="57" t="str">
        <f t="shared" ca="1" si="21"/>
        <v/>
      </c>
      <c r="T25" s="57" t="str">
        <f t="shared" ca="1" si="22"/>
        <v/>
      </c>
      <c r="U25" s="57" t="str">
        <f t="shared" ca="1" si="23"/>
        <v/>
      </c>
      <c r="V25" s="58" t="str">
        <f t="shared" ca="1" si="24"/>
        <v/>
      </c>
      <c r="W25" s="62">
        <f t="shared" ca="1" si="27"/>
        <v>500000</v>
      </c>
      <c r="X25" s="23">
        <f t="shared" ca="1" si="32"/>
        <v>101.01090000000001</v>
      </c>
      <c r="Y25" s="13">
        <v>0</v>
      </c>
      <c r="Z25" s="1">
        <f t="shared" ca="1" si="28"/>
        <v>1.9</v>
      </c>
      <c r="AA25" s="1">
        <f t="shared" ca="1" si="29"/>
        <v>0</v>
      </c>
      <c r="AB25" s="1">
        <f t="shared" ca="1" si="30"/>
        <v>0</v>
      </c>
      <c r="AC25" s="1">
        <f t="shared" ca="1" si="31"/>
        <v>0</v>
      </c>
      <c r="AD25" s="613">
        <v>0</v>
      </c>
      <c r="AE25" s="615"/>
      <c r="AF25" s="613"/>
      <c r="AG25" s="613"/>
      <c r="AH25" s="616"/>
      <c r="AI25" s="613"/>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596" t="s">
        <v>384</v>
      </c>
      <c r="E29" s="985">
        <v>1</v>
      </c>
      <c r="F29" s="982"/>
      <c r="G29" s="982"/>
      <c r="H29" s="982"/>
      <c r="I29" s="982"/>
      <c r="J29" s="982"/>
      <c r="K29" s="982"/>
      <c r="L29" s="984"/>
      <c r="M29" s="981">
        <v>2</v>
      </c>
      <c r="N29" s="982"/>
      <c r="O29" s="982"/>
      <c r="P29" s="982"/>
      <c r="Q29" s="982"/>
      <c r="R29" s="982"/>
      <c r="S29" s="982"/>
      <c r="T29" s="984"/>
      <c r="U29" s="981">
        <v>3</v>
      </c>
      <c r="V29" s="982"/>
      <c r="W29" s="982"/>
      <c r="X29" s="982"/>
      <c r="Y29" s="982"/>
      <c r="Z29" s="982"/>
      <c r="AA29" s="982"/>
      <c r="AB29" s="984"/>
      <c r="AC29" s="981">
        <v>4</v>
      </c>
      <c r="AD29" s="982"/>
      <c r="AE29" s="982"/>
      <c r="AF29" s="982"/>
      <c r="AG29" s="982"/>
      <c r="AH29" s="982"/>
      <c r="AI29" s="982"/>
      <c r="AJ29" s="984"/>
      <c r="AK29" s="981">
        <v>5</v>
      </c>
      <c r="AL29" s="982"/>
      <c r="AM29" s="982"/>
      <c r="AN29" s="982"/>
      <c r="AO29" s="982"/>
      <c r="AP29" s="982"/>
      <c r="AQ29" s="982"/>
      <c r="AR29" s="984"/>
      <c r="AS29" s="981">
        <v>6</v>
      </c>
      <c r="AT29" s="982"/>
      <c r="AU29" s="982"/>
      <c r="AV29" s="982"/>
      <c r="AW29" s="982"/>
      <c r="AX29" s="982"/>
      <c r="AY29" s="982"/>
      <c r="AZ29" s="984"/>
      <c r="BA29" s="981">
        <v>7</v>
      </c>
      <c r="BB29" s="982"/>
      <c r="BC29" s="982"/>
      <c r="BD29" s="982"/>
      <c r="BE29" s="982"/>
      <c r="BF29" s="982"/>
      <c r="BG29" s="982"/>
      <c r="BH29" s="984"/>
      <c r="BI29" s="981">
        <v>8</v>
      </c>
      <c r="BJ29" s="982"/>
      <c r="BK29" s="982"/>
      <c r="BL29" s="982"/>
      <c r="BM29" s="982"/>
      <c r="BN29" s="982"/>
      <c r="BO29" s="982"/>
      <c r="BP29" s="983"/>
      <c r="BQ29" s="13"/>
      <c r="BR29" s="5" t="s">
        <v>94</v>
      </c>
      <c r="BS29" s="2" t="str">
        <f ca="1">$F$4</f>
        <v/>
      </c>
      <c r="BT29" s="2" t="str">
        <f ca="1">$F$5</f>
        <v/>
      </c>
      <c r="BU29" s="2" t="str">
        <f ca="1">$F$6</f>
        <v/>
      </c>
      <c r="BV29" s="2" t="str">
        <f ca="1">$F$7</f>
        <v/>
      </c>
      <c r="BW29" s="2" t="str">
        <f>$F$8</f>
        <v/>
      </c>
      <c r="BX29" s="2" t="str">
        <f>$F$9</f>
        <v/>
      </c>
      <c r="BY29" s="2" t="str">
        <f>$F$10</f>
        <v/>
      </c>
      <c r="BZ29" s="2" t="str">
        <f>$F$11</f>
        <v/>
      </c>
      <c r="CA29" s="2" t="str">
        <f>$F$12</f>
        <v/>
      </c>
      <c r="CB29" s="51"/>
    </row>
    <row r="30" spans="2:80" s="2" customFormat="1" x14ac:dyDescent="0.2">
      <c r="C30" s="2" t="str">
        <f ca="1">$Q64</f>
        <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3">F4</f>
        <v/>
      </c>
      <c r="BS30" s="7"/>
      <c r="BT30" s="8">
        <f t="shared" ref="BT30:CA32" ca="1" si="34">SUMIFS($AH$64:$AH$135,$V$64:$V$135,$BR30,$W$64:$W$135,BT$29)+SUMIFS($AI$64:$AI$135,$W$64:$W$135,$BR30,$V$64:$V$135,BT$29)</f>
        <v>0</v>
      </c>
      <c r="BU30" s="8">
        <f t="shared" ca="1" si="34"/>
        <v>0</v>
      </c>
      <c r="BV30" s="8">
        <f t="shared" ca="1" si="34"/>
        <v>0</v>
      </c>
      <c r="BW30" s="8">
        <f t="shared" ca="1" si="34"/>
        <v>0</v>
      </c>
      <c r="BX30" s="8">
        <f t="shared" ca="1" si="34"/>
        <v>0</v>
      </c>
      <c r="BY30" s="8">
        <f t="shared" ca="1" si="34"/>
        <v>0</v>
      </c>
      <c r="BZ30" s="8">
        <f t="shared" ca="1" si="34"/>
        <v>0</v>
      </c>
      <c r="CA30" s="8">
        <f t="shared" ca="1" si="34"/>
        <v>0</v>
      </c>
      <c r="CB30" s="4"/>
    </row>
    <row r="31" spans="2:80" s="2" customFormat="1" x14ac:dyDescent="0.2">
      <c r="C31" s="2" t="str">
        <f t="shared" ref="C31:C38" ca="1" si="35">$Q65</f>
        <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3"/>
        <v/>
      </c>
      <c r="BS31" s="9">
        <f t="shared" ref="BS31:BU38" ca="1" si="36">SUMIFS($AH$64:$AH$135,$V$64:$V$135,$BR31,$W$64:$W$135,BS$29)+SUMIFS($AI$64:$AI$135,$W$64:$W$135,$BR31,$V$64:$V$135,BS$29)</f>
        <v>0</v>
      </c>
      <c r="BT31" s="7"/>
      <c r="BU31" s="8">
        <f t="shared" ca="1" si="34"/>
        <v>0</v>
      </c>
      <c r="BV31" s="8">
        <f t="shared" ca="1" si="34"/>
        <v>0</v>
      </c>
      <c r="BW31" s="8">
        <f t="shared" ca="1" si="34"/>
        <v>0</v>
      </c>
      <c r="BX31" s="8">
        <f t="shared" ca="1" si="34"/>
        <v>0</v>
      </c>
      <c r="BY31" s="8">
        <f t="shared" ca="1" si="34"/>
        <v>0</v>
      </c>
      <c r="BZ31" s="8">
        <f t="shared" ca="1" si="34"/>
        <v>0</v>
      </c>
      <c r="CA31" s="8">
        <f t="shared" ca="1" si="34"/>
        <v>0</v>
      </c>
      <c r="CB31" s="4"/>
    </row>
    <row r="32" spans="2:80" s="2" customFormat="1" x14ac:dyDescent="0.2">
      <c r="C32" s="2" t="str">
        <f t="shared" ca="1" si="35"/>
        <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3"/>
        <v/>
      </c>
      <c r="BS32" s="9">
        <f t="shared" ca="1" si="36"/>
        <v>0</v>
      </c>
      <c r="BT32" s="9">
        <f t="shared" ca="1" si="36"/>
        <v>0</v>
      </c>
      <c r="BU32" s="7"/>
      <c r="BV32" s="8">
        <f t="shared" ca="1" si="34"/>
        <v>0</v>
      </c>
      <c r="BW32" s="8">
        <f t="shared" ca="1" si="34"/>
        <v>0</v>
      </c>
      <c r="BX32" s="8">
        <f t="shared" ca="1" si="34"/>
        <v>0</v>
      </c>
      <c r="BY32" s="8">
        <f t="shared" ca="1" si="34"/>
        <v>0</v>
      </c>
      <c r="BZ32" s="8">
        <f t="shared" ca="1" si="34"/>
        <v>0</v>
      </c>
      <c r="CA32" s="8">
        <f t="shared" ca="1" si="34"/>
        <v>0</v>
      </c>
      <c r="CB32" s="4"/>
    </row>
    <row r="33" spans="2:80" s="2" customFormat="1" x14ac:dyDescent="0.2">
      <c r="C33" s="2" t="str">
        <f t="shared" ca="1" si="35"/>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3"/>
        <v/>
      </c>
      <c r="BS33" s="9">
        <f t="shared" ca="1" si="36"/>
        <v>0</v>
      </c>
      <c r="BT33" s="9">
        <f t="shared" ca="1" si="36"/>
        <v>0</v>
      </c>
      <c r="BU33" s="9">
        <f t="shared" ca="1" si="36"/>
        <v>0</v>
      </c>
      <c r="BV33" s="7"/>
      <c r="BW33" s="8">
        <f ca="1">SUMIFS($AH$64:$AH$135,$V$64:$V$135,$BR33,$W$64:$W$135,BW$29)+SUMIFS($AI$64:$AI$135,$W$64:$W$135,$BR33,$V$64:$V$135,BW$29)</f>
        <v>0</v>
      </c>
      <c r="BX33" s="8">
        <f ca="1">SUMIFS($AH$64:$AH$135,$V$64:$V$135,$BR33,$W$64:$W$135,BX$29)+SUMIFS($AI$64:$AI$135,$W$64:$W$135,$BR33,$V$64:$V$135,BX$29)</f>
        <v>0</v>
      </c>
      <c r="BY33" s="8">
        <f ca="1">SUMIFS($AH$64:$AH$135,$V$64:$V$135,$BR33,$W$64:$W$135,BY$29)+SUMIFS($AI$64:$AI$135,$W$64:$W$135,$BR33,$V$64:$V$135,BY$29)</f>
        <v>0</v>
      </c>
      <c r="BZ33" s="8">
        <f ca="1">SUMIFS($AH$64:$AH$135,$V$64:$V$135,$BR33,$W$64:$W$135,BZ$29)+SUMIFS($AI$64:$AI$135,$W$64:$W$135,$BR33,$V$64:$V$135,BZ$29)</f>
        <v>0</v>
      </c>
      <c r="CA33" s="8">
        <f ca="1">SUMIFS($AH$64:$AH$135,$V$64:$V$135,$BR33,$W$64:$W$135,CA$29)+SUMIFS($AI$64:$AI$135,$W$64:$W$135,$BR33,$V$64:$V$135,CA$29)</f>
        <v>0</v>
      </c>
      <c r="CB33" s="4"/>
    </row>
    <row r="34" spans="2:80" s="2" customFormat="1" x14ac:dyDescent="0.2">
      <c r="C34" s="2" t="str">
        <f t="shared" si="35"/>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3"/>
        <v/>
      </c>
      <c r="BS34" s="9">
        <f t="shared" ca="1" si="36"/>
        <v>0</v>
      </c>
      <c r="BT34" s="9">
        <f t="shared" ca="1" si="36"/>
        <v>0</v>
      </c>
      <c r="BU34" s="9">
        <f t="shared" ca="1" si="36"/>
        <v>0</v>
      </c>
      <c r="BV34" s="9">
        <f ca="1">SUMIFS($AH$64:$AH$135,$V$64:$V$135,$BR34,$W$64:$W$135,BV$29)+SUMIFS($AI$64:$AI$135,$W$64:$W$135,$BR34,$V$64:$V$135,BV$29)</f>
        <v>0</v>
      </c>
      <c r="BW34" s="7"/>
      <c r="BX34" s="8">
        <f ca="1">SUMIFS($AH$64:$AH$135,$V$64:$V$135,$BR34,$W$64:$W$135,BX$29)+SUMIFS($AI$64:$AI$135,$W$64:$W$135,$BR34,$V$64:$V$135,BX$29)</f>
        <v>0</v>
      </c>
      <c r="BY34" s="8">
        <f ca="1">SUMIFS($AH$64:$AH$135,$V$64:$V$135,$BR34,$W$64:$W$135,BY$29)+SUMIFS($AI$64:$AI$135,$W$64:$W$135,$BR34,$V$64:$V$135,BY$29)</f>
        <v>0</v>
      </c>
      <c r="BZ34" s="8">
        <f ca="1">SUMIFS($AH$64:$AH$135,$V$64:$V$135,$BR34,$W$64:$W$135,BZ$29)+SUMIFS($AI$64:$AI$135,$W$64:$W$135,$BR34,$V$64:$V$135,BZ$29)</f>
        <v>0</v>
      </c>
      <c r="CA34" s="8">
        <f ca="1">SUMIFS($AH$64:$AH$135,$V$64:$V$135,$BR34,$W$64:$W$135,CA$29)+SUMIFS($AI$64:$AI$135,$W$64:$W$135,$BR34,$V$64:$V$135,CA$29)</f>
        <v>0</v>
      </c>
      <c r="CB34" s="4"/>
    </row>
    <row r="35" spans="2:80" s="2" customFormat="1" x14ac:dyDescent="0.2">
      <c r="C35" s="2" t="str">
        <f t="shared" si="35"/>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3"/>
        <v/>
      </c>
      <c r="BS35" s="9">
        <f t="shared" ca="1" si="36"/>
        <v>0</v>
      </c>
      <c r="BT35" s="9">
        <f t="shared" ca="1" si="36"/>
        <v>0</v>
      </c>
      <c r="BU35" s="9">
        <f t="shared" ca="1" si="36"/>
        <v>0</v>
      </c>
      <c r="BV35" s="9">
        <f ca="1">SUMIFS($AH$64:$AH$135,$V$64:$V$135,$BR35,$W$64:$W$135,BV$29)+SUMIFS($AI$64:$AI$135,$W$64:$W$135,$BR35,$V$64:$V$135,BV$29)</f>
        <v>0</v>
      </c>
      <c r="BW35" s="9">
        <f ca="1">SUMIFS($AH$64:$AH$135,$V$64:$V$135,$BR35,$W$64:$W$135,BW$29)+SUMIFS($AI$64:$AI$135,$W$64:$W$135,$BR35,$V$64:$V$135,BW$29)</f>
        <v>0</v>
      </c>
      <c r="BX35" s="7"/>
      <c r="BY35" s="8">
        <f ca="1">SUMIFS($AH$64:$AH$135,$V$64:$V$135,$BR35,$W$64:$W$135,BY$29)+SUMIFS($AI$64:$AI$135,$W$64:$W$135,$BR35,$V$64:$V$135,BY$29)</f>
        <v>0</v>
      </c>
      <c r="BZ35" s="8">
        <f ca="1">SUMIFS($AH$64:$AH$135,$V$64:$V$135,$BR35,$W$64:$W$135,BZ$29)+SUMIFS($AI$64:$AI$135,$W$64:$W$135,$BR35,$V$64:$V$135,BZ$29)</f>
        <v>0</v>
      </c>
      <c r="CA35" s="8">
        <f ca="1">SUMIFS($AH$64:$AH$135,$V$64:$V$135,$BR35,$W$64:$W$135,CA$29)+SUMIFS($AI$64:$AI$135,$W$64:$W$135,$BR35,$V$64:$V$135,CA$29)</f>
        <v>0</v>
      </c>
      <c r="CB35" s="4"/>
    </row>
    <row r="36" spans="2:80" s="2" customFormat="1" x14ac:dyDescent="0.2">
      <c r="C36" s="2" t="str">
        <f t="shared" si="35"/>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3"/>
        <v/>
      </c>
      <c r="BS36" s="9">
        <f t="shared" ca="1" si="36"/>
        <v>0</v>
      </c>
      <c r="BT36" s="9">
        <f t="shared" ca="1" si="36"/>
        <v>0</v>
      </c>
      <c r="BU36" s="9">
        <f t="shared" ca="1" si="36"/>
        <v>0</v>
      </c>
      <c r="BV36" s="9">
        <f ca="1">SUMIFS($AH$64:$AH$135,$V$64:$V$135,$BR36,$W$64:$W$135,BV$29)+SUMIFS($AI$64:$AI$135,$W$64:$W$135,$BR36,$V$64:$V$135,BV$29)</f>
        <v>0</v>
      </c>
      <c r="BW36" s="9">
        <f ca="1">SUMIFS($AH$64:$AH$135,$V$64:$V$135,$BR36,$W$64:$W$135,BW$29)+SUMIFS($AI$64:$AI$135,$W$64:$W$135,$BR36,$V$64:$V$135,BW$29)</f>
        <v>0</v>
      </c>
      <c r="BX36" s="9">
        <f ca="1">SUMIFS($AH$64:$AH$135,$V$64:$V$135,$BR36,$W$64:$W$135,BX$29)+SUMIFS($AI$64:$AI$135,$W$64:$W$135,$BR36,$V$64:$V$135,BX$29)</f>
        <v>0</v>
      </c>
      <c r="BY36" s="7"/>
      <c r="BZ36" s="8">
        <f ca="1">SUMIFS($AH$64:$AH$135,$V$64:$V$135,$BR36,$W$64:$W$135,BZ$29)+SUMIFS($AI$64:$AI$135,$W$64:$W$135,$BR36,$V$64:$V$135,BZ$29)</f>
        <v>0</v>
      </c>
      <c r="CA36" s="8">
        <f ca="1">SUMIFS($AH$64:$AH$135,$V$64:$V$135,$BR36,$W$64:$W$135,CA$29)+SUMIFS($AI$64:$AI$135,$W$64:$W$135,$BR36,$V$64:$V$135,CA$29)</f>
        <v>0</v>
      </c>
      <c r="CB36" s="4"/>
    </row>
    <row r="37" spans="2:80" s="2" customFormat="1" x14ac:dyDescent="0.2">
      <c r="C37" s="2" t="str">
        <f t="shared" si="35"/>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3"/>
        <v/>
      </c>
      <c r="BS37" s="9">
        <f t="shared" ca="1" si="36"/>
        <v>0</v>
      </c>
      <c r="BT37" s="9">
        <f t="shared" ca="1" si="36"/>
        <v>0</v>
      </c>
      <c r="BU37" s="9">
        <f t="shared" ca="1" si="36"/>
        <v>0</v>
      </c>
      <c r="BV37" s="9">
        <f ca="1">SUMIFS($AH$64:$AH$135,$V$64:$V$135,$BR37,$W$64:$W$135,BV$29)+SUMIFS($AI$64:$AI$135,$W$64:$W$135,$BR37,$V$64:$V$135,BV$29)</f>
        <v>0</v>
      </c>
      <c r="BW37" s="9">
        <f ca="1">SUMIFS($AH$64:$AH$135,$V$64:$V$135,$BR37,$W$64:$W$135,BW$29)+SUMIFS($AI$64:$AI$135,$W$64:$W$135,$BR37,$V$64:$V$135,BW$29)</f>
        <v>0</v>
      </c>
      <c r="BX37" s="9">
        <f ca="1">SUMIFS($AH$64:$AH$135,$V$64:$V$135,$BR37,$W$64:$W$135,BX$29)+SUMIFS($AI$64:$AI$135,$W$64:$W$135,$BR37,$V$64:$V$135,BX$29)</f>
        <v>0</v>
      </c>
      <c r="BY37" s="9">
        <f ca="1">SUMIFS($AH$64:$AH$135,$V$64:$V$135,$BR37,$W$64:$W$135,BY$29)+SUMIFS($AI$64:$AI$135,$W$64:$W$135,$BR37,$V$64:$V$135,BY$29)</f>
        <v>0</v>
      </c>
      <c r="BZ37" s="7"/>
      <c r="CA37" s="8">
        <f ca="1">SUMIFS($AH$64:$AH$135,$V$64:$V$135,$BR37,$W$64:$W$135,CA$29)+SUMIFS($AI$64:$AI$135,$W$64:$W$135,$BR37,$V$64:$V$135,CA$29)</f>
        <v>0</v>
      </c>
      <c r="CB37" s="4"/>
    </row>
    <row r="38" spans="2:80" s="2" customFormat="1" x14ac:dyDescent="0.2">
      <c r="C38" s="2" t="str">
        <f t="shared" si="35"/>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3"/>
        <v/>
      </c>
      <c r="BS38" s="9">
        <f t="shared" ca="1" si="36"/>
        <v>0</v>
      </c>
      <c r="BT38" s="9">
        <f t="shared" ca="1" si="36"/>
        <v>0</v>
      </c>
      <c r="BU38" s="9">
        <f t="shared" ca="1" si="36"/>
        <v>0</v>
      </c>
      <c r="BV38" s="9">
        <f ca="1">SUMIFS($AH$64:$AH$135,$V$64:$V$135,$BR38,$W$64:$W$135,BV$29)+SUMIFS($AI$64:$AI$135,$W$64:$W$135,$BR38,$V$64:$V$135,BV$29)</f>
        <v>0</v>
      </c>
      <c r="BW38" s="9">
        <f ca="1">SUMIFS($AH$64:$AH$135,$V$64:$V$135,$BR38,$W$64:$W$135,BW$29)+SUMIFS($AI$64:$AI$135,$W$64:$W$135,$BR38,$V$64:$V$135,BW$29)</f>
        <v>0</v>
      </c>
      <c r="BX38" s="9">
        <f ca="1">SUMIFS($AH$64:$AH$135,$V$64:$V$135,$BR38,$W$64:$W$135,BX$29)+SUMIFS($AI$64:$AI$135,$W$64:$W$135,$BR38,$V$64:$V$135,BX$29)</f>
        <v>0</v>
      </c>
      <c r="BY38" s="9">
        <f ca="1">SUMIFS($AH$64:$AH$135,$V$64:$V$135,$BR38,$W$64:$W$135,BY$29)+SUMIFS($AI$64:$AI$135,$W$64:$W$135,$BR38,$V$64:$V$135,BY$29)</f>
        <v>0</v>
      </c>
      <c r="BZ38" s="9">
        <f ca="1">SUMIFS($AH$64:$AH$135,$V$64:$V$135,$BR38,$W$64:$W$135,BZ$29)+SUMIFS($AI$64:$AI$135,$W$64:$W$135,$BR38,$V$64:$V$135,BZ$29)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102</v>
      </c>
      <c r="BS40" s="2" t="str">
        <f ca="1">$F$4</f>
        <v/>
      </c>
      <c r="BT40" s="2" t="str">
        <f ca="1">$F$5</f>
        <v/>
      </c>
      <c r="BU40" s="2" t="str">
        <f ca="1">$F$6</f>
        <v/>
      </c>
      <c r="BV40" s="2" t="str">
        <f ca="1">$F$7</f>
        <v/>
      </c>
      <c r="BW40" s="2" t="str">
        <f>$F$8</f>
        <v/>
      </c>
      <c r="BX40" s="2" t="str">
        <f>$F$9</f>
        <v/>
      </c>
      <c r="BY40" s="2" t="str">
        <f>$F$10</f>
        <v/>
      </c>
      <c r="BZ40" s="2" t="str">
        <f>$F$11</f>
        <v/>
      </c>
      <c r="CA40" s="2" t="str">
        <f>$F$12</f>
        <v/>
      </c>
      <c r="CB40" s="4"/>
    </row>
    <row r="41" spans="2:80" s="2" customFormat="1" x14ac:dyDescent="0.2">
      <c r="B41" s="596"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7">F4</f>
        <v/>
      </c>
      <c r="BS41" s="7"/>
      <c r="BT41" s="8">
        <f ca="1">BT30-BS31</f>
        <v>0</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7"/>
        <v/>
      </c>
      <c r="BS42" s="9">
        <f ca="1">IF(BT41="","",-1*BT41)</f>
        <v>0</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7"/>
        <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37"/>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7"/>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7"/>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7"/>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7"/>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7"/>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38">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95</v>
      </c>
      <c r="BS51" s="2" t="str">
        <f ca="1">$F$4</f>
        <v/>
      </c>
      <c r="BT51" s="2" t="str">
        <f ca="1">$F$5</f>
        <v/>
      </c>
      <c r="BU51" s="2" t="str">
        <f ca="1">$F$6</f>
        <v/>
      </c>
      <c r="BV51" s="2" t="str">
        <f ca="1">$F$7</f>
        <v/>
      </c>
      <c r="BW51" s="2" t="str">
        <f>$F$8</f>
        <v/>
      </c>
      <c r="BX51" s="2" t="str">
        <f>$F$9</f>
        <v/>
      </c>
      <c r="BY51" s="2" t="str">
        <f>$F$10</f>
        <v/>
      </c>
      <c r="BZ51" s="2" t="str">
        <f>$F$11</f>
        <v/>
      </c>
      <c r="CA51" s="2" t="str">
        <f>$F$12</f>
        <v/>
      </c>
      <c r="CB51" s="4"/>
    </row>
    <row r="52" spans="2:80" s="2" customFormat="1" x14ac:dyDescent="0.2">
      <c r="B52" s="596" t="s">
        <v>101</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39">F4</f>
        <v/>
      </c>
      <c r="BS52" s="7"/>
      <c r="BT52" s="8">
        <f t="shared" ref="BT52:CA54" ca="1" si="40">SUMIFS($AJ$64:$AJ$135,$V$64:$V$135,$BR52,$W$64:$W$135,BT$51)+SUMIFS($AK$64:$AK$135,$W$64:$W$135,$BR52,$V$64:$V$135,BT$51)</f>
        <v>0</v>
      </c>
      <c r="BU52" s="8">
        <f t="shared" ca="1" si="40"/>
        <v>0</v>
      </c>
      <c r="BV52" s="8">
        <f t="shared" ca="1" si="40"/>
        <v>0</v>
      </c>
      <c r="BW52" s="8">
        <f t="shared" ca="1" si="40"/>
        <v>0</v>
      </c>
      <c r="BX52" s="8">
        <f t="shared" ca="1" si="40"/>
        <v>0</v>
      </c>
      <c r="BY52" s="8">
        <f t="shared" ca="1" si="40"/>
        <v>0</v>
      </c>
      <c r="BZ52" s="8">
        <f t="shared" ca="1" si="40"/>
        <v>0</v>
      </c>
      <c r="CA52" s="8">
        <f t="shared" ca="1" si="40"/>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39"/>
        <v/>
      </c>
      <c r="BS53" s="9">
        <f t="shared" ref="BS53:BU60" ca="1" si="41">SUMIFS($AJ$64:$AJ$135,$V$64:$V$135,$BR53,$W$64:$W$135,BS$51)+SUMIFS($AK$64:$AK$135,$W$64:$W$135,$BR53,$V$64:$V$135,BS$51)</f>
        <v>0</v>
      </c>
      <c r="BT53" s="7"/>
      <c r="BU53" s="8">
        <f t="shared" ca="1" si="40"/>
        <v>0</v>
      </c>
      <c r="BV53" s="8">
        <f t="shared" ca="1" si="40"/>
        <v>0</v>
      </c>
      <c r="BW53" s="8">
        <f t="shared" ca="1" si="40"/>
        <v>0</v>
      </c>
      <c r="BX53" s="8">
        <f t="shared" ca="1" si="40"/>
        <v>0</v>
      </c>
      <c r="BY53" s="8">
        <f t="shared" ca="1" si="40"/>
        <v>0</v>
      </c>
      <c r="BZ53" s="8">
        <f t="shared" ca="1" si="40"/>
        <v>0</v>
      </c>
      <c r="CA53" s="8">
        <f t="shared" ca="1" si="40"/>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39"/>
        <v/>
      </c>
      <c r="BS54" s="9">
        <f t="shared" ca="1" si="41"/>
        <v>0</v>
      </c>
      <c r="BT54" s="9">
        <f t="shared" ca="1" si="41"/>
        <v>0</v>
      </c>
      <c r="BU54" s="7"/>
      <c r="BV54" s="8">
        <f t="shared" ca="1" si="40"/>
        <v>0</v>
      </c>
      <c r="BW54" s="8">
        <f t="shared" ca="1" si="40"/>
        <v>0</v>
      </c>
      <c r="BX54" s="8">
        <f t="shared" ca="1" si="40"/>
        <v>0</v>
      </c>
      <c r="BY54" s="8">
        <f t="shared" ca="1" si="40"/>
        <v>0</v>
      </c>
      <c r="BZ54" s="8">
        <f t="shared" ca="1" si="40"/>
        <v>0</v>
      </c>
      <c r="CA54" s="8">
        <f t="shared" ca="1" si="40"/>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39"/>
        <v/>
      </c>
      <c r="BS55" s="9">
        <f t="shared" ca="1" si="41"/>
        <v>0</v>
      </c>
      <c r="BT55" s="9">
        <f t="shared" ca="1" si="41"/>
        <v>0</v>
      </c>
      <c r="BU55" s="9">
        <f t="shared" ca="1" si="41"/>
        <v>0</v>
      </c>
      <c r="BV55" s="7"/>
      <c r="BW55" s="8">
        <f ca="1">SUMIFS($AJ$64:$AJ$135,$V$64:$V$135,$BR55,$W$64:$W$135,BW$51)+SUMIFS($AK$64:$AK$135,$W$64:$W$135,$BR55,$V$64:$V$135,BW$51)</f>
        <v>0</v>
      </c>
      <c r="BX55" s="8">
        <f ca="1">SUMIFS($AJ$64:$AJ$135,$V$64:$V$135,$BR55,$W$64:$W$135,BX$51)+SUMIFS($AK$64:$AK$135,$W$64:$W$135,$BR55,$V$64:$V$135,BX$51)</f>
        <v>0</v>
      </c>
      <c r="BY55" s="8">
        <f ca="1">SUMIFS($AJ$64:$AJ$135,$V$64:$V$135,$BR55,$W$64:$W$135,BY$51)+SUMIFS($AK$64:$AK$135,$W$64:$W$135,$BR55,$V$64:$V$135,BY$51)</f>
        <v>0</v>
      </c>
      <c r="BZ55" s="8">
        <f ca="1">SUMIFS($AJ$64:$AJ$135,$V$64:$V$135,$BR55,$W$64:$W$135,BZ$51)+SUMIFS($AK$64:$AK$135,$W$64:$W$135,$BR55,$V$64:$V$135,BZ$51)</f>
        <v>0</v>
      </c>
      <c r="CA55" s="8">
        <f ca="1">SUMIFS($AJ$64:$AJ$135,$V$64:$V$135,$BR55,$W$64:$W$135,CA$51)+SUMIFS($AK$64:$AK$135,$W$64:$W$135,$BR55,$V$64:$V$135,CA$51)</f>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39"/>
        <v/>
      </c>
      <c r="BS56" s="9">
        <f t="shared" ca="1" si="41"/>
        <v>0</v>
      </c>
      <c r="BT56" s="9">
        <f t="shared" ca="1" si="41"/>
        <v>0</v>
      </c>
      <c r="BU56" s="9">
        <f t="shared" ca="1" si="41"/>
        <v>0</v>
      </c>
      <c r="BV56" s="9">
        <f ca="1">SUMIFS($AJ$64:$AJ$135,$V$64:$V$135,$BR56,$W$64:$W$135,BV$51)+SUMIFS($AK$64:$AK$135,$W$64:$W$135,$BR56,$V$64:$V$135,BV$51)</f>
        <v>0</v>
      </c>
      <c r="BW56" s="7"/>
      <c r="BX56" s="8">
        <f ca="1">SUMIFS($AJ$64:$AJ$135,$V$64:$V$135,$BR56,$W$64:$W$135,BX$51)+SUMIFS($AK$64:$AK$135,$W$64:$W$135,$BR56,$V$64:$V$135,BX$51)</f>
        <v>0</v>
      </c>
      <c r="BY56" s="8">
        <f ca="1">SUMIFS($AJ$64:$AJ$135,$V$64:$V$135,$BR56,$W$64:$W$135,BY$51)+SUMIFS($AK$64:$AK$135,$W$64:$W$135,$BR56,$V$64:$V$135,BY$51)</f>
        <v>0</v>
      </c>
      <c r="BZ56" s="8">
        <f ca="1">SUMIFS($AJ$64:$AJ$135,$V$64:$V$135,$BR56,$W$64:$W$135,BZ$51)+SUMIFS($AK$64:$AK$135,$W$64:$W$135,$BR56,$V$64:$V$135,BZ$51)</f>
        <v>0</v>
      </c>
      <c r="CA56" s="8">
        <f ca="1">SUMIFS($AJ$64:$AJ$135,$V$64:$V$135,$BR56,$W$64:$W$135,CA$51)+SUMIFS($AK$64:$AK$135,$W$64:$W$135,$BR56,$V$64:$V$135,CA$51)</f>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39"/>
        <v/>
      </c>
      <c r="BS57" s="9">
        <f t="shared" ca="1" si="41"/>
        <v>0</v>
      </c>
      <c r="BT57" s="9">
        <f t="shared" ca="1" si="41"/>
        <v>0</v>
      </c>
      <c r="BU57" s="9">
        <f t="shared" ca="1" si="41"/>
        <v>0</v>
      </c>
      <c r="BV57" s="9">
        <f ca="1">SUMIFS($AJ$64:$AJ$135,$V$64:$V$135,$BR57,$W$64:$W$135,BV$51)+SUMIFS($AK$64:$AK$135,$W$64:$W$135,$BR57,$V$64:$V$135,BV$51)</f>
        <v>0</v>
      </c>
      <c r="BW57" s="9">
        <f ca="1">SUMIFS($AJ$64:$AJ$135,$V$64:$V$135,$BR57,$W$64:$W$135,BW$51)+SUMIFS($AK$64:$AK$135,$W$64:$W$135,$BR57,$V$64:$V$135,BW$51)</f>
        <v>0</v>
      </c>
      <c r="BX57" s="7"/>
      <c r="BY57" s="8">
        <f ca="1">SUMIFS($AJ$64:$AJ$135,$V$64:$V$135,$BR57,$W$64:$W$135,BY$51)+SUMIFS($AK$64:$AK$135,$W$64:$W$135,$BR57,$V$64:$V$135,BY$51)</f>
        <v>0</v>
      </c>
      <c r="BZ57" s="8">
        <f ca="1">SUMIFS($AJ$64:$AJ$135,$V$64:$V$135,$BR57,$W$64:$W$135,BZ$51)+SUMIFS($AK$64:$AK$135,$W$64:$W$135,$BR57,$V$64:$V$135,BZ$51)</f>
        <v>0</v>
      </c>
      <c r="CA57" s="8">
        <f ca="1">SUMIFS($AJ$64:$AJ$135,$V$64:$V$135,$BR57,$W$64:$W$135,CA$51)+SUMIFS($AK$64:$AK$135,$W$64:$W$135,$BR57,$V$64:$V$135,CA$51)</f>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39"/>
        <v/>
      </c>
      <c r="BS58" s="9">
        <f t="shared" ca="1" si="41"/>
        <v>0</v>
      </c>
      <c r="BT58" s="9">
        <f t="shared" ca="1" si="41"/>
        <v>0</v>
      </c>
      <c r="BU58" s="9">
        <f t="shared" ca="1" si="41"/>
        <v>0</v>
      </c>
      <c r="BV58" s="9">
        <f ca="1">SUMIFS($AJ$64:$AJ$135,$V$64:$V$135,$BR58,$W$64:$W$135,BV$51)+SUMIFS($AK$64:$AK$135,$W$64:$W$135,$BR58,$V$64:$V$135,BV$51)</f>
        <v>0</v>
      </c>
      <c r="BW58" s="9">
        <f ca="1">SUMIFS($AJ$64:$AJ$135,$V$64:$V$135,$BR58,$W$64:$W$135,BW$51)+SUMIFS($AK$64:$AK$135,$W$64:$W$135,$BR58,$V$64:$V$135,BW$51)</f>
        <v>0</v>
      </c>
      <c r="BX58" s="9">
        <f ca="1">SUMIFS($AJ$64:$AJ$135,$V$64:$V$135,$BR58,$W$64:$W$135,BX$51)+SUMIFS($AK$64:$AK$135,$W$64:$W$135,$BR58,$V$64:$V$135,BX$51)</f>
        <v>0</v>
      </c>
      <c r="BY58" s="7"/>
      <c r="BZ58" s="8">
        <f ca="1">SUMIFS($AJ$64:$AJ$135,$V$64:$V$135,$BR58,$W$64:$W$135,BZ$51)+SUMIFS($AK$64:$AK$135,$W$64:$W$135,$BR58,$V$64:$V$135,BZ$51)</f>
        <v>0</v>
      </c>
      <c r="CA58" s="8">
        <f ca="1">SUMIFS($AJ$64:$AJ$135,$V$64:$V$135,$BR58,$W$64:$W$135,CA$51)+SUMIFS($AK$64:$AK$135,$W$64:$W$135,$BR58,$V$64:$V$135,CA$51)</f>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39"/>
        <v/>
      </c>
      <c r="BS59" s="9">
        <f t="shared" ca="1" si="41"/>
        <v>0</v>
      </c>
      <c r="BT59" s="9">
        <f t="shared" ca="1" si="41"/>
        <v>0</v>
      </c>
      <c r="BU59" s="9">
        <f t="shared" ca="1" si="41"/>
        <v>0</v>
      </c>
      <c r="BV59" s="9">
        <f ca="1">SUMIFS($AJ$64:$AJ$135,$V$64:$V$135,$BR59,$W$64:$W$135,BV$51)+SUMIFS($AK$64:$AK$135,$W$64:$W$135,$BR59,$V$64:$V$135,BV$51)</f>
        <v>0</v>
      </c>
      <c r="BW59" s="9">
        <f ca="1">SUMIFS($AJ$64:$AJ$135,$V$64:$V$135,$BR59,$W$64:$W$135,BW$51)+SUMIFS($AK$64:$AK$135,$W$64:$W$135,$BR59,$V$64:$V$135,BW$51)</f>
        <v>0</v>
      </c>
      <c r="BX59" s="9">
        <f ca="1">SUMIFS($AJ$64:$AJ$135,$V$64:$V$135,$BR59,$W$64:$W$135,BX$51)+SUMIFS($AK$64:$AK$135,$W$64:$W$135,$BR59,$V$64:$V$135,BX$51)</f>
        <v>0</v>
      </c>
      <c r="BY59" s="9">
        <f ca="1">SUMIFS($AJ$64:$AJ$135,$V$64:$V$135,$BR59,$W$64:$W$135,BY$51)+SUMIFS($AK$64:$AK$135,$W$64:$W$135,$BR59,$V$64:$V$135,BY$51)</f>
        <v>0</v>
      </c>
      <c r="BZ59" s="7"/>
      <c r="CA59" s="8">
        <f ca="1">SUMIFS($AJ$64:$AJ$135,$V$64:$V$135,$BR59,$W$64:$W$135,CA$51)+SUMIFS($AK$64:$AK$135,$W$64:$W$135,$BR59,$V$64:$V$135,CA$51)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39"/>
        <v/>
      </c>
      <c r="BS60" s="9">
        <f t="shared" ca="1" si="41"/>
        <v>0</v>
      </c>
      <c r="BT60" s="9">
        <f t="shared" ca="1" si="41"/>
        <v>0</v>
      </c>
      <c r="BU60" s="9">
        <f t="shared" ca="1" si="41"/>
        <v>0</v>
      </c>
      <c r="BV60" s="9">
        <f ca="1">SUMIFS($AJ$64:$AJ$135,$V$64:$V$135,$BR60,$W$64:$W$135,BV$51)+SUMIFS($AK$64:$AK$135,$W$64:$W$135,$BR60,$V$64:$V$135,BV$51)</f>
        <v>0</v>
      </c>
      <c r="BW60" s="9">
        <f ca="1">SUMIFS($AJ$64:$AJ$135,$V$64:$V$135,$BR60,$W$64:$W$135,BW$51)+SUMIFS($AK$64:$AK$135,$W$64:$W$135,$BR60,$V$64:$V$135,BW$51)</f>
        <v>0</v>
      </c>
      <c r="BX60" s="9">
        <f ca="1">SUMIFS($AJ$64:$AJ$135,$V$64:$V$135,$BR60,$W$64:$W$135,BX$51)+SUMIFS($AK$64:$AK$135,$W$64:$W$135,$BR60,$V$64:$V$135,BX$51)</f>
        <v>0</v>
      </c>
      <c r="BY60" s="9">
        <f ca="1">SUMIFS($AJ$64:$AJ$135,$V$64:$V$135,$BR60,$W$64:$W$135,BY$51)+SUMIFS($AK$64:$AK$135,$W$64:$W$135,$BR60,$V$64:$V$135,BY$51)</f>
        <v>0</v>
      </c>
      <c r="BZ60" s="9">
        <f ca="1">SUMIFS($AJ$64:$AJ$135,$V$64:$V$135,$BR60,$W$64:$W$135,BZ$51)+SUMIFS($AK$64:$AK$135,$W$64:$W$135,$BR60,$V$64:$V$135,BZ$51)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73" t="s">
        <v>167</v>
      </c>
      <c r="X63" s="979" t="s">
        <v>374</v>
      </c>
      <c r="Y63" s="979"/>
      <c r="Z63" s="68" t="s">
        <v>153</v>
      </c>
      <c r="AA63" s="68" t="s">
        <v>16</v>
      </c>
      <c r="AB63" s="68" t="s">
        <v>372</v>
      </c>
      <c r="AC63" s="592" t="s">
        <v>370</v>
      </c>
      <c r="AD63" s="980" t="s">
        <v>376</v>
      </c>
      <c r="AE63" s="980"/>
      <c r="AF63" s="980" t="s">
        <v>378</v>
      </c>
      <c r="AG63" s="980"/>
      <c r="AH63" s="978" t="s">
        <v>372</v>
      </c>
      <c r="AI63" s="978"/>
      <c r="AJ63" s="978" t="s">
        <v>370</v>
      </c>
      <c r="AK63" s="978"/>
      <c r="AL63" s="978" t="s">
        <v>380</v>
      </c>
      <c r="AM63" s="978"/>
      <c r="AN63" s="4"/>
      <c r="AO63" s="4"/>
      <c r="AP63" s="4"/>
      <c r="AQ63" s="4"/>
      <c r="AR63" s="4"/>
    </row>
    <row r="64" spans="2:80" s="2" customFormat="1" ht="14.25" thickTop="1" thickBot="1" x14ac:dyDescent="0.25">
      <c r="F64" s="685">
        <v>1000000</v>
      </c>
      <c r="G64" s="686" t="s">
        <v>441</v>
      </c>
      <c r="H64" s="687"/>
      <c r="I64" s="687"/>
      <c r="P64" s="44" t="s">
        <v>7</v>
      </c>
      <c r="Q64" s="59" t="str">
        <f ca="1">IF('Endrunde 4'!$AS33="","",'Endrunde 4'!$AS33)</f>
        <v/>
      </c>
      <c r="U64" s="64" t="s">
        <v>7</v>
      </c>
      <c r="V64" s="39" t="str">
        <f ca="1">'Endrunde 4'!$I12</f>
        <v/>
      </c>
      <c r="W64" s="32" t="str">
        <f ca="1">'Endrunde 4'!$K12</f>
        <v/>
      </c>
      <c r="X64" s="32" t="str">
        <f ca="1">IF(AND($AA64=1,'Endrunde 4'!$L12&lt;&gt;"",'Endrunde 4'!$N12&lt;&gt;"",ABS('Endrunde 4'!$L12-'Endrunde 4'!$N12)&gt;1),'Endrunde 4'!$L12,"")</f>
        <v/>
      </c>
      <c r="Y64" s="33" t="str">
        <f ca="1">IF(AND($AA64=1,'Endrunde 4'!$L12&lt;&gt;"",'Endrunde 4'!$N12&lt;&gt;"",ABS('Endrunde 4'!$L12-'Endrunde 4'!$N12)&gt;1),'Endrunde 4'!$N12,"")</f>
        <v/>
      </c>
      <c r="Z64" s="31" t="str">
        <f ca="1">V64&amp;W64</f>
        <v/>
      </c>
      <c r="AA64" s="32">
        <f ca="1">IF(AND(V64&lt;&gt;"",W64&lt;&gt;"",V64&lt;&gt;W64,'Endrunde 4'!$U12&lt;&gt;"",'Endrunde 4'!$W12&lt;&gt;""),1,0)</f>
        <v>0</v>
      </c>
      <c r="AB64" s="138" t="str">
        <f ca="1">IF(AA64&gt;0,AH64&amp;Sprache!$E$108&amp;AI64,"")</f>
        <v/>
      </c>
      <c r="AC64" s="35" t="str">
        <f ca="1">IF(AA64&gt;0,AJ64&amp;Sprache!$E$108&amp;AK64,"")</f>
        <v/>
      </c>
      <c r="AD64" s="39" t="str">
        <f ca="1">IF(AND($AA64=1,'Endrunde 4'!$O12&lt;&gt;"",'Endrunde 4'!$Q12&lt;&gt;"",ABS('Endrunde 4'!$O12-'Endrunde 4'!$Q12)&gt;1),'Endrunde 4'!$O12,"")</f>
        <v/>
      </c>
      <c r="AE64" s="33" t="str">
        <f ca="1">IF(AND($AA64=1,'Endrunde 4'!$O12&lt;&gt;"",'Endrunde 4'!$Q12&lt;&gt;"",ABS('Endrunde 4'!$O12-'Endrunde 4'!$Q12)&gt;1),'Endrunde 4'!$Q12,"")</f>
        <v/>
      </c>
      <c r="AF64" s="39" t="str">
        <f ca="1">IF(AND($AA64=1,'Endrunde 4'!$R12&lt;&gt;"",'Endrunde 4'!$T12&lt;&gt;"",ABS('Endrunde 4'!$R12-'Endrunde 4'!$T12)&gt;1),'Endrunde 4'!$R12,"")</f>
        <v/>
      </c>
      <c r="AG64" s="33" t="str">
        <f ca="1">IF(AND($AA64=1,'Endrunde 4'!$R12&lt;&gt;"",'Endrunde 4'!$T12&lt;&gt;"",ABS('Endrunde 4'!$R12-'Endrunde 4'!$T12)&gt;1),'Endrunde 4'!$T12,"")</f>
        <v/>
      </c>
      <c r="AH64" s="39" t="str">
        <f ca="1">IF(AA64&gt;0,SUM(X64,AD64,AF64),"")</f>
        <v/>
      </c>
      <c r="AI64" s="33" t="str">
        <f ca="1">IF(AA64&gt;0,SUM(Y64,AE64,AG64),"")</f>
        <v/>
      </c>
      <c r="AJ64" s="39">
        <f ca="1">IF('Endrunde 4'!$U12="",0,'Endrunde 4'!$U12)</f>
        <v>0</v>
      </c>
      <c r="AK64" s="33">
        <f ca="1">IF('Endrunde 4'!$W12="",0,'Endrunde 4'!$W12)</f>
        <v>0</v>
      </c>
      <c r="AL64" s="32" t="str">
        <f ca="1">IF($AA64=0,"",IF($AJ64&gt;$AK64,Einstellungen!$C$4,IF($AJ64=$AK64,1,0)))</f>
        <v/>
      </c>
      <c r="AM64" s="33" t="str">
        <f ca="1">IF($AA64=0,"",IF($AJ64&lt;$AK64,Einstellungen!$C$4,IF($AJ64=$AK64,1,0)))</f>
        <v/>
      </c>
      <c r="AN64" s="4"/>
      <c r="AO64" s="4"/>
      <c r="AP64" s="4"/>
      <c r="AQ64" s="4"/>
      <c r="AR64" s="4"/>
    </row>
    <row r="65" spans="2:43" s="2" customFormat="1" ht="13.5" thickBot="1" x14ac:dyDescent="0.25">
      <c r="F65" s="688">
        <v>1000</v>
      </c>
      <c r="G65" s="689" t="s">
        <v>442</v>
      </c>
      <c r="H65" s="690">
        <v>500</v>
      </c>
      <c r="I65" s="691" t="s">
        <v>443</v>
      </c>
      <c r="P65" s="45" t="s">
        <v>8</v>
      </c>
      <c r="Q65" s="60" t="str">
        <f ca="1">IF('Endrunde 4'!$AS34="","",'Endrunde 4'!$AS34)</f>
        <v/>
      </c>
      <c r="U65" s="65" t="s">
        <v>8</v>
      </c>
      <c r="V65" s="40" t="str">
        <f ca="1">'Endrunde 4'!$I13</f>
        <v/>
      </c>
      <c r="W65" s="13" t="str">
        <f ca="1">'Endrunde 4'!$K13</f>
        <v/>
      </c>
      <c r="X65" s="13" t="str">
        <f ca="1">IF(AND($AA65=1,'Endrunde 4'!$L13&lt;&gt;"",'Endrunde 4'!$N13&lt;&gt;"",ABS('Endrunde 4'!$L13-'Endrunde 4'!$N13)&gt;1),'Endrunde 4'!$L13,"")</f>
        <v/>
      </c>
      <c r="Y65" s="35" t="str">
        <f ca="1">IF(AND($AA65=1,'Endrunde 4'!$L13&lt;&gt;"",'Endrunde 4'!$N13&lt;&gt;"",ABS('Endrunde 4'!$L13-'Endrunde 4'!$N13)&gt;1),'Endrunde 4'!$N13,"")</f>
        <v/>
      </c>
      <c r="Z65" s="34" t="str">
        <f t="shared" ref="Z65:Z88" ca="1" si="42">V65&amp;W65</f>
        <v/>
      </c>
      <c r="AA65" s="13">
        <f ca="1">IF(AND(V65&lt;&gt;"",W65&lt;&gt;"",V65&lt;&gt;W65,'Endrunde 4'!$U13&lt;&gt;"",'Endrunde 4'!$W13&lt;&gt;""),1,0)</f>
        <v>0</v>
      </c>
      <c r="AB65" s="13" t="str">
        <f ca="1">IF(AA65&gt;0,AH65&amp;Sprache!$E$108&amp;AI65,"")</f>
        <v/>
      </c>
      <c r="AC65" s="35" t="str">
        <f ca="1">IF(AA65&gt;0,AJ65&amp;Sprache!$E$108&amp;AK65,"")</f>
        <v/>
      </c>
      <c r="AD65" s="40" t="str">
        <f ca="1">IF(AND($AA65=1,'Endrunde 4'!$O13&lt;&gt;"",'Endrunde 4'!$Q13&lt;&gt;"",ABS('Endrunde 4'!$O13-'Endrunde 4'!$Q13)&gt;1),'Endrunde 4'!$O13,"")</f>
        <v/>
      </c>
      <c r="AE65" s="35" t="str">
        <f ca="1">IF(AND($AA65=1,'Endrunde 4'!$O13&lt;&gt;"",'Endrunde 4'!$Q13&lt;&gt;"",ABS('Endrunde 4'!$O13-'Endrunde 4'!$Q13)&gt;1),'Endrunde 4'!$Q13,"")</f>
        <v/>
      </c>
      <c r="AF65" s="40" t="str">
        <f ca="1">IF(AND($AA65=1,'Endrunde 4'!$R13&lt;&gt;"",'Endrunde 4'!$T13&lt;&gt;"",ABS('Endrunde 4'!$R13-'Endrunde 4'!$T13)&gt;1),'Endrunde 4'!$R13,"")</f>
        <v/>
      </c>
      <c r="AG65" s="35" t="str">
        <f ca="1">IF(AND($AA65=1,'Endrunde 4'!$R13&lt;&gt;"",'Endrunde 4'!$T13&lt;&gt;"",ABS('Endrunde 4'!$R13-'Endrunde 4'!$T13)&gt;1),'Endrunde 4'!$T13,"")</f>
        <v/>
      </c>
      <c r="AH65" s="40" t="str">
        <f t="shared" ref="AH65:AH88" ca="1" si="43">IF(AA65&gt;0,SUM(X65,AD65,AF65),"")</f>
        <v/>
      </c>
      <c r="AI65" s="35" t="str">
        <f t="shared" ref="AI65:AI88" ca="1" si="44">IF(AA65&gt;0,SUM(Y65,AE65,AG65),"")</f>
        <v/>
      </c>
      <c r="AJ65" s="40">
        <f ca="1">IF('Endrunde 4'!$U13="",0,'Endrunde 4'!$U13)</f>
        <v>0</v>
      </c>
      <c r="AK65" s="35">
        <f ca="1">IF('Endrunde 4'!$W13="",0,'Endrunde 4'!$W13)</f>
        <v>0</v>
      </c>
      <c r="AL65" s="13" t="str">
        <f ca="1">IF($AA65=0,"",IF($AJ65&gt;$AK65,Einstellungen!$C$4,IF($AJ65=$AK65,1,0)))</f>
        <v/>
      </c>
      <c r="AM65" s="35" t="str">
        <f ca="1">IF($AA65=0,"",IF($AJ65&lt;$AK65,Einstellungen!$C$4,IF($AJ65=$AK65,1,0)))</f>
        <v/>
      </c>
      <c r="AN65" s="13"/>
      <c r="AO65" s="13"/>
      <c r="AP65" s="13"/>
      <c r="AQ65" s="13"/>
    </row>
    <row r="66" spans="2:43" s="2" customFormat="1" ht="12.75" x14ac:dyDescent="0.2">
      <c r="F66" s="688">
        <v>1</v>
      </c>
      <c r="G66" s="689" t="s">
        <v>444</v>
      </c>
      <c r="H66" s="687"/>
      <c r="I66" s="687"/>
      <c r="P66" s="45" t="s">
        <v>9</v>
      </c>
      <c r="Q66" s="60" t="str">
        <f ca="1">IF('Endrunde 4'!$AS35="","",'Endrunde 4'!$AS35)</f>
        <v/>
      </c>
      <c r="U66" s="65" t="s">
        <v>9</v>
      </c>
      <c r="V66" s="40" t="str">
        <f ca="1">'Endrunde 4'!$I14</f>
        <v>FC Barcelona</v>
      </c>
      <c r="W66" s="13" t="str">
        <f ca="1">'Endrunde 4'!$K14</f>
        <v/>
      </c>
      <c r="X66" s="13" t="str">
        <f ca="1">IF(AND($AA66=1,'Endrunde 4'!$L14&lt;&gt;"",'Endrunde 4'!$N14&lt;&gt;"",ABS('Endrunde 4'!$L14-'Endrunde 4'!$N14)&gt;1),'Endrunde 4'!$L14,"")</f>
        <v/>
      </c>
      <c r="Y66" s="35" t="str">
        <f ca="1">IF(AND($AA66=1,'Endrunde 4'!$L14&lt;&gt;"",'Endrunde 4'!$N14&lt;&gt;"",ABS('Endrunde 4'!$L14-'Endrunde 4'!$N14)&gt;1),'Endrunde 4'!$N14,"")</f>
        <v/>
      </c>
      <c r="Z66" s="34" t="str">
        <f t="shared" ca="1" si="42"/>
        <v>FC Barcelona</v>
      </c>
      <c r="AA66" s="13">
        <f ca="1">IF(AND(V66&lt;&gt;"",W66&lt;&gt;"",V66&lt;&gt;W66,'Endrunde 4'!$U14&lt;&gt;"",'Endrunde 4'!$W14&lt;&gt;""),1,0)</f>
        <v>0</v>
      </c>
      <c r="AB66" s="13" t="str">
        <f ca="1">IF(AA66&gt;0,AH66&amp;Sprache!$E$108&amp;AI66,"")</f>
        <v/>
      </c>
      <c r="AC66" s="35" t="str">
        <f ca="1">IF(AA66&gt;0,AJ66&amp;Sprache!$E$108&amp;AK66,"")</f>
        <v/>
      </c>
      <c r="AD66" s="40" t="str">
        <f ca="1">IF(AND($AA66=1,'Endrunde 4'!$O14&lt;&gt;"",'Endrunde 4'!$Q14&lt;&gt;"",ABS('Endrunde 4'!$O14-'Endrunde 4'!$Q14)&gt;1),'Endrunde 4'!$O14,"")</f>
        <v/>
      </c>
      <c r="AE66" s="35" t="str">
        <f ca="1">IF(AND($AA66=1,'Endrunde 4'!$O14&lt;&gt;"",'Endrunde 4'!$Q14&lt;&gt;"",ABS('Endrunde 4'!$O14-'Endrunde 4'!$Q14)&gt;1),'Endrunde 4'!$Q14,"")</f>
        <v/>
      </c>
      <c r="AF66" s="40" t="str">
        <f ca="1">IF(AND($AA66=1,'Endrunde 4'!$R14&lt;&gt;"",'Endrunde 4'!$T14&lt;&gt;"",ABS('Endrunde 4'!$R14-'Endrunde 4'!$T14)&gt;1),'Endrunde 4'!$R14,"")</f>
        <v/>
      </c>
      <c r="AG66" s="35" t="str">
        <f ca="1">IF(AND($AA66=1,'Endrunde 4'!$R14&lt;&gt;"",'Endrunde 4'!$T14&lt;&gt;"",ABS('Endrunde 4'!$R14-'Endrunde 4'!$T14)&gt;1),'Endrunde 4'!$T14,"")</f>
        <v/>
      </c>
      <c r="AH66" s="40" t="str">
        <f t="shared" ca="1" si="43"/>
        <v/>
      </c>
      <c r="AI66" s="35" t="str">
        <f t="shared" ca="1" si="44"/>
        <v/>
      </c>
      <c r="AJ66" s="40">
        <f ca="1">IF('Endrunde 4'!$U14="",0,'Endrunde 4'!$U14)</f>
        <v>0</v>
      </c>
      <c r="AK66" s="35">
        <f ca="1">IF('Endrunde 4'!$W14="",0,'Endrunde 4'!$W14)</f>
        <v>0</v>
      </c>
      <c r="AL66" s="13" t="str">
        <f ca="1">IF($AA66=0,"",IF($AJ66&gt;$AK66,Einstellungen!$C$4,IF($AJ66=$AK66,1,0)))</f>
        <v/>
      </c>
      <c r="AM66" s="35" t="str">
        <f ca="1">IF($AA66=0,"",IF($AJ66&lt;$AK66,Einstellungen!$C$4,IF($AJ66=$AK66,1,0)))</f>
        <v/>
      </c>
      <c r="AN66" s="13"/>
      <c r="AO66" s="13"/>
      <c r="AP66" s="13"/>
      <c r="AQ66" s="13"/>
    </row>
    <row r="67" spans="2:43" s="2" customFormat="1" ht="12.75" thickBot="1" x14ac:dyDescent="0.25">
      <c r="F67" s="692">
        <v>1E-3</v>
      </c>
      <c r="G67" s="693" t="s">
        <v>445</v>
      </c>
      <c r="H67" s="687"/>
      <c r="I67" s="687"/>
      <c r="P67" s="45" t="s">
        <v>10</v>
      </c>
      <c r="Q67" s="60" t="str">
        <f ca="1">IF('Endrunde 4'!$AS36="","",'Endrunde 4'!$AS36)</f>
        <v/>
      </c>
      <c r="U67" s="65" t="s">
        <v>10</v>
      </c>
      <c r="V67" s="40" t="str">
        <f ca="1">'Endrunde 4'!$I15</f>
        <v>VFB Essenheim</v>
      </c>
      <c r="W67" s="13" t="str">
        <f ca="1">'Endrunde 4'!$K15</f>
        <v>SSV Wildbach</v>
      </c>
      <c r="X67" s="13">
        <f ca="1">IF(AND($AA67=1,'Endrunde 4'!$L15&lt;&gt;"",'Endrunde 4'!$N15&lt;&gt;"",ABS('Endrunde 4'!$L15-'Endrunde 4'!$N15)&gt;1),'Endrunde 4'!$L15,"")</f>
        <v>25</v>
      </c>
      <c r="Y67" s="35">
        <f ca="1">IF(AND($AA67=1,'Endrunde 4'!$L15&lt;&gt;"",'Endrunde 4'!$N15&lt;&gt;"",ABS('Endrunde 4'!$L15-'Endrunde 4'!$N15)&gt;1),'Endrunde 4'!$N15,"")</f>
        <v>20</v>
      </c>
      <c r="Z67" s="34" t="str">
        <f t="shared" ca="1" si="42"/>
        <v>VFB EssenheimSSV Wildbach</v>
      </c>
      <c r="AA67" s="13">
        <f ca="1">IF(AND(V67&lt;&gt;"",W67&lt;&gt;"",V67&lt;&gt;W67,'Endrunde 4'!$U15&lt;&gt;"",'Endrunde 4'!$W15&lt;&gt;""),1,0)</f>
        <v>1</v>
      </c>
      <c r="AB67" s="13" t="str">
        <f ca="1">IF(AA67&gt;0,AH67&amp;Sprache!$E$108&amp;AI67,"")</f>
        <v>50 : 37</v>
      </c>
      <c r="AC67" s="35" t="str">
        <f ca="1">IF(AA67&gt;0,AJ67&amp;Sprache!$E$108&amp;AK67,"")</f>
        <v>2 : 0</v>
      </c>
      <c r="AD67" s="40">
        <f ca="1">IF(AND($AA67=1,'Endrunde 4'!$O15&lt;&gt;"",'Endrunde 4'!$Q15&lt;&gt;"",ABS('Endrunde 4'!$O15-'Endrunde 4'!$Q15)&gt;1),'Endrunde 4'!$O15,"")</f>
        <v>25</v>
      </c>
      <c r="AE67" s="35">
        <f ca="1">IF(AND($AA67=1,'Endrunde 4'!$O15&lt;&gt;"",'Endrunde 4'!$Q15&lt;&gt;"",ABS('Endrunde 4'!$O15-'Endrunde 4'!$Q15)&gt;1),'Endrunde 4'!$Q15,"")</f>
        <v>17</v>
      </c>
      <c r="AF67" s="40" t="str">
        <f ca="1">IF(AND($AA67=1,'Endrunde 4'!$R15&lt;&gt;"",'Endrunde 4'!$T15&lt;&gt;"",ABS('Endrunde 4'!$R15-'Endrunde 4'!$T15)&gt;1),'Endrunde 4'!$R15,"")</f>
        <v/>
      </c>
      <c r="AG67" s="35" t="str">
        <f ca="1">IF(AND($AA67=1,'Endrunde 4'!$R15&lt;&gt;"",'Endrunde 4'!$T15&lt;&gt;"",ABS('Endrunde 4'!$R15-'Endrunde 4'!$T15)&gt;1),'Endrunde 4'!$T15,"")</f>
        <v/>
      </c>
      <c r="AH67" s="40">
        <f t="shared" ca="1" si="43"/>
        <v>50</v>
      </c>
      <c r="AI67" s="35">
        <f t="shared" ca="1" si="44"/>
        <v>37</v>
      </c>
      <c r="AJ67" s="40">
        <f ca="1">IF('Endrunde 4'!$U15="",0,'Endrunde 4'!$U15)</f>
        <v>2</v>
      </c>
      <c r="AK67" s="35">
        <f ca="1">IF('Endrunde 4'!$W15="",0,'Endrunde 4'!$W15)</f>
        <v>0</v>
      </c>
      <c r="AL67" s="13">
        <f ca="1">IF($AA67=0,"",IF($AJ67&gt;$AK67,Einstellungen!$C$4,IF($AJ67=$AK67,1,0)))</f>
        <v>2</v>
      </c>
      <c r="AM67" s="35">
        <f ca="1">IF($AA67=0,"",IF($AJ67&lt;$AK67,Einstellungen!$C$4,IF($AJ67=$AK67,1,0)))</f>
        <v>0</v>
      </c>
      <c r="AN67" s="13"/>
      <c r="AO67" s="13"/>
      <c r="AP67" s="13"/>
      <c r="AQ67" s="13"/>
    </row>
    <row r="68" spans="2:43" s="2" customFormat="1" x14ac:dyDescent="0.2">
      <c r="P68" s="45" t="s">
        <v>11</v>
      </c>
      <c r="Q68" s="60" t="str">
        <f>""</f>
        <v/>
      </c>
      <c r="U68" s="65" t="s">
        <v>11</v>
      </c>
      <c r="V68" s="40" t="str">
        <f ca="1">'Endrunde 4'!$I16</f>
        <v>Eintracht Frankfurt</v>
      </c>
      <c r="W68" s="13" t="str">
        <f ca="1">'Endrunde 4'!$K16</f>
        <v>Manchester City</v>
      </c>
      <c r="X68" s="13">
        <f ca="1">IF(AND($AA68=1,'Endrunde 4'!$L16&lt;&gt;"",'Endrunde 4'!$N16&lt;&gt;"",ABS('Endrunde 4'!$L16-'Endrunde 4'!$N16)&gt;1),'Endrunde 4'!$L16,"")</f>
        <v>19</v>
      </c>
      <c r="Y68" s="35">
        <f ca="1">IF(AND($AA68=1,'Endrunde 4'!$L16&lt;&gt;"",'Endrunde 4'!$N16&lt;&gt;"",ABS('Endrunde 4'!$L16-'Endrunde 4'!$N16)&gt;1),'Endrunde 4'!$N16,"")</f>
        <v>25</v>
      </c>
      <c r="Z68" s="34" t="str">
        <f t="shared" ca="1" si="42"/>
        <v>Eintracht FrankfurtManchester City</v>
      </c>
      <c r="AA68" s="13">
        <f ca="1">IF(AND(V68&lt;&gt;"",W68&lt;&gt;"",V68&lt;&gt;W68,'Endrunde 4'!$U16&lt;&gt;"",'Endrunde 4'!$W16&lt;&gt;""),1,0)</f>
        <v>1</v>
      </c>
      <c r="AB68" s="13" t="str">
        <f ca="1">IF(AA68&gt;0,AH68&amp;Sprache!$E$108&amp;AI68,"")</f>
        <v>35 : 50</v>
      </c>
      <c r="AC68" s="35" t="str">
        <f ca="1">IF(AA68&gt;0,AJ68&amp;Sprache!$E$108&amp;AK68,"")</f>
        <v>0 : 2</v>
      </c>
      <c r="AD68" s="40">
        <f ca="1">IF(AND($AA68=1,'Endrunde 4'!$O16&lt;&gt;"",'Endrunde 4'!$Q16&lt;&gt;"",ABS('Endrunde 4'!$O16-'Endrunde 4'!$Q16)&gt;1),'Endrunde 4'!$O16,"")</f>
        <v>16</v>
      </c>
      <c r="AE68" s="35">
        <f ca="1">IF(AND($AA68=1,'Endrunde 4'!$O16&lt;&gt;"",'Endrunde 4'!$Q16&lt;&gt;"",ABS('Endrunde 4'!$O16-'Endrunde 4'!$Q16)&gt;1),'Endrunde 4'!$Q16,"")</f>
        <v>25</v>
      </c>
      <c r="AF68" s="40" t="str">
        <f ca="1">IF(AND($AA68=1,'Endrunde 4'!$R16&lt;&gt;"",'Endrunde 4'!$T16&lt;&gt;"",ABS('Endrunde 4'!$R16-'Endrunde 4'!$T16)&gt;1),'Endrunde 4'!$R16,"")</f>
        <v/>
      </c>
      <c r="AG68" s="35" t="str">
        <f ca="1">IF(AND($AA68=1,'Endrunde 4'!$R16&lt;&gt;"",'Endrunde 4'!$T16&lt;&gt;"",ABS('Endrunde 4'!$R16-'Endrunde 4'!$T16)&gt;1),'Endrunde 4'!$T16,"")</f>
        <v/>
      </c>
      <c r="AH68" s="40">
        <f t="shared" ca="1" si="43"/>
        <v>35</v>
      </c>
      <c r="AI68" s="35">
        <f t="shared" ca="1" si="44"/>
        <v>50</v>
      </c>
      <c r="AJ68" s="40">
        <f ca="1">IF('Endrunde 4'!$U16="",0,'Endrunde 4'!$U16)</f>
        <v>0</v>
      </c>
      <c r="AK68" s="35">
        <f ca="1">IF('Endrunde 4'!$W16="",0,'Endrunde 4'!$W16)</f>
        <v>2</v>
      </c>
      <c r="AL68" s="13">
        <f ca="1">IF($AA68=0,"",IF($AJ68&gt;$AK68,Einstellungen!$C$4,IF($AJ68=$AK68,1,0)))</f>
        <v>0</v>
      </c>
      <c r="AM68" s="35">
        <f ca="1">IF($AA68=0,"",IF($AJ68&lt;$AK68,Einstellungen!$C$4,IF($AJ68=$AK68,1,0)))</f>
        <v>2</v>
      </c>
      <c r="AN68" s="13"/>
      <c r="AO68" s="13"/>
      <c r="AP68" s="13"/>
      <c r="AQ68" s="13"/>
    </row>
    <row r="69" spans="2:43" s="2" customFormat="1" x14ac:dyDescent="0.2">
      <c r="P69" s="45" t="s">
        <v>12</v>
      </c>
      <c r="Q69" s="60" t="str">
        <f>""</f>
        <v/>
      </c>
      <c r="U69" s="65" t="s">
        <v>12</v>
      </c>
      <c r="V69" s="40" t="str">
        <f ca="1">'Endrunde 4'!$I17</f>
        <v/>
      </c>
      <c r="W69" s="13" t="str">
        <f ca="1">'Endrunde 4'!$K17</f>
        <v/>
      </c>
      <c r="X69" s="13" t="str">
        <f ca="1">IF(AND($AA69=1,'Endrunde 4'!$L17&lt;&gt;"",'Endrunde 4'!$N17&lt;&gt;"",ABS('Endrunde 4'!$L17-'Endrunde 4'!$N17)&gt;1),'Endrunde 4'!$L17,"")</f>
        <v/>
      </c>
      <c r="Y69" s="35" t="str">
        <f ca="1">IF(AND($AA69=1,'Endrunde 4'!$L17&lt;&gt;"",'Endrunde 4'!$N17&lt;&gt;"",ABS('Endrunde 4'!$L17-'Endrunde 4'!$N17)&gt;1),'Endrunde 4'!$N17,"")</f>
        <v/>
      </c>
      <c r="Z69" s="34" t="str">
        <f t="shared" ca="1" si="42"/>
        <v/>
      </c>
      <c r="AA69" s="13">
        <f ca="1">IF(AND(V69&lt;&gt;"",W69&lt;&gt;"",V69&lt;&gt;W69,'Endrunde 4'!$U17&lt;&gt;"",'Endrunde 4'!$W17&lt;&gt;""),1,0)</f>
        <v>0</v>
      </c>
      <c r="AB69" s="13" t="str">
        <f ca="1">IF(AA69&gt;0,AH69&amp;Sprache!$E$108&amp;AI69,"")</f>
        <v/>
      </c>
      <c r="AC69" s="35" t="str">
        <f ca="1">IF(AA69&gt;0,AJ69&amp;Sprache!$E$108&amp;AK69,"")</f>
        <v/>
      </c>
      <c r="AD69" s="40" t="str">
        <f ca="1">IF(AND($AA69=1,'Endrunde 4'!$O17&lt;&gt;"",'Endrunde 4'!$Q17&lt;&gt;"",ABS('Endrunde 4'!$O17-'Endrunde 4'!$Q17)&gt;1),'Endrunde 4'!$O17,"")</f>
        <v/>
      </c>
      <c r="AE69" s="35" t="str">
        <f ca="1">IF(AND($AA69=1,'Endrunde 4'!$O17&lt;&gt;"",'Endrunde 4'!$Q17&lt;&gt;"",ABS('Endrunde 4'!$O17-'Endrunde 4'!$Q17)&gt;1),'Endrunde 4'!$Q17,"")</f>
        <v/>
      </c>
      <c r="AF69" s="40" t="str">
        <f ca="1">IF(AND($AA69=1,'Endrunde 4'!$R17&lt;&gt;"",'Endrunde 4'!$T17&lt;&gt;"",ABS('Endrunde 4'!$R17-'Endrunde 4'!$T17)&gt;1),'Endrunde 4'!$R17,"")</f>
        <v/>
      </c>
      <c r="AG69" s="35" t="str">
        <f ca="1">IF(AND($AA69=1,'Endrunde 4'!$R17&lt;&gt;"",'Endrunde 4'!$T17&lt;&gt;"",ABS('Endrunde 4'!$R17-'Endrunde 4'!$T17)&gt;1),'Endrunde 4'!$T17,"")</f>
        <v/>
      </c>
      <c r="AH69" s="40" t="str">
        <f t="shared" ca="1" si="43"/>
        <v/>
      </c>
      <c r="AI69" s="35" t="str">
        <f t="shared" ca="1" si="44"/>
        <v/>
      </c>
      <c r="AJ69" s="40">
        <f ca="1">IF('Endrunde 4'!$U17="",0,'Endrunde 4'!$U17)</f>
        <v>0</v>
      </c>
      <c r="AK69" s="35">
        <f ca="1">IF('Endrunde 4'!$W17="",0,'Endrunde 4'!$W17)</f>
        <v>0</v>
      </c>
      <c r="AL69" s="13" t="str">
        <f ca="1">IF($AA69=0,"",IF($AJ69&gt;$AK69,Einstellungen!$C$4,IF($AJ69=$AK69,1,0)))</f>
        <v/>
      </c>
      <c r="AM69" s="35" t="str">
        <f ca="1">IF($AA69=0,"",IF($AJ69&lt;$AK69,Einstellungen!$C$4,IF($AJ69=$AK69,1,0)))</f>
        <v/>
      </c>
      <c r="AN69" s="13"/>
      <c r="AO69" s="13"/>
      <c r="AP69" s="13"/>
      <c r="AQ69" s="13"/>
    </row>
    <row r="70" spans="2:43" s="2" customFormat="1" x14ac:dyDescent="0.2">
      <c r="P70" s="45" t="s">
        <v>17</v>
      </c>
      <c r="Q70" s="60" t="str">
        <f>""</f>
        <v/>
      </c>
      <c r="U70" s="65" t="s">
        <v>17</v>
      </c>
      <c r="V70" s="40" t="str">
        <f ca="1">'Endrunde 4'!$I18</f>
        <v>Inter Mailand</v>
      </c>
      <c r="W70" s="13" t="str">
        <f ca="1">'Endrunde 4'!$K18</f>
        <v/>
      </c>
      <c r="X70" s="13" t="str">
        <f ca="1">IF(AND($AA70=1,'Endrunde 4'!$L18&lt;&gt;"",'Endrunde 4'!$N18&lt;&gt;"",ABS('Endrunde 4'!$L18-'Endrunde 4'!$N18)&gt;1),'Endrunde 4'!$L18,"")</f>
        <v/>
      </c>
      <c r="Y70" s="35" t="str">
        <f ca="1">IF(AND($AA70=1,'Endrunde 4'!$L18&lt;&gt;"",'Endrunde 4'!$N18&lt;&gt;"",ABS('Endrunde 4'!$L18-'Endrunde 4'!$N18)&gt;1),'Endrunde 4'!$N18,"")</f>
        <v/>
      </c>
      <c r="Z70" s="34" t="str">
        <f t="shared" ca="1" si="42"/>
        <v>Inter Mailand</v>
      </c>
      <c r="AA70" s="13">
        <f ca="1">IF(AND(V70&lt;&gt;"",W70&lt;&gt;"",V70&lt;&gt;W70,'Endrunde 4'!$U18&lt;&gt;"",'Endrunde 4'!$W18&lt;&gt;""),1,0)</f>
        <v>0</v>
      </c>
      <c r="AB70" s="13" t="str">
        <f ca="1">IF(AA70&gt;0,AH70&amp;Sprache!$E$108&amp;AI70,"")</f>
        <v/>
      </c>
      <c r="AC70" s="35" t="str">
        <f ca="1">IF(AA70&gt;0,AJ70&amp;Sprache!$E$108&amp;AK70,"")</f>
        <v/>
      </c>
      <c r="AD70" s="40" t="str">
        <f ca="1">IF(AND($AA70=1,'Endrunde 4'!$O18&lt;&gt;"",'Endrunde 4'!$Q18&lt;&gt;"",ABS('Endrunde 4'!$O18-'Endrunde 4'!$Q18)&gt;1),'Endrunde 4'!$O18,"")</f>
        <v/>
      </c>
      <c r="AE70" s="35" t="str">
        <f ca="1">IF(AND($AA70=1,'Endrunde 4'!$O18&lt;&gt;"",'Endrunde 4'!$Q18&lt;&gt;"",ABS('Endrunde 4'!$O18-'Endrunde 4'!$Q18)&gt;1),'Endrunde 4'!$Q18,"")</f>
        <v/>
      </c>
      <c r="AF70" s="40" t="str">
        <f ca="1">IF(AND($AA70=1,'Endrunde 4'!$R18&lt;&gt;"",'Endrunde 4'!$T18&lt;&gt;"",ABS('Endrunde 4'!$R18-'Endrunde 4'!$T18)&gt;1),'Endrunde 4'!$R18,"")</f>
        <v/>
      </c>
      <c r="AG70" s="35" t="str">
        <f ca="1">IF(AND($AA70=1,'Endrunde 4'!$R18&lt;&gt;"",'Endrunde 4'!$T18&lt;&gt;"",ABS('Endrunde 4'!$R18-'Endrunde 4'!$T18)&gt;1),'Endrunde 4'!$T18,"")</f>
        <v/>
      </c>
      <c r="AH70" s="40" t="str">
        <f t="shared" ca="1" si="43"/>
        <v/>
      </c>
      <c r="AI70" s="35" t="str">
        <f t="shared" ca="1" si="44"/>
        <v/>
      </c>
      <c r="AJ70" s="40">
        <f ca="1">IF('Endrunde 4'!$U18="",0,'Endrunde 4'!$U18)</f>
        <v>0</v>
      </c>
      <c r="AK70" s="35">
        <f ca="1">IF('Endrunde 4'!$W18="",0,'Endrunde 4'!$W18)</f>
        <v>0</v>
      </c>
      <c r="AL70" s="13" t="str">
        <f ca="1">IF($AA70=0,"",IF($AJ70&gt;$AK70,Einstellungen!$C$4,IF($AJ70=$AK70,1,0)))</f>
        <v/>
      </c>
      <c r="AM70" s="35" t="str">
        <f ca="1">IF($AA70=0,"",IF($AJ70&lt;$AK70,Einstellungen!$C$4,IF($AJ70=$AK70,1,0)))</f>
        <v/>
      </c>
      <c r="AN70" s="4"/>
      <c r="AO70" s="13"/>
      <c r="AP70" s="13"/>
      <c r="AQ70" s="13"/>
    </row>
    <row r="71" spans="2:43" s="2" customFormat="1" x14ac:dyDescent="0.2">
      <c r="B71" s="4"/>
      <c r="C71" s="4"/>
      <c r="D71" s="4"/>
      <c r="E71" s="4"/>
      <c r="F71" s="4"/>
      <c r="G71" s="4"/>
      <c r="H71" s="4"/>
      <c r="I71" s="4"/>
      <c r="J71" s="4"/>
      <c r="K71" s="4"/>
      <c r="L71" s="4"/>
      <c r="M71" s="4"/>
      <c r="P71" s="45" t="s">
        <v>18</v>
      </c>
      <c r="Q71" s="60" t="str">
        <f>""</f>
        <v/>
      </c>
      <c r="U71" s="65" t="s">
        <v>18</v>
      </c>
      <c r="V71" s="40" t="str">
        <f ca="1">'Endrunde 4'!$I19</f>
        <v>FC Grönlingen</v>
      </c>
      <c r="W71" s="13" t="str">
        <f ca="1">'Endrunde 4'!$K19</f>
        <v>1. FC Riedwald</v>
      </c>
      <c r="X71" s="13">
        <f ca="1">IF(AND($AA71=1,'Endrunde 4'!$L19&lt;&gt;"",'Endrunde 4'!$N19&lt;&gt;"",ABS('Endrunde 4'!$L19-'Endrunde 4'!$N19)&gt;1),'Endrunde 4'!$L19,"")</f>
        <v>25</v>
      </c>
      <c r="Y71" s="35">
        <f ca="1">IF(AND($AA71=1,'Endrunde 4'!$L19&lt;&gt;"",'Endrunde 4'!$N19&lt;&gt;"",ABS('Endrunde 4'!$L19-'Endrunde 4'!$N19)&gt;1),'Endrunde 4'!$N19,"")</f>
        <v>23</v>
      </c>
      <c r="Z71" s="34" t="str">
        <f t="shared" ca="1" si="42"/>
        <v>FC Grönlingen1. FC Riedwald</v>
      </c>
      <c r="AA71" s="13">
        <f ca="1">IF(AND(V71&lt;&gt;"",W71&lt;&gt;"",V71&lt;&gt;W71,'Endrunde 4'!$U19&lt;&gt;"",'Endrunde 4'!$W19&lt;&gt;""),1,0)</f>
        <v>1</v>
      </c>
      <c r="AB71" s="13" t="str">
        <f ca="1">IF(AA71&gt;0,AH71&amp;Sprache!$E$108&amp;AI71,"")</f>
        <v>50 : 44</v>
      </c>
      <c r="AC71" s="35" t="str">
        <f ca="1">IF(AA71&gt;0,AJ71&amp;Sprache!$E$108&amp;AK71,"")</f>
        <v>2 : 0</v>
      </c>
      <c r="AD71" s="40">
        <f ca="1">IF(AND($AA71=1,'Endrunde 4'!$O19&lt;&gt;"",'Endrunde 4'!$Q19&lt;&gt;"",ABS('Endrunde 4'!$O19-'Endrunde 4'!$Q19)&gt;1),'Endrunde 4'!$O19,"")</f>
        <v>25</v>
      </c>
      <c r="AE71" s="35">
        <f ca="1">IF(AND($AA71=1,'Endrunde 4'!$O19&lt;&gt;"",'Endrunde 4'!$Q19&lt;&gt;"",ABS('Endrunde 4'!$O19-'Endrunde 4'!$Q19)&gt;1),'Endrunde 4'!$Q19,"")</f>
        <v>21</v>
      </c>
      <c r="AF71" s="40" t="str">
        <f ca="1">IF(AND($AA71=1,'Endrunde 4'!$R19&lt;&gt;"",'Endrunde 4'!$T19&lt;&gt;"",ABS('Endrunde 4'!$R19-'Endrunde 4'!$T19)&gt;1),'Endrunde 4'!$R19,"")</f>
        <v/>
      </c>
      <c r="AG71" s="35" t="str">
        <f ca="1">IF(AND($AA71=1,'Endrunde 4'!$R19&lt;&gt;"",'Endrunde 4'!$T19&lt;&gt;"",ABS('Endrunde 4'!$R19-'Endrunde 4'!$T19)&gt;1),'Endrunde 4'!$T19,"")</f>
        <v/>
      </c>
      <c r="AH71" s="40">
        <f t="shared" ca="1" si="43"/>
        <v>50</v>
      </c>
      <c r="AI71" s="35">
        <f t="shared" ca="1" si="44"/>
        <v>44</v>
      </c>
      <c r="AJ71" s="40">
        <f ca="1">IF('Endrunde 4'!$U19="",0,'Endrunde 4'!$U19)</f>
        <v>2</v>
      </c>
      <c r="AK71" s="35">
        <f ca="1">IF('Endrunde 4'!$W19="",0,'Endrunde 4'!$W19)</f>
        <v>0</v>
      </c>
      <c r="AL71" s="13">
        <f ca="1">IF($AA71=0,"",IF($AJ71&gt;$AK71,Einstellungen!$C$4,IF($AJ71=$AK71,1,0)))</f>
        <v>2</v>
      </c>
      <c r="AM71" s="35">
        <f ca="1">IF($AA71=0,"",IF($AJ71&lt;$AK71,Einstellungen!$C$4,IF($AJ71=$AK71,1,0)))</f>
        <v>0</v>
      </c>
      <c r="AN71" s="13"/>
      <c r="AO71" s="4"/>
      <c r="AP71" s="13"/>
      <c r="AQ71" s="13"/>
    </row>
    <row r="72" spans="2:43" s="2" customFormat="1" ht="12.75" thickBot="1" x14ac:dyDescent="0.25">
      <c r="B72" s="4"/>
      <c r="C72" s="4"/>
      <c r="D72" s="4"/>
      <c r="E72" s="4"/>
      <c r="F72" s="13"/>
      <c r="G72" s="13"/>
      <c r="H72" s="13"/>
      <c r="I72" s="13"/>
      <c r="J72" s="13"/>
      <c r="K72" s="13"/>
      <c r="L72" s="13"/>
      <c r="M72" s="13"/>
      <c r="P72" s="46" t="s">
        <v>19</v>
      </c>
      <c r="Q72" s="61" t="str">
        <f>""</f>
        <v/>
      </c>
      <c r="U72" s="65" t="s">
        <v>19</v>
      </c>
      <c r="V72" s="40" t="str">
        <f ca="1">'Endrunde 4'!$I20</f>
        <v>Mainz 05</v>
      </c>
      <c r="W72" s="13" t="str">
        <f ca="1">'Endrunde 4'!$K20</f>
        <v>Maibach 1822 eV</v>
      </c>
      <c r="X72" s="13">
        <f ca="1">IF(AND($AA72=1,'Endrunde 4'!$L20&lt;&gt;"",'Endrunde 4'!$N20&lt;&gt;"",ABS('Endrunde 4'!$L20-'Endrunde 4'!$N20)&gt;1),'Endrunde 4'!$L20,"")</f>
        <v>25</v>
      </c>
      <c r="Y72" s="35">
        <f ca="1">IF(AND($AA72=1,'Endrunde 4'!$L20&lt;&gt;"",'Endrunde 4'!$N20&lt;&gt;"",ABS('Endrunde 4'!$L20-'Endrunde 4'!$N20)&gt;1),'Endrunde 4'!$N20,"")</f>
        <v>17</v>
      </c>
      <c r="Z72" s="34" t="str">
        <f t="shared" ca="1" si="42"/>
        <v>Mainz 05Maibach 1822 eV</v>
      </c>
      <c r="AA72" s="13">
        <f ca="1">IF(AND(V72&lt;&gt;"",W72&lt;&gt;"",V72&lt;&gt;W72,'Endrunde 4'!$U20&lt;&gt;"",'Endrunde 4'!$W20&lt;&gt;""),1,0)</f>
        <v>1</v>
      </c>
      <c r="AB72" s="13" t="str">
        <f ca="1">IF(AA72&gt;0,AH72&amp;Sprache!$E$108&amp;AI72,"")</f>
        <v>50 : 39</v>
      </c>
      <c r="AC72" s="35" t="str">
        <f ca="1">IF(AA72&gt;0,AJ72&amp;Sprache!$E$108&amp;AK72,"")</f>
        <v>2 : 0</v>
      </c>
      <c r="AD72" s="40">
        <f ca="1">IF(AND($AA72=1,'Endrunde 4'!$O20&lt;&gt;"",'Endrunde 4'!$Q20&lt;&gt;"",ABS('Endrunde 4'!$O20-'Endrunde 4'!$Q20)&gt;1),'Endrunde 4'!$O20,"")</f>
        <v>25</v>
      </c>
      <c r="AE72" s="35">
        <f ca="1">IF(AND($AA72=1,'Endrunde 4'!$O20&lt;&gt;"",'Endrunde 4'!$Q20&lt;&gt;"",ABS('Endrunde 4'!$O20-'Endrunde 4'!$Q20)&gt;1),'Endrunde 4'!$Q20,"")</f>
        <v>22</v>
      </c>
      <c r="AF72" s="40" t="str">
        <f ca="1">IF(AND($AA72=1,'Endrunde 4'!$R20&lt;&gt;"",'Endrunde 4'!$T20&lt;&gt;"",ABS('Endrunde 4'!$R20-'Endrunde 4'!$T20)&gt;1),'Endrunde 4'!$R20,"")</f>
        <v/>
      </c>
      <c r="AG72" s="35" t="str">
        <f ca="1">IF(AND($AA72=1,'Endrunde 4'!$R20&lt;&gt;"",'Endrunde 4'!$T20&lt;&gt;"",ABS('Endrunde 4'!$R20-'Endrunde 4'!$T20)&gt;1),'Endrunde 4'!$T20,"")</f>
        <v/>
      </c>
      <c r="AH72" s="40">
        <f t="shared" ca="1" si="43"/>
        <v>50</v>
      </c>
      <c r="AI72" s="35">
        <f t="shared" ca="1" si="44"/>
        <v>39</v>
      </c>
      <c r="AJ72" s="40">
        <f ca="1">IF('Endrunde 4'!$U20="",0,'Endrunde 4'!$U20)</f>
        <v>2</v>
      </c>
      <c r="AK72" s="35">
        <f ca="1">IF('Endrunde 4'!$W20="",0,'Endrunde 4'!$W20)</f>
        <v>0</v>
      </c>
      <c r="AL72" s="13">
        <f ca="1">IF($AA72=0,"",IF($AJ72&gt;$AK72,Einstellungen!$C$4,IF($AJ72=$AK72,1,0)))</f>
        <v>2</v>
      </c>
      <c r="AM72" s="35">
        <f ca="1">IF($AA72=0,"",IF($AJ72&lt;$AK72,Einstellungen!$C$4,IF($AJ72=$AK72,1,0)))</f>
        <v>0</v>
      </c>
      <c r="AN72" s="13"/>
      <c r="AO72" s="13"/>
      <c r="AP72" s="4"/>
      <c r="AQ72" s="13"/>
    </row>
    <row r="73" spans="2:43" s="2" customFormat="1" ht="12.75" thickTop="1" x14ac:dyDescent="0.2">
      <c r="B73" s="4"/>
      <c r="C73" s="4"/>
      <c r="D73" s="4"/>
      <c r="E73" s="4"/>
      <c r="F73" s="13"/>
      <c r="G73" s="13"/>
      <c r="H73" s="13"/>
      <c r="I73" s="13"/>
      <c r="J73" s="13"/>
      <c r="K73" s="13"/>
      <c r="L73" s="13"/>
      <c r="M73" s="13"/>
      <c r="U73" s="65" t="s">
        <v>25</v>
      </c>
      <c r="V73" s="40" t="str">
        <f ca="1">'Endrunde 4'!$I21</f>
        <v/>
      </c>
      <c r="W73" s="13" t="str">
        <f ca="1">'Endrunde 4'!$K21</f>
        <v/>
      </c>
      <c r="X73" s="13" t="str">
        <f ca="1">IF(AND($AA73=1,'Endrunde 4'!$L21&lt;&gt;"",'Endrunde 4'!$N21&lt;&gt;"",ABS('Endrunde 4'!$L21-'Endrunde 4'!$N21)&gt;1),'Endrunde 4'!$L21,"")</f>
        <v/>
      </c>
      <c r="Y73" s="35" t="str">
        <f ca="1">IF(AND($AA73=1,'Endrunde 4'!$L21&lt;&gt;"",'Endrunde 4'!$N21&lt;&gt;"",ABS('Endrunde 4'!$L21-'Endrunde 4'!$N21)&gt;1),'Endrunde 4'!$N21,"")</f>
        <v/>
      </c>
      <c r="Z73" s="34" t="str">
        <f t="shared" ca="1" si="42"/>
        <v/>
      </c>
      <c r="AA73" s="13">
        <f ca="1">IF(AND(V73&lt;&gt;"",W73&lt;&gt;"",V73&lt;&gt;W73,'Endrunde 4'!$U21&lt;&gt;"",'Endrunde 4'!$W21&lt;&gt;""),1,0)</f>
        <v>0</v>
      </c>
      <c r="AB73" s="13" t="str">
        <f ca="1">IF(AA73&gt;0,AH73&amp;Sprache!$E$108&amp;AI73,"")</f>
        <v/>
      </c>
      <c r="AC73" s="35" t="str">
        <f ca="1">IF(AA73&gt;0,AJ73&amp;Sprache!$E$108&amp;AK73,"")</f>
        <v/>
      </c>
      <c r="AD73" s="40" t="str">
        <f ca="1">IF(AND($AA73=1,'Endrunde 4'!$O21&lt;&gt;"",'Endrunde 4'!$Q21&lt;&gt;"",ABS('Endrunde 4'!$O21-'Endrunde 4'!$Q21)&gt;1),'Endrunde 4'!$O21,"")</f>
        <v/>
      </c>
      <c r="AE73" s="35" t="str">
        <f ca="1">IF(AND($AA73=1,'Endrunde 4'!$O21&lt;&gt;"",'Endrunde 4'!$Q21&lt;&gt;"",ABS('Endrunde 4'!$O21-'Endrunde 4'!$Q21)&gt;1),'Endrunde 4'!$Q21,"")</f>
        <v/>
      </c>
      <c r="AF73" s="40" t="str">
        <f ca="1">IF(AND($AA73=1,'Endrunde 4'!$R21&lt;&gt;"",'Endrunde 4'!$T21&lt;&gt;"",ABS('Endrunde 4'!$R21-'Endrunde 4'!$T21)&gt;1),'Endrunde 4'!$R21,"")</f>
        <v/>
      </c>
      <c r="AG73" s="35" t="str">
        <f ca="1">IF(AND($AA73=1,'Endrunde 4'!$R21&lt;&gt;"",'Endrunde 4'!$T21&lt;&gt;"",ABS('Endrunde 4'!$R21-'Endrunde 4'!$T21)&gt;1),'Endrunde 4'!$T21,"")</f>
        <v/>
      </c>
      <c r="AH73" s="40" t="str">
        <f t="shared" ca="1" si="43"/>
        <v/>
      </c>
      <c r="AI73" s="35" t="str">
        <f t="shared" ca="1" si="44"/>
        <v/>
      </c>
      <c r="AJ73" s="40">
        <f ca="1">IF('Endrunde 4'!$U21="",0,'Endrunde 4'!$U21)</f>
        <v>0</v>
      </c>
      <c r="AK73" s="35">
        <f ca="1">IF('Endrunde 4'!$W21="",0,'Endrunde 4'!$W21)</f>
        <v>0</v>
      </c>
      <c r="AL73" s="13" t="str">
        <f ca="1">IF($AA73=0,"",IF($AJ73&gt;$AK73,Einstellungen!$C$4,IF($AJ73=$AK73,1,0)))</f>
        <v/>
      </c>
      <c r="AM73" s="35" t="str">
        <f ca="1">IF($AA73=0,"",IF($AJ73&lt;$AK73,Einstellungen!$C$4,IF($AJ73=$AK73,1,0)))</f>
        <v/>
      </c>
      <c r="AN73" s="13"/>
      <c r="AO73" s="13"/>
      <c r="AP73" s="13"/>
      <c r="AQ73" s="4"/>
    </row>
    <row r="74" spans="2:43" s="2" customFormat="1" x14ac:dyDescent="0.2">
      <c r="B74" s="4"/>
      <c r="C74" s="4"/>
      <c r="D74" s="4"/>
      <c r="E74" s="4"/>
      <c r="F74" s="13"/>
      <c r="G74" s="13"/>
      <c r="H74" s="13"/>
      <c r="I74" s="13"/>
      <c r="J74" s="13"/>
      <c r="K74" s="13"/>
      <c r="L74" s="13"/>
      <c r="M74" s="13"/>
      <c r="U74" s="65" t="s">
        <v>26</v>
      </c>
      <c r="V74" s="40" t="str">
        <f ca="1">'Endrunde 4'!$I22</f>
        <v>FC Barcelona</v>
      </c>
      <c r="W74" s="13" t="str">
        <f ca="1">'Endrunde 4'!$K22</f>
        <v/>
      </c>
      <c r="X74" s="13" t="str">
        <f ca="1">IF(AND($AA74=1,'Endrunde 4'!$L22&lt;&gt;"",'Endrunde 4'!$N22&lt;&gt;"",ABS('Endrunde 4'!$L22-'Endrunde 4'!$N22)&gt;1),'Endrunde 4'!$L22,"")</f>
        <v/>
      </c>
      <c r="Y74" s="35" t="str">
        <f ca="1">IF(AND($AA74=1,'Endrunde 4'!$L22&lt;&gt;"",'Endrunde 4'!$N22&lt;&gt;"",ABS('Endrunde 4'!$L22-'Endrunde 4'!$N22)&gt;1),'Endrunde 4'!$N22,"")</f>
        <v/>
      </c>
      <c r="Z74" s="34" t="str">
        <f t="shared" ca="1" si="42"/>
        <v>FC Barcelona</v>
      </c>
      <c r="AA74" s="13">
        <f ca="1">IF(AND(V74&lt;&gt;"",W74&lt;&gt;"",V74&lt;&gt;W74,'Endrunde 4'!$U22&lt;&gt;"",'Endrunde 4'!$W22&lt;&gt;""),1,0)</f>
        <v>0</v>
      </c>
      <c r="AB74" s="13" t="str">
        <f ca="1">IF(AA74&gt;0,AH74&amp;Sprache!$E$108&amp;AI74,"")</f>
        <v/>
      </c>
      <c r="AC74" s="35" t="str">
        <f ca="1">IF(AA74&gt;0,AJ74&amp;Sprache!$E$108&amp;AK74,"")</f>
        <v/>
      </c>
      <c r="AD74" s="40" t="str">
        <f ca="1">IF(AND($AA74=1,'Endrunde 4'!$O22&lt;&gt;"",'Endrunde 4'!$Q22&lt;&gt;"",ABS('Endrunde 4'!$O22-'Endrunde 4'!$Q22)&gt;1),'Endrunde 4'!$O22,"")</f>
        <v/>
      </c>
      <c r="AE74" s="35" t="str">
        <f ca="1">IF(AND($AA74=1,'Endrunde 4'!$O22&lt;&gt;"",'Endrunde 4'!$Q22&lt;&gt;"",ABS('Endrunde 4'!$O22-'Endrunde 4'!$Q22)&gt;1),'Endrunde 4'!$Q22,"")</f>
        <v/>
      </c>
      <c r="AF74" s="40" t="str">
        <f ca="1">IF(AND($AA74=1,'Endrunde 4'!$R22&lt;&gt;"",'Endrunde 4'!$T22&lt;&gt;"",ABS('Endrunde 4'!$R22-'Endrunde 4'!$T22)&gt;1),'Endrunde 4'!$R22,"")</f>
        <v/>
      </c>
      <c r="AG74" s="35" t="str">
        <f ca="1">IF(AND($AA74=1,'Endrunde 4'!$R22&lt;&gt;"",'Endrunde 4'!$T22&lt;&gt;"",ABS('Endrunde 4'!$R22-'Endrunde 4'!$T22)&gt;1),'Endrunde 4'!$T22,"")</f>
        <v/>
      </c>
      <c r="AH74" s="40" t="str">
        <f t="shared" ca="1" si="43"/>
        <v/>
      </c>
      <c r="AI74" s="35" t="str">
        <f t="shared" ca="1" si="44"/>
        <v/>
      </c>
      <c r="AJ74" s="40">
        <f ca="1">IF('Endrunde 4'!$U22="",0,'Endrunde 4'!$U22)</f>
        <v>0</v>
      </c>
      <c r="AK74" s="35">
        <f ca="1">IF('Endrunde 4'!$W22="",0,'Endrunde 4'!$W22)</f>
        <v>0</v>
      </c>
      <c r="AL74" s="13" t="str">
        <f ca="1">IF($AA74=0,"",IF($AJ74&gt;$AK74,Einstellungen!$C$4,IF($AJ74=$AK74,1,0)))</f>
        <v/>
      </c>
      <c r="AM74" s="35" t="str">
        <f ca="1">IF($AA74=0,"",IF($AJ74&lt;$AK74,Einstellungen!$C$4,IF($AJ74=$AK74,1,0)))</f>
        <v/>
      </c>
    </row>
    <row r="75" spans="2:43" s="2" customFormat="1" x14ac:dyDescent="0.2">
      <c r="B75" s="4"/>
      <c r="C75" s="4"/>
      <c r="D75" s="4"/>
      <c r="E75" s="4"/>
      <c r="F75" s="13"/>
      <c r="G75" s="13"/>
      <c r="H75" s="13"/>
      <c r="I75" s="13"/>
      <c r="J75" s="13"/>
      <c r="K75" s="13"/>
      <c r="L75" s="13"/>
      <c r="M75" s="13"/>
      <c r="U75" s="65" t="s">
        <v>27</v>
      </c>
      <c r="V75" s="40" t="str">
        <f ca="1">'Endrunde 4'!$I23</f>
        <v>VFB Essenheim</v>
      </c>
      <c r="W75" s="13" t="str">
        <f ca="1">'Endrunde 4'!$K23</f>
        <v>1. FC Riedwald</v>
      </c>
      <c r="X75" s="13">
        <f ca="1">IF(AND($AA75=1,'Endrunde 4'!$L23&lt;&gt;"",'Endrunde 4'!$N23&lt;&gt;"",ABS('Endrunde 4'!$L23-'Endrunde 4'!$N23)&gt;1),'Endrunde 4'!$L23,"")</f>
        <v>19</v>
      </c>
      <c r="Y75" s="35">
        <f ca="1">IF(AND($AA75=1,'Endrunde 4'!$L23&lt;&gt;"",'Endrunde 4'!$N23&lt;&gt;"",ABS('Endrunde 4'!$L23-'Endrunde 4'!$N23)&gt;1),'Endrunde 4'!$N23,"")</f>
        <v>25</v>
      </c>
      <c r="Z75" s="34" t="str">
        <f t="shared" ca="1" si="42"/>
        <v>VFB Essenheim1. FC Riedwald</v>
      </c>
      <c r="AA75" s="13">
        <f ca="1">IF(AND(V75&lt;&gt;"",W75&lt;&gt;"",V75&lt;&gt;W75,'Endrunde 4'!$U23&lt;&gt;"",'Endrunde 4'!$W23&lt;&gt;""),1,0)</f>
        <v>1</v>
      </c>
      <c r="AB75" s="13" t="str">
        <f ca="1">IF(AA75&gt;0,AH75&amp;Sprache!$E$108&amp;AI75,"")</f>
        <v>44 : 37</v>
      </c>
      <c r="AC75" s="35" t="str">
        <f ca="1">IF(AA75&gt;0,AJ75&amp;Sprache!$E$108&amp;AK75,"")</f>
        <v>1 : 1</v>
      </c>
      <c r="AD75" s="40">
        <f ca="1">IF(AND($AA75=1,'Endrunde 4'!$O23&lt;&gt;"",'Endrunde 4'!$Q23&lt;&gt;"",ABS('Endrunde 4'!$O23-'Endrunde 4'!$Q23)&gt;1),'Endrunde 4'!$O23,"")</f>
        <v>25</v>
      </c>
      <c r="AE75" s="35">
        <f ca="1">IF(AND($AA75=1,'Endrunde 4'!$O23&lt;&gt;"",'Endrunde 4'!$Q23&lt;&gt;"",ABS('Endrunde 4'!$O23-'Endrunde 4'!$Q23)&gt;1),'Endrunde 4'!$Q23,"")</f>
        <v>12</v>
      </c>
      <c r="AF75" s="40" t="str">
        <f ca="1">IF(AND($AA75=1,'Endrunde 4'!$R23&lt;&gt;"",'Endrunde 4'!$T23&lt;&gt;"",ABS('Endrunde 4'!$R23-'Endrunde 4'!$T23)&gt;1),'Endrunde 4'!$R23,"")</f>
        <v/>
      </c>
      <c r="AG75" s="35" t="str">
        <f ca="1">IF(AND($AA75=1,'Endrunde 4'!$R23&lt;&gt;"",'Endrunde 4'!$T23&lt;&gt;"",ABS('Endrunde 4'!$R23-'Endrunde 4'!$T23)&gt;1),'Endrunde 4'!$T23,"")</f>
        <v/>
      </c>
      <c r="AH75" s="40">
        <f t="shared" ca="1" si="43"/>
        <v>44</v>
      </c>
      <c r="AI75" s="35">
        <f t="shared" ca="1" si="44"/>
        <v>37</v>
      </c>
      <c r="AJ75" s="40">
        <f ca="1">IF('Endrunde 4'!$U23="",0,'Endrunde 4'!$U23)</f>
        <v>1</v>
      </c>
      <c r="AK75" s="35">
        <f ca="1">IF('Endrunde 4'!$W23="",0,'Endrunde 4'!$W23)</f>
        <v>1</v>
      </c>
      <c r="AL75" s="13">
        <f ca="1">IF($AA75=0,"",IF($AJ75&gt;$AK75,Einstellungen!$C$4,IF($AJ75=$AK75,1,0)))</f>
        <v>1</v>
      </c>
      <c r="AM75" s="35">
        <f ca="1">IF($AA75=0,"",IF($AJ75&lt;$AK75,Einstellungen!$C$4,IF($AJ75=$AK75,1,0)))</f>
        <v>1</v>
      </c>
    </row>
    <row r="76" spans="2:43" s="2" customFormat="1" x14ac:dyDescent="0.2">
      <c r="B76" s="4"/>
      <c r="C76" s="4"/>
      <c r="D76" s="4"/>
      <c r="E76" s="4"/>
      <c r="F76" s="13"/>
      <c r="G76" s="13"/>
      <c r="H76" s="13"/>
      <c r="I76" s="13"/>
      <c r="J76" s="13"/>
      <c r="K76" s="13"/>
      <c r="L76" s="13"/>
      <c r="M76" s="13"/>
      <c r="U76" s="65" t="s">
        <v>28</v>
      </c>
      <c r="V76" s="40" t="str">
        <f ca="1">'Endrunde 4'!$I24</f>
        <v>Eintracht Frankfurt</v>
      </c>
      <c r="W76" s="13" t="str">
        <f ca="1">'Endrunde 4'!$K24</f>
        <v>Maibach 1822 eV</v>
      </c>
      <c r="X76" s="13">
        <f ca="1">IF(AND($AA76=1,'Endrunde 4'!$L24&lt;&gt;"",'Endrunde 4'!$N24&lt;&gt;"",ABS('Endrunde 4'!$L24-'Endrunde 4'!$N24)&gt;1),'Endrunde 4'!$L24,"")</f>
        <v>13</v>
      </c>
      <c r="Y76" s="35">
        <f ca="1">IF(AND($AA76=1,'Endrunde 4'!$L24&lt;&gt;"",'Endrunde 4'!$N24&lt;&gt;"",ABS('Endrunde 4'!$L24-'Endrunde 4'!$N24)&gt;1),'Endrunde 4'!$N24,"")</f>
        <v>25</v>
      </c>
      <c r="Z76" s="34" t="str">
        <f t="shared" ca="1" si="42"/>
        <v>Eintracht FrankfurtMaibach 1822 eV</v>
      </c>
      <c r="AA76" s="13">
        <f ca="1">IF(AND(V76&lt;&gt;"",W76&lt;&gt;"",V76&lt;&gt;W76,'Endrunde 4'!$U24&lt;&gt;"",'Endrunde 4'!$W24&lt;&gt;""),1,0)</f>
        <v>1</v>
      </c>
      <c r="AB76" s="13" t="str">
        <f ca="1">IF(AA76&gt;0,AH76&amp;Sprache!$E$108&amp;AI76,"")</f>
        <v>31 : 50</v>
      </c>
      <c r="AC76" s="35" t="str">
        <f ca="1">IF(AA76&gt;0,AJ76&amp;Sprache!$E$108&amp;AK76,"")</f>
        <v>0 : 2</v>
      </c>
      <c r="AD76" s="40">
        <f ca="1">IF(AND($AA76=1,'Endrunde 4'!$O24&lt;&gt;"",'Endrunde 4'!$Q24&lt;&gt;"",ABS('Endrunde 4'!$O24-'Endrunde 4'!$Q24)&gt;1),'Endrunde 4'!$O24,"")</f>
        <v>18</v>
      </c>
      <c r="AE76" s="35">
        <f ca="1">IF(AND($AA76=1,'Endrunde 4'!$O24&lt;&gt;"",'Endrunde 4'!$Q24&lt;&gt;"",ABS('Endrunde 4'!$O24-'Endrunde 4'!$Q24)&gt;1),'Endrunde 4'!$Q24,"")</f>
        <v>25</v>
      </c>
      <c r="AF76" s="40" t="str">
        <f ca="1">IF(AND($AA76=1,'Endrunde 4'!$R24&lt;&gt;"",'Endrunde 4'!$T24&lt;&gt;"",ABS('Endrunde 4'!$R24-'Endrunde 4'!$T24)&gt;1),'Endrunde 4'!$R24,"")</f>
        <v/>
      </c>
      <c r="AG76" s="35" t="str">
        <f ca="1">IF(AND($AA76=1,'Endrunde 4'!$R24&lt;&gt;"",'Endrunde 4'!$T24&lt;&gt;"",ABS('Endrunde 4'!$R24-'Endrunde 4'!$T24)&gt;1),'Endrunde 4'!$T24,"")</f>
        <v/>
      </c>
      <c r="AH76" s="40">
        <f t="shared" ca="1" si="43"/>
        <v>31</v>
      </c>
      <c r="AI76" s="35">
        <f t="shared" ca="1" si="44"/>
        <v>50</v>
      </c>
      <c r="AJ76" s="40">
        <f ca="1">IF('Endrunde 4'!$U24="",0,'Endrunde 4'!$U24)</f>
        <v>0</v>
      </c>
      <c r="AK76" s="35">
        <f ca="1">IF('Endrunde 4'!$W24="",0,'Endrunde 4'!$W24)</f>
        <v>2</v>
      </c>
      <c r="AL76" s="13">
        <f ca="1">IF($AA76=0,"",IF($AJ76&gt;$AK76,Einstellungen!$C$4,IF($AJ76=$AK76,1,0)))</f>
        <v>0</v>
      </c>
      <c r="AM76" s="35">
        <f ca="1">IF($AA76=0,"",IF($AJ76&lt;$AK76,Einstellungen!$C$4,IF($AJ76=$AK76,1,0)))</f>
        <v>2</v>
      </c>
    </row>
    <row r="77" spans="2:43" s="2" customFormat="1" x14ac:dyDescent="0.2">
      <c r="B77" s="4"/>
      <c r="C77" s="4"/>
      <c r="D77" s="4"/>
      <c r="E77" s="4"/>
      <c r="F77" s="13"/>
      <c r="G77" s="13"/>
      <c r="H77" s="13"/>
      <c r="I77" s="13"/>
      <c r="J77" s="13"/>
      <c r="K77" s="13"/>
      <c r="L77" s="13"/>
      <c r="M77" s="13"/>
      <c r="U77" s="65" t="s">
        <v>29</v>
      </c>
      <c r="V77" s="40" t="str">
        <f ca="1">'Endrunde 4'!$I25</f>
        <v/>
      </c>
      <c r="W77" s="13" t="str">
        <f ca="1">'Endrunde 4'!$K25</f>
        <v/>
      </c>
      <c r="X77" s="13" t="str">
        <f ca="1">IF(AND($AA77=1,'Endrunde 4'!$L25&lt;&gt;"",'Endrunde 4'!$N25&lt;&gt;"",ABS('Endrunde 4'!$L25-'Endrunde 4'!$N25)&gt;1),'Endrunde 4'!$L25,"")</f>
        <v/>
      </c>
      <c r="Y77" s="35" t="str">
        <f ca="1">IF(AND($AA77=1,'Endrunde 4'!$L25&lt;&gt;"",'Endrunde 4'!$N25&lt;&gt;"",ABS('Endrunde 4'!$L25-'Endrunde 4'!$N25)&gt;1),'Endrunde 4'!$N25,"")</f>
        <v/>
      </c>
      <c r="Z77" s="34" t="str">
        <f t="shared" ca="1" si="42"/>
        <v/>
      </c>
      <c r="AA77" s="13">
        <f ca="1">IF(AND(V77&lt;&gt;"",W77&lt;&gt;"",V77&lt;&gt;W77,'Endrunde 4'!$U25&lt;&gt;"",'Endrunde 4'!$W25&lt;&gt;""),1,0)</f>
        <v>0</v>
      </c>
      <c r="AB77" s="13" t="str">
        <f ca="1">IF(AA77&gt;0,AH77&amp;Sprache!$E$108&amp;AI77,"")</f>
        <v/>
      </c>
      <c r="AC77" s="35" t="str">
        <f ca="1">IF(AA77&gt;0,AJ77&amp;Sprache!$E$108&amp;AK77,"")</f>
        <v/>
      </c>
      <c r="AD77" s="40" t="str">
        <f ca="1">IF(AND($AA77=1,'Endrunde 4'!$O25&lt;&gt;"",'Endrunde 4'!$Q25&lt;&gt;"",ABS('Endrunde 4'!$O25-'Endrunde 4'!$Q25)&gt;1),'Endrunde 4'!$O25,"")</f>
        <v/>
      </c>
      <c r="AE77" s="35" t="str">
        <f ca="1">IF(AND($AA77=1,'Endrunde 4'!$O25&lt;&gt;"",'Endrunde 4'!$Q25&lt;&gt;"",ABS('Endrunde 4'!$O25-'Endrunde 4'!$Q25)&gt;1),'Endrunde 4'!$Q25,"")</f>
        <v/>
      </c>
      <c r="AF77" s="40" t="str">
        <f ca="1">IF(AND($AA77=1,'Endrunde 4'!$R25&lt;&gt;"",'Endrunde 4'!$T25&lt;&gt;"",ABS('Endrunde 4'!$R25-'Endrunde 4'!$T25)&gt;1),'Endrunde 4'!$R25,"")</f>
        <v/>
      </c>
      <c r="AG77" s="35" t="str">
        <f ca="1">IF(AND($AA77=1,'Endrunde 4'!$R25&lt;&gt;"",'Endrunde 4'!$T25&lt;&gt;"",ABS('Endrunde 4'!$R25-'Endrunde 4'!$T25)&gt;1),'Endrunde 4'!$T25,"")</f>
        <v/>
      </c>
      <c r="AH77" s="40" t="str">
        <f t="shared" ca="1" si="43"/>
        <v/>
      </c>
      <c r="AI77" s="35" t="str">
        <f t="shared" ca="1" si="44"/>
        <v/>
      </c>
      <c r="AJ77" s="40">
        <f ca="1">IF('Endrunde 4'!$U25="",0,'Endrunde 4'!$U25)</f>
        <v>0</v>
      </c>
      <c r="AK77" s="35">
        <f ca="1">IF('Endrunde 4'!$W25="",0,'Endrunde 4'!$W25)</f>
        <v>0</v>
      </c>
      <c r="AL77" s="13" t="str">
        <f ca="1">IF($AA77=0,"",IF($AJ77&gt;$AK77,Einstellungen!$C$4,IF($AJ77=$AK77,1,0)))</f>
        <v/>
      </c>
      <c r="AM77" s="35" t="str">
        <f ca="1">IF($AA77=0,"",IF($AJ77&lt;$AK77,Einstellungen!$C$4,IF($AJ77=$AK77,1,0)))</f>
        <v/>
      </c>
    </row>
    <row r="78" spans="2:43" s="2" customFormat="1" x14ac:dyDescent="0.2">
      <c r="B78" s="4"/>
      <c r="C78" s="4"/>
      <c r="D78" s="4"/>
      <c r="E78" s="4"/>
      <c r="F78" s="13"/>
      <c r="G78" s="13"/>
      <c r="H78" s="13"/>
      <c r="I78" s="13"/>
      <c r="J78" s="13"/>
      <c r="K78" s="13"/>
      <c r="L78" s="13"/>
      <c r="M78" s="13"/>
      <c r="U78" s="65" t="s">
        <v>30</v>
      </c>
      <c r="V78" s="40" t="str">
        <f ca="1">'Endrunde 4'!$I26</f>
        <v>Inter Mailand</v>
      </c>
      <c r="W78" s="13" t="str">
        <f ca="1">'Endrunde 4'!$K26</f>
        <v/>
      </c>
      <c r="X78" s="13" t="str">
        <f ca="1">IF(AND($AA78=1,'Endrunde 4'!$L26&lt;&gt;"",'Endrunde 4'!$N26&lt;&gt;"",ABS('Endrunde 4'!$L26-'Endrunde 4'!$N26)&gt;1),'Endrunde 4'!$L26,"")</f>
        <v/>
      </c>
      <c r="Y78" s="35" t="str">
        <f ca="1">IF(AND($AA78=1,'Endrunde 4'!$L26&lt;&gt;"",'Endrunde 4'!$N26&lt;&gt;"",ABS('Endrunde 4'!$L26-'Endrunde 4'!$N26)&gt;1),'Endrunde 4'!$N26,"")</f>
        <v/>
      </c>
      <c r="Z78" s="34" t="str">
        <f t="shared" ca="1" si="42"/>
        <v>Inter Mailand</v>
      </c>
      <c r="AA78" s="13">
        <f ca="1">IF(AND(V78&lt;&gt;"",W78&lt;&gt;"",V78&lt;&gt;W78,'Endrunde 4'!$U26&lt;&gt;"",'Endrunde 4'!$W26&lt;&gt;""),1,0)</f>
        <v>0</v>
      </c>
      <c r="AB78" s="13" t="str">
        <f ca="1">IF(AA78&gt;0,AH78&amp;Sprache!$E$108&amp;AI78,"")</f>
        <v/>
      </c>
      <c r="AC78" s="35" t="str">
        <f ca="1">IF(AA78&gt;0,AJ78&amp;Sprache!$E$108&amp;AK78,"")</f>
        <v/>
      </c>
      <c r="AD78" s="40" t="str">
        <f ca="1">IF(AND($AA78=1,'Endrunde 4'!$O26&lt;&gt;"",'Endrunde 4'!$Q26&lt;&gt;"",ABS('Endrunde 4'!$O26-'Endrunde 4'!$Q26)&gt;1),'Endrunde 4'!$O26,"")</f>
        <v/>
      </c>
      <c r="AE78" s="35" t="str">
        <f ca="1">IF(AND($AA78=1,'Endrunde 4'!$O26&lt;&gt;"",'Endrunde 4'!$Q26&lt;&gt;"",ABS('Endrunde 4'!$O26-'Endrunde 4'!$Q26)&gt;1),'Endrunde 4'!$Q26,"")</f>
        <v/>
      </c>
      <c r="AF78" s="40" t="str">
        <f ca="1">IF(AND($AA78=1,'Endrunde 4'!$R26&lt;&gt;"",'Endrunde 4'!$T26&lt;&gt;"",ABS('Endrunde 4'!$R26-'Endrunde 4'!$T26)&gt;1),'Endrunde 4'!$R26,"")</f>
        <v/>
      </c>
      <c r="AG78" s="35" t="str">
        <f ca="1">IF(AND($AA78=1,'Endrunde 4'!$R26&lt;&gt;"",'Endrunde 4'!$T26&lt;&gt;"",ABS('Endrunde 4'!$R26-'Endrunde 4'!$T26)&gt;1),'Endrunde 4'!$T26,"")</f>
        <v/>
      </c>
      <c r="AH78" s="40" t="str">
        <f t="shared" ca="1" si="43"/>
        <v/>
      </c>
      <c r="AI78" s="35" t="str">
        <f t="shared" ca="1" si="44"/>
        <v/>
      </c>
      <c r="AJ78" s="40">
        <f ca="1">IF('Endrunde 4'!$U26="",0,'Endrunde 4'!$U26)</f>
        <v>0</v>
      </c>
      <c r="AK78" s="35">
        <f ca="1">IF('Endrunde 4'!$W26="",0,'Endrunde 4'!$W26)</f>
        <v>0</v>
      </c>
      <c r="AL78" s="13" t="str">
        <f ca="1">IF($AA78=0,"",IF($AJ78&gt;$AK78,Einstellungen!$C$4,IF($AJ78=$AK78,1,0)))</f>
        <v/>
      </c>
      <c r="AM78" s="35" t="str">
        <f ca="1">IF($AA78=0,"",IF($AJ78&lt;$AK78,Einstellungen!$C$4,IF($AJ78=$AK78,1,0)))</f>
        <v/>
      </c>
    </row>
    <row r="79" spans="2:43" s="2" customFormat="1" x14ac:dyDescent="0.2">
      <c r="B79" s="4"/>
      <c r="C79" s="4"/>
      <c r="D79" s="4"/>
      <c r="E79" s="4"/>
      <c r="F79" s="13"/>
      <c r="G79" s="13"/>
      <c r="H79" s="13"/>
      <c r="I79" s="13"/>
      <c r="J79" s="13"/>
      <c r="K79" s="13"/>
      <c r="L79" s="13"/>
      <c r="M79" s="13"/>
      <c r="U79" s="65" t="s">
        <v>31</v>
      </c>
      <c r="V79" s="40" t="str">
        <f ca="1">'Endrunde 4'!$I27</f>
        <v>FC Grönlingen</v>
      </c>
      <c r="W79" s="13" t="str">
        <f ca="1">'Endrunde 4'!$K27</f>
        <v>SSV Wildbach</v>
      </c>
      <c r="X79" s="13">
        <f ca="1">IF(AND($AA79=1,'Endrunde 4'!$L27&lt;&gt;"",'Endrunde 4'!$N27&lt;&gt;"",ABS('Endrunde 4'!$L27-'Endrunde 4'!$N27)&gt;1),'Endrunde 4'!$L27,"")</f>
        <v>22</v>
      </c>
      <c r="Y79" s="35">
        <f ca="1">IF(AND($AA79=1,'Endrunde 4'!$L27&lt;&gt;"",'Endrunde 4'!$N27&lt;&gt;"",ABS('Endrunde 4'!$L27-'Endrunde 4'!$N27)&gt;1),'Endrunde 4'!$N27,"")</f>
        <v>25</v>
      </c>
      <c r="Z79" s="34" t="str">
        <f t="shared" ca="1" si="42"/>
        <v>FC GrönlingenSSV Wildbach</v>
      </c>
      <c r="AA79" s="13">
        <f ca="1">IF(AND(V79&lt;&gt;"",W79&lt;&gt;"",V79&lt;&gt;W79,'Endrunde 4'!$U27&lt;&gt;"",'Endrunde 4'!$W27&lt;&gt;""),1,0)</f>
        <v>1</v>
      </c>
      <c r="AB79" s="13" t="str">
        <f ca="1">IF(AA79&gt;0,AH79&amp;Sprache!$E$108&amp;AI79,"")</f>
        <v>47 : 45</v>
      </c>
      <c r="AC79" s="35" t="str">
        <f ca="1">IF(AA79&gt;0,AJ79&amp;Sprache!$E$108&amp;AK79,"")</f>
        <v>1 : 1</v>
      </c>
      <c r="AD79" s="40">
        <f ca="1">IF(AND($AA79=1,'Endrunde 4'!$O27&lt;&gt;"",'Endrunde 4'!$Q27&lt;&gt;"",ABS('Endrunde 4'!$O27-'Endrunde 4'!$Q27)&gt;1),'Endrunde 4'!$O27,"")</f>
        <v>25</v>
      </c>
      <c r="AE79" s="35">
        <f ca="1">IF(AND($AA79=1,'Endrunde 4'!$O27&lt;&gt;"",'Endrunde 4'!$Q27&lt;&gt;"",ABS('Endrunde 4'!$O27-'Endrunde 4'!$Q27)&gt;1),'Endrunde 4'!$Q27,"")</f>
        <v>20</v>
      </c>
      <c r="AF79" s="40" t="str">
        <f ca="1">IF(AND($AA79=1,'Endrunde 4'!$R27&lt;&gt;"",'Endrunde 4'!$T27&lt;&gt;"",ABS('Endrunde 4'!$R27-'Endrunde 4'!$T27)&gt;1),'Endrunde 4'!$R27,"")</f>
        <v/>
      </c>
      <c r="AG79" s="35" t="str">
        <f ca="1">IF(AND($AA79=1,'Endrunde 4'!$R27&lt;&gt;"",'Endrunde 4'!$T27&lt;&gt;"",ABS('Endrunde 4'!$R27-'Endrunde 4'!$T27)&gt;1),'Endrunde 4'!$T27,"")</f>
        <v/>
      </c>
      <c r="AH79" s="40">
        <f t="shared" ca="1" si="43"/>
        <v>47</v>
      </c>
      <c r="AI79" s="35">
        <f t="shared" ca="1" si="44"/>
        <v>45</v>
      </c>
      <c r="AJ79" s="40">
        <f ca="1">IF('Endrunde 4'!$U27="",0,'Endrunde 4'!$U27)</f>
        <v>1</v>
      </c>
      <c r="AK79" s="35">
        <f ca="1">IF('Endrunde 4'!$W27="",0,'Endrunde 4'!$W27)</f>
        <v>1</v>
      </c>
      <c r="AL79" s="13">
        <f ca="1">IF($AA79=0,"",IF($AJ79&gt;$AK79,Einstellungen!$C$4,IF($AJ79=$AK79,1,0)))</f>
        <v>1</v>
      </c>
      <c r="AM79" s="35">
        <f ca="1">IF($AA79=0,"",IF($AJ79&lt;$AK79,Einstellungen!$C$4,IF($AJ79=$AK79,1,0)))</f>
        <v>1</v>
      </c>
    </row>
    <row r="80" spans="2:43" s="2" customFormat="1" x14ac:dyDescent="0.2">
      <c r="B80" s="4"/>
      <c r="C80" s="4"/>
      <c r="D80" s="4"/>
      <c r="E80" s="4"/>
      <c r="F80" s="13"/>
      <c r="G80" s="13"/>
      <c r="H80" s="13"/>
      <c r="I80" s="13"/>
      <c r="J80" s="13"/>
      <c r="K80" s="13"/>
      <c r="L80" s="13"/>
      <c r="M80" s="13"/>
      <c r="U80" s="65" t="s">
        <v>32</v>
      </c>
      <c r="V80" s="40" t="str">
        <f ca="1">'Endrunde 4'!$I28</f>
        <v>Mainz 05</v>
      </c>
      <c r="W80" s="13" t="str">
        <f ca="1">'Endrunde 4'!$K28</f>
        <v>Manchester City</v>
      </c>
      <c r="X80" s="13">
        <f ca="1">IF(AND($AA80=1,'Endrunde 4'!$L28&lt;&gt;"",'Endrunde 4'!$N28&lt;&gt;"",ABS('Endrunde 4'!$L28-'Endrunde 4'!$N28)&gt;1),'Endrunde 4'!$L28,"")</f>
        <v>19</v>
      </c>
      <c r="Y80" s="35">
        <f ca="1">IF(AND($AA80=1,'Endrunde 4'!$L28&lt;&gt;"",'Endrunde 4'!$N28&lt;&gt;"",ABS('Endrunde 4'!$L28-'Endrunde 4'!$N28)&gt;1),'Endrunde 4'!$N28,"")</f>
        <v>25</v>
      </c>
      <c r="Z80" s="34" t="str">
        <f t="shared" ca="1" si="42"/>
        <v>Mainz 05Manchester City</v>
      </c>
      <c r="AA80" s="13">
        <f ca="1">IF(AND(V80&lt;&gt;"",W80&lt;&gt;"",V80&lt;&gt;W80,'Endrunde 4'!$U28&lt;&gt;"",'Endrunde 4'!$W28&lt;&gt;""),1,0)</f>
        <v>1</v>
      </c>
      <c r="AB80" s="13" t="str">
        <f ca="1">IF(AA80&gt;0,AH80&amp;Sprache!$E$108&amp;AI80,"")</f>
        <v>44 : 44</v>
      </c>
      <c r="AC80" s="35" t="str">
        <f ca="1">IF(AA80&gt;0,AJ80&amp;Sprache!$E$108&amp;AK80,"")</f>
        <v>1 : 1</v>
      </c>
      <c r="AD80" s="40">
        <f ca="1">IF(AND($AA80=1,'Endrunde 4'!$O28&lt;&gt;"",'Endrunde 4'!$Q28&lt;&gt;"",ABS('Endrunde 4'!$O28-'Endrunde 4'!$Q28)&gt;1),'Endrunde 4'!$O28,"")</f>
        <v>25</v>
      </c>
      <c r="AE80" s="35">
        <f ca="1">IF(AND($AA80=1,'Endrunde 4'!$O28&lt;&gt;"",'Endrunde 4'!$Q28&lt;&gt;"",ABS('Endrunde 4'!$O28-'Endrunde 4'!$Q28)&gt;1),'Endrunde 4'!$Q28,"")</f>
        <v>19</v>
      </c>
      <c r="AF80" s="40" t="str">
        <f ca="1">IF(AND($AA80=1,'Endrunde 4'!$R28&lt;&gt;"",'Endrunde 4'!$T28&lt;&gt;"",ABS('Endrunde 4'!$R28-'Endrunde 4'!$T28)&gt;1),'Endrunde 4'!$R28,"")</f>
        <v/>
      </c>
      <c r="AG80" s="35" t="str">
        <f ca="1">IF(AND($AA80=1,'Endrunde 4'!$R28&lt;&gt;"",'Endrunde 4'!$T28&lt;&gt;"",ABS('Endrunde 4'!$R28-'Endrunde 4'!$T28)&gt;1),'Endrunde 4'!$T28,"")</f>
        <v/>
      </c>
      <c r="AH80" s="40">
        <f t="shared" ca="1" si="43"/>
        <v>44</v>
      </c>
      <c r="AI80" s="35">
        <f t="shared" ca="1" si="44"/>
        <v>44</v>
      </c>
      <c r="AJ80" s="40">
        <f ca="1">IF('Endrunde 4'!$U28="",0,'Endrunde 4'!$U28)</f>
        <v>1</v>
      </c>
      <c r="AK80" s="35">
        <f ca="1">IF('Endrunde 4'!$W28="",0,'Endrunde 4'!$W28)</f>
        <v>1</v>
      </c>
      <c r="AL80" s="13">
        <f ca="1">IF($AA80=0,"",IF($AJ80&gt;$AK80,Einstellungen!$C$4,IF($AJ80=$AK80,1,0)))</f>
        <v>1</v>
      </c>
      <c r="AM80" s="35">
        <f ca="1">IF($AA80=0,"",IF($AJ80&lt;$AK80,Einstellungen!$C$4,IF($AJ80=$AK80,1,0)))</f>
        <v>1</v>
      </c>
    </row>
    <row r="81" spans="2:39" s="2" customFormat="1" x14ac:dyDescent="0.2">
      <c r="B81" s="4"/>
      <c r="C81" s="4"/>
      <c r="D81" s="4"/>
      <c r="E81" s="4"/>
      <c r="F81" s="13"/>
      <c r="G81" s="13"/>
      <c r="H81" s="13"/>
      <c r="I81" s="13"/>
      <c r="J81" s="13"/>
      <c r="K81" s="13"/>
      <c r="L81" s="13"/>
      <c r="M81" s="13"/>
      <c r="U81" s="65" t="s">
        <v>33</v>
      </c>
      <c r="V81" s="40" t="str">
        <f ca="1">'Endrunde 4'!$I29</f>
        <v/>
      </c>
      <c r="W81" s="13" t="str">
        <f ca="1">'Endrunde 4'!$K29</f>
        <v/>
      </c>
      <c r="X81" s="13" t="str">
        <f ca="1">IF(AND($AA81=1,'Endrunde 4'!$L29&lt;&gt;"",'Endrunde 4'!$N29&lt;&gt;"",ABS('Endrunde 4'!$L29-'Endrunde 4'!$N29)&gt;1),'Endrunde 4'!$L29,"")</f>
        <v/>
      </c>
      <c r="Y81" s="35" t="str">
        <f ca="1">IF(AND($AA81=1,'Endrunde 4'!$L29&lt;&gt;"",'Endrunde 4'!$N29&lt;&gt;"",ABS('Endrunde 4'!$L29-'Endrunde 4'!$N29)&gt;1),'Endrunde 4'!$N29,"")</f>
        <v/>
      </c>
      <c r="Z81" s="34" t="str">
        <f t="shared" ca="1" si="42"/>
        <v/>
      </c>
      <c r="AA81" s="13">
        <f ca="1">IF(AND(V81&lt;&gt;"",W81&lt;&gt;"",V81&lt;&gt;W81,'Endrunde 4'!$U29&lt;&gt;"",'Endrunde 4'!$W29&lt;&gt;""),1,0)</f>
        <v>0</v>
      </c>
      <c r="AB81" s="13" t="str">
        <f ca="1">IF(AA81&gt;0,AH81&amp;Sprache!$E$108&amp;AI81,"")</f>
        <v/>
      </c>
      <c r="AC81" s="35" t="str">
        <f ca="1">IF(AA81&gt;0,AJ81&amp;Sprache!$E$108&amp;AK81,"")</f>
        <v/>
      </c>
      <c r="AD81" s="40" t="str">
        <f ca="1">IF(AND($AA81=1,'Endrunde 4'!$O29&lt;&gt;"",'Endrunde 4'!$Q29&lt;&gt;"",ABS('Endrunde 4'!$O29-'Endrunde 4'!$Q29)&gt;1),'Endrunde 4'!$O29,"")</f>
        <v/>
      </c>
      <c r="AE81" s="35" t="str">
        <f ca="1">IF(AND($AA81=1,'Endrunde 4'!$O29&lt;&gt;"",'Endrunde 4'!$Q29&lt;&gt;"",ABS('Endrunde 4'!$O29-'Endrunde 4'!$Q29)&gt;1),'Endrunde 4'!$Q29,"")</f>
        <v/>
      </c>
      <c r="AF81" s="40" t="str">
        <f ca="1">IF(AND($AA81=1,'Endrunde 4'!$R29&lt;&gt;"",'Endrunde 4'!$T29&lt;&gt;"",ABS('Endrunde 4'!$R29-'Endrunde 4'!$T29)&gt;1),'Endrunde 4'!$R29,"")</f>
        <v/>
      </c>
      <c r="AG81" s="35" t="str">
        <f ca="1">IF(AND($AA81=1,'Endrunde 4'!$R29&lt;&gt;"",'Endrunde 4'!$T29&lt;&gt;"",ABS('Endrunde 4'!$R29-'Endrunde 4'!$T29)&gt;1),'Endrunde 4'!$T29,"")</f>
        <v/>
      </c>
      <c r="AH81" s="40" t="str">
        <f t="shared" ca="1" si="43"/>
        <v/>
      </c>
      <c r="AI81" s="35" t="str">
        <f t="shared" ca="1" si="44"/>
        <v/>
      </c>
      <c r="AJ81" s="40">
        <f ca="1">IF('Endrunde 4'!$U29="",0,'Endrunde 4'!$U29)</f>
        <v>0</v>
      </c>
      <c r="AK81" s="35">
        <f ca="1">IF('Endrunde 4'!$W29="",0,'Endrunde 4'!$W29)</f>
        <v>0</v>
      </c>
      <c r="AL81" s="13" t="str">
        <f ca="1">IF($AA81=0,"",IF($AJ81&gt;$AK81,Einstellungen!$C$4,IF($AJ81=$AK81,1,0)))</f>
        <v/>
      </c>
      <c r="AM81" s="35" t="str">
        <f ca="1">IF($AA81=0,"",IF($AJ81&lt;$AK81,Einstellungen!$C$4,IF($AJ81=$AK81,1,0)))</f>
        <v/>
      </c>
    </row>
    <row r="82" spans="2:39" s="2" customFormat="1" x14ac:dyDescent="0.2">
      <c r="B82" s="4"/>
      <c r="C82" s="4"/>
      <c r="D82" s="4"/>
      <c r="E82" s="4"/>
      <c r="F82" s="13"/>
      <c r="G82" s="13"/>
      <c r="H82" s="13"/>
      <c r="I82" s="13"/>
      <c r="J82" s="13"/>
      <c r="K82" s="13"/>
      <c r="L82" s="13"/>
      <c r="M82" s="13"/>
      <c r="U82" s="65" t="s">
        <v>34</v>
      </c>
      <c r="V82" s="40" t="str">
        <f ca="1">'Endrunde 4'!$I30</f>
        <v/>
      </c>
      <c r="W82" s="13" t="str">
        <f ca="1">'Endrunde 4'!$K30</f>
        <v/>
      </c>
      <c r="X82" s="13" t="str">
        <f ca="1">IF(AND($AA82=1,'Endrunde 4'!$L30&lt;&gt;"",'Endrunde 4'!$N30&lt;&gt;"",ABS('Endrunde 4'!$L30-'Endrunde 4'!$N30)&gt;1),'Endrunde 4'!$L30,"")</f>
        <v/>
      </c>
      <c r="Y82" s="35" t="str">
        <f ca="1">IF(AND($AA82=1,'Endrunde 4'!$L30&lt;&gt;"",'Endrunde 4'!$N30&lt;&gt;"",ABS('Endrunde 4'!$L30-'Endrunde 4'!$N30)&gt;1),'Endrunde 4'!$N30,"")</f>
        <v/>
      </c>
      <c r="Z82" s="34" t="str">
        <f t="shared" ca="1" si="42"/>
        <v/>
      </c>
      <c r="AA82" s="13">
        <f ca="1">IF(AND(V82&lt;&gt;"",W82&lt;&gt;"",V82&lt;&gt;W82,'Endrunde 4'!$U30&lt;&gt;"",'Endrunde 4'!$W30&lt;&gt;""),1,0)</f>
        <v>0</v>
      </c>
      <c r="AB82" s="13" t="str">
        <f ca="1">IF(AA82&gt;0,AH82&amp;Sprache!$E$108&amp;AI82,"")</f>
        <v/>
      </c>
      <c r="AC82" s="35" t="str">
        <f ca="1">IF(AA82&gt;0,AJ82&amp;Sprache!$E$108&amp;AK82,"")</f>
        <v/>
      </c>
      <c r="AD82" s="40" t="str">
        <f ca="1">IF(AND($AA82=1,'Endrunde 4'!$O30&lt;&gt;"",'Endrunde 4'!$Q30&lt;&gt;"",ABS('Endrunde 4'!$O30-'Endrunde 4'!$Q30)&gt;1),'Endrunde 4'!$O30,"")</f>
        <v/>
      </c>
      <c r="AE82" s="35" t="str">
        <f ca="1">IF(AND($AA82=1,'Endrunde 4'!$O30&lt;&gt;"",'Endrunde 4'!$Q30&lt;&gt;"",ABS('Endrunde 4'!$O30-'Endrunde 4'!$Q30)&gt;1),'Endrunde 4'!$Q30,"")</f>
        <v/>
      </c>
      <c r="AF82" s="40" t="str">
        <f ca="1">IF(AND($AA82=1,'Endrunde 4'!$R30&lt;&gt;"",'Endrunde 4'!$T30&lt;&gt;"",ABS('Endrunde 4'!$R30-'Endrunde 4'!$T30)&gt;1),'Endrunde 4'!$R30,"")</f>
        <v/>
      </c>
      <c r="AG82" s="35" t="str">
        <f ca="1">IF(AND($AA82=1,'Endrunde 4'!$R30&lt;&gt;"",'Endrunde 4'!$T30&lt;&gt;"",ABS('Endrunde 4'!$R30-'Endrunde 4'!$T30)&gt;1),'Endrunde 4'!$T30,"")</f>
        <v/>
      </c>
      <c r="AH82" s="40" t="str">
        <f t="shared" ca="1" si="43"/>
        <v/>
      </c>
      <c r="AI82" s="35" t="str">
        <f t="shared" ca="1" si="44"/>
        <v/>
      </c>
      <c r="AJ82" s="40">
        <f ca="1">IF('Endrunde 4'!$U30="",0,'Endrunde 4'!$U30)</f>
        <v>0</v>
      </c>
      <c r="AK82" s="35">
        <f ca="1">IF('Endrunde 4'!$W30="",0,'Endrunde 4'!$W30)</f>
        <v>0</v>
      </c>
      <c r="AL82" s="13" t="str">
        <f ca="1">IF($AA82=0,"",IF($AJ82&gt;$AK82,Einstellungen!$C$4,IF($AJ82=$AK82,1,0)))</f>
        <v/>
      </c>
      <c r="AM82" s="35" t="str">
        <f ca="1">IF($AA82=0,"",IF($AJ82&lt;$AK82,Einstellungen!$C$4,IF($AJ82=$AK82,1,0)))</f>
        <v/>
      </c>
    </row>
    <row r="83" spans="2:39" s="2" customFormat="1" x14ac:dyDescent="0.2">
      <c r="B83" s="4"/>
      <c r="C83" s="4"/>
      <c r="D83" s="4"/>
      <c r="E83" s="4"/>
      <c r="F83" s="13"/>
      <c r="G83" s="13"/>
      <c r="H83" s="13"/>
      <c r="I83" s="13"/>
      <c r="J83" s="13"/>
      <c r="K83" s="13"/>
      <c r="L83" s="13"/>
      <c r="M83" s="13"/>
      <c r="U83" s="65" t="s">
        <v>35</v>
      </c>
      <c r="V83" s="40" t="str">
        <f ca="1">'Endrunde 4'!$I31</f>
        <v>1. FC Riedwald</v>
      </c>
      <c r="W83" s="13" t="str">
        <f ca="1">'Endrunde 4'!$K31</f>
        <v>SSV Wildbach</v>
      </c>
      <c r="X83" s="13">
        <f ca="1">IF(AND($AA83=1,'Endrunde 4'!$L31&lt;&gt;"",'Endrunde 4'!$N31&lt;&gt;"",ABS('Endrunde 4'!$L31-'Endrunde 4'!$N31)&gt;1),'Endrunde 4'!$L31,"")</f>
        <v>14</v>
      </c>
      <c r="Y83" s="35">
        <f ca="1">IF(AND($AA83=1,'Endrunde 4'!$L31&lt;&gt;"",'Endrunde 4'!$N31&lt;&gt;"",ABS('Endrunde 4'!$L31-'Endrunde 4'!$N31)&gt;1),'Endrunde 4'!$N31,"")</f>
        <v>25</v>
      </c>
      <c r="Z83" s="34" t="str">
        <f t="shared" ca="1" si="42"/>
        <v>1. FC RiedwaldSSV Wildbach</v>
      </c>
      <c r="AA83" s="13">
        <f ca="1">IF(AND(V83&lt;&gt;"",W83&lt;&gt;"",V83&lt;&gt;W83,'Endrunde 4'!$U31&lt;&gt;"",'Endrunde 4'!$W31&lt;&gt;""),1,0)</f>
        <v>1</v>
      </c>
      <c r="AB83" s="13" t="str">
        <f ca="1">IF(AA83&gt;0,AH83&amp;Sprache!$E$108&amp;AI83,"")</f>
        <v>39 : 48</v>
      </c>
      <c r="AC83" s="35" t="str">
        <f ca="1">IF(AA83&gt;0,AJ83&amp;Sprache!$E$108&amp;AK83,"")</f>
        <v>1 : 1</v>
      </c>
      <c r="AD83" s="40">
        <f ca="1">IF(AND($AA83=1,'Endrunde 4'!$O31&lt;&gt;"",'Endrunde 4'!$Q31&lt;&gt;"",ABS('Endrunde 4'!$O31-'Endrunde 4'!$Q31)&gt;1),'Endrunde 4'!$O31,"")</f>
        <v>25</v>
      </c>
      <c r="AE83" s="35">
        <f ca="1">IF(AND($AA83=1,'Endrunde 4'!$O31&lt;&gt;"",'Endrunde 4'!$Q31&lt;&gt;"",ABS('Endrunde 4'!$O31-'Endrunde 4'!$Q31)&gt;1),'Endrunde 4'!$Q31,"")</f>
        <v>23</v>
      </c>
      <c r="AF83" s="40" t="str">
        <f ca="1">IF(AND($AA83=1,'Endrunde 4'!$R31&lt;&gt;"",'Endrunde 4'!$T31&lt;&gt;"",ABS('Endrunde 4'!$R31-'Endrunde 4'!$T31)&gt;1),'Endrunde 4'!$R31,"")</f>
        <v/>
      </c>
      <c r="AG83" s="35" t="str">
        <f ca="1">IF(AND($AA83=1,'Endrunde 4'!$R31&lt;&gt;"",'Endrunde 4'!$T31&lt;&gt;"",ABS('Endrunde 4'!$R31-'Endrunde 4'!$T31)&gt;1),'Endrunde 4'!$T31,"")</f>
        <v/>
      </c>
      <c r="AH83" s="40">
        <f t="shared" ca="1" si="43"/>
        <v>39</v>
      </c>
      <c r="AI83" s="35">
        <f t="shared" ca="1" si="44"/>
        <v>48</v>
      </c>
      <c r="AJ83" s="40">
        <f ca="1">IF('Endrunde 4'!$U31="",0,'Endrunde 4'!$U31)</f>
        <v>1</v>
      </c>
      <c r="AK83" s="35">
        <f ca="1">IF('Endrunde 4'!$W31="",0,'Endrunde 4'!$W31)</f>
        <v>1</v>
      </c>
      <c r="AL83" s="13">
        <f ca="1">IF($AA83=0,"",IF($AJ83&gt;$AK83,Einstellungen!$C$4,IF($AJ83=$AK83,1,0)))</f>
        <v>1</v>
      </c>
      <c r="AM83" s="35">
        <f ca="1">IF($AA83=0,"",IF($AJ83&lt;$AK83,Einstellungen!$C$4,IF($AJ83=$AK83,1,0)))</f>
        <v>1</v>
      </c>
    </row>
    <row r="84" spans="2:39" s="2" customFormat="1" x14ac:dyDescent="0.2">
      <c r="B84" s="4"/>
      <c r="C84" s="4"/>
      <c r="D84" s="4"/>
      <c r="E84" s="4"/>
      <c r="F84" s="13"/>
      <c r="G84" s="13"/>
      <c r="H84" s="13"/>
      <c r="I84" s="13"/>
      <c r="J84" s="13"/>
      <c r="K84" s="13"/>
      <c r="L84" s="13"/>
      <c r="M84" s="13"/>
      <c r="U84" s="65" t="s">
        <v>36</v>
      </c>
      <c r="V84" s="40" t="str">
        <f ca="1">'Endrunde 4'!$I32</f>
        <v>Maibach 1822 eV</v>
      </c>
      <c r="W84" s="13" t="str">
        <f ca="1">'Endrunde 4'!$K32</f>
        <v>Manchester City</v>
      </c>
      <c r="X84" s="13">
        <f ca="1">IF(AND($AA84=1,'Endrunde 4'!$L32&lt;&gt;"",'Endrunde 4'!$N32&lt;&gt;"",ABS('Endrunde 4'!$L32-'Endrunde 4'!$N32)&gt;1),'Endrunde 4'!$L32,"")</f>
        <v>21</v>
      </c>
      <c r="Y84" s="35">
        <f ca="1">IF(AND($AA84=1,'Endrunde 4'!$L32&lt;&gt;"",'Endrunde 4'!$N32&lt;&gt;"",ABS('Endrunde 4'!$L32-'Endrunde 4'!$N32)&gt;1),'Endrunde 4'!$N32,"")</f>
        <v>25</v>
      </c>
      <c r="Z84" s="34" t="str">
        <f t="shared" ca="1" si="42"/>
        <v>Maibach 1822 eVManchester City</v>
      </c>
      <c r="AA84" s="13">
        <f ca="1">IF(AND(V84&lt;&gt;"",W84&lt;&gt;"",V84&lt;&gt;W84,'Endrunde 4'!$U32&lt;&gt;"",'Endrunde 4'!$W32&lt;&gt;""),1,0)</f>
        <v>1</v>
      </c>
      <c r="AB84" s="13" t="str">
        <f ca="1">IF(AA84&gt;0,AH84&amp;Sprache!$E$108&amp;AI84,"")</f>
        <v>46 : 42</v>
      </c>
      <c r="AC84" s="35" t="str">
        <f ca="1">IF(AA84&gt;0,AJ84&amp;Sprache!$E$108&amp;AK84,"")</f>
        <v>1 : 1</v>
      </c>
      <c r="AD84" s="40">
        <f ca="1">IF(AND($AA84=1,'Endrunde 4'!$O32&lt;&gt;"",'Endrunde 4'!$Q32&lt;&gt;"",ABS('Endrunde 4'!$O32-'Endrunde 4'!$Q32)&gt;1),'Endrunde 4'!$O32,"")</f>
        <v>25</v>
      </c>
      <c r="AE84" s="35">
        <f ca="1">IF(AND($AA84=1,'Endrunde 4'!$O32&lt;&gt;"",'Endrunde 4'!$Q32&lt;&gt;"",ABS('Endrunde 4'!$O32-'Endrunde 4'!$Q32)&gt;1),'Endrunde 4'!$Q32,"")</f>
        <v>17</v>
      </c>
      <c r="AF84" s="40" t="str">
        <f ca="1">IF(AND($AA84=1,'Endrunde 4'!$R32&lt;&gt;"",'Endrunde 4'!$T32&lt;&gt;"",ABS('Endrunde 4'!$R32-'Endrunde 4'!$T32)&gt;1),'Endrunde 4'!$R32,"")</f>
        <v/>
      </c>
      <c r="AG84" s="35" t="str">
        <f ca="1">IF(AND($AA84=1,'Endrunde 4'!$R32&lt;&gt;"",'Endrunde 4'!$T32&lt;&gt;"",ABS('Endrunde 4'!$R32-'Endrunde 4'!$T32)&gt;1),'Endrunde 4'!$T32,"")</f>
        <v/>
      </c>
      <c r="AH84" s="40">
        <f t="shared" ca="1" si="43"/>
        <v>46</v>
      </c>
      <c r="AI84" s="35">
        <f t="shared" ca="1" si="44"/>
        <v>42</v>
      </c>
      <c r="AJ84" s="40">
        <f ca="1">IF('Endrunde 4'!$U32="",0,'Endrunde 4'!$U32)</f>
        <v>1</v>
      </c>
      <c r="AK84" s="35">
        <f ca="1">IF('Endrunde 4'!$W32="",0,'Endrunde 4'!$W32)</f>
        <v>1</v>
      </c>
      <c r="AL84" s="13">
        <f ca="1">IF($AA84=0,"",IF($AJ84&gt;$AK84,Einstellungen!$C$4,IF($AJ84=$AK84,1,0)))</f>
        <v>1</v>
      </c>
      <c r="AM84" s="35">
        <f ca="1">IF($AA84=0,"",IF($AJ84&lt;$AK84,Einstellungen!$C$4,IF($AJ84=$AK84,1,0)))</f>
        <v>1</v>
      </c>
    </row>
    <row r="85" spans="2:39" s="2" customFormat="1" x14ac:dyDescent="0.2">
      <c r="B85" s="4"/>
      <c r="C85" s="4"/>
      <c r="D85" s="4"/>
      <c r="E85" s="4"/>
      <c r="F85" s="13"/>
      <c r="G85" s="13"/>
      <c r="H85" s="13"/>
      <c r="I85" s="13"/>
      <c r="J85" s="13"/>
      <c r="K85" s="13"/>
      <c r="L85" s="13"/>
      <c r="M85" s="13"/>
      <c r="U85" s="65" t="s">
        <v>37</v>
      </c>
      <c r="V85" s="40" t="str">
        <f ca="1">'Endrunde 4'!$I33</f>
        <v/>
      </c>
      <c r="W85" s="13" t="str">
        <f ca="1">'Endrunde 4'!$K33</f>
        <v/>
      </c>
      <c r="X85" s="13" t="str">
        <f ca="1">IF(AND($AA85=1,'Endrunde 4'!$L33&lt;&gt;"",'Endrunde 4'!$N33&lt;&gt;"",ABS('Endrunde 4'!$L33-'Endrunde 4'!$N33)&gt;1),'Endrunde 4'!$L33,"")</f>
        <v/>
      </c>
      <c r="Y85" s="35" t="str">
        <f ca="1">IF(AND($AA85=1,'Endrunde 4'!$L33&lt;&gt;"",'Endrunde 4'!$N33&lt;&gt;"",ABS('Endrunde 4'!$L33-'Endrunde 4'!$N33)&gt;1),'Endrunde 4'!$N33,"")</f>
        <v/>
      </c>
      <c r="Z85" s="34" t="str">
        <f t="shared" ca="1" si="42"/>
        <v/>
      </c>
      <c r="AA85" s="13">
        <f ca="1">IF(AND(V85&lt;&gt;"",W85&lt;&gt;"",V85&lt;&gt;W85,'Endrunde 4'!$U33&lt;&gt;"",'Endrunde 4'!$W33&lt;&gt;""),1,0)</f>
        <v>0</v>
      </c>
      <c r="AB85" s="13" t="str">
        <f ca="1">IF(AA85&gt;0,AH85&amp;Sprache!$E$108&amp;AI85,"")</f>
        <v/>
      </c>
      <c r="AC85" s="35" t="str">
        <f ca="1">IF(AA85&gt;0,AJ85&amp;Sprache!$E$108&amp;AK85,"")</f>
        <v/>
      </c>
      <c r="AD85" s="40" t="str">
        <f ca="1">IF(AND($AA85=1,'Endrunde 4'!$O33&lt;&gt;"",'Endrunde 4'!$Q33&lt;&gt;"",ABS('Endrunde 4'!$O33-'Endrunde 4'!$Q33)&gt;1),'Endrunde 4'!$O33,"")</f>
        <v/>
      </c>
      <c r="AE85" s="35" t="str">
        <f ca="1">IF(AND($AA85=1,'Endrunde 4'!$O33&lt;&gt;"",'Endrunde 4'!$Q33&lt;&gt;"",ABS('Endrunde 4'!$O33-'Endrunde 4'!$Q33)&gt;1),'Endrunde 4'!$Q33,"")</f>
        <v/>
      </c>
      <c r="AF85" s="40" t="str">
        <f ca="1">IF(AND($AA85=1,'Endrunde 4'!$R33&lt;&gt;"",'Endrunde 4'!$T33&lt;&gt;"",ABS('Endrunde 4'!$R33-'Endrunde 4'!$T33)&gt;1),'Endrunde 4'!$R33,"")</f>
        <v/>
      </c>
      <c r="AG85" s="35" t="str">
        <f ca="1">IF(AND($AA85=1,'Endrunde 4'!$R33&lt;&gt;"",'Endrunde 4'!$T33&lt;&gt;"",ABS('Endrunde 4'!$R33-'Endrunde 4'!$T33)&gt;1),'Endrunde 4'!$T33,"")</f>
        <v/>
      </c>
      <c r="AH85" s="40" t="str">
        <f t="shared" ca="1" si="43"/>
        <v/>
      </c>
      <c r="AI85" s="35" t="str">
        <f t="shared" ca="1" si="44"/>
        <v/>
      </c>
      <c r="AJ85" s="40">
        <f ca="1">IF('Endrunde 4'!$U33="",0,'Endrunde 4'!$U33)</f>
        <v>0</v>
      </c>
      <c r="AK85" s="35">
        <f ca="1">IF('Endrunde 4'!$W33="",0,'Endrunde 4'!$W33)</f>
        <v>0</v>
      </c>
      <c r="AL85" s="13" t="str">
        <f ca="1">IF($AA85=0,"",IF($AJ85&gt;$AK85,Einstellungen!$C$4,IF($AJ85=$AK85,1,0)))</f>
        <v/>
      </c>
      <c r="AM85" s="35" t="str">
        <f ca="1">IF($AA85=0,"",IF($AJ85&lt;$AK85,Einstellungen!$C$4,IF($AJ85=$AK85,1,0)))</f>
        <v/>
      </c>
    </row>
    <row r="86" spans="2:39" s="2" customFormat="1" x14ac:dyDescent="0.2">
      <c r="B86" s="4"/>
      <c r="C86" s="4"/>
      <c r="D86" s="4"/>
      <c r="E86" s="4"/>
      <c r="F86" s="13"/>
      <c r="G86" s="13"/>
      <c r="H86" s="13"/>
      <c r="I86" s="13"/>
      <c r="J86" s="13"/>
      <c r="K86" s="13"/>
      <c r="L86" s="13"/>
      <c r="M86" s="13"/>
      <c r="U86" s="65" t="s">
        <v>38</v>
      </c>
      <c r="V86" s="40" t="str">
        <f ca="1">'Endrunde 4'!$I34</f>
        <v>FC Barcelona</v>
      </c>
      <c r="W86" s="13" t="str">
        <f ca="1">'Endrunde 4'!$K34</f>
        <v>Inter Mailand</v>
      </c>
      <c r="X86" s="13">
        <f ca="1">IF(AND($AA86=1,'Endrunde 4'!$L34&lt;&gt;"",'Endrunde 4'!$N34&lt;&gt;"",ABS('Endrunde 4'!$L34-'Endrunde 4'!$N34)&gt;1),'Endrunde 4'!$L34,"")</f>
        <v>20</v>
      </c>
      <c r="Y86" s="35">
        <f ca="1">IF(AND($AA86=1,'Endrunde 4'!$L34&lt;&gt;"",'Endrunde 4'!$N34&lt;&gt;"",ABS('Endrunde 4'!$L34-'Endrunde 4'!$N34)&gt;1),'Endrunde 4'!$N34,"")</f>
        <v>25</v>
      </c>
      <c r="Z86" s="34" t="str">
        <f t="shared" ca="1" si="42"/>
        <v>FC BarcelonaInter Mailand</v>
      </c>
      <c r="AA86" s="13">
        <f ca="1">IF(AND(V86&lt;&gt;"",W86&lt;&gt;"",V86&lt;&gt;W86,'Endrunde 4'!$U34&lt;&gt;"",'Endrunde 4'!$W34&lt;&gt;""),1,0)</f>
        <v>1</v>
      </c>
      <c r="AB86" s="13" t="str">
        <f ca="1">IF(AA86&gt;0,AH86&amp;Sprache!$E$108&amp;AI86,"")</f>
        <v>70 : 65</v>
      </c>
      <c r="AC86" s="35" t="str">
        <f ca="1">IF(AA86&gt;0,AJ86&amp;Sprache!$E$108&amp;AK86,"")</f>
        <v>2 : 1</v>
      </c>
      <c r="AD86" s="40">
        <f ca="1">IF(AND($AA86=1,'Endrunde 4'!$O34&lt;&gt;"",'Endrunde 4'!$Q34&lt;&gt;"",ABS('Endrunde 4'!$O34-'Endrunde 4'!$Q34)&gt;1),'Endrunde 4'!$O34,"")</f>
        <v>25</v>
      </c>
      <c r="AE86" s="35">
        <f ca="1">IF(AND($AA86=1,'Endrunde 4'!$O34&lt;&gt;"",'Endrunde 4'!$Q34&lt;&gt;"",ABS('Endrunde 4'!$O34-'Endrunde 4'!$Q34)&gt;1),'Endrunde 4'!$Q34,"")</f>
        <v>18</v>
      </c>
      <c r="AF86" s="40">
        <f ca="1">IF(AND($AA86=1,'Endrunde 4'!$R34&lt;&gt;"",'Endrunde 4'!$T34&lt;&gt;"",ABS('Endrunde 4'!$R34-'Endrunde 4'!$T34)&gt;1),'Endrunde 4'!$R34,"")</f>
        <v>25</v>
      </c>
      <c r="AG86" s="35">
        <f ca="1">IF(AND($AA86=1,'Endrunde 4'!$R34&lt;&gt;"",'Endrunde 4'!$T34&lt;&gt;"",ABS('Endrunde 4'!$R34-'Endrunde 4'!$T34)&gt;1),'Endrunde 4'!$T34,"")</f>
        <v>22</v>
      </c>
      <c r="AH86" s="40">
        <f t="shared" ca="1" si="43"/>
        <v>70</v>
      </c>
      <c r="AI86" s="35">
        <f t="shared" ca="1" si="44"/>
        <v>65</v>
      </c>
      <c r="AJ86" s="40">
        <f ca="1">IF('Endrunde 4'!$U34="",0,'Endrunde 4'!$U34)</f>
        <v>2</v>
      </c>
      <c r="AK86" s="35">
        <f ca="1">IF('Endrunde 4'!$W34="",0,'Endrunde 4'!$W34)</f>
        <v>1</v>
      </c>
      <c r="AL86" s="13">
        <f ca="1">IF($AA86=0,"",IF($AJ86&gt;$AK86,Einstellungen!$C$4,IF($AJ86=$AK86,1,0)))</f>
        <v>2</v>
      </c>
      <c r="AM86" s="35">
        <f ca="1">IF($AA86=0,"",IF($AJ86&lt;$AK86,Einstellungen!$C$4,IF($AJ86=$AK86,1,0)))</f>
        <v>0</v>
      </c>
    </row>
    <row r="87" spans="2:39" s="2" customFormat="1" x14ac:dyDescent="0.2">
      <c r="B87" s="4"/>
      <c r="C87" s="4"/>
      <c r="D87" s="4"/>
      <c r="E87" s="4"/>
      <c r="F87" s="13"/>
      <c r="G87" s="13"/>
      <c r="H87" s="13"/>
      <c r="I87" s="13"/>
      <c r="J87" s="13"/>
      <c r="K87" s="13"/>
      <c r="L87" s="13"/>
      <c r="M87" s="13"/>
      <c r="U87" s="65" t="s">
        <v>39</v>
      </c>
      <c r="V87" s="40" t="str">
        <f ca="1">'Endrunde 4'!$I35</f>
        <v>VFB Essenheim</v>
      </c>
      <c r="W87" s="13" t="str">
        <f ca="1">'Endrunde 4'!$K35</f>
        <v>FC Grönlingen</v>
      </c>
      <c r="X87" s="13">
        <f ca="1">IF(AND($AA87=1,'Endrunde 4'!$L35&lt;&gt;"",'Endrunde 4'!$N35&lt;&gt;"",ABS('Endrunde 4'!$L35-'Endrunde 4'!$N35)&gt;1),'Endrunde 4'!$L35,"")</f>
        <v>25</v>
      </c>
      <c r="Y87" s="35">
        <f ca="1">IF(AND($AA87=1,'Endrunde 4'!$L35&lt;&gt;"",'Endrunde 4'!$N35&lt;&gt;"",ABS('Endrunde 4'!$L35-'Endrunde 4'!$N35)&gt;1),'Endrunde 4'!$N35,"")</f>
        <v>20</v>
      </c>
      <c r="Z87" s="34" t="str">
        <f t="shared" ca="1" si="42"/>
        <v>VFB EssenheimFC Grönlingen</v>
      </c>
      <c r="AA87" s="13">
        <f ca="1">IF(AND(V87&lt;&gt;"",W87&lt;&gt;"",V87&lt;&gt;W87,'Endrunde 4'!$U35&lt;&gt;"",'Endrunde 4'!$W35&lt;&gt;""),1,0)</f>
        <v>1</v>
      </c>
      <c r="AB87" s="13" t="str">
        <f ca="1">IF(AA87&gt;0,AH87&amp;Sprache!$E$108&amp;AI87,"")</f>
        <v>50 : 39</v>
      </c>
      <c r="AC87" s="35" t="str">
        <f ca="1">IF(AA87&gt;0,AJ87&amp;Sprache!$E$108&amp;AK87,"")</f>
        <v>2 : 0</v>
      </c>
      <c r="AD87" s="40">
        <f ca="1">IF(AND($AA87=1,'Endrunde 4'!$O35&lt;&gt;"",'Endrunde 4'!$Q35&lt;&gt;"",ABS('Endrunde 4'!$O35-'Endrunde 4'!$Q35)&gt;1),'Endrunde 4'!$O35,"")</f>
        <v>25</v>
      </c>
      <c r="AE87" s="35">
        <f ca="1">IF(AND($AA87=1,'Endrunde 4'!$O35&lt;&gt;"",'Endrunde 4'!$Q35&lt;&gt;"",ABS('Endrunde 4'!$O35-'Endrunde 4'!$Q35)&gt;1),'Endrunde 4'!$Q35,"")</f>
        <v>19</v>
      </c>
      <c r="AF87" s="40" t="str">
        <f ca="1">IF(AND($AA87=1,'Endrunde 4'!$R35&lt;&gt;"",'Endrunde 4'!$T35&lt;&gt;"",ABS('Endrunde 4'!$R35-'Endrunde 4'!$T35)&gt;1),'Endrunde 4'!$R35,"")</f>
        <v/>
      </c>
      <c r="AG87" s="35" t="str">
        <f ca="1">IF(AND($AA87=1,'Endrunde 4'!$R35&lt;&gt;"",'Endrunde 4'!$T35&lt;&gt;"",ABS('Endrunde 4'!$R35-'Endrunde 4'!$T35)&gt;1),'Endrunde 4'!$T35,"")</f>
        <v/>
      </c>
      <c r="AH87" s="40">
        <f t="shared" ca="1" si="43"/>
        <v>50</v>
      </c>
      <c r="AI87" s="35">
        <f t="shared" ca="1" si="44"/>
        <v>39</v>
      </c>
      <c r="AJ87" s="40">
        <f ca="1">IF('Endrunde 4'!$U35="",0,'Endrunde 4'!$U35)</f>
        <v>2</v>
      </c>
      <c r="AK87" s="35">
        <f ca="1">IF('Endrunde 4'!$W35="",0,'Endrunde 4'!$W35)</f>
        <v>0</v>
      </c>
      <c r="AL87" s="13">
        <f ca="1">IF($AA87=0,"",IF($AJ87&gt;$AK87,Einstellungen!$C$4,IF($AJ87=$AK87,1,0)))</f>
        <v>2</v>
      </c>
      <c r="AM87" s="35">
        <f ca="1">IF($AA87=0,"",IF($AJ87&lt;$AK87,Einstellungen!$C$4,IF($AJ87=$AK87,1,0)))</f>
        <v>0</v>
      </c>
    </row>
    <row r="88" spans="2:39" s="2" customFormat="1" ht="12.75" thickBot="1" x14ac:dyDescent="0.25">
      <c r="B88" s="4"/>
      <c r="C88" s="4"/>
      <c r="D88" s="4"/>
      <c r="E88" s="4"/>
      <c r="F88" s="13"/>
      <c r="G88" s="13"/>
      <c r="H88" s="13"/>
      <c r="I88" s="13"/>
      <c r="J88" s="13"/>
      <c r="K88" s="13"/>
      <c r="L88" s="13"/>
      <c r="M88" s="13"/>
      <c r="U88" s="754" t="s">
        <v>40</v>
      </c>
      <c r="V88" s="755" t="str">
        <f ca="1">'Endrunde 4'!$I36</f>
        <v>Eintracht Frankfurt</v>
      </c>
      <c r="W88" s="756" t="str">
        <f ca="1">'Endrunde 4'!$K36</f>
        <v>Mainz 05</v>
      </c>
      <c r="X88" s="756">
        <f ca="1">IF(AND($AA88=1,'Endrunde 4'!$L36&lt;&gt;"",'Endrunde 4'!$N36&lt;&gt;"",ABS('Endrunde 4'!$L36-'Endrunde 4'!$N36)&gt;1),'Endrunde 4'!$L36,"")</f>
        <v>25</v>
      </c>
      <c r="Y88" s="757">
        <f ca="1">IF(AND($AA88=1,'Endrunde 4'!$L36&lt;&gt;"",'Endrunde 4'!$N36&lt;&gt;"",ABS('Endrunde 4'!$L36-'Endrunde 4'!$N36)&gt;1),'Endrunde 4'!$N36,"")</f>
        <v>13</v>
      </c>
      <c r="Z88" s="758" t="str">
        <f t="shared" ca="1" si="42"/>
        <v>Eintracht FrankfurtMainz 05</v>
      </c>
      <c r="AA88" s="756">
        <f ca="1">IF(AND(V88&lt;&gt;"",W88&lt;&gt;"",V88&lt;&gt;W88,'Endrunde 4'!$U36&lt;&gt;"",'Endrunde 4'!$W36&lt;&gt;""),1,0)</f>
        <v>1</v>
      </c>
      <c r="AB88" s="756" t="str">
        <f ca="1">IF(AA88&gt;0,AH88&amp;Sprache!$E$108&amp;AI88,"")</f>
        <v>50 : 33</v>
      </c>
      <c r="AC88" s="757" t="str">
        <f ca="1">IF(AA88&gt;0,AJ88&amp;Sprache!$E$108&amp;AK88,"")</f>
        <v>2 : 0</v>
      </c>
      <c r="AD88" s="755">
        <f ca="1">IF(AND($AA88=1,'Endrunde 4'!$O36&lt;&gt;"",'Endrunde 4'!$Q36&lt;&gt;"",ABS('Endrunde 4'!$O36-'Endrunde 4'!$Q36)&gt;1),'Endrunde 4'!$O36,"")</f>
        <v>25</v>
      </c>
      <c r="AE88" s="757">
        <f ca="1">IF(AND($AA88=1,'Endrunde 4'!$O36&lt;&gt;"",'Endrunde 4'!$Q36&lt;&gt;"",ABS('Endrunde 4'!$O36-'Endrunde 4'!$Q36)&gt;1),'Endrunde 4'!$Q36,"")</f>
        <v>20</v>
      </c>
      <c r="AF88" s="755" t="str">
        <f ca="1">IF(AND($AA88=1,'Endrunde 4'!$R36&lt;&gt;"",'Endrunde 4'!$T36&lt;&gt;"",ABS('Endrunde 4'!$R36-'Endrunde 4'!$T36)&gt;1),'Endrunde 4'!$R36,"")</f>
        <v/>
      </c>
      <c r="AG88" s="757" t="str">
        <f ca="1">IF(AND($AA88=1,'Endrunde 4'!$R36&lt;&gt;"",'Endrunde 4'!$T36&lt;&gt;"",ABS('Endrunde 4'!$R36-'Endrunde 4'!$T36)&gt;1),'Endrunde 4'!$T36,"")</f>
        <v/>
      </c>
      <c r="AH88" s="755">
        <f t="shared" ca="1" si="43"/>
        <v>50</v>
      </c>
      <c r="AI88" s="757">
        <f t="shared" ca="1" si="44"/>
        <v>33</v>
      </c>
      <c r="AJ88" s="755">
        <f ca="1">IF('Endrunde 4'!$U36="",0,'Endrunde 4'!$U36)</f>
        <v>2</v>
      </c>
      <c r="AK88" s="757">
        <f ca="1">IF('Endrunde 4'!$W36="",0,'Endrunde 4'!$W36)</f>
        <v>0</v>
      </c>
      <c r="AL88" s="756">
        <f ca="1">IF($AA88=0,"",IF($AJ88&gt;$AK88,Einstellungen!$C$4,IF($AJ88=$AK88,1,0)))</f>
        <v>2</v>
      </c>
      <c r="AM88" s="757">
        <f ca="1">IF($AA88=0,"",IF($AJ88&lt;$AK88,Einstellungen!$C$4,IF($AJ88=$AK88,1,0)))</f>
        <v>0</v>
      </c>
    </row>
    <row r="89" spans="2:39" s="2" customFormat="1" ht="12.75" thickTop="1" x14ac:dyDescent="0.2">
      <c r="B89" s="4"/>
      <c r="C89" s="4"/>
      <c r="D89" s="4"/>
      <c r="E89" s="4"/>
      <c r="F89" s="13"/>
      <c r="G89" s="13"/>
      <c r="H89" s="13"/>
      <c r="I89" s="13"/>
      <c r="J89" s="13"/>
      <c r="K89" s="13"/>
      <c r="L89" s="13"/>
      <c r="M89" s="13"/>
      <c r="U89" s="65" t="s">
        <v>41</v>
      </c>
      <c r="V89" s="40" t="str">
        <f>""</f>
        <v/>
      </c>
      <c r="W89" s="13" t="str">
        <f>""</f>
        <v/>
      </c>
      <c r="X89" s="13" t="str">
        <f>""</f>
        <v/>
      </c>
      <c r="Y89" s="35" t="str">
        <f>""</f>
        <v/>
      </c>
      <c r="Z89" s="34" t="str">
        <f>""</f>
        <v/>
      </c>
      <c r="AA89" s="13">
        <v>0</v>
      </c>
      <c r="AB89" s="13" t="str">
        <f>""</f>
        <v/>
      </c>
      <c r="AC89" s="35"/>
      <c r="AD89" s="40" t="str">
        <f>""</f>
        <v/>
      </c>
      <c r="AE89" s="35" t="str">
        <f>""</f>
        <v/>
      </c>
      <c r="AF89" s="40" t="str">
        <f>""</f>
        <v/>
      </c>
      <c r="AG89" s="35" t="str">
        <f>""</f>
        <v/>
      </c>
      <c r="AH89" s="40" t="str">
        <f>""</f>
        <v/>
      </c>
      <c r="AI89" s="35" t="str">
        <f>""</f>
        <v/>
      </c>
      <c r="AJ89" s="40"/>
      <c r="AK89" s="35"/>
      <c r="AL89" s="13" t="str">
        <f>""</f>
        <v/>
      </c>
      <c r="AM89" s="35" t="str">
        <f>""</f>
        <v/>
      </c>
    </row>
    <row r="90" spans="2:39" s="2" customFormat="1" x14ac:dyDescent="0.2">
      <c r="B90" s="4"/>
      <c r="C90" s="4"/>
      <c r="D90" s="4"/>
      <c r="E90" s="4"/>
      <c r="F90" s="13"/>
      <c r="G90" s="13"/>
      <c r="H90" s="13"/>
      <c r="I90" s="13"/>
      <c r="J90" s="13"/>
      <c r="K90" s="13"/>
      <c r="L90" s="13"/>
      <c r="M90" s="13"/>
      <c r="U90" s="65" t="s">
        <v>42</v>
      </c>
      <c r="V90" s="40" t="str">
        <f>""</f>
        <v/>
      </c>
      <c r="W90" s="13" t="str">
        <f>""</f>
        <v/>
      </c>
      <c r="X90" s="13" t="str">
        <f>""</f>
        <v/>
      </c>
      <c r="Y90" s="35" t="str">
        <f>""</f>
        <v/>
      </c>
      <c r="Z90" s="34" t="str">
        <f>""</f>
        <v/>
      </c>
      <c r="AA90" s="13">
        <v>0</v>
      </c>
      <c r="AB90" s="13" t="str">
        <f>""</f>
        <v/>
      </c>
      <c r="AC90" s="35"/>
      <c r="AD90" s="40" t="str">
        <f>""</f>
        <v/>
      </c>
      <c r="AE90" s="35" t="str">
        <f>""</f>
        <v/>
      </c>
      <c r="AF90" s="40" t="str">
        <f>""</f>
        <v/>
      </c>
      <c r="AG90" s="35" t="str">
        <f>""</f>
        <v/>
      </c>
      <c r="AH90" s="40" t="str">
        <f>""</f>
        <v/>
      </c>
      <c r="AI90" s="35" t="str">
        <f>""</f>
        <v/>
      </c>
      <c r="AJ90" s="40"/>
      <c r="AK90" s="35"/>
      <c r="AL90" s="13" t="str">
        <f>""</f>
        <v/>
      </c>
      <c r="AM90" s="35" t="str">
        <f>""</f>
        <v/>
      </c>
    </row>
    <row r="91" spans="2:39" s="2" customFormat="1" x14ac:dyDescent="0.2">
      <c r="B91" s="4"/>
      <c r="C91" s="4"/>
      <c r="D91" s="4"/>
      <c r="E91" s="4"/>
      <c r="F91" s="13"/>
      <c r="G91" s="13"/>
      <c r="H91" s="13"/>
      <c r="I91" s="13"/>
      <c r="J91" s="13"/>
      <c r="K91" s="13"/>
      <c r="L91" s="13"/>
      <c r="M91" s="13"/>
      <c r="U91" s="65" t="s">
        <v>43</v>
      </c>
      <c r="V91" s="40" t="str">
        <f>""</f>
        <v/>
      </c>
      <c r="W91" s="13" t="str">
        <f>""</f>
        <v/>
      </c>
      <c r="X91" s="13" t="str">
        <f>""</f>
        <v/>
      </c>
      <c r="Y91" s="35" t="str">
        <f>""</f>
        <v/>
      </c>
      <c r="Z91" s="34" t="str">
        <f>""</f>
        <v/>
      </c>
      <c r="AA91" s="13">
        <v>0</v>
      </c>
      <c r="AB91" s="13" t="str">
        <f>""</f>
        <v/>
      </c>
      <c r="AC91" s="35"/>
      <c r="AD91" s="40" t="str">
        <f>""</f>
        <v/>
      </c>
      <c r="AE91" s="35" t="str">
        <f>""</f>
        <v/>
      </c>
      <c r="AF91" s="40" t="str">
        <f>""</f>
        <v/>
      </c>
      <c r="AG91" s="35" t="str">
        <f>""</f>
        <v/>
      </c>
      <c r="AH91" s="40" t="str">
        <f>""</f>
        <v/>
      </c>
      <c r="AI91" s="35" t="str">
        <f>""</f>
        <v/>
      </c>
      <c r="AJ91" s="40"/>
      <c r="AK91" s="35"/>
      <c r="AL91" s="13" t="str">
        <f>""</f>
        <v/>
      </c>
      <c r="AM91" s="35" t="str">
        <f>""</f>
        <v/>
      </c>
    </row>
    <row r="92" spans="2:39" s="2" customFormat="1" x14ac:dyDescent="0.2">
      <c r="B92" s="4"/>
      <c r="C92" s="4"/>
      <c r="D92" s="4"/>
      <c r="E92" s="4"/>
      <c r="F92" s="13"/>
      <c r="G92" s="13"/>
      <c r="H92" s="13"/>
      <c r="I92" s="13"/>
      <c r="J92" s="13"/>
      <c r="K92" s="13"/>
      <c r="L92" s="13"/>
      <c r="M92" s="13"/>
      <c r="U92" s="65" t="s">
        <v>44</v>
      </c>
      <c r="V92" s="40" t="str">
        <f>""</f>
        <v/>
      </c>
      <c r="W92" s="13" t="str">
        <f>""</f>
        <v/>
      </c>
      <c r="X92" s="13" t="str">
        <f>""</f>
        <v/>
      </c>
      <c r="Y92" s="35" t="str">
        <f>""</f>
        <v/>
      </c>
      <c r="Z92" s="34" t="str">
        <f>""</f>
        <v/>
      </c>
      <c r="AA92" s="13">
        <v>0</v>
      </c>
      <c r="AB92" s="13" t="str">
        <f>""</f>
        <v/>
      </c>
      <c r="AC92" s="35"/>
      <c r="AD92" s="40" t="str">
        <f>""</f>
        <v/>
      </c>
      <c r="AE92" s="35" t="str">
        <f>""</f>
        <v/>
      </c>
      <c r="AF92" s="40" t="str">
        <f>""</f>
        <v/>
      </c>
      <c r="AG92" s="35" t="str">
        <f>""</f>
        <v/>
      </c>
      <c r="AH92" s="40" t="str">
        <f>""</f>
        <v/>
      </c>
      <c r="AI92" s="35" t="str">
        <f>""</f>
        <v/>
      </c>
      <c r="AJ92" s="40"/>
      <c r="AK92" s="35"/>
      <c r="AL92" s="13" t="str">
        <f>""</f>
        <v/>
      </c>
      <c r="AM92" s="35" t="str">
        <f>""</f>
        <v/>
      </c>
    </row>
    <row r="93" spans="2:39" s="2" customFormat="1" x14ac:dyDescent="0.2">
      <c r="B93" s="4"/>
      <c r="C93" s="4"/>
      <c r="D93" s="4"/>
      <c r="E93" s="4"/>
      <c r="F93" s="13"/>
      <c r="G93" s="13"/>
      <c r="H93" s="13"/>
      <c r="I93" s="13"/>
      <c r="J93" s="13"/>
      <c r="K93" s="13"/>
      <c r="L93" s="13"/>
      <c r="M93" s="13"/>
      <c r="U93" s="65" t="s">
        <v>45</v>
      </c>
      <c r="V93" s="40" t="str">
        <f>""</f>
        <v/>
      </c>
      <c r="W93" s="13" t="str">
        <f>""</f>
        <v/>
      </c>
      <c r="X93" s="13" t="str">
        <f>""</f>
        <v/>
      </c>
      <c r="Y93" s="35" t="str">
        <f>""</f>
        <v/>
      </c>
      <c r="Z93" s="34" t="str">
        <f>""</f>
        <v/>
      </c>
      <c r="AA93" s="13">
        <v>0</v>
      </c>
      <c r="AB93" s="13" t="str">
        <f>""</f>
        <v/>
      </c>
      <c r="AC93" s="35"/>
      <c r="AD93" s="40" t="str">
        <f>""</f>
        <v/>
      </c>
      <c r="AE93" s="35" t="str">
        <f>""</f>
        <v/>
      </c>
      <c r="AF93" s="40" t="str">
        <f>""</f>
        <v/>
      </c>
      <c r="AG93" s="35" t="str">
        <f>""</f>
        <v/>
      </c>
      <c r="AH93" s="40" t="str">
        <f>""</f>
        <v/>
      </c>
      <c r="AI93" s="35" t="str">
        <f>""</f>
        <v/>
      </c>
      <c r="AJ93" s="40"/>
      <c r="AK93" s="35"/>
      <c r="AL93" s="13" t="str">
        <f>""</f>
        <v/>
      </c>
      <c r="AM93" s="35" t="str">
        <f>""</f>
        <v/>
      </c>
    </row>
    <row r="94" spans="2:39" s="2" customFormat="1" x14ac:dyDescent="0.2">
      <c r="B94" s="4"/>
      <c r="C94" s="4"/>
      <c r="D94" s="4"/>
      <c r="E94" s="4"/>
      <c r="F94" s="13"/>
      <c r="G94" s="13"/>
      <c r="H94" s="13"/>
      <c r="I94" s="13"/>
      <c r="J94" s="13"/>
      <c r="K94" s="13"/>
      <c r="L94" s="13"/>
      <c r="M94" s="13"/>
      <c r="U94" s="65" t="s">
        <v>46</v>
      </c>
      <c r="V94" s="40" t="str">
        <f>""</f>
        <v/>
      </c>
      <c r="W94" s="13" t="str">
        <f>""</f>
        <v/>
      </c>
      <c r="X94" s="13" t="str">
        <f>""</f>
        <v/>
      </c>
      <c r="Y94" s="35" t="str">
        <f>""</f>
        <v/>
      </c>
      <c r="Z94" s="34" t="str">
        <f>""</f>
        <v/>
      </c>
      <c r="AA94" s="13">
        <v>0</v>
      </c>
      <c r="AB94" s="13" t="str">
        <f>""</f>
        <v/>
      </c>
      <c r="AC94" s="35"/>
      <c r="AD94" s="40" t="str">
        <f>""</f>
        <v/>
      </c>
      <c r="AE94" s="35" t="str">
        <f>""</f>
        <v/>
      </c>
      <c r="AF94" s="40" t="str">
        <f>""</f>
        <v/>
      </c>
      <c r="AG94" s="35" t="str">
        <f>""</f>
        <v/>
      </c>
      <c r="AH94" s="40" t="str">
        <f>""</f>
        <v/>
      </c>
      <c r="AI94" s="35" t="str">
        <f>""</f>
        <v/>
      </c>
      <c r="AJ94" s="40"/>
      <c r="AK94" s="35"/>
      <c r="AL94" s="13" t="str">
        <f>""</f>
        <v/>
      </c>
      <c r="AM94" s="35" t="str">
        <f>""</f>
        <v/>
      </c>
    </row>
    <row r="95" spans="2:39" s="2" customFormat="1" x14ac:dyDescent="0.2">
      <c r="B95" s="4"/>
      <c r="C95" s="4"/>
      <c r="D95" s="4"/>
      <c r="E95" s="4"/>
      <c r="F95" s="13"/>
      <c r="G95" s="13"/>
      <c r="H95" s="13"/>
      <c r="I95" s="13"/>
      <c r="J95" s="13"/>
      <c r="K95" s="13"/>
      <c r="L95" s="13"/>
      <c r="M95" s="13"/>
      <c r="U95" s="65" t="s">
        <v>47</v>
      </c>
      <c r="V95" s="40" t="str">
        <f>""</f>
        <v/>
      </c>
      <c r="W95" s="13" t="str">
        <f>""</f>
        <v/>
      </c>
      <c r="X95" s="13" t="str">
        <f>""</f>
        <v/>
      </c>
      <c r="Y95" s="35" t="str">
        <f>""</f>
        <v/>
      </c>
      <c r="Z95" s="34" t="str">
        <f>""</f>
        <v/>
      </c>
      <c r="AA95" s="13">
        <v>0</v>
      </c>
      <c r="AB95" s="13" t="str">
        <f>""</f>
        <v/>
      </c>
      <c r="AC95" s="35"/>
      <c r="AD95" s="40" t="str">
        <f>""</f>
        <v/>
      </c>
      <c r="AE95" s="35" t="str">
        <f>""</f>
        <v/>
      </c>
      <c r="AF95" s="40" t="str">
        <f>""</f>
        <v/>
      </c>
      <c r="AG95" s="35" t="str">
        <f>""</f>
        <v/>
      </c>
      <c r="AH95" s="40" t="str">
        <f>""</f>
        <v/>
      </c>
      <c r="AI95" s="35" t="str">
        <f>""</f>
        <v/>
      </c>
      <c r="AJ95" s="40"/>
      <c r="AK95" s="35"/>
      <c r="AL95" s="13" t="str">
        <f>""</f>
        <v/>
      </c>
      <c r="AM95" s="35" t="str">
        <f>""</f>
        <v/>
      </c>
    </row>
    <row r="96" spans="2:39" s="2" customFormat="1" x14ac:dyDescent="0.2">
      <c r="B96" s="4"/>
      <c r="C96" s="4"/>
      <c r="D96" s="4"/>
      <c r="E96" s="4"/>
      <c r="F96" s="13"/>
      <c r="G96" s="13"/>
      <c r="H96" s="13"/>
      <c r="I96" s="13"/>
      <c r="J96" s="13"/>
      <c r="K96" s="13"/>
      <c r="L96" s="13"/>
      <c r="M96" s="13"/>
      <c r="U96" s="65" t="s">
        <v>48</v>
      </c>
      <c r="V96" s="40" t="str">
        <f>""</f>
        <v/>
      </c>
      <c r="W96" s="13" t="str">
        <f>""</f>
        <v/>
      </c>
      <c r="X96" s="13" t="str">
        <f>""</f>
        <v/>
      </c>
      <c r="Y96" s="35" t="str">
        <f>""</f>
        <v/>
      </c>
      <c r="Z96" s="34" t="str">
        <f>""</f>
        <v/>
      </c>
      <c r="AA96" s="13">
        <v>0</v>
      </c>
      <c r="AB96" s="13" t="str">
        <f>""</f>
        <v/>
      </c>
      <c r="AC96" s="35"/>
      <c r="AD96" s="40" t="str">
        <f>""</f>
        <v/>
      </c>
      <c r="AE96" s="35" t="str">
        <f>""</f>
        <v/>
      </c>
      <c r="AF96" s="40" t="str">
        <f>""</f>
        <v/>
      </c>
      <c r="AG96" s="35" t="str">
        <f>""</f>
        <v/>
      </c>
      <c r="AH96" s="40" t="str">
        <f>""</f>
        <v/>
      </c>
      <c r="AI96" s="35" t="str">
        <f>""</f>
        <v/>
      </c>
      <c r="AJ96" s="40"/>
      <c r="AK96" s="35"/>
      <c r="AL96" s="13" t="str">
        <f>""</f>
        <v/>
      </c>
      <c r="AM96" s="35" t="str">
        <f>""</f>
        <v/>
      </c>
    </row>
    <row r="97" spans="2:39" s="2" customFormat="1" x14ac:dyDescent="0.2">
      <c r="B97" s="4"/>
      <c r="C97" s="4"/>
      <c r="D97" s="4"/>
      <c r="E97" s="4"/>
      <c r="F97" s="13"/>
      <c r="G97" s="13"/>
      <c r="H97" s="13"/>
      <c r="I97" s="13"/>
      <c r="J97" s="13"/>
      <c r="K97" s="13"/>
      <c r="L97" s="13"/>
      <c r="M97" s="13"/>
      <c r="U97" s="65" t="s">
        <v>49</v>
      </c>
      <c r="V97" s="40" t="str">
        <f>""</f>
        <v/>
      </c>
      <c r="W97" s="13" t="str">
        <f>""</f>
        <v/>
      </c>
      <c r="X97" s="13" t="str">
        <f>""</f>
        <v/>
      </c>
      <c r="Y97" s="35" t="str">
        <f>""</f>
        <v/>
      </c>
      <c r="Z97" s="34" t="str">
        <f>""</f>
        <v/>
      </c>
      <c r="AA97" s="13">
        <v>0</v>
      </c>
      <c r="AB97" s="13" t="str">
        <f>""</f>
        <v/>
      </c>
      <c r="AC97" s="35"/>
      <c r="AD97" s="40" t="str">
        <f>""</f>
        <v/>
      </c>
      <c r="AE97" s="35" t="str">
        <f>""</f>
        <v/>
      </c>
      <c r="AF97" s="40" t="str">
        <f>""</f>
        <v/>
      </c>
      <c r="AG97" s="35" t="str">
        <f>""</f>
        <v/>
      </c>
      <c r="AH97" s="40" t="str">
        <f>""</f>
        <v/>
      </c>
      <c r="AI97" s="35" t="str">
        <f>""</f>
        <v/>
      </c>
      <c r="AJ97" s="40"/>
      <c r="AK97" s="35"/>
      <c r="AL97" s="13" t="str">
        <f>""</f>
        <v/>
      </c>
      <c r="AM97" s="35" t="str">
        <f>""</f>
        <v/>
      </c>
    </row>
    <row r="98" spans="2:39" s="2" customFormat="1" x14ac:dyDescent="0.2">
      <c r="B98" s="4"/>
      <c r="C98" s="4"/>
      <c r="D98" s="4"/>
      <c r="E98" s="4"/>
      <c r="F98" s="13"/>
      <c r="G98" s="13"/>
      <c r="H98" s="13"/>
      <c r="I98" s="13"/>
      <c r="J98" s="13"/>
      <c r="K98" s="13"/>
      <c r="L98" s="13"/>
      <c r="M98" s="13"/>
      <c r="U98" s="65" t="s">
        <v>50</v>
      </c>
      <c r="V98" s="40" t="str">
        <f>""</f>
        <v/>
      </c>
      <c r="W98" s="13" t="str">
        <f>""</f>
        <v/>
      </c>
      <c r="X98" s="13" t="str">
        <f>""</f>
        <v/>
      </c>
      <c r="Y98" s="35" t="str">
        <f>""</f>
        <v/>
      </c>
      <c r="Z98" s="34" t="str">
        <f>""</f>
        <v/>
      </c>
      <c r="AA98" s="13">
        <v>0</v>
      </c>
      <c r="AB98" s="13" t="str">
        <f>""</f>
        <v/>
      </c>
      <c r="AC98" s="35"/>
      <c r="AD98" s="40" t="str">
        <f>""</f>
        <v/>
      </c>
      <c r="AE98" s="35" t="str">
        <f>""</f>
        <v/>
      </c>
      <c r="AF98" s="40" t="str">
        <f>""</f>
        <v/>
      </c>
      <c r="AG98" s="35" t="str">
        <f>""</f>
        <v/>
      </c>
      <c r="AH98" s="40" t="str">
        <f>""</f>
        <v/>
      </c>
      <c r="AI98" s="35" t="str">
        <f>""</f>
        <v/>
      </c>
      <c r="AJ98" s="40"/>
      <c r="AK98" s="35"/>
      <c r="AL98" s="13" t="str">
        <f>""</f>
        <v/>
      </c>
      <c r="AM98" s="35" t="str">
        <f>""</f>
        <v/>
      </c>
    </row>
    <row r="99" spans="2:39" s="2" customFormat="1" x14ac:dyDescent="0.2">
      <c r="B99" s="4"/>
      <c r="C99" s="4"/>
      <c r="D99" s="4"/>
      <c r="E99" s="4"/>
      <c r="F99" s="13"/>
      <c r="G99" s="13"/>
      <c r="H99" s="13"/>
      <c r="I99" s="13"/>
      <c r="J99" s="13"/>
      <c r="K99" s="13"/>
      <c r="L99" s="13"/>
      <c r="M99" s="13"/>
      <c r="U99" s="65" t="s">
        <v>51</v>
      </c>
      <c r="V99" s="40" t="str">
        <f>""</f>
        <v/>
      </c>
      <c r="W99" s="13" t="str">
        <f>""</f>
        <v/>
      </c>
      <c r="X99" s="13" t="str">
        <f>""</f>
        <v/>
      </c>
      <c r="Y99" s="35" t="str">
        <f>""</f>
        <v/>
      </c>
      <c r="Z99" s="34" t="str">
        <f>""</f>
        <v/>
      </c>
      <c r="AA99" s="13">
        <v>0</v>
      </c>
      <c r="AB99" s="13" t="str">
        <f>""</f>
        <v/>
      </c>
      <c r="AC99" s="35"/>
      <c r="AD99" s="40" t="str">
        <f>""</f>
        <v/>
      </c>
      <c r="AE99" s="35" t="str">
        <f>""</f>
        <v/>
      </c>
      <c r="AF99" s="40" t="str">
        <f>""</f>
        <v/>
      </c>
      <c r="AG99" s="35" t="str">
        <f>""</f>
        <v/>
      </c>
      <c r="AH99" s="40" t="str">
        <f>""</f>
        <v/>
      </c>
      <c r="AI99" s="35" t="str">
        <f>""</f>
        <v/>
      </c>
      <c r="AJ99" s="40"/>
      <c r="AK99" s="35"/>
      <c r="AL99" s="13" t="str">
        <f>""</f>
        <v/>
      </c>
      <c r="AM99" s="35" t="str">
        <f>""</f>
        <v/>
      </c>
    </row>
    <row r="100" spans="2:39" s="2" customFormat="1" x14ac:dyDescent="0.2">
      <c r="B100" s="4"/>
      <c r="C100" s="4"/>
      <c r="D100" s="4"/>
      <c r="E100" s="4"/>
      <c r="F100" s="13"/>
      <c r="G100" s="13"/>
      <c r="H100" s="13"/>
      <c r="I100" s="13"/>
      <c r="J100" s="13"/>
      <c r="K100" s="13"/>
      <c r="L100" s="13"/>
      <c r="M100" s="13"/>
      <c r="U100" s="65" t="s">
        <v>58</v>
      </c>
      <c r="V100" s="40" t="str">
        <f>""</f>
        <v/>
      </c>
      <c r="W100" s="13" t="str">
        <f>""</f>
        <v/>
      </c>
      <c r="X100" s="13" t="str">
        <f>""</f>
        <v/>
      </c>
      <c r="Y100" s="35" t="str">
        <f>""</f>
        <v/>
      </c>
      <c r="Z100" s="34" t="str">
        <f>""</f>
        <v/>
      </c>
      <c r="AA100" s="13">
        <v>0</v>
      </c>
      <c r="AB100" s="13" t="str">
        <f>""</f>
        <v/>
      </c>
      <c r="AC100" s="35"/>
      <c r="AD100" s="40" t="str">
        <f>""</f>
        <v/>
      </c>
      <c r="AE100" s="35" t="str">
        <f>""</f>
        <v/>
      </c>
      <c r="AF100" s="40" t="str">
        <f>""</f>
        <v/>
      </c>
      <c r="AG100" s="35" t="str">
        <f>""</f>
        <v/>
      </c>
      <c r="AH100" s="40" t="str">
        <f>""</f>
        <v/>
      </c>
      <c r="AI100" s="35" t="str">
        <f>""</f>
        <v/>
      </c>
      <c r="AJ100" s="40"/>
      <c r="AK100" s="35"/>
      <c r="AL100" s="13" t="str">
        <f>""</f>
        <v/>
      </c>
      <c r="AM100" s="35" t="str">
        <f>""</f>
        <v/>
      </c>
    </row>
    <row r="101" spans="2:39" s="2" customFormat="1" x14ac:dyDescent="0.2">
      <c r="B101" s="4"/>
      <c r="C101" s="4"/>
      <c r="D101" s="4"/>
      <c r="E101" s="4"/>
      <c r="F101" s="13"/>
      <c r="G101" s="13"/>
      <c r="H101" s="13"/>
      <c r="I101" s="13"/>
      <c r="J101" s="13"/>
      <c r="K101" s="13"/>
      <c r="L101" s="13"/>
      <c r="M101" s="13"/>
      <c r="U101" s="65" t="s">
        <v>59</v>
      </c>
      <c r="V101" s="40" t="str">
        <f>""</f>
        <v/>
      </c>
      <c r="W101" s="13" t="str">
        <f>""</f>
        <v/>
      </c>
      <c r="X101" s="13" t="str">
        <f>""</f>
        <v/>
      </c>
      <c r="Y101" s="35" t="str">
        <f>""</f>
        <v/>
      </c>
      <c r="Z101" s="34" t="str">
        <f>""</f>
        <v/>
      </c>
      <c r="AA101" s="13">
        <v>0</v>
      </c>
      <c r="AB101" s="13" t="str">
        <f>""</f>
        <v/>
      </c>
      <c r="AC101" s="35"/>
      <c r="AD101" s="40" t="str">
        <f>""</f>
        <v/>
      </c>
      <c r="AE101" s="35" t="str">
        <f>""</f>
        <v/>
      </c>
      <c r="AF101" s="40" t="str">
        <f>""</f>
        <v/>
      </c>
      <c r="AG101" s="35" t="str">
        <f>""</f>
        <v/>
      </c>
      <c r="AH101" s="40" t="str">
        <f>""</f>
        <v/>
      </c>
      <c r="AI101" s="35" t="str">
        <f>""</f>
        <v/>
      </c>
      <c r="AJ101" s="40"/>
      <c r="AK101" s="35"/>
      <c r="AL101" s="13" t="str">
        <f>""</f>
        <v/>
      </c>
      <c r="AM101" s="35" t="str">
        <f>""</f>
        <v/>
      </c>
    </row>
    <row r="102" spans="2:39" s="2" customFormat="1" x14ac:dyDescent="0.2">
      <c r="B102" s="4"/>
      <c r="C102" s="4"/>
      <c r="D102" s="4"/>
      <c r="E102" s="4"/>
      <c r="F102" s="13"/>
      <c r="G102" s="13"/>
      <c r="H102" s="13"/>
      <c r="I102" s="13"/>
      <c r="J102" s="13"/>
      <c r="K102" s="13"/>
      <c r="L102" s="13"/>
      <c r="M102" s="13"/>
      <c r="U102" s="65" t="s">
        <v>60</v>
      </c>
      <c r="V102" s="40" t="str">
        <f>""</f>
        <v/>
      </c>
      <c r="W102" s="13" t="str">
        <f>""</f>
        <v/>
      </c>
      <c r="X102" s="13" t="str">
        <f>""</f>
        <v/>
      </c>
      <c r="Y102" s="35" t="str">
        <f>""</f>
        <v/>
      </c>
      <c r="Z102" s="34" t="str">
        <f>""</f>
        <v/>
      </c>
      <c r="AA102" s="13">
        <v>0</v>
      </c>
      <c r="AB102" s="13" t="str">
        <f>""</f>
        <v/>
      </c>
      <c r="AC102" s="35"/>
      <c r="AD102" s="40" t="str">
        <f>""</f>
        <v/>
      </c>
      <c r="AE102" s="35" t="str">
        <f>""</f>
        <v/>
      </c>
      <c r="AF102" s="40" t="str">
        <f>""</f>
        <v/>
      </c>
      <c r="AG102" s="35" t="str">
        <f>""</f>
        <v/>
      </c>
      <c r="AH102" s="40" t="str">
        <f>""</f>
        <v/>
      </c>
      <c r="AI102" s="35" t="str">
        <f>""</f>
        <v/>
      </c>
      <c r="AJ102" s="40"/>
      <c r="AK102" s="35"/>
      <c r="AL102" s="13" t="str">
        <f>""</f>
        <v/>
      </c>
      <c r="AM102" s="35" t="str">
        <f>""</f>
        <v/>
      </c>
    </row>
    <row r="103" spans="2:39" s="2" customFormat="1" x14ac:dyDescent="0.2">
      <c r="B103" s="4"/>
      <c r="C103" s="4"/>
      <c r="D103" s="4"/>
      <c r="E103" s="4"/>
      <c r="F103" s="13"/>
      <c r="G103" s="13"/>
      <c r="H103" s="13"/>
      <c r="I103" s="13"/>
      <c r="J103" s="13"/>
      <c r="K103" s="13"/>
      <c r="L103" s="13"/>
      <c r="M103" s="13"/>
      <c r="U103" s="65" t="s">
        <v>61</v>
      </c>
      <c r="V103" s="40" t="str">
        <f>""</f>
        <v/>
      </c>
      <c r="W103" s="13" t="str">
        <f>""</f>
        <v/>
      </c>
      <c r="X103" s="13" t="str">
        <f>""</f>
        <v/>
      </c>
      <c r="Y103" s="35" t="str">
        <f>""</f>
        <v/>
      </c>
      <c r="Z103" s="34" t="str">
        <f>""</f>
        <v/>
      </c>
      <c r="AA103" s="13">
        <v>0</v>
      </c>
      <c r="AB103" s="13" t="str">
        <f>""</f>
        <v/>
      </c>
      <c r="AC103" s="35"/>
      <c r="AD103" s="40" t="str">
        <f>""</f>
        <v/>
      </c>
      <c r="AE103" s="35" t="str">
        <f>""</f>
        <v/>
      </c>
      <c r="AF103" s="40" t="str">
        <f>""</f>
        <v/>
      </c>
      <c r="AG103" s="35" t="str">
        <f>""</f>
        <v/>
      </c>
      <c r="AH103" s="40" t="str">
        <f>""</f>
        <v/>
      </c>
      <c r="AI103" s="35" t="str">
        <f>""</f>
        <v/>
      </c>
      <c r="AJ103" s="40"/>
      <c r="AK103" s="35"/>
      <c r="AL103" s="13" t="str">
        <f>""</f>
        <v/>
      </c>
      <c r="AM103" s="35" t="str">
        <f>""</f>
        <v/>
      </c>
    </row>
    <row r="104" spans="2:39" s="2" customFormat="1" x14ac:dyDescent="0.2">
      <c r="B104" s="4"/>
      <c r="C104" s="4"/>
      <c r="D104" s="4"/>
      <c r="E104" s="4"/>
      <c r="F104" s="13"/>
      <c r="G104" s="13"/>
      <c r="H104" s="13"/>
      <c r="I104" s="13"/>
      <c r="J104" s="13"/>
      <c r="K104" s="13"/>
      <c r="L104" s="13"/>
      <c r="M104" s="13"/>
      <c r="U104" s="65" t="s">
        <v>62</v>
      </c>
      <c r="V104" s="40" t="str">
        <f>""</f>
        <v/>
      </c>
      <c r="W104" s="13" t="str">
        <f>""</f>
        <v/>
      </c>
      <c r="X104" s="13" t="str">
        <f>""</f>
        <v/>
      </c>
      <c r="Y104" s="35" t="str">
        <f>""</f>
        <v/>
      </c>
      <c r="Z104" s="34" t="str">
        <f>""</f>
        <v/>
      </c>
      <c r="AA104" s="13">
        <v>0</v>
      </c>
      <c r="AB104" s="13" t="str">
        <f>""</f>
        <v/>
      </c>
      <c r="AC104" s="35"/>
      <c r="AD104" s="40" t="str">
        <f>""</f>
        <v/>
      </c>
      <c r="AE104" s="35" t="str">
        <f>""</f>
        <v/>
      </c>
      <c r="AF104" s="40" t="str">
        <f>""</f>
        <v/>
      </c>
      <c r="AG104" s="35" t="str">
        <f>""</f>
        <v/>
      </c>
      <c r="AH104" s="40" t="str">
        <f>""</f>
        <v/>
      </c>
      <c r="AI104" s="35" t="str">
        <f>""</f>
        <v/>
      </c>
      <c r="AJ104" s="40"/>
      <c r="AK104" s="35"/>
      <c r="AL104" s="13" t="str">
        <f>""</f>
        <v/>
      </c>
      <c r="AM104" s="35" t="str">
        <f>""</f>
        <v/>
      </c>
    </row>
    <row r="105" spans="2:39" s="2" customFormat="1" x14ac:dyDescent="0.2">
      <c r="B105" s="4"/>
      <c r="C105" s="4"/>
      <c r="D105" s="4"/>
      <c r="E105" s="4"/>
      <c r="F105" s="13"/>
      <c r="G105" s="13"/>
      <c r="H105" s="13"/>
      <c r="I105" s="13"/>
      <c r="J105" s="13"/>
      <c r="K105" s="13"/>
      <c r="L105" s="13"/>
      <c r="M105" s="13"/>
      <c r="U105" s="65" t="s">
        <v>63</v>
      </c>
      <c r="V105" s="40" t="str">
        <f>""</f>
        <v/>
      </c>
      <c r="W105" s="13" t="str">
        <f>""</f>
        <v/>
      </c>
      <c r="X105" s="13" t="str">
        <f>""</f>
        <v/>
      </c>
      <c r="Y105" s="35" t="str">
        <f>""</f>
        <v/>
      </c>
      <c r="Z105" s="34" t="str">
        <f>""</f>
        <v/>
      </c>
      <c r="AA105" s="13">
        <v>0</v>
      </c>
      <c r="AB105" s="13" t="str">
        <f>""</f>
        <v/>
      </c>
      <c r="AC105" s="35"/>
      <c r="AD105" s="40" t="str">
        <f>""</f>
        <v/>
      </c>
      <c r="AE105" s="35" t="str">
        <f>""</f>
        <v/>
      </c>
      <c r="AF105" s="40" t="str">
        <f>""</f>
        <v/>
      </c>
      <c r="AG105" s="35" t="str">
        <f>""</f>
        <v/>
      </c>
      <c r="AH105" s="40" t="str">
        <f>""</f>
        <v/>
      </c>
      <c r="AI105" s="35" t="str">
        <f>""</f>
        <v/>
      </c>
      <c r="AJ105" s="40"/>
      <c r="AK105" s="35"/>
      <c r="AL105" s="13" t="str">
        <f>""</f>
        <v/>
      </c>
      <c r="AM105" s="35" t="str">
        <f>""</f>
        <v/>
      </c>
    </row>
    <row r="106" spans="2:39" s="2" customFormat="1" x14ac:dyDescent="0.2">
      <c r="B106" s="4"/>
      <c r="C106" s="4"/>
      <c r="D106" s="4"/>
      <c r="E106" s="4"/>
      <c r="F106" s="13"/>
      <c r="G106" s="13"/>
      <c r="H106" s="13"/>
      <c r="I106" s="13"/>
      <c r="J106" s="13"/>
      <c r="K106" s="13"/>
      <c r="L106" s="13"/>
      <c r="M106" s="13"/>
      <c r="U106" s="65" t="s">
        <v>64</v>
      </c>
      <c r="V106" s="40" t="str">
        <f>""</f>
        <v/>
      </c>
      <c r="W106" s="13" t="str">
        <f>""</f>
        <v/>
      </c>
      <c r="X106" s="13" t="str">
        <f>""</f>
        <v/>
      </c>
      <c r="Y106" s="35" t="str">
        <f>""</f>
        <v/>
      </c>
      <c r="Z106" s="34" t="str">
        <f>""</f>
        <v/>
      </c>
      <c r="AA106" s="13">
        <v>0</v>
      </c>
      <c r="AB106" s="13" t="str">
        <f>""</f>
        <v/>
      </c>
      <c r="AC106" s="35"/>
      <c r="AD106" s="40" t="str">
        <f>""</f>
        <v/>
      </c>
      <c r="AE106" s="35" t="str">
        <f>""</f>
        <v/>
      </c>
      <c r="AF106" s="40" t="str">
        <f>""</f>
        <v/>
      </c>
      <c r="AG106" s="35" t="str">
        <f>""</f>
        <v/>
      </c>
      <c r="AH106" s="40" t="str">
        <f>""</f>
        <v/>
      </c>
      <c r="AI106" s="35" t="str">
        <f>""</f>
        <v/>
      </c>
      <c r="AJ106" s="40"/>
      <c r="AK106" s="35"/>
      <c r="AL106" s="13" t="str">
        <f>""</f>
        <v/>
      </c>
      <c r="AM106" s="35" t="str">
        <f>""</f>
        <v/>
      </c>
    </row>
    <row r="107" spans="2:39" s="2" customFormat="1" x14ac:dyDescent="0.2">
      <c r="B107" s="4"/>
      <c r="C107" s="4"/>
      <c r="D107" s="4"/>
      <c r="E107" s="4"/>
      <c r="F107" s="13"/>
      <c r="G107" s="13"/>
      <c r="H107" s="13"/>
      <c r="I107" s="13"/>
      <c r="J107" s="13"/>
      <c r="K107" s="13"/>
      <c r="L107" s="13"/>
      <c r="M107" s="13"/>
      <c r="U107" s="65" t="s">
        <v>65</v>
      </c>
      <c r="V107" s="40" t="str">
        <f>""</f>
        <v/>
      </c>
      <c r="W107" s="13" t="str">
        <f>""</f>
        <v/>
      </c>
      <c r="X107" s="13" t="str">
        <f>""</f>
        <v/>
      </c>
      <c r="Y107" s="35" t="str">
        <f>""</f>
        <v/>
      </c>
      <c r="Z107" s="34" t="str">
        <f>""</f>
        <v/>
      </c>
      <c r="AA107" s="13">
        <v>0</v>
      </c>
      <c r="AB107" s="13" t="str">
        <f>""</f>
        <v/>
      </c>
      <c r="AC107" s="35"/>
      <c r="AD107" s="40" t="str">
        <f>""</f>
        <v/>
      </c>
      <c r="AE107" s="35" t="str">
        <f>""</f>
        <v/>
      </c>
      <c r="AF107" s="40" t="str">
        <f>""</f>
        <v/>
      </c>
      <c r="AG107" s="35" t="str">
        <f>""</f>
        <v/>
      </c>
      <c r="AH107" s="40" t="str">
        <f>""</f>
        <v/>
      </c>
      <c r="AI107" s="35" t="str">
        <f>""</f>
        <v/>
      </c>
      <c r="AJ107" s="40"/>
      <c r="AK107" s="35"/>
      <c r="AL107" s="13" t="str">
        <f>""</f>
        <v/>
      </c>
      <c r="AM107" s="35" t="str">
        <f>""</f>
        <v/>
      </c>
    </row>
    <row r="108" spans="2:39" s="2" customFormat="1" x14ac:dyDescent="0.2">
      <c r="B108" s="4"/>
      <c r="C108" s="4"/>
      <c r="D108" s="4"/>
      <c r="E108" s="4"/>
      <c r="F108" s="13"/>
      <c r="G108" s="13"/>
      <c r="H108" s="13"/>
      <c r="I108" s="13"/>
      <c r="J108" s="13"/>
      <c r="K108" s="13"/>
      <c r="L108" s="13"/>
      <c r="M108" s="13"/>
      <c r="U108" s="65" t="s">
        <v>66</v>
      </c>
      <c r="V108" s="40" t="str">
        <f>""</f>
        <v/>
      </c>
      <c r="W108" s="13" t="str">
        <f>""</f>
        <v/>
      </c>
      <c r="X108" s="13" t="str">
        <f>""</f>
        <v/>
      </c>
      <c r="Y108" s="35" t="str">
        <f>""</f>
        <v/>
      </c>
      <c r="Z108" s="34" t="str">
        <f>""</f>
        <v/>
      </c>
      <c r="AA108" s="13">
        <v>0</v>
      </c>
      <c r="AB108" s="13" t="str">
        <f>""</f>
        <v/>
      </c>
      <c r="AC108" s="35"/>
      <c r="AD108" s="40" t="str">
        <f>""</f>
        <v/>
      </c>
      <c r="AE108" s="35" t="str">
        <f>""</f>
        <v/>
      </c>
      <c r="AF108" s="40" t="str">
        <f>""</f>
        <v/>
      </c>
      <c r="AG108" s="35" t="str">
        <f>""</f>
        <v/>
      </c>
      <c r="AH108" s="40" t="str">
        <f>""</f>
        <v/>
      </c>
      <c r="AI108" s="35" t="str">
        <f>""</f>
        <v/>
      </c>
      <c r="AJ108" s="40"/>
      <c r="AK108" s="35"/>
      <c r="AL108" s="13" t="str">
        <f>""</f>
        <v/>
      </c>
      <c r="AM108" s="35" t="str">
        <f>""</f>
        <v/>
      </c>
    </row>
    <row r="109" spans="2:39" s="2" customFormat="1" x14ac:dyDescent="0.2">
      <c r="B109" s="4"/>
      <c r="C109" s="4"/>
      <c r="D109" s="4"/>
      <c r="E109" s="4"/>
      <c r="F109" s="13"/>
      <c r="G109" s="13"/>
      <c r="H109" s="13"/>
      <c r="I109" s="13"/>
      <c r="J109" s="13"/>
      <c r="K109" s="13"/>
      <c r="L109" s="13"/>
      <c r="M109" s="13"/>
      <c r="U109" s="65" t="s">
        <v>67</v>
      </c>
      <c r="V109" s="40" t="str">
        <f>""</f>
        <v/>
      </c>
      <c r="W109" s="13" t="str">
        <f>""</f>
        <v/>
      </c>
      <c r="X109" s="13" t="str">
        <f>""</f>
        <v/>
      </c>
      <c r="Y109" s="35" t="str">
        <f>""</f>
        <v/>
      </c>
      <c r="Z109" s="34" t="str">
        <f>""</f>
        <v/>
      </c>
      <c r="AA109" s="13">
        <v>0</v>
      </c>
      <c r="AB109" s="13" t="str">
        <f>""</f>
        <v/>
      </c>
      <c r="AC109" s="35"/>
      <c r="AD109" s="40" t="str">
        <f>""</f>
        <v/>
      </c>
      <c r="AE109" s="35" t="str">
        <f>""</f>
        <v/>
      </c>
      <c r="AF109" s="40" t="str">
        <f>""</f>
        <v/>
      </c>
      <c r="AG109" s="35" t="str">
        <f>""</f>
        <v/>
      </c>
      <c r="AH109" s="40" t="str">
        <f>""</f>
        <v/>
      </c>
      <c r="AI109" s="35" t="str">
        <f>""</f>
        <v/>
      </c>
      <c r="AJ109" s="40"/>
      <c r="AK109" s="35"/>
      <c r="AL109" s="13" t="str">
        <f>""</f>
        <v/>
      </c>
      <c r="AM109" s="35" t="str">
        <f>""</f>
        <v/>
      </c>
    </row>
    <row r="110" spans="2:39" s="2" customFormat="1" x14ac:dyDescent="0.2">
      <c r="B110" s="4"/>
      <c r="C110" s="4"/>
      <c r="D110" s="4"/>
      <c r="E110" s="4"/>
      <c r="F110" s="13"/>
      <c r="G110" s="13"/>
      <c r="H110" s="13"/>
      <c r="I110" s="13"/>
      <c r="J110" s="13"/>
      <c r="K110" s="13"/>
      <c r="L110" s="13"/>
      <c r="M110" s="13"/>
      <c r="U110" s="65" t="s">
        <v>68</v>
      </c>
      <c r="V110" s="40" t="str">
        <f>""</f>
        <v/>
      </c>
      <c r="W110" s="13" t="str">
        <f>""</f>
        <v/>
      </c>
      <c r="X110" s="13" t="str">
        <f>""</f>
        <v/>
      </c>
      <c r="Y110" s="35" t="str">
        <f>""</f>
        <v/>
      </c>
      <c r="Z110" s="34" t="str">
        <f>""</f>
        <v/>
      </c>
      <c r="AA110" s="13">
        <v>0</v>
      </c>
      <c r="AB110" s="13" t="str">
        <f>""</f>
        <v/>
      </c>
      <c r="AC110" s="35"/>
      <c r="AD110" s="40" t="str">
        <f>""</f>
        <v/>
      </c>
      <c r="AE110" s="35" t="str">
        <f>""</f>
        <v/>
      </c>
      <c r="AF110" s="40" t="str">
        <f>""</f>
        <v/>
      </c>
      <c r="AG110" s="35" t="str">
        <f>""</f>
        <v/>
      </c>
      <c r="AH110" s="40" t="str">
        <f>""</f>
        <v/>
      </c>
      <c r="AI110" s="35" t="str">
        <f>""</f>
        <v/>
      </c>
      <c r="AJ110" s="40"/>
      <c r="AK110" s="35"/>
      <c r="AL110" s="13" t="str">
        <f>""</f>
        <v/>
      </c>
      <c r="AM110" s="35" t="str">
        <f>""</f>
        <v/>
      </c>
    </row>
    <row r="111" spans="2:39" s="2" customFormat="1" x14ac:dyDescent="0.2">
      <c r="B111" s="4"/>
      <c r="C111" s="4"/>
      <c r="D111" s="4"/>
      <c r="E111" s="4"/>
      <c r="F111" s="13"/>
      <c r="G111" s="13"/>
      <c r="H111" s="13"/>
      <c r="I111" s="13"/>
      <c r="J111" s="13"/>
      <c r="K111" s="13"/>
      <c r="L111" s="13"/>
      <c r="M111" s="13"/>
      <c r="U111" s="65" t="s">
        <v>69</v>
      </c>
      <c r="V111" s="40" t="str">
        <f>""</f>
        <v/>
      </c>
      <c r="W111" s="13" t="str">
        <f>""</f>
        <v/>
      </c>
      <c r="X111" s="13" t="str">
        <f>""</f>
        <v/>
      </c>
      <c r="Y111" s="35" t="str">
        <f>""</f>
        <v/>
      </c>
      <c r="Z111" s="34" t="str">
        <f>""</f>
        <v/>
      </c>
      <c r="AA111" s="13">
        <v>0</v>
      </c>
      <c r="AB111" s="13" t="str">
        <f>""</f>
        <v/>
      </c>
      <c r="AC111" s="35"/>
      <c r="AD111" s="40" t="str">
        <f>""</f>
        <v/>
      </c>
      <c r="AE111" s="35" t="str">
        <f>""</f>
        <v/>
      </c>
      <c r="AF111" s="40" t="str">
        <f>""</f>
        <v/>
      </c>
      <c r="AG111" s="35" t="str">
        <f>""</f>
        <v/>
      </c>
      <c r="AH111" s="40" t="str">
        <f>""</f>
        <v/>
      </c>
      <c r="AI111" s="35" t="str">
        <f>""</f>
        <v/>
      </c>
      <c r="AJ111" s="40"/>
      <c r="AK111" s="35"/>
      <c r="AL111" s="13" t="str">
        <f>""</f>
        <v/>
      </c>
      <c r="AM111" s="35" t="str">
        <f>""</f>
        <v/>
      </c>
    </row>
    <row r="112" spans="2:39" s="2" customFormat="1" x14ac:dyDescent="0.2">
      <c r="B112" s="4"/>
      <c r="C112" s="4"/>
      <c r="D112" s="4"/>
      <c r="E112" s="4"/>
      <c r="F112" s="13"/>
      <c r="G112" s="13"/>
      <c r="H112" s="13"/>
      <c r="I112" s="13"/>
      <c r="J112" s="13"/>
      <c r="K112" s="13"/>
      <c r="L112" s="13"/>
      <c r="M112" s="13"/>
      <c r="U112" s="65" t="s">
        <v>70</v>
      </c>
      <c r="V112" s="40" t="str">
        <f>""</f>
        <v/>
      </c>
      <c r="W112" s="13" t="str">
        <f>""</f>
        <v/>
      </c>
      <c r="X112" s="13" t="str">
        <f>""</f>
        <v/>
      </c>
      <c r="Y112" s="35" t="str">
        <f>""</f>
        <v/>
      </c>
      <c r="Z112" s="34" t="str">
        <f>""</f>
        <v/>
      </c>
      <c r="AA112" s="13">
        <v>0</v>
      </c>
      <c r="AB112" s="13" t="str">
        <f>""</f>
        <v/>
      </c>
      <c r="AC112" s="35"/>
      <c r="AD112" s="40" t="str">
        <f>""</f>
        <v/>
      </c>
      <c r="AE112" s="35" t="str">
        <f>""</f>
        <v/>
      </c>
      <c r="AF112" s="40" t="str">
        <f>""</f>
        <v/>
      </c>
      <c r="AG112" s="35" t="str">
        <f>""</f>
        <v/>
      </c>
      <c r="AH112" s="40" t="str">
        <f>""</f>
        <v/>
      </c>
      <c r="AI112" s="35" t="str">
        <f>""</f>
        <v/>
      </c>
      <c r="AJ112" s="40"/>
      <c r="AK112" s="35"/>
      <c r="AL112" s="13" t="str">
        <f>""</f>
        <v/>
      </c>
      <c r="AM112" s="35" t="str">
        <f>""</f>
        <v/>
      </c>
    </row>
    <row r="113" spans="2:39" s="2" customFormat="1" x14ac:dyDescent="0.2">
      <c r="B113" s="4"/>
      <c r="C113" s="4"/>
      <c r="D113" s="4"/>
      <c r="E113" s="4"/>
      <c r="F113" s="13"/>
      <c r="G113" s="13"/>
      <c r="H113" s="13"/>
      <c r="I113" s="13"/>
      <c r="J113" s="13"/>
      <c r="K113" s="13"/>
      <c r="L113" s="13"/>
      <c r="M113" s="13"/>
      <c r="U113" s="65" t="s">
        <v>71</v>
      </c>
      <c r="V113" s="40" t="str">
        <f>""</f>
        <v/>
      </c>
      <c r="W113" s="13" t="str">
        <f>""</f>
        <v/>
      </c>
      <c r="X113" s="13" t="str">
        <f>""</f>
        <v/>
      </c>
      <c r="Y113" s="35" t="str">
        <f>""</f>
        <v/>
      </c>
      <c r="Z113" s="34" t="str">
        <f>""</f>
        <v/>
      </c>
      <c r="AA113" s="13">
        <v>0</v>
      </c>
      <c r="AB113" s="13" t="str">
        <f>""</f>
        <v/>
      </c>
      <c r="AC113" s="35"/>
      <c r="AD113" s="40" t="str">
        <f>""</f>
        <v/>
      </c>
      <c r="AE113" s="35" t="str">
        <f>""</f>
        <v/>
      </c>
      <c r="AF113" s="40" t="str">
        <f>""</f>
        <v/>
      </c>
      <c r="AG113" s="35" t="str">
        <f>""</f>
        <v/>
      </c>
      <c r="AH113" s="40" t="str">
        <f>""</f>
        <v/>
      </c>
      <c r="AI113" s="35" t="str">
        <f>""</f>
        <v/>
      </c>
      <c r="AJ113" s="40"/>
      <c r="AK113" s="35"/>
      <c r="AL113" s="13" t="str">
        <f>""</f>
        <v/>
      </c>
      <c r="AM113" s="35" t="str">
        <f>""</f>
        <v/>
      </c>
    </row>
    <row r="114" spans="2:39" s="2" customFormat="1" x14ac:dyDescent="0.2">
      <c r="B114" s="4"/>
      <c r="C114" s="4"/>
      <c r="D114" s="4"/>
      <c r="E114" s="4"/>
      <c r="F114" s="13"/>
      <c r="G114" s="13"/>
      <c r="H114" s="13"/>
      <c r="I114" s="13"/>
      <c r="J114" s="13"/>
      <c r="K114" s="13"/>
      <c r="L114" s="13"/>
      <c r="M114" s="13"/>
      <c r="U114" s="65" t="s">
        <v>72</v>
      </c>
      <c r="V114" s="40" t="str">
        <f>""</f>
        <v/>
      </c>
      <c r="W114" s="13" t="str">
        <f>""</f>
        <v/>
      </c>
      <c r="X114" s="13" t="str">
        <f>""</f>
        <v/>
      </c>
      <c r="Y114" s="35" t="str">
        <f>""</f>
        <v/>
      </c>
      <c r="Z114" s="34" t="str">
        <f>""</f>
        <v/>
      </c>
      <c r="AA114" s="13">
        <v>0</v>
      </c>
      <c r="AB114" s="13" t="str">
        <f>""</f>
        <v/>
      </c>
      <c r="AC114" s="35"/>
      <c r="AD114" s="40" t="str">
        <f>""</f>
        <v/>
      </c>
      <c r="AE114" s="35" t="str">
        <f>""</f>
        <v/>
      </c>
      <c r="AF114" s="40" t="str">
        <f>""</f>
        <v/>
      </c>
      <c r="AG114" s="35" t="str">
        <f>""</f>
        <v/>
      </c>
      <c r="AH114" s="40" t="str">
        <f>""</f>
        <v/>
      </c>
      <c r="AI114" s="35" t="str">
        <f>""</f>
        <v/>
      </c>
      <c r="AJ114" s="40"/>
      <c r="AK114" s="35"/>
      <c r="AL114" s="13" t="str">
        <f>""</f>
        <v/>
      </c>
      <c r="AM114" s="35" t="str">
        <f>""</f>
        <v/>
      </c>
    </row>
    <row r="115" spans="2:39" s="2" customFormat="1" x14ac:dyDescent="0.2">
      <c r="B115" s="4"/>
      <c r="C115" s="4"/>
      <c r="D115" s="4"/>
      <c r="E115" s="4"/>
      <c r="F115" s="13"/>
      <c r="G115" s="13"/>
      <c r="H115" s="13"/>
      <c r="I115" s="13"/>
      <c r="J115" s="13"/>
      <c r="K115" s="13"/>
      <c r="L115" s="13"/>
      <c r="M115" s="13"/>
      <c r="U115" s="65" t="s">
        <v>73</v>
      </c>
      <c r="V115" s="40" t="str">
        <f>""</f>
        <v/>
      </c>
      <c r="W115" s="13" t="str">
        <f>""</f>
        <v/>
      </c>
      <c r="X115" s="13" t="str">
        <f>""</f>
        <v/>
      </c>
      <c r="Y115" s="35" t="str">
        <f>""</f>
        <v/>
      </c>
      <c r="Z115" s="34" t="str">
        <f>""</f>
        <v/>
      </c>
      <c r="AA115" s="13">
        <v>0</v>
      </c>
      <c r="AB115" s="13" t="str">
        <f>""</f>
        <v/>
      </c>
      <c r="AC115" s="35"/>
      <c r="AD115" s="40" t="str">
        <f>""</f>
        <v/>
      </c>
      <c r="AE115" s="35" t="str">
        <f>""</f>
        <v/>
      </c>
      <c r="AF115" s="40" t="str">
        <f>""</f>
        <v/>
      </c>
      <c r="AG115" s="35" t="str">
        <f>""</f>
        <v/>
      </c>
      <c r="AH115" s="40" t="str">
        <f>""</f>
        <v/>
      </c>
      <c r="AI115" s="35" t="str">
        <f>""</f>
        <v/>
      </c>
      <c r="AJ115" s="40"/>
      <c r="AK115" s="35"/>
      <c r="AL115" s="13" t="str">
        <f>""</f>
        <v/>
      </c>
      <c r="AM115" s="35" t="str">
        <f>""</f>
        <v/>
      </c>
    </row>
    <row r="116" spans="2:39" s="2" customFormat="1" x14ac:dyDescent="0.2">
      <c r="B116" s="4"/>
      <c r="C116" s="4"/>
      <c r="D116" s="4"/>
      <c r="E116" s="4"/>
      <c r="F116" s="13"/>
      <c r="G116" s="13"/>
      <c r="H116" s="13"/>
      <c r="I116" s="13"/>
      <c r="J116" s="13"/>
      <c r="K116" s="13"/>
      <c r="L116" s="13"/>
      <c r="M116" s="13"/>
      <c r="U116" s="65" t="s">
        <v>74</v>
      </c>
      <c r="V116" s="40" t="str">
        <f>""</f>
        <v/>
      </c>
      <c r="W116" s="13" t="str">
        <f>""</f>
        <v/>
      </c>
      <c r="X116" s="13" t="str">
        <f>""</f>
        <v/>
      </c>
      <c r="Y116" s="35" t="str">
        <f>""</f>
        <v/>
      </c>
      <c r="Z116" s="34" t="str">
        <f>""</f>
        <v/>
      </c>
      <c r="AA116" s="13">
        <v>0</v>
      </c>
      <c r="AB116" s="13" t="str">
        <f>""</f>
        <v/>
      </c>
      <c r="AC116" s="35"/>
      <c r="AD116" s="40" t="str">
        <f>""</f>
        <v/>
      </c>
      <c r="AE116" s="35" t="str">
        <f>""</f>
        <v/>
      </c>
      <c r="AF116" s="40" t="str">
        <f>""</f>
        <v/>
      </c>
      <c r="AG116" s="35" t="str">
        <f>""</f>
        <v/>
      </c>
      <c r="AH116" s="40" t="str">
        <f>""</f>
        <v/>
      </c>
      <c r="AI116" s="35" t="str">
        <f>""</f>
        <v/>
      </c>
      <c r="AJ116" s="40"/>
      <c r="AK116" s="35"/>
      <c r="AL116" s="13" t="str">
        <f>""</f>
        <v/>
      </c>
      <c r="AM116" s="35" t="str">
        <f>""</f>
        <v/>
      </c>
    </row>
    <row r="117" spans="2:39" s="2" customFormat="1" x14ac:dyDescent="0.2">
      <c r="B117" s="4"/>
      <c r="C117" s="4"/>
      <c r="D117" s="4"/>
      <c r="E117" s="4"/>
      <c r="F117" s="13"/>
      <c r="G117" s="13"/>
      <c r="H117" s="13"/>
      <c r="I117" s="13"/>
      <c r="J117" s="13"/>
      <c r="K117" s="13"/>
      <c r="L117" s="13"/>
      <c r="M117" s="13"/>
      <c r="U117" s="65" t="s">
        <v>75</v>
      </c>
      <c r="V117" s="40" t="str">
        <f>""</f>
        <v/>
      </c>
      <c r="W117" s="13" t="str">
        <f>""</f>
        <v/>
      </c>
      <c r="X117" s="13" t="str">
        <f>""</f>
        <v/>
      </c>
      <c r="Y117" s="35" t="str">
        <f>""</f>
        <v/>
      </c>
      <c r="Z117" s="34" t="str">
        <f>""</f>
        <v/>
      </c>
      <c r="AA117" s="13">
        <v>0</v>
      </c>
      <c r="AB117" s="13" t="str">
        <f>""</f>
        <v/>
      </c>
      <c r="AC117" s="35"/>
      <c r="AD117" s="40" t="str">
        <f>""</f>
        <v/>
      </c>
      <c r="AE117" s="35" t="str">
        <f>""</f>
        <v/>
      </c>
      <c r="AF117" s="40" t="str">
        <f>""</f>
        <v/>
      </c>
      <c r="AG117" s="35" t="str">
        <f>""</f>
        <v/>
      </c>
      <c r="AH117" s="40" t="str">
        <f>""</f>
        <v/>
      </c>
      <c r="AI117" s="35" t="str">
        <f>""</f>
        <v/>
      </c>
      <c r="AJ117" s="40"/>
      <c r="AK117" s="35"/>
      <c r="AL117" s="13" t="str">
        <f>""</f>
        <v/>
      </c>
      <c r="AM117" s="35" t="str">
        <f>""</f>
        <v/>
      </c>
    </row>
    <row r="118" spans="2:39" s="2" customFormat="1" x14ac:dyDescent="0.2">
      <c r="B118" s="4"/>
      <c r="C118" s="4"/>
      <c r="D118" s="4"/>
      <c r="E118" s="4"/>
      <c r="F118" s="13"/>
      <c r="G118" s="13"/>
      <c r="H118" s="13"/>
      <c r="I118" s="13"/>
      <c r="J118" s="13"/>
      <c r="K118" s="13"/>
      <c r="L118" s="13"/>
      <c r="M118" s="13"/>
      <c r="U118" s="65" t="s">
        <v>76</v>
      </c>
      <c r="V118" s="40" t="str">
        <f>""</f>
        <v/>
      </c>
      <c r="W118" s="13" t="str">
        <f>""</f>
        <v/>
      </c>
      <c r="X118" s="13" t="str">
        <f>""</f>
        <v/>
      </c>
      <c r="Y118" s="35" t="str">
        <f>""</f>
        <v/>
      </c>
      <c r="Z118" s="34" t="str">
        <f>""</f>
        <v/>
      </c>
      <c r="AA118" s="13">
        <v>0</v>
      </c>
      <c r="AB118" s="13" t="str">
        <f>""</f>
        <v/>
      </c>
      <c r="AC118" s="35"/>
      <c r="AD118" s="40" t="str">
        <f>""</f>
        <v/>
      </c>
      <c r="AE118" s="35" t="str">
        <f>""</f>
        <v/>
      </c>
      <c r="AF118" s="40" t="str">
        <f>""</f>
        <v/>
      </c>
      <c r="AG118" s="35" t="str">
        <f>""</f>
        <v/>
      </c>
      <c r="AH118" s="40" t="str">
        <f>""</f>
        <v/>
      </c>
      <c r="AI118" s="35" t="str">
        <f>""</f>
        <v/>
      </c>
      <c r="AJ118" s="40"/>
      <c r="AK118" s="35"/>
      <c r="AL118" s="13" t="str">
        <f>""</f>
        <v/>
      </c>
      <c r="AM118" s="35" t="str">
        <f>""</f>
        <v/>
      </c>
    </row>
    <row r="119" spans="2:39" s="2" customFormat="1" x14ac:dyDescent="0.2">
      <c r="B119" s="4"/>
      <c r="C119" s="4"/>
      <c r="D119" s="4"/>
      <c r="E119" s="4"/>
      <c r="F119" s="13"/>
      <c r="G119" s="13"/>
      <c r="H119" s="13"/>
      <c r="I119" s="13"/>
      <c r="J119" s="13"/>
      <c r="K119" s="13"/>
      <c r="L119" s="13"/>
      <c r="M119" s="13"/>
      <c r="U119" s="65" t="s">
        <v>77</v>
      </c>
      <c r="V119" s="40" t="str">
        <f>""</f>
        <v/>
      </c>
      <c r="W119" s="13" t="str">
        <f>""</f>
        <v/>
      </c>
      <c r="X119" s="13" t="str">
        <f>""</f>
        <v/>
      </c>
      <c r="Y119" s="35" t="str">
        <f>""</f>
        <v/>
      </c>
      <c r="Z119" s="34" t="str">
        <f>""</f>
        <v/>
      </c>
      <c r="AA119" s="13">
        <v>0</v>
      </c>
      <c r="AB119" s="13" t="str">
        <f>""</f>
        <v/>
      </c>
      <c r="AC119" s="35"/>
      <c r="AD119" s="40" t="str">
        <f>""</f>
        <v/>
      </c>
      <c r="AE119" s="35" t="str">
        <f>""</f>
        <v/>
      </c>
      <c r="AF119" s="40" t="str">
        <f>""</f>
        <v/>
      </c>
      <c r="AG119" s="35" t="str">
        <f>""</f>
        <v/>
      </c>
      <c r="AH119" s="40" t="str">
        <f>""</f>
        <v/>
      </c>
      <c r="AI119" s="35" t="str">
        <f>""</f>
        <v/>
      </c>
      <c r="AJ119" s="40"/>
      <c r="AK119" s="35"/>
      <c r="AL119" s="13" t="str">
        <f>""</f>
        <v/>
      </c>
      <c r="AM119" s="35" t="str">
        <f>""</f>
        <v/>
      </c>
    </row>
    <row r="120" spans="2:39" s="2" customFormat="1" x14ac:dyDescent="0.2">
      <c r="B120" s="4"/>
      <c r="C120" s="4"/>
      <c r="D120" s="4"/>
      <c r="E120" s="4"/>
      <c r="F120" s="13"/>
      <c r="G120" s="13"/>
      <c r="H120" s="13"/>
      <c r="I120" s="13"/>
      <c r="J120" s="13"/>
      <c r="K120" s="13"/>
      <c r="L120" s="13"/>
      <c r="M120" s="13"/>
      <c r="U120" s="65" t="s">
        <v>78</v>
      </c>
      <c r="V120" s="40" t="str">
        <f>""</f>
        <v/>
      </c>
      <c r="W120" s="13" t="str">
        <f>""</f>
        <v/>
      </c>
      <c r="X120" s="13" t="str">
        <f>""</f>
        <v/>
      </c>
      <c r="Y120" s="35" t="str">
        <f>""</f>
        <v/>
      </c>
      <c r="Z120" s="34" t="str">
        <f>""</f>
        <v/>
      </c>
      <c r="AA120" s="13">
        <v>0</v>
      </c>
      <c r="AB120" s="13" t="str">
        <f>""</f>
        <v/>
      </c>
      <c r="AC120" s="35"/>
      <c r="AD120" s="40" t="str">
        <f>""</f>
        <v/>
      </c>
      <c r="AE120" s="35" t="str">
        <f>""</f>
        <v/>
      </c>
      <c r="AF120" s="40" t="str">
        <f>""</f>
        <v/>
      </c>
      <c r="AG120" s="35" t="str">
        <f>""</f>
        <v/>
      </c>
      <c r="AH120" s="40" t="str">
        <f>""</f>
        <v/>
      </c>
      <c r="AI120" s="35" t="str">
        <f>""</f>
        <v/>
      </c>
      <c r="AJ120" s="40"/>
      <c r="AK120" s="35"/>
      <c r="AL120" s="13" t="str">
        <f>""</f>
        <v/>
      </c>
      <c r="AM120" s="35" t="str">
        <f>""</f>
        <v/>
      </c>
    </row>
    <row r="121" spans="2:39" s="2" customFormat="1" x14ac:dyDescent="0.2">
      <c r="B121" s="4"/>
      <c r="C121" s="4"/>
      <c r="D121" s="4"/>
      <c r="E121" s="4"/>
      <c r="F121" s="13"/>
      <c r="G121" s="13"/>
      <c r="H121" s="13"/>
      <c r="I121" s="13"/>
      <c r="J121" s="13"/>
      <c r="K121" s="13"/>
      <c r="L121" s="13"/>
      <c r="M121" s="13"/>
      <c r="U121" s="65" t="s">
        <v>79</v>
      </c>
      <c r="V121" s="40" t="str">
        <f>""</f>
        <v/>
      </c>
      <c r="W121" s="13" t="str">
        <f>""</f>
        <v/>
      </c>
      <c r="X121" s="13" t="str">
        <f>""</f>
        <v/>
      </c>
      <c r="Y121" s="35" t="str">
        <f>""</f>
        <v/>
      </c>
      <c r="Z121" s="34" t="str">
        <f>""</f>
        <v/>
      </c>
      <c r="AA121" s="13">
        <v>0</v>
      </c>
      <c r="AB121" s="13" t="str">
        <f>""</f>
        <v/>
      </c>
      <c r="AC121" s="35"/>
      <c r="AD121" s="40" t="str">
        <f>""</f>
        <v/>
      </c>
      <c r="AE121" s="35" t="str">
        <f>""</f>
        <v/>
      </c>
      <c r="AF121" s="40" t="str">
        <f>""</f>
        <v/>
      </c>
      <c r="AG121" s="35" t="str">
        <f>""</f>
        <v/>
      </c>
      <c r="AH121" s="40" t="str">
        <f>""</f>
        <v/>
      </c>
      <c r="AI121" s="35" t="str">
        <f>""</f>
        <v/>
      </c>
      <c r="AJ121" s="40"/>
      <c r="AK121" s="35"/>
      <c r="AL121" s="13" t="str">
        <f>""</f>
        <v/>
      </c>
      <c r="AM121" s="35" t="str">
        <f>""</f>
        <v/>
      </c>
    </row>
    <row r="122" spans="2:39" s="2" customFormat="1" x14ac:dyDescent="0.2">
      <c r="B122" s="4"/>
      <c r="C122" s="4"/>
      <c r="D122" s="4"/>
      <c r="E122" s="4"/>
      <c r="F122" s="13"/>
      <c r="G122" s="13"/>
      <c r="H122" s="13"/>
      <c r="I122" s="13"/>
      <c r="J122" s="13"/>
      <c r="K122" s="13"/>
      <c r="L122" s="13"/>
      <c r="M122" s="13"/>
      <c r="U122" s="65" t="s">
        <v>80</v>
      </c>
      <c r="V122" s="40" t="str">
        <f>""</f>
        <v/>
      </c>
      <c r="W122" s="13" t="str">
        <f>""</f>
        <v/>
      </c>
      <c r="X122" s="13" t="str">
        <f>""</f>
        <v/>
      </c>
      <c r="Y122" s="35" t="str">
        <f>""</f>
        <v/>
      </c>
      <c r="Z122" s="34" t="str">
        <f>""</f>
        <v/>
      </c>
      <c r="AA122" s="13">
        <v>0</v>
      </c>
      <c r="AB122" s="13" t="str">
        <f>""</f>
        <v/>
      </c>
      <c r="AC122" s="35"/>
      <c r="AD122" s="40" t="str">
        <f>""</f>
        <v/>
      </c>
      <c r="AE122" s="35" t="str">
        <f>""</f>
        <v/>
      </c>
      <c r="AF122" s="40" t="str">
        <f>""</f>
        <v/>
      </c>
      <c r="AG122" s="35" t="str">
        <f>""</f>
        <v/>
      </c>
      <c r="AH122" s="40" t="str">
        <f>""</f>
        <v/>
      </c>
      <c r="AI122" s="35" t="str">
        <f>""</f>
        <v/>
      </c>
      <c r="AJ122" s="40"/>
      <c r="AK122" s="35"/>
      <c r="AL122" s="13" t="str">
        <f>""</f>
        <v/>
      </c>
      <c r="AM122" s="35" t="str">
        <f>""</f>
        <v/>
      </c>
    </row>
    <row r="123" spans="2:39" s="2" customFormat="1" x14ac:dyDescent="0.2">
      <c r="B123" s="4"/>
      <c r="C123" s="4"/>
      <c r="D123" s="4"/>
      <c r="E123" s="4"/>
      <c r="F123" s="13"/>
      <c r="G123" s="13"/>
      <c r="H123" s="13"/>
      <c r="I123" s="13"/>
      <c r="J123" s="13"/>
      <c r="K123" s="13"/>
      <c r="L123" s="13"/>
      <c r="M123" s="13"/>
      <c r="U123" s="65" t="s">
        <v>81</v>
      </c>
      <c r="V123" s="40" t="str">
        <f>""</f>
        <v/>
      </c>
      <c r="W123" s="13" t="str">
        <f>""</f>
        <v/>
      </c>
      <c r="X123" s="13" t="str">
        <f>""</f>
        <v/>
      </c>
      <c r="Y123" s="35" t="str">
        <f>""</f>
        <v/>
      </c>
      <c r="Z123" s="34" t="str">
        <f>""</f>
        <v/>
      </c>
      <c r="AA123" s="13">
        <v>0</v>
      </c>
      <c r="AB123" s="13" t="str">
        <f>""</f>
        <v/>
      </c>
      <c r="AC123" s="35"/>
      <c r="AD123" s="40" t="str">
        <f>""</f>
        <v/>
      </c>
      <c r="AE123" s="35" t="str">
        <f>""</f>
        <v/>
      </c>
      <c r="AF123" s="40" t="str">
        <f>""</f>
        <v/>
      </c>
      <c r="AG123" s="35" t="str">
        <f>""</f>
        <v/>
      </c>
      <c r="AH123" s="40" t="str">
        <f>""</f>
        <v/>
      </c>
      <c r="AI123" s="35" t="str">
        <f>""</f>
        <v/>
      </c>
      <c r="AJ123" s="40"/>
      <c r="AK123" s="35"/>
      <c r="AL123" s="13" t="str">
        <f>""</f>
        <v/>
      </c>
      <c r="AM123" s="35" t="str">
        <f>""</f>
        <v/>
      </c>
    </row>
    <row r="124" spans="2:39" s="2" customFormat="1" x14ac:dyDescent="0.2">
      <c r="B124" s="4"/>
      <c r="C124" s="4"/>
      <c r="D124" s="4"/>
      <c r="E124" s="4"/>
      <c r="F124" s="13"/>
      <c r="G124" s="13"/>
      <c r="H124" s="13"/>
      <c r="I124" s="13"/>
      <c r="J124" s="13"/>
      <c r="K124" s="13"/>
      <c r="L124" s="13"/>
      <c r="M124" s="13"/>
      <c r="U124" s="65" t="s">
        <v>82</v>
      </c>
      <c r="V124" s="40" t="str">
        <f>""</f>
        <v/>
      </c>
      <c r="W124" s="13" t="str">
        <f>""</f>
        <v/>
      </c>
      <c r="X124" s="13" t="str">
        <f>""</f>
        <v/>
      </c>
      <c r="Y124" s="35" t="str">
        <f>""</f>
        <v/>
      </c>
      <c r="Z124" s="34" t="str">
        <f>""</f>
        <v/>
      </c>
      <c r="AA124" s="13">
        <v>0</v>
      </c>
      <c r="AB124" s="13" t="str">
        <f>""</f>
        <v/>
      </c>
      <c r="AC124" s="35"/>
      <c r="AD124" s="40" t="str">
        <f>""</f>
        <v/>
      </c>
      <c r="AE124" s="35" t="str">
        <f>""</f>
        <v/>
      </c>
      <c r="AF124" s="40" t="str">
        <f>""</f>
        <v/>
      </c>
      <c r="AG124" s="35" t="str">
        <f>""</f>
        <v/>
      </c>
      <c r="AH124" s="40" t="str">
        <f>""</f>
        <v/>
      </c>
      <c r="AI124" s="35" t="str">
        <f>""</f>
        <v/>
      </c>
      <c r="AJ124" s="40"/>
      <c r="AK124" s="35"/>
      <c r="AL124" s="13" t="str">
        <f>""</f>
        <v/>
      </c>
      <c r="AM124" s="35" t="str">
        <f>""</f>
        <v/>
      </c>
    </row>
    <row r="125" spans="2:39" s="2" customFormat="1" x14ac:dyDescent="0.2">
      <c r="B125" s="4"/>
      <c r="C125" s="4"/>
      <c r="D125" s="4"/>
      <c r="E125" s="4"/>
      <c r="F125" s="13"/>
      <c r="G125" s="13"/>
      <c r="H125" s="13"/>
      <c r="I125" s="13"/>
      <c r="J125" s="13"/>
      <c r="K125" s="13"/>
      <c r="L125" s="13"/>
      <c r="M125" s="13"/>
      <c r="U125" s="65" t="s">
        <v>83</v>
      </c>
      <c r="V125" s="40" t="str">
        <f>""</f>
        <v/>
      </c>
      <c r="W125" s="13" t="str">
        <f>""</f>
        <v/>
      </c>
      <c r="X125" s="13" t="str">
        <f>""</f>
        <v/>
      </c>
      <c r="Y125" s="35" t="str">
        <f>""</f>
        <v/>
      </c>
      <c r="Z125" s="34" t="str">
        <f>""</f>
        <v/>
      </c>
      <c r="AA125" s="13">
        <v>0</v>
      </c>
      <c r="AB125" s="13" t="str">
        <f>""</f>
        <v/>
      </c>
      <c r="AC125" s="35"/>
      <c r="AD125" s="40" t="str">
        <f>""</f>
        <v/>
      </c>
      <c r="AE125" s="35" t="str">
        <f>""</f>
        <v/>
      </c>
      <c r="AF125" s="40" t="str">
        <f>""</f>
        <v/>
      </c>
      <c r="AG125" s="35" t="str">
        <f>""</f>
        <v/>
      </c>
      <c r="AH125" s="40" t="str">
        <f>""</f>
        <v/>
      </c>
      <c r="AI125" s="35" t="str">
        <f>""</f>
        <v/>
      </c>
      <c r="AJ125" s="40"/>
      <c r="AK125" s="35"/>
      <c r="AL125" s="13" t="str">
        <f>""</f>
        <v/>
      </c>
      <c r="AM125" s="35" t="str">
        <f>""</f>
        <v/>
      </c>
    </row>
    <row r="126" spans="2:39" s="2" customFormat="1" x14ac:dyDescent="0.2">
      <c r="B126" s="4"/>
      <c r="C126" s="4"/>
      <c r="D126" s="4"/>
      <c r="E126" s="4"/>
      <c r="F126" s="13"/>
      <c r="G126" s="13"/>
      <c r="H126" s="13"/>
      <c r="I126" s="13"/>
      <c r="J126" s="13"/>
      <c r="K126" s="13"/>
      <c r="L126" s="13"/>
      <c r="M126" s="13"/>
      <c r="U126" s="65" t="s">
        <v>84</v>
      </c>
      <c r="V126" s="40" t="str">
        <f>""</f>
        <v/>
      </c>
      <c r="W126" s="13" t="str">
        <f>""</f>
        <v/>
      </c>
      <c r="X126" s="13" t="str">
        <f>""</f>
        <v/>
      </c>
      <c r="Y126" s="35" t="str">
        <f>""</f>
        <v/>
      </c>
      <c r="Z126" s="34" t="str">
        <f>""</f>
        <v/>
      </c>
      <c r="AA126" s="13">
        <v>0</v>
      </c>
      <c r="AB126" s="13" t="str">
        <f>""</f>
        <v/>
      </c>
      <c r="AC126" s="35"/>
      <c r="AD126" s="40" t="str">
        <f>""</f>
        <v/>
      </c>
      <c r="AE126" s="35" t="str">
        <f>""</f>
        <v/>
      </c>
      <c r="AF126" s="40" t="str">
        <f>""</f>
        <v/>
      </c>
      <c r="AG126" s="35" t="str">
        <f>""</f>
        <v/>
      </c>
      <c r="AH126" s="40" t="str">
        <f>""</f>
        <v/>
      </c>
      <c r="AI126" s="35" t="str">
        <f>""</f>
        <v/>
      </c>
      <c r="AJ126" s="40"/>
      <c r="AK126" s="35"/>
      <c r="AL126" s="13" t="str">
        <f>""</f>
        <v/>
      </c>
      <c r="AM126" s="35" t="str">
        <f>""</f>
        <v/>
      </c>
    </row>
    <row r="127" spans="2:39" s="2" customFormat="1" x14ac:dyDescent="0.2">
      <c r="B127" s="4"/>
      <c r="C127" s="4"/>
      <c r="D127" s="4"/>
      <c r="E127" s="4"/>
      <c r="F127" s="13"/>
      <c r="G127" s="13"/>
      <c r="H127" s="13"/>
      <c r="I127" s="13"/>
      <c r="J127" s="13"/>
      <c r="K127" s="13"/>
      <c r="L127" s="13"/>
      <c r="M127" s="13"/>
      <c r="U127" s="65" t="s">
        <v>85</v>
      </c>
      <c r="V127" s="40" t="str">
        <f>""</f>
        <v/>
      </c>
      <c r="W127" s="13" t="str">
        <f>""</f>
        <v/>
      </c>
      <c r="X127" s="13" t="str">
        <f>""</f>
        <v/>
      </c>
      <c r="Y127" s="35" t="str">
        <f>""</f>
        <v/>
      </c>
      <c r="Z127" s="34" t="str">
        <f>""</f>
        <v/>
      </c>
      <c r="AA127" s="13">
        <v>0</v>
      </c>
      <c r="AB127" s="13" t="str">
        <f>""</f>
        <v/>
      </c>
      <c r="AC127" s="35"/>
      <c r="AD127" s="40" t="str">
        <f>""</f>
        <v/>
      </c>
      <c r="AE127" s="35" t="str">
        <f>""</f>
        <v/>
      </c>
      <c r="AF127" s="40" t="str">
        <f>""</f>
        <v/>
      </c>
      <c r="AG127" s="35" t="str">
        <f>""</f>
        <v/>
      </c>
      <c r="AH127" s="40" t="str">
        <f>""</f>
        <v/>
      </c>
      <c r="AI127" s="35" t="str">
        <f>""</f>
        <v/>
      </c>
      <c r="AJ127" s="40"/>
      <c r="AK127" s="35"/>
      <c r="AL127" s="13" t="str">
        <f>""</f>
        <v/>
      </c>
      <c r="AM127" s="35" t="str">
        <f>""</f>
        <v/>
      </c>
    </row>
    <row r="128" spans="2:39" s="2" customFormat="1" x14ac:dyDescent="0.2">
      <c r="B128" s="4"/>
      <c r="C128" s="4"/>
      <c r="D128" s="4"/>
      <c r="E128" s="4"/>
      <c r="F128" s="13"/>
      <c r="G128" s="13"/>
      <c r="H128" s="13"/>
      <c r="I128" s="13"/>
      <c r="J128" s="13"/>
      <c r="K128" s="13"/>
      <c r="L128" s="13"/>
      <c r="M128" s="13"/>
      <c r="U128" s="65" t="s">
        <v>86</v>
      </c>
      <c r="V128" s="40" t="str">
        <f>""</f>
        <v/>
      </c>
      <c r="W128" s="13" t="str">
        <f>""</f>
        <v/>
      </c>
      <c r="X128" s="13" t="str">
        <f>""</f>
        <v/>
      </c>
      <c r="Y128" s="35" t="str">
        <f>""</f>
        <v/>
      </c>
      <c r="Z128" s="34" t="str">
        <f>""</f>
        <v/>
      </c>
      <c r="AA128" s="13">
        <v>0</v>
      </c>
      <c r="AB128" s="13" t="str">
        <f>""</f>
        <v/>
      </c>
      <c r="AC128" s="35"/>
      <c r="AD128" s="40" t="str">
        <f>""</f>
        <v/>
      </c>
      <c r="AE128" s="35" t="str">
        <f>""</f>
        <v/>
      </c>
      <c r="AF128" s="40" t="str">
        <f>""</f>
        <v/>
      </c>
      <c r="AG128" s="35" t="str">
        <f>""</f>
        <v/>
      </c>
      <c r="AH128" s="40" t="str">
        <f>""</f>
        <v/>
      </c>
      <c r="AI128" s="35" t="str">
        <f>""</f>
        <v/>
      </c>
      <c r="AJ128" s="40"/>
      <c r="AK128" s="35"/>
      <c r="AL128" s="13" t="str">
        <f>""</f>
        <v/>
      </c>
      <c r="AM128" s="35" t="str">
        <f>""</f>
        <v/>
      </c>
    </row>
    <row r="129" spans="2:39" s="2" customFormat="1" x14ac:dyDescent="0.2">
      <c r="B129" s="4"/>
      <c r="C129" s="4"/>
      <c r="D129" s="4"/>
      <c r="E129" s="4"/>
      <c r="F129" s="13"/>
      <c r="G129" s="13"/>
      <c r="H129" s="13"/>
      <c r="I129" s="13"/>
      <c r="J129" s="13"/>
      <c r="K129" s="13"/>
      <c r="L129" s="13"/>
      <c r="M129" s="13"/>
      <c r="U129" s="65" t="s">
        <v>87</v>
      </c>
      <c r="V129" s="40" t="str">
        <f>""</f>
        <v/>
      </c>
      <c r="W129" s="13" t="str">
        <f>""</f>
        <v/>
      </c>
      <c r="X129" s="13" t="str">
        <f>""</f>
        <v/>
      </c>
      <c r="Y129" s="35" t="str">
        <f>""</f>
        <v/>
      </c>
      <c r="Z129" s="34" t="str">
        <f>""</f>
        <v/>
      </c>
      <c r="AA129" s="13">
        <v>0</v>
      </c>
      <c r="AB129" s="13" t="str">
        <f>""</f>
        <v/>
      </c>
      <c r="AC129" s="35"/>
      <c r="AD129" s="40" t="str">
        <f>""</f>
        <v/>
      </c>
      <c r="AE129" s="35" t="str">
        <f>""</f>
        <v/>
      </c>
      <c r="AF129" s="40" t="str">
        <f>""</f>
        <v/>
      </c>
      <c r="AG129" s="35" t="str">
        <f>""</f>
        <v/>
      </c>
      <c r="AH129" s="40" t="str">
        <f>""</f>
        <v/>
      </c>
      <c r="AI129" s="35" t="str">
        <f>""</f>
        <v/>
      </c>
      <c r="AJ129" s="40"/>
      <c r="AK129" s="35"/>
      <c r="AL129" s="13" t="str">
        <f>""</f>
        <v/>
      </c>
      <c r="AM129" s="35" t="str">
        <f>""</f>
        <v/>
      </c>
    </row>
    <row r="130" spans="2:39" s="2" customFormat="1" x14ac:dyDescent="0.2">
      <c r="B130" s="4"/>
      <c r="C130" s="4"/>
      <c r="D130" s="4"/>
      <c r="E130" s="4"/>
      <c r="F130" s="13"/>
      <c r="G130" s="13"/>
      <c r="H130" s="13"/>
      <c r="I130" s="13"/>
      <c r="J130" s="13"/>
      <c r="K130" s="13"/>
      <c r="L130" s="13"/>
      <c r="M130" s="13"/>
      <c r="U130" s="65" t="s">
        <v>88</v>
      </c>
      <c r="V130" s="40" t="str">
        <f>""</f>
        <v/>
      </c>
      <c r="W130" s="13" t="str">
        <f>""</f>
        <v/>
      </c>
      <c r="X130" s="13" t="str">
        <f>""</f>
        <v/>
      </c>
      <c r="Y130" s="35" t="str">
        <f>""</f>
        <v/>
      </c>
      <c r="Z130" s="34" t="str">
        <f>""</f>
        <v/>
      </c>
      <c r="AA130" s="13">
        <v>0</v>
      </c>
      <c r="AB130" s="13" t="str">
        <f>""</f>
        <v/>
      </c>
      <c r="AC130" s="35"/>
      <c r="AD130" s="40" t="str">
        <f>""</f>
        <v/>
      </c>
      <c r="AE130" s="35" t="str">
        <f>""</f>
        <v/>
      </c>
      <c r="AF130" s="40" t="str">
        <f>""</f>
        <v/>
      </c>
      <c r="AG130" s="35" t="str">
        <f>""</f>
        <v/>
      </c>
      <c r="AH130" s="40" t="str">
        <f>""</f>
        <v/>
      </c>
      <c r="AI130" s="35" t="str">
        <f>""</f>
        <v/>
      </c>
      <c r="AJ130" s="40"/>
      <c r="AK130" s="35"/>
      <c r="AL130" s="13" t="str">
        <f>""</f>
        <v/>
      </c>
      <c r="AM130" s="35" t="str">
        <f>""</f>
        <v/>
      </c>
    </row>
    <row r="131" spans="2:39" s="2" customFormat="1" x14ac:dyDescent="0.2">
      <c r="B131" s="4"/>
      <c r="C131" s="4"/>
      <c r="D131" s="4"/>
      <c r="E131" s="4"/>
      <c r="F131" s="13"/>
      <c r="G131" s="13"/>
      <c r="H131" s="13"/>
      <c r="I131" s="13"/>
      <c r="J131" s="13"/>
      <c r="K131" s="13"/>
      <c r="L131" s="13"/>
      <c r="M131" s="13"/>
      <c r="U131" s="65" t="s">
        <v>89</v>
      </c>
      <c r="V131" s="40" t="str">
        <f>""</f>
        <v/>
      </c>
      <c r="W131" s="13" t="str">
        <f>""</f>
        <v/>
      </c>
      <c r="X131" s="13" t="str">
        <f>""</f>
        <v/>
      </c>
      <c r="Y131" s="35" t="str">
        <f>""</f>
        <v/>
      </c>
      <c r="Z131" s="34" t="str">
        <f>""</f>
        <v/>
      </c>
      <c r="AA131" s="13">
        <v>0</v>
      </c>
      <c r="AB131" s="13" t="str">
        <f>""</f>
        <v/>
      </c>
      <c r="AC131" s="35"/>
      <c r="AD131" s="40" t="str">
        <f>""</f>
        <v/>
      </c>
      <c r="AE131" s="35" t="str">
        <f>""</f>
        <v/>
      </c>
      <c r="AF131" s="40" t="str">
        <f>""</f>
        <v/>
      </c>
      <c r="AG131" s="35" t="str">
        <f>""</f>
        <v/>
      </c>
      <c r="AH131" s="40" t="str">
        <f>""</f>
        <v/>
      </c>
      <c r="AI131" s="35" t="str">
        <f>""</f>
        <v/>
      </c>
      <c r="AJ131" s="40"/>
      <c r="AK131" s="35"/>
      <c r="AL131" s="13" t="str">
        <f>""</f>
        <v/>
      </c>
      <c r="AM131" s="35" t="str">
        <f>""</f>
        <v/>
      </c>
    </row>
    <row r="132" spans="2:39" s="2" customFormat="1" x14ac:dyDescent="0.2">
      <c r="B132" s="4"/>
      <c r="C132" s="4"/>
      <c r="D132" s="4"/>
      <c r="E132" s="4"/>
      <c r="F132" s="13"/>
      <c r="G132" s="13"/>
      <c r="H132" s="13"/>
      <c r="I132" s="13"/>
      <c r="J132" s="13"/>
      <c r="K132" s="13"/>
      <c r="L132" s="13"/>
      <c r="M132" s="13"/>
      <c r="U132" s="65" t="s">
        <v>90</v>
      </c>
      <c r="V132" s="40" t="str">
        <f>""</f>
        <v/>
      </c>
      <c r="W132" s="13" t="str">
        <f>""</f>
        <v/>
      </c>
      <c r="X132" s="13" t="str">
        <f>""</f>
        <v/>
      </c>
      <c r="Y132" s="35" t="str">
        <f>""</f>
        <v/>
      </c>
      <c r="Z132" s="34" t="str">
        <f>""</f>
        <v/>
      </c>
      <c r="AA132" s="13">
        <v>0</v>
      </c>
      <c r="AB132" s="13" t="str">
        <f>""</f>
        <v/>
      </c>
      <c r="AC132" s="35"/>
      <c r="AD132" s="40" t="str">
        <f>""</f>
        <v/>
      </c>
      <c r="AE132" s="35" t="str">
        <f>""</f>
        <v/>
      </c>
      <c r="AF132" s="40" t="str">
        <f>""</f>
        <v/>
      </c>
      <c r="AG132" s="35" t="str">
        <f>""</f>
        <v/>
      </c>
      <c r="AH132" s="40" t="str">
        <f>""</f>
        <v/>
      </c>
      <c r="AI132" s="35" t="str">
        <f>""</f>
        <v/>
      </c>
      <c r="AJ132" s="40"/>
      <c r="AK132" s="35"/>
      <c r="AL132" s="13" t="str">
        <f>""</f>
        <v/>
      </c>
      <c r="AM132" s="35" t="str">
        <f>""</f>
        <v/>
      </c>
    </row>
    <row r="133" spans="2:39" s="2" customFormat="1" x14ac:dyDescent="0.2">
      <c r="B133" s="4"/>
      <c r="C133" s="4"/>
      <c r="D133" s="4"/>
      <c r="E133" s="4"/>
      <c r="F133" s="13"/>
      <c r="G133" s="13"/>
      <c r="H133" s="13"/>
      <c r="I133" s="13"/>
      <c r="J133" s="13"/>
      <c r="K133" s="13"/>
      <c r="L133" s="13"/>
      <c r="M133" s="13"/>
      <c r="U133" s="65" t="s">
        <v>91</v>
      </c>
      <c r="V133" s="40" t="str">
        <f>""</f>
        <v/>
      </c>
      <c r="W133" s="13" t="str">
        <f>""</f>
        <v/>
      </c>
      <c r="X133" s="13" t="str">
        <f>""</f>
        <v/>
      </c>
      <c r="Y133" s="35" t="str">
        <f>""</f>
        <v/>
      </c>
      <c r="Z133" s="34" t="str">
        <f>""</f>
        <v/>
      </c>
      <c r="AA133" s="13">
        <v>0</v>
      </c>
      <c r="AB133" s="13" t="str">
        <f>""</f>
        <v/>
      </c>
      <c r="AC133" s="35"/>
      <c r="AD133" s="40" t="str">
        <f>""</f>
        <v/>
      </c>
      <c r="AE133" s="35" t="str">
        <f>""</f>
        <v/>
      </c>
      <c r="AF133" s="40" t="str">
        <f>""</f>
        <v/>
      </c>
      <c r="AG133" s="35" t="str">
        <f>""</f>
        <v/>
      </c>
      <c r="AH133" s="40" t="str">
        <f>""</f>
        <v/>
      </c>
      <c r="AI133" s="35" t="str">
        <f>""</f>
        <v/>
      </c>
      <c r="AJ133" s="40"/>
      <c r="AK133" s="35"/>
      <c r="AL133" s="13" t="str">
        <f>""</f>
        <v/>
      </c>
      <c r="AM133" s="35" t="str">
        <f>""</f>
        <v/>
      </c>
    </row>
    <row r="134" spans="2:39" s="2" customFormat="1" x14ac:dyDescent="0.2">
      <c r="B134" s="4"/>
      <c r="C134" s="4"/>
      <c r="D134" s="4"/>
      <c r="E134" s="4"/>
      <c r="F134" s="13"/>
      <c r="G134" s="13"/>
      <c r="H134" s="13"/>
      <c r="I134" s="13"/>
      <c r="J134" s="13"/>
      <c r="K134" s="13"/>
      <c r="L134" s="13"/>
      <c r="M134" s="13"/>
      <c r="U134" s="65" t="s">
        <v>92</v>
      </c>
      <c r="V134" s="40" t="str">
        <f>""</f>
        <v/>
      </c>
      <c r="W134" s="13" t="str">
        <f>""</f>
        <v/>
      </c>
      <c r="X134" s="13" t="str">
        <f>""</f>
        <v/>
      </c>
      <c r="Y134" s="35" t="str">
        <f>""</f>
        <v/>
      </c>
      <c r="Z134" s="34" t="str">
        <f>""</f>
        <v/>
      </c>
      <c r="AA134" s="13">
        <v>0</v>
      </c>
      <c r="AB134" s="13" t="str">
        <f>""</f>
        <v/>
      </c>
      <c r="AC134" s="35"/>
      <c r="AD134" s="40" t="str">
        <f>""</f>
        <v/>
      </c>
      <c r="AE134" s="35" t="str">
        <f>""</f>
        <v/>
      </c>
      <c r="AF134" s="40" t="str">
        <f>""</f>
        <v/>
      </c>
      <c r="AG134" s="35" t="str">
        <f>""</f>
        <v/>
      </c>
      <c r="AH134" s="40" t="str">
        <f>""</f>
        <v/>
      </c>
      <c r="AI134" s="35" t="str">
        <f>""</f>
        <v/>
      </c>
      <c r="AJ134" s="40"/>
      <c r="AK134" s="35"/>
      <c r="AL134" s="13" t="str">
        <f>""</f>
        <v/>
      </c>
      <c r="AM134" s="35" t="str">
        <f>""</f>
        <v/>
      </c>
    </row>
    <row r="135" spans="2:39" s="2" customFormat="1" ht="12.75" thickBot="1" x14ac:dyDescent="0.25">
      <c r="B135" s="4"/>
      <c r="C135" s="4"/>
      <c r="D135" s="4"/>
      <c r="E135" s="4"/>
      <c r="F135" s="13"/>
      <c r="G135" s="13"/>
      <c r="H135" s="13"/>
      <c r="I135" s="13"/>
      <c r="J135" s="13"/>
      <c r="K135" s="13"/>
      <c r="L135" s="13"/>
      <c r="M135" s="13"/>
      <c r="U135" s="66" t="s">
        <v>93</v>
      </c>
      <c r="V135" s="41" t="str">
        <f>""</f>
        <v/>
      </c>
      <c r="W135" s="37" t="str">
        <f>""</f>
        <v/>
      </c>
      <c r="X135" s="37" t="str">
        <f>""</f>
        <v/>
      </c>
      <c r="Y135" s="38" t="str">
        <f>""</f>
        <v/>
      </c>
      <c r="Z135" s="36" t="str">
        <f>""</f>
        <v/>
      </c>
      <c r="AA135" s="37">
        <v>0</v>
      </c>
      <c r="AB135" s="37" t="str">
        <f>""</f>
        <v/>
      </c>
      <c r="AC135" s="38"/>
      <c r="AD135" s="41" t="str">
        <f>""</f>
        <v/>
      </c>
      <c r="AE135" s="38" t="str">
        <f>""</f>
        <v/>
      </c>
      <c r="AF135" s="41" t="str">
        <f>""</f>
        <v/>
      </c>
      <c r="AG135" s="38" t="str">
        <f>""</f>
        <v/>
      </c>
      <c r="AH135" s="41" t="str">
        <f>""</f>
        <v/>
      </c>
      <c r="AI135" s="38" t="str">
        <f>""</f>
        <v/>
      </c>
      <c r="AJ135" s="41"/>
      <c r="AK135" s="38"/>
      <c r="AL135" s="37" t="str">
        <f>""</f>
        <v/>
      </c>
      <c r="AM135" s="38" t="str">
        <f>""</f>
        <v/>
      </c>
    </row>
    <row r="136" spans="2:39" s="2" customFormat="1" ht="12.75" thickTop="1" x14ac:dyDescent="0.2">
      <c r="B136" s="4"/>
      <c r="C136" s="4"/>
      <c r="D136" s="4"/>
      <c r="E136" s="4"/>
      <c r="F136" s="13"/>
      <c r="G136" s="13"/>
      <c r="H136" s="13"/>
      <c r="I136" s="13"/>
      <c r="J136" s="13"/>
      <c r="K136" s="13"/>
      <c r="L136" s="13"/>
      <c r="M136" s="13"/>
      <c r="Y136" s="65" t="s">
        <v>7</v>
      </c>
      <c r="Z136" s="31" t="str">
        <f ca="1">W64&amp;V64</f>
        <v/>
      </c>
      <c r="AA136" s="32">
        <f ca="1">AA64</f>
        <v>0</v>
      </c>
      <c r="AB136" s="32" t="str">
        <f ca="1">IF(AA64&gt;0,AI64&amp;Sprache!$E$108&amp;AH64,"")</f>
        <v/>
      </c>
      <c r="AC136" s="593" t="str">
        <f ca="1">IF(AA64&gt;0,AK64&amp;Sprache!$E$108&amp;AJ64,"")</f>
        <v/>
      </c>
      <c r="AD136" s="32"/>
    </row>
    <row r="137" spans="2:39" x14ac:dyDescent="0.2">
      <c r="Y137" s="65" t="s">
        <v>8</v>
      </c>
      <c r="Z137" s="34" t="str">
        <f ca="1">W65&amp;V65</f>
        <v/>
      </c>
      <c r="AA137" s="13">
        <f t="shared" ref="AA137:AA160" ca="1" si="45">AA65</f>
        <v>0</v>
      </c>
      <c r="AB137" s="13" t="str">
        <f ca="1">IF(AA65&gt;0,AI65&amp;Sprache!$E$108&amp;AH65,"")</f>
        <v/>
      </c>
      <c r="AC137" s="594" t="str">
        <f ca="1">IF(AA65&gt;0,AK65&amp;Sprache!$E$108&amp;AJ65,"")</f>
        <v/>
      </c>
      <c r="AD137" s="13"/>
    </row>
    <row r="138" spans="2:39" x14ac:dyDescent="0.2">
      <c r="Y138" s="65" t="s">
        <v>9</v>
      </c>
      <c r="Z138" s="34" t="str">
        <f t="shared" ref="Z138:Z160" ca="1" si="46">W66&amp;V66</f>
        <v>FC Barcelona</v>
      </c>
      <c r="AA138" s="13">
        <f t="shared" ca="1" si="45"/>
        <v>0</v>
      </c>
      <c r="AB138" s="13" t="str">
        <f ca="1">IF(AA66&gt;0,AI66&amp;Sprache!$E$108&amp;AH66,"")</f>
        <v/>
      </c>
      <c r="AC138" s="594" t="str">
        <f ca="1">IF(AA66&gt;0,AK66&amp;Sprache!$E$108&amp;AJ66,"")</f>
        <v/>
      </c>
      <c r="AD138" s="13"/>
    </row>
    <row r="139" spans="2:39" x14ac:dyDescent="0.2">
      <c r="Y139" s="65" t="s">
        <v>10</v>
      </c>
      <c r="Z139" s="34" t="str">
        <f t="shared" ca="1" si="46"/>
        <v>SSV WildbachVFB Essenheim</v>
      </c>
      <c r="AA139" s="13">
        <f t="shared" ca="1" si="45"/>
        <v>1</v>
      </c>
      <c r="AB139" s="13" t="str">
        <f ca="1">IF(AA67&gt;0,AI67&amp;Sprache!$E$108&amp;AH67,"")</f>
        <v>37 : 50</v>
      </c>
      <c r="AC139" s="594" t="str">
        <f ca="1">IF(AA67&gt;0,AK67&amp;Sprache!$E$108&amp;AJ67,"")</f>
        <v>0 : 2</v>
      </c>
      <c r="AD139" s="13"/>
    </row>
    <row r="140" spans="2:39" x14ac:dyDescent="0.2">
      <c r="Y140" s="65" t="s">
        <v>11</v>
      </c>
      <c r="Z140" s="34" t="str">
        <f t="shared" ca="1" si="46"/>
        <v>Manchester CityEintracht Frankfurt</v>
      </c>
      <c r="AA140" s="13">
        <f t="shared" ca="1" si="45"/>
        <v>1</v>
      </c>
      <c r="AB140" s="13" t="str">
        <f ca="1">IF(AA68&gt;0,AI68&amp;Sprache!$E$108&amp;AH68,"")</f>
        <v>50 : 35</v>
      </c>
      <c r="AC140" s="594" t="str">
        <f ca="1">IF(AA68&gt;0,AK68&amp;Sprache!$E$108&amp;AJ68,"")</f>
        <v>2 : 0</v>
      </c>
      <c r="AD140" s="13"/>
    </row>
    <row r="141" spans="2:39" x14ac:dyDescent="0.2">
      <c r="Y141" s="65" t="s">
        <v>12</v>
      </c>
      <c r="Z141" s="34" t="str">
        <f t="shared" ca="1" si="46"/>
        <v/>
      </c>
      <c r="AA141" s="13">
        <f t="shared" ca="1" si="45"/>
        <v>0</v>
      </c>
      <c r="AB141" s="13" t="str">
        <f ca="1">IF(AA69&gt;0,AI69&amp;Sprache!$E$108&amp;AH69,"")</f>
        <v/>
      </c>
      <c r="AC141" s="594" t="str">
        <f ca="1">IF(AA69&gt;0,AK69&amp;Sprache!$E$108&amp;AJ69,"")</f>
        <v/>
      </c>
      <c r="AD141" s="13"/>
    </row>
    <row r="142" spans="2:39" x14ac:dyDescent="0.2">
      <c r="Y142" s="65" t="s">
        <v>17</v>
      </c>
      <c r="Z142" s="34" t="str">
        <f t="shared" ca="1" si="46"/>
        <v>Inter Mailand</v>
      </c>
      <c r="AA142" s="13">
        <f t="shared" ca="1" si="45"/>
        <v>0</v>
      </c>
      <c r="AB142" s="13" t="str">
        <f ca="1">IF(AA70&gt;0,AI70&amp;Sprache!$E$108&amp;AH70,"")</f>
        <v/>
      </c>
      <c r="AC142" s="594" t="str">
        <f ca="1">IF(AA70&gt;0,AK70&amp;Sprache!$E$108&amp;AJ70,"")</f>
        <v/>
      </c>
      <c r="AD142" s="13"/>
    </row>
    <row r="143" spans="2:39" x14ac:dyDescent="0.2">
      <c r="Y143" s="65" t="s">
        <v>18</v>
      </c>
      <c r="Z143" s="34" t="str">
        <f t="shared" ca="1" si="46"/>
        <v>1. FC RiedwaldFC Grönlingen</v>
      </c>
      <c r="AA143" s="13">
        <f t="shared" ca="1" si="45"/>
        <v>1</v>
      </c>
      <c r="AB143" s="13" t="str">
        <f ca="1">IF(AA71&gt;0,AI71&amp;Sprache!$E$108&amp;AH71,"")</f>
        <v>44 : 50</v>
      </c>
      <c r="AC143" s="594" t="str">
        <f ca="1">IF(AA71&gt;0,AK71&amp;Sprache!$E$108&amp;AJ71,"")</f>
        <v>0 : 2</v>
      </c>
      <c r="AD143" s="13"/>
    </row>
    <row r="144" spans="2:39" x14ac:dyDescent="0.2">
      <c r="Y144" s="65" t="s">
        <v>19</v>
      </c>
      <c r="Z144" s="34" t="str">
        <f t="shared" ca="1" si="46"/>
        <v>Maibach 1822 eVMainz 05</v>
      </c>
      <c r="AA144" s="13">
        <f t="shared" ca="1" si="45"/>
        <v>1</v>
      </c>
      <c r="AB144" s="13" t="str">
        <f ca="1">IF(AA72&gt;0,AI72&amp;Sprache!$E$108&amp;AH72,"")</f>
        <v>39 : 50</v>
      </c>
      <c r="AC144" s="594" t="str">
        <f ca="1">IF(AA72&gt;0,AK72&amp;Sprache!$E$108&amp;AJ72,"")</f>
        <v>0 : 2</v>
      </c>
      <c r="AD144" s="13"/>
    </row>
    <row r="145" spans="25:30" x14ac:dyDescent="0.2">
      <c r="Y145" s="65" t="s">
        <v>25</v>
      </c>
      <c r="Z145" s="34" t="str">
        <f t="shared" ca="1" si="46"/>
        <v/>
      </c>
      <c r="AA145" s="13">
        <f t="shared" ca="1" si="45"/>
        <v>0</v>
      </c>
      <c r="AB145" s="13" t="str">
        <f ca="1">IF(AA73&gt;0,AI73&amp;Sprache!$E$108&amp;AH73,"")</f>
        <v/>
      </c>
      <c r="AC145" s="594" t="str">
        <f ca="1">IF(AA73&gt;0,AK73&amp;Sprache!$E$108&amp;AJ73,"")</f>
        <v/>
      </c>
      <c r="AD145" s="13"/>
    </row>
    <row r="146" spans="25:30" x14ac:dyDescent="0.2">
      <c r="Y146" s="65" t="s">
        <v>26</v>
      </c>
      <c r="Z146" s="34" t="str">
        <f t="shared" ca="1" si="46"/>
        <v>FC Barcelona</v>
      </c>
      <c r="AA146" s="13">
        <f t="shared" ca="1" si="45"/>
        <v>0</v>
      </c>
      <c r="AB146" s="13" t="str">
        <f ca="1">IF(AA74&gt;0,AI74&amp;Sprache!$E$108&amp;AH74,"")</f>
        <v/>
      </c>
      <c r="AC146" s="594" t="str">
        <f ca="1">IF(AA74&gt;0,AK74&amp;Sprache!$E$108&amp;AJ74,"")</f>
        <v/>
      </c>
      <c r="AD146" s="13"/>
    </row>
    <row r="147" spans="25:30" x14ac:dyDescent="0.2">
      <c r="Y147" s="65" t="s">
        <v>27</v>
      </c>
      <c r="Z147" s="34" t="str">
        <f t="shared" ca="1" si="46"/>
        <v>1. FC RiedwaldVFB Essenheim</v>
      </c>
      <c r="AA147" s="13">
        <f t="shared" ca="1" si="45"/>
        <v>1</v>
      </c>
      <c r="AB147" s="13" t="str">
        <f ca="1">IF(AA75&gt;0,AI75&amp;Sprache!$E$108&amp;AH75,"")</f>
        <v>37 : 44</v>
      </c>
      <c r="AC147" s="594" t="str">
        <f ca="1">IF(AA75&gt;0,AK75&amp;Sprache!$E$108&amp;AJ75,"")</f>
        <v>1 : 1</v>
      </c>
      <c r="AD147" s="13"/>
    </row>
    <row r="148" spans="25:30" x14ac:dyDescent="0.2">
      <c r="Y148" s="65" t="s">
        <v>28</v>
      </c>
      <c r="Z148" s="34" t="str">
        <f t="shared" ca="1" si="46"/>
        <v>Maibach 1822 eVEintracht Frankfurt</v>
      </c>
      <c r="AA148" s="13">
        <f t="shared" ca="1" si="45"/>
        <v>1</v>
      </c>
      <c r="AB148" s="13" t="str">
        <f ca="1">IF(AA76&gt;0,AI76&amp;Sprache!$E$108&amp;AH76,"")</f>
        <v>50 : 31</v>
      </c>
      <c r="AC148" s="594" t="str">
        <f ca="1">IF(AA76&gt;0,AK76&amp;Sprache!$E$108&amp;AJ76,"")</f>
        <v>2 : 0</v>
      </c>
      <c r="AD148" s="13"/>
    </row>
    <row r="149" spans="25:30" x14ac:dyDescent="0.2">
      <c r="Y149" s="65" t="s">
        <v>29</v>
      </c>
      <c r="Z149" s="34" t="str">
        <f t="shared" ca="1" si="46"/>
        <v/>
      </c>
      <c r="AA149" s="13">
        <f t="shared" ca="1" si="45"/>
        <v>0</v>
      </c>
      <c r="AB149" s="13" t="str">
        <f ca="1">IF(AA77&gt;0,AI77&amp;Sprache!$E$108&amp;AH77,"")</f>
        <v/>
      </c>
      <c r="AC149" s="594" t="str">
        <f ca="1">IF(AA77&gt;0,AK77&amp;Sprache!$E$108&amp;AJ77,"")</f>
        <v/>
      </c>
      <c r="AD149" s="13"/>
    </row>
    <row r="150" spans="25:30" x14ac:dyDescent="0.2">
      <c r="Y150" s="65" t="s">
        <v>30</v>
      </c>
      <c r="Z150" s="34" t="str">
        <f t="shared" ca="1" si="46"/>
        <v>Inter Mailand</v>
      </c>
      <c r="AA150" s="13">
        <f t="shared" ca="1" si="45"/>
        <v>0</v>
      </c>
      <c r="AB150" s="13" t="str">
        <f ca="1">IF(AA78&gt;0,AI78&amp;Sprache!$E$108&amp;AH78,"")</f>
        <v/>
      </c>
      <c r="AC150" s="594" t="str">
        <f ca="1">IF(AA78&gt;0,AK78&amp;Sprache!$E$108&amp;AJ78,"")</f>
        <v/>
      </c>
      <c r="AD150" s="13"/>
    </row>
    <row r="151" spans="25:30" x14ac:dyDescent="0.2">
      <c r="Y151" s="65" t="s">
        <v>31</v>
      </c>
      <c r="Z151" s="34" t="str">
        <f t="shared" ca="1" si="46"/>
        <v>SSV WildbachFC Grönlingen</v>
      </c>
      <c r="AA151" s="13">
        <f t="shared" ca="1" si="45"/>
        <v>1</v>
      </c>
      <c r="AB151" s="13" t="str">
        <f ca="1">IF(AA79&gt;0,AI79&amp;Sprache!$E$108&amp;AH79,"")</f>
        <v>45 : 47</v>
      </c>
      <c r="AC151" s="594" t="str">
        <f ca="1">IF(AA79&gt;0,AK79&amp;Sprache!$E$108&amp;AJ79,"")</f>
        <v>1 : 1</v>
      </c>
      <c r="AD151" s="13"/>
    </row>
    <row r="152" spans="25:30" x14ac:dyDescent="0.2">
      <c r="Y152" s="65" t="s">
        <v>32</v>
      </c>
      <c r="Z152" s="34" t="str">
        <f t="shared" ca="1" si="46"/>
        <v>Manchester CityMainz 05</v>
      </c>
      <c r="AA152" s="13">
        <f t="shared" ca="1" si="45"/>
        <v>1</v>
      </c>
      <c r="AB152" s="13" t="str">
        <f ca="1">IF(AA80&gt;0,AI80&amp;Sprache!$E$108&amp;AH80,"")</f>
        <v>44 : 44</v>
      </c>
      <c r="AC152" s="594" t="str">
        <f ca="1">IF(AA80&gt;0,AK80&amp;Sprache!$E$108&amp;AJ80,"")</f>
        <v>1 : 1</v>
      </c>
      <c r="AD152" s="13"/>
    </row>
    <row r="153" spans="25:30" x14ac:dyDescent="0.2">
      <c r="Y153" s="65" t="s">
        <v>33</v>
      </c>
      <c r="Z153" s="34" t="str">
        <f t="shared" ca="1" si="46"/>
        <v/>
      </c>
      <c r="AA153" s="13">
        <f t="shared" ca="1" si="45"/>
        <v>0</v>
      </c>
      <c r="AB153" s="13" t="str">
        <f ca="1">IF(AA81&gt;0,AI81&amp;Sprache!$E$108&amp;AH81,"")</f>
        <v/>
      </c>
      <c r="AC153" s="594" t="str">
        <f ca="1">IF(AA81&gt;0,AK81&amp;Sprache!$E$108&amp;AJ81,"")</f>
        <v/>
      </c>
      <c r="AD153" s="13"/>
    </row>
    <row r="154" spans="25:30" x14ac:dyDescent="0.2">
      <c r="Y154" s="65" t="s">
        <v>34</v>
      </c>
      <c r="Z154" s="34" t="str">
        <f t="shared" ca="1" si="46"/>
        <v/>
      </c>
      <c r="AA154" s="13">
        <f t="shared" ca="1" si="45"/>
        <v>0</v>
      </c>
      <c r="AB154" s="13" t="str">
        <f ca="1">IF(AA82&gt;0,AI82&amp;Sprache!$E$108&amp;AH82,"")</f>
        <v/>
      </c>
      <c r="AC154" s="594" t="str">
        <f ca="1">IF(AA82&gt;0,AK82&amp;Sprache!$E$108&amp;AJ82,"")</f>
        <v/>
      </c>
      <c r="AD154" s="13"/>
    </row>
    <row r="155" spans="25:30" x14ac:dyDescent="0.2">
      <c r="Y155" s="65" t="s">
        <v>35</v>
      </c>
      <c r="Z155" s="34" t="str">
        <f t="shared" ca="1" si="46"/>
        <v>SSV Wildbach1. FC Riedwald</v>
      </c>
      <c r="AA155" s="13">
        <f t="shared" ca="1" si="45"/>
        <v>1</v>
      </c>
      <c r="AB155" s="13" t="str">
        <f ca="1">IF(AA83&gt;0,AI83&amp;Sprache!$E$108&amp;AH83,"")</f>
        <v>48 : 39</v>
      </c>
      <c r="AC155" s="594" t="str">
        <f ca="1">IF(AA83&gt;0,AK83&amp;Sprache!$E$108&amp;AJ83,"")</f>
        <v>1 : 1</v>
      </c>
      <c r="AD155" s="13"/>
    </row>
    <row r="156" spans="25:30" x14ac:dyDescent="0.2">
      <c r="Y156" s="65" t="s">
        <v>36</v>
      </c>
      <c r="Z156" s="34" t="str">
        <f t="shared" ca="1" si="46"/>
        <v>Manchester CityMaibach 1822 eV</v>
      </c>
      <c r="AA156" s="13">
        <f t="shared" ca="1" si="45"/>
        <v>1</v>
      </c>
      <c r="AB156" s="13" t="str">
        <f ca="1">IF(AA84&gt;0,AI84&amp;Sprache!$E$108&amp;AH84,"")</f>
        <v>42 : 46</v>
      </c>
      <c r="AC156" s="594" t="str">
        <f ca="1">IF(AA84&gt;0,AK84&amp;Sprache!$E$108&amp;AJ84,"")</f>
        <v>1 : 1</v>
      </c>
      <c r="AD156" s="13"/>
    </row>
    <row r="157" spans="25:30" x14ac:dyDescent="0.2">
      <c r="Y157" s="65" t="s">
        <v>37</v>
      </c>
      <c r="Z157" s="34" t="str">
        <f t="shared" ca="1" si="46"/>
        <v/>
      </c>
      <c r="AA157" s="13">
        <f t="shared" ca="1" si="45"/>
        <v>0</v>
      </c>
      <c r="AB157" s="13" t="str">
        <f ca="1">IF(AA85&gt;0,AI85&amp;Sprache!$E$108&amp;AH85,"")</f>
        <v/>
      </c>
      <c r="AC157" s="594" t="str">
        <f ca="1">IF(AA85&gt;0,AK85&amp;Sprache!$E$108&amp;AJ85,"")</f>
        <v/>
      </c>
      <c r="AD157" s="13"/>
    </row>
    <row r="158" spans="25:30" x14ac:dyDescent="0.2">
      <c r="Y158" s="65" t="s">
        <v>38</v>
      </c>
      <c r="Z158" s="34" t="str">
        <f t="shared" ca="1" si="46"/>
        <v>Inter MailandFC Barcelona</v>
      </c>
      <c r="AA158" s="13">
        <f t="shared" ca="1" si="45"/>
        <v>1</v>
      </c>
      <c r="AB158" s="13" t="str">
        <f ca="1">IF(AA86&gt;0,AI86&amp;Sprache!$E$108&amp;AH86,"")</f>
        <v>65 : 70</v>
      </c>
      <c r="AC158" s="594" t="str">
        <f ca="1">IF(AA86&gt;0,AK86&amp;Sprache!$E$108&amp;AJ86,"")</f>
        <v>1 : 2</v>
      </c>
      <c r="AD158" s="13"/>
    </row>
    <row r="159" spans="25:30" x14ac:dyDescent="0.2">
      <c r="Y159" s="65" t="s">
        <v>39</v>
      </c>
      <c r="Z159" s="34" t="str">
        <f t="shared" ca="1" si="46"/>
        <v>FC GrönlingenVFB Essenheim</v>
      </c>
      <c r="AA159" s="13">
        <f t="shared" ca="1" si="45"/>
        <v>1</v>
      </c>
      <c r="AB159" s="13" t="str">
        <f ca="1">IF(AA87&gt;0,AI87&amp;Sprache!$E$108&amp;AH87,"")</f>
        <v>39 : 50</v>
      </c>
      <c r="AC159" s="594" t="str">
        <f ca="1">IF(AA87&gt;0,AK87&amp;Sprache!$E$108&amp;AJ87,"")</f>
        <v>0 : 2</v>
      </c>
      <c r="AD159" s="13"/>
    </row>
    <row r="160" spans="25:30" ht="12.75" thickBot="1" x14ac:dyDescent="0.25">
      <c r="Y160" s="754" t="s">
        <v>40</v>
      </c>
      <c r="Z160" s="758" t="str">
        <f t="shared" ca="1" si="46"/>
        <v>Mainz 05Eintracht Frankfurt</v>
      </c>
      <c r="AA160" s="756">
        <f t="shared" ca="1" si="45"/>
        <v>1</v>
      </c>
      <c r="AB160" s="756" t="str">
        <f ca="1">IF(AA88&gt;0,AI88&amp;Sprache!$E$108&amp;AH88,"")</f>
        <v>33 : 50</v>
      </c>
      <c r="AC160" s="759" t="str">
        <f ca="1">IF(AA88&gt;0,AK88&amp;Sprache!$E$108&amp;AJ88,"")</f>
        <v>0 : 2</v>
      </c>
      <c r="AD160" s="13"/>
    </row>
    <row r="161" spans="25:30" ht="12.75" thickTop="1" x14ac:dyDescent="0.2">
      <c r="Y161" s="65" t="s">
        <v>41</v>
      </c>
      <c r="Z161" s="34" t="str">
        <f>""</f>
        <v/>
      </c>
      <c r="AA161" s="13">
        <v>0</v>
      </c>
      <c r="AB161" s="13" t="str">
        <f>""</f>
        <v/>
      </c>
      <c r="AC161" s="594" t="str">
        <f>""</f>
        <v/>
      </c>
      <c r="AD161" s="13"/>
    </row>
    <row r="162" spans="25:30" x14ac:dyDescent="0.2">
      <c r="Y162" s="65" t="s">
        <v>42</v>
      </c>
      <c r="Z162" s="34" t="str">
        <f>""</f>
        <v/>
      </c>
      <c r="AA162" s="13">
        <v>0</v>
      </c>
      <c r="AB162" s="13" t="str">
        <f>""</f>
        <v/>
      </c>
      <c r="AC162" s="594" t="str">
        <f>""</f>
        <v/>
      </c>
      <c r="AD162" s="13"/>
    </row>
    <row r="163" spans="25:30" x14ac:dyDescent="0.2">
      <c r="Y163" s="65" t="s">
        <v>43</v>
      </c>
      <c r="Z163" s="34" t="str">
        <f>""</f>
        <v/>
      </c>
      <c r="AA163" s="13">
        <v>0</v>
      </c>
      <c r="AB163" s="13" t="str">
        <f>""</f>
        <v/>
      </c>
      <c r="AC163" s="594" t="str">
        <f>""</f>
        <v/>
      </c>
      <c r="AD163" s="13"/>
    </row>
    <row r="164" spans="25:30" x14ac:dyDescent="0.2">
      <c r="Y164" s="65" t="s">
        <v>44</v>
      </c>
      <c r="Z164" s="34" t="str">
        <f>""</f>
        <v/>
      </c>
      <c r="AA164" s="13">
        <v>0</v>
      </c>
      <c r="AB164" s="13" t="str">
        <f>""</f>
        <v/>
      </c>
      <c r="AC164" s="594" t="str">
        <f>""</f>
        <v/>
      </c>
      <c r="AD164" s="13"/>
    </row>
    <row r="165" spans="25:30" x14ac:dyDescent="0.2">
      <c r="Y165" s="65" t="s">
        <v>45</v>
      </c>
      <c r="Z165" s="34" t="str">
        <f>""</f>
        <v/>
      </c>
      <c r="AA165" s="13">
        <v>0</v>
      </c>
      <c r="AB165" s="13" t="str">
        <f>""</f>
        <v/>
      </c>
      <c r="AC165" s="594" t="str">
        <f>""</f>
        <v/>
      </c>
      <c r="AD165" s="13"/>
    </row>
    <row r="166" spans="25:30" x14ac:dyDescent="0.2">
      <c r="Y166" s="65" t="s">
        <v>46</v>
      </c>
      <c r="Z166" s="34" t="str">
        <f>""</f>
        <v/>
      </c>
      <c r="AA166" s="13">
        <v>0</v>
      </c>
      <c r="AB166" s="13" t="str">
        <f>""</f>
        <v/>
      </c>
      <c r="AC166" s="594" t="str">
        <f>""</f>
        <v/>
      </c>
      <c r="AD166" s="13"/>
    </row>
    <row r="167" spans="25:30" x14ac:dyDescent="0.2">
      <c r="Y167" s="65" t="s">
        <v>47</v>
      </c>
      <c r="Z167" s="34" t="str">
        <f>""</f>
        <v/>
      </c>
      <c r="AA167" s="13">
        <v>0</v>
      </c>
      <c r="AB167" s="13" t="str">
        <f>""</f>
        <v/>
      </c>
      <c r="AC167" s="594" t="str">
        <f>""</f>
        <v/>
      </c>
      <c r="AD167" s="13"/>
    </row>
    <row r="168" spans="25:30" x14ac:dyDescent="0.2">
      <c r="Y168" s="65" t="s">
        <v>48</v>
      </c>
      <c r="Z168" s="34" t="str">
        <f>""</f>
        <v/>
      </c>
      <c r="AA168" s="13">
        <v>0</v>
      </c>
      <c r="AB168" s="13" t="str">
        <f>""</f>
        <v/>
      </c>
      <c r="AC168" s="594" t="str">
        <f>""</f>
        <v/>
      </c>
      <c r="AD168" s="13"/>
    </row>
    <row r="169" spans="25:30" x14ac:dyDescent="0.2">
      <c r="Y169" s="65" t="s">
        <v>49</v>
      </c>
      <c r="Z169" s="34" t="str">
        <f>""</f>
        <v/>
      </c>
      <c r="AA169" s="13">
        <v>0</v>
      </c>
      <c r="AB169" s="13" t="str">
        <f>""</f>
        <v/>
      </c>
      <c r="AC169" s="594" t="str">
        <f>""</f>
        <v/>
      </c>
      <c r="AD169" s="13"/>
    </row>
    <row r="170" spans="25:30" x14ac:dyDescent="0.2">
      <c r="Y170" s="65" t="s">
        <v>50</v>
      </c>
      <c r="Z170" s="34" t="str">
        <f>""</f>
        <v/>
      </c>
      <c r="AA170" s="13">
        <v>0</v>
      </c>
      <c r="AB170" s="13" t="str">
        <f>""</f>
        <v/>
      </c>
      <c r="AC170" s="594" t="str">
        <f>""</f>
        <v/>
      </c>
      <c r="AD170" s="13"/>
    </row>
    <row r="171" spans="25:30" x14ac:dyDescent="0.2">
      <c r="Y171" s="65" t="s">
        <v>51</v>
      </c>
      <c r="Z171" s="34" t="str">
        <f>""</f>
        <v/>
      </c>
      <c r="AA171" s="13">
        <v>0</v>
      </c>
      <c r="AB171" s="13" t="str">
        <f>""</f>
        <v/>
      </c>
      <c r="AC171" s="594" t="str">
        <f>""</f>
        <v/>
      </c>
      <c r="AD171" s="13"/>
    </row>
    <row r="172" spans="25:30" x14ac:dyDescent="0.2">
      <c r="Y172" s="65" t="s">
        <v>58</v>
      </c>
      <c r="Z172" s="34" t="str">
        <f>""</f>
        <v/>
      </c>
      <c r="AA172" s="13">
        <v>0</v>
      </c>
      <c r="AB172" s="13" t="str">
        <f>""</f>
        <v/>
      </c>
      <c r="AC172" s="594" t="str">
        <f>""</f>
        <v/>
      </c>
      <c r="AD172" s="13"/>
    </row>
    <row r="173" spans="25:30" x14ac:dyDescent="0.2">
      <c r="Y173" s="65" t="s">
        <v>59</v>
      </c>
      <c r="Z173" s="34" t="str">
        <f>""</f>
        <v/>
      </c>
      <c r="AA173" s="13">
        <v>0</v>
      </c>
      <c r="AB173" s="13" t="str">
        <f>""</f>
        <v/>
      </c>
      <c r="AC173" s="594" t="str">
        <f>""</f>
        <v/>
      </c>
      <c r="AD173" s="13"/>
    </row>
    <row r="174" spans="25:30" x14ac:dyDescent="0.2">
      <c r="Y174" s="65" t="s">
        <v>60</v>
      </c>
      <c r="Z174" s="34" t="str">
        <f>""</f>
        <v/>
      </c>
      <c r="AA174" s="13">
        <v>0</v>
      </c>
      <c r="AB174" s="13" t="str">
        <f>""</f>
        <v/>
      </c>
      <c r="AC174" s="594" t="str">
        <f>""</f>
        <v/>
      </c>
      <c r="AD174" s="13"/>
    </row>
    <row r="175" spans="25:30" x14ac:dyDescent="0.2">
      <c r="Y175" s="65" t="s">
        <v>61</v>
      </c>
      <c r="Z175" s="34" t="str">
        <f>""</f>
        <v/>
      </c>
      <c r="AA175" s="13">
        <v>0</v>
      </c>
      <c r="AB175" s="13" t="str">
        <f>""</f>
        <v/>
      </c>
      <c r="AC175" s="594" t="str">
        <f>""</f>
        <v/>
      </c>
      <c r="AD175" s="13"/>
    </row>
    <row r="176" spans="25:30" x14ac:dyDescent="0.2">
      <c r="Y176" s="65" t="s">
        <v>62</v>
      </c>
      <c r="Z176" s="34" t="str">
        <f>""</f>
        <v/>
      </c>
      <c r="AA176" s="13">
        <v>0</v>
      </c>
      <c r="AB176" s="13" t="str">
        <f>""</f>
        <v/>
      </c>
      <c r="AC176" s="594" t="str">
        <f>""</f>
        <v/>
      </c>
      <c r="AD176" s="13"/>
    </row>
    <row r="177" spans="25:30" x14ac:dyDescent="0.2">
      <c r="Y177" s="65" t="s">
        <v>63</v>
      </c>
      <c r="Z177" s="34" t="str">
        <f>""</f>
        <v/>
      </c>
      <c r="AA177" s="13">
        <v>0</v>
      </c>
      <c r="AB177" s="13" t="str">
        <f>""</f>
        <v/>
      </c>
      <c r="AC177" s="594" t="str">
        <f>""</f>
        <v/>
      </c>
      <c r="AD177" s="13"/>
    </row>
    <row r="178" spans="25:30" x14ac:dyDescent="0.2">
      <c r="Y178" s="65" t="s">
        <v>64</v>
      </c>
      <c r="Z178" s="34" t="str">
        <f>""</f>
        <v/>
      </c>
      <c r="AA178" s="13">
        <v>0</v>
      </c>
      <c r="AB178" s="13" t="str">
        <f>""</f>
        <v/>
      </c>
      <c r="AC178" s="594" t="str">
        <f>""</f>
        <v/>
      </c>
      <c r="AD178" s="13"/>
    </row>
    <row r="179" spans="25:30" x14ac:dyDescent="0.2">
      <c r="Y179" s="65" t="s">
        <v>65</v>
      </c>
      <c r="Z179" s="34" t="str">
        <f>""</f>
        <v/>
      </c>
      <c r="AA179" s="13">
        <v>0</v>
      </c>
      <c r="AB179" s="13" t="str">
        <f>""</f>
        <v/>
      </c>
      <c r="AC179" s="594" t="str">
        <f>""</f>
        <v/>
      </c>
      <c r="AD179" s="13"/>
    </row>
    <row r="180" spans="25:30" x14ac:dyDescent="0.2">
      <c r="Y180" s="65" t="s">
        <v>66</v>
      </c>
      <c r="Z180" s="34" t="str">
        <f>""</f>
        <v/>
      </c>
      <c r="AA180" s="13">
        <v>0</v>
      </c>
      <c r="AB180" s="13" t="str">
        <f>""</f>
        <v/>
      </c>
      <c r="AC180" s="594" t="str">
        <f>""</f>
        <v/>
      </c>
      <c r="AD180" s="13"/>
    </row>
    <row r="181" spans="25:30" x14ac:dyDescent="0.2">
      <c r="Y181" s="65" t="s">
        <v>67</v>
      </c>
      <c r="Z181" s="34" t="str">
        <f>""</f>
        <v/>
      </c>
      <c r="AA181" s="13">
        <v>0</v>
      </c>
      <c r="AB181" s="13" t="str">
        <f>""</f>
        <v/>
      </c>
      <c r="AC181" s="594" t="str">
        <f>""</f>
        <v/>
      </c>
      <c r="AD181" s="13"/>
    </row>
    <row r="182" spans="25:30" x14ac:dyDescent="0.2">
      <c r="Y182" s="65" t="s">
        <v>68</v>
      </c>
      <c r="Z182" s="34" t="str">
        <f>""</f>
        <v/>
      </c>
      <c r="AA182" s="13">
        <v>0</v>
      </c>
      <c r="AB182" s="13" t="str">
        <f>""</f>
        <v/>
      </c>
      <c r="AC182" s="594" t="str">
        <f>""</f>
        <v/>
      </c>
      <c r="AD182" s="13"/>
    </row>
    <row r="183" spans="25:30" x14ac:dyDescent="0.2">
      <c r="Y183" s="65" t="s">
        <v>69</v>
      </c>
      <c r="Z183" s="34" t="str">
        <f>""</f>
        <v/>
      </c>
      <c r="AA183" s="13">
        <v>0</v>
      </c>
      <c r="AB183" s="13" t="str">
        <f>""</f>
        <v/>
      </c>
      <c r="AC183" s="594" t="str">
        <f>""</f>
        <v/>
      </c>
      <c r="AD183" s="13"/>
    </row>
    <row r="184" spans="25:30" x14ac:dyDescent="0.2">
      <c r="Y184" s="65" t="s">
        <v>70</v>
      </c>
      <c r="Z184" s="34" t="str">
        <f>""</f>
        <v/>
      </c>
      <c r="AA184" s="13">
        <v>0</v>
      </c>
      <c r="AB184" s="13" t="str">
        <f>""</f>
        <v/>
      </c>
      <c r="AC184" s="594" t="str">
        <f>""</f>
        <v/>
      </c>
      <c r="AD184" s="13"/>
    </row>
    <row r="185" spans="25:30" x14ac:dyDescent="0.2">
      <c r="Y185" s="65" t="s">
        <v>71</v>
      </c>
      <c r="Z185" s="34" t="str">
        <f>""</f>
        <v/>
      </c>
      <c r="AA185" s="13">
        <v>0</v>
      </c>
      <c r="AB185" s="13" t="str">
        <f>""</f>
        <v/>
      </c>
      <c r="AC185" s="594" t="str">
        <f>""</f>
        <v/>
      </c>
      <c r="AD185" s="13"/>
    </row>
    <row r="186" spans="25:30" x14ac:dyDescent="0.2">
      <c r="Y186" s="65" t="s">
        <v>72</v>
      </c>
      <c r="Z186" s="34" t="str">
        <f>""</f>
        <v/>
      </c>
      <c r="AA186" s="13">
        <v>0</v>
      </c>
      <c r="AB186" s="13" t="str">
        <f>""</f>
        <v/>
      </c>
      <c r="AC186" s="594" t="str">
        <f>""</f>
        <v/>
      </c>
      <c r="AD186" s="13"/>
    </row>
    <row r="187" spans="25:30" x14ac:dyDescent="0.2">
      <c r="Y187" s="65" t="s">
        <v>73</v>
      </c>
      <c r="Z187" s="34" t="str">
        <f>""</f>
        <v/>
      </c>
      <c r="AA187" s="13">
        <v>0</v>
      </c>
      <c r="AB187" s="13" t="str">
        <f>""</f>
        <v/>
      </c>
      <c r="AC187" s="594" t="str">
        <f>""</f>
        <v/>
      </c>
      <c r="AD187" s="13"/>
    </row>
    <row r="188" spans="25:30" x14ac:dyDescent="0.2">
      <c r="Y188" s="65" t="s">
        <v>74</v>
      </c>
      <c r="Z188" s="34" t="str">
        <f>""</f>
        <v/>
      </c>
      <c r="AA188" s="13">
        <v>0</v>
      </c>
      <c r="AB188" s="13" t="str">
        <f>""</f>
        <v/>
      </c>
      <c r="AC188" s="594" t="str">
        <f>""</f>
        <v/>
      </c>
      <c r="AD188" s="13"/>
    </row>
    <row r="189" spans="25:30" x14ac:dyDescent="0.2">
      <c r="Y189" s="65" t="s">
        <v>75</v>
      </c>
      <c r="Z189" s="34" t="str">
        <f>""</f>
        <v/>
      </c>
      <c r="AA189" s="13">
        <v>0</v>
      </c>
      <c r="AB189" s="13" t="str">
        <f>""</f>
        <v/>
      </c>
      <c r="AC189" s="594" t="str">
        <f>""</f>
        <v/>
      </c>
      <c r="AD189" s="13"/>
    </row>
    <row r="190" spans="25:30" x14ac:dyDescent="0.2">
      <c r="Y190" s="65" t="s">
        <v>76</v>
      </c>
      <c r="Z190" s="34" t="str">
        <f>""</f>
        <v/>
      </c>
      <c r="AA190" s="13">
        <v>0</v>
      </c>
      <c r="AB190" s="13" t="str">
        <f>""</f>
        <v/>
      </c>
      <c r="AC190" s="594" t="str">
        <f>""</f>
        <v/>
      </c>
      <c r="AD190" s="13"/>
    </row>
    <row r="191" spans="25:30" x14ac:dyDescent="0.2">
      <c r="Y191" s="65" t="s">
        <v>77</v>
      </c>
      <c r="Z191" s="34" t="str">
        <f>""</f>
        <v/>
      </c>
      <c r="AA191" s="13">
        <v>0</v>
      </c>
      <c r="AB191" s="13" t="str">
        <f>""</f>
        <v/>
      </c>
      <c r="AC191" s="594" t="str">
        <f>""</f>
        <v/>
      </c>
      <c r="AD191" s="13"/>
    </row>
    <row r="192" spans="25:30" x14ac:dyDescent="0.2">
      <c r="Y192" s="65" t="s">
        <v>78</v>
      </c>
      <c r="Z192" s="34" t="str">
        <f>""</f>
        <v/>
      </c>
      <c r="AA192" s="13">
        <v>0</v>
      </c>
      <c r="AB192" s="13" t="str">
        <f>""</f>
        <v/>
      </c>
      <c r="AC192" s="594" t="str">
        <f>""</f>
        <v/>
      </c>
      <c r="AD192" s="13"/>
    </row>
    <row r="193" spans="25:30" x14ac:dyDescent="0.2">
      <c r="Y193" s="65" t="s">
        <v>79</v>
      </c>
      <c r="Z193" s="34" t="str">
        <f>""</f>
        <v/>
      </c>
      <c r="AA193" s="13">
        <v>0</v>
      </c>
      <c r="AB193" s="13" t="str">
        <f>""</f>
        <v/>
      </c>
      <c r="AC193" s="594" t="str">
        <f>""</f>
        <v/>
      </c>
      <c r="AD193" s="13"/>
    </row>
    <row r="194" spans="25:30" x14ac:dyDescent="0.2">
      <c r="Y194" s="65" t="s">
        <v>80</v>
      </c>
      <c r="Z194" s="34" t="str">
        <f>""</f>
        <v/>
      </c>
      <c r="AA194" s="13">
        <v>0</v>
      </c>
      <c r="AB194" s="13" t="str">
        <f>""</f>
        <v/>
      </c>
      <c r="AC194" s="594" t="str">
        <f>""</f>
        <v/>
      </c>
      <c r="AD194" s="13"/>
    </row>
    <row r="195" spans="25:30" x14ac:dyDescent="0.2">
      <c r="Y195" s="65" t="s">
        <v>81</v>
      </c>
      <c r="Z195" s="34" t="str">
        <f>""</f>
        <v/>
      </c>
      <c r="AA195" s="13">
        <v>0</v>
      </c>
      <c r="AB195" s="13" t="str">
        <f>""</f>
        <v/>
      </c>
      <c r="AC195" s="594" t="str">
        <f>""</f>
        <v/>
      </c>
      <c r="AD195" s="13"/>
    </row>
    <row r="196" spans="25:30" x14ac:dyDescent="0.2">
      <c r="Y196" s="65" t="s">
        <v>82</v>
      </c>
      <c r="Z196" s="34" t="str">
        <f>""</f>
        <v/>
      </c>
      <c r="AA196" s="13">
        <v>0</v>
      </c>
      <c r="AB196" s="13" t="str">
        <f>""</f>
        <v/>
      </c>
      <c r="AC196" s="594" t="str">
        <f>""</f>
        <v/>
      </c>
      <c r="AD196" s="13"/>
    </row>
    <row r="197" spans="25:30" x14ac:dyDescent="0.2">
      <c r="Y197" s="65" t="s">
        <v>83</v>
      </c>
      <c r="Z197" s="34" t="str">
        <f>""</f>
        <v/>
      </c>
      <c r="AA197" s="13">
        <v>0</v>
      </c>
      <c r="AB197" s="13" t="str">
        <f>""</f>
        <v/>
      </c>
      <c r="AC197" s="594" t="str">
        <f>""</f>
        <v/>
      </c>
      <c r="AD197" s="13"/>
    </row>
    <row r="198" spans="25:30" x14ac:dyDescent="0.2">
      <c r="Y198" s="65" t="s">
        <v>84</v>
      </c>
      <c r="Z198" s="34" t="str">
        <f>""</f>
        <v/>
      </c>
      <c r="AA198" s="13">
        <v>0</v>
      </c>
      <c r="AB198" s="13" t="str">
        <f>""</f>
        <v/>
      </c>
      <c r="AC198" s="594" t="str">
        <f>""</f>
        <v/>
      </c>
      <c r="AD198" s="13"/>
    </row>
    <row r="199" spans="25:30" x14ac:dyDescent="0.2">
      <c r="Y199" s="65" t="s">
        <v>85</v>
      </c>
      <c r="Z199" s="34" t="str">
        <f>""</f>
        <v/>
      </c>
      <c r="AA199" s="13">
        <v>0</v>
      </c>
      <c r="AB199" s="13" t="str">
        <f>""</f>
        <v/>
      </c>
      <c r="AC199" s="594" t="str">
        <f>""</f>
        <v/>
      </c>
      <c r="AD199" s="13"/>
    </row>
    <row r="200" spans="25:30" x14ac:dyDescent="0.2">
      <c r="Y200" s="65" t="s">
        <v>86</v>
      </c>
      <c r="Z200" s="34" t="str">
        <f>""</f>
        <v/>
      </c>
      <c r="AA200" s="13">
        <v>0</v>
      </c>
      <c r="AB200" s="13" t="str">
        <f>""</f>
        <v/>
      </c>
      <c r="AC200" s="594" t="str">
        <f>""</f>
        <v/>
      </c>
      <c r="AD200" s="13"/>
    </row>
    <row r="201" spans="25:30" x14ac:dyDescent="0.2">
      <c r="Y201" s="65" t="s">
        <v>87</v>
      </c>
      <c r="Z201" s="34" t="str">
        <f>""</f>
        <v/>
      </c>
      <c r="AA201" s="13">
        <v>0</v>
      </c>
      <c r="AB201" s="13" t="str">
        <f>""</f>
        <v/>
      </c>
      <c r="AC201" s="594" t="str">
        <f>""</f>
        <v/>
      </c>
      <c r="AD201" s="13"/>
    </row>
    <row r="202" spans="25:30" x14ac:dyDescent="0.2">
      <c r="Y202" s="65" t="s">
        <v>88</v>
      </c>
      <c r="Z202" s="34" t="str">
        <f>""</f>
        <v/>
      </c>
      <c r="AA202" s="13">
        <v>0</v>
      </c>
      <c r="AB202" s="13" t="str">
        <f>""</f>
        <v/>
      </c>
      <c r="AC202" s="594" t="str">
        <f>""</f>
        <v/>
      </c>
      <c r="AD202" s="13"/>
    </row>
    <row r="203" spans="25:30" x14ac:dyDescent="0.2">
      <c r="Y203" s="65" t="s">
        <v>89</v>
      </c>
      <c r="Z203" s="34" t="str">
        <f>""</f>
        <v/>
      </c>
      <c r="AA203" s="13">
        <v>0</v>
      </c>
      <c r="AB203" s="13" t="str">
        <f>""</f>
        <v/>
      </c>
      <c r="AC203" s="594" t="str">
        <f>""</f>
        <v/>
      </c>
      <c r="AD203" s="13"/>
    </row>
    <row r="204" spans="25:30" x14ac:dyDescent="0.2">
      <c r="Y204" s="65" t="s">
        <v>90</v>
      </c>
      <c r="Z204" s="34" t="str">
        <f>""</f>
        <v/>
      </c>
      <c r="AA204" s="13">
        <v>0</v>
      </c>
      <c r="AB204" s="13" t="str">
        <f>""</f>
        <v/>
      </c>
      <c r="AC204" s="594" t="str">
        <f>""</f>
        <v/>
      </c>
      <c r="AD204" s="13"/>
    </row>
    <row r="205" spans="25:30" x14ac:dyDescent="0.2">
      <c r="Y205" s="65" t="s">
        <v>91</v>
      </c>
      <c r="Z205" s="34" t="str">
        <f>""</f>
        <v/>
      </c>
      <c r="AA205" s="13">
        <v>0</v>
      </c>
      <c r="AB205" s="13" t="str">
        <f>""</f>
        <v/>
      </c>
      <c r="AC205" s="594" t="str">
        <f>""</f>
        <v/>
      </c>
      <c r="AD205" s="13"/>
    </row>
    <row r="206" spans="25:30" x14ac:dyDescent="0.2">
      <c r="Y206" s="65" t="s">
        <v>92</v>
      </c>
      <c r="Z206" s="34" t="str">
        <f>""</f>
        <v/>
      </c>
      <c r="AA206" s="13">
        <v>0</v>
      </c>
      <c r="AB206" s="13" t="str">
        <f>""</f>
        <v/>
      </c>
      <c r="AC206" s="594" t="str">
        <f>""</f>
        <v/>
      </c>
      <c r="AD206" s="13"/>
    </row>
    <row r="207" spans="25:30" ht="12.75" thickBot="1" x14ac:dyDescent="0.25">
      <c r="Y207" s="66" t="s">
        <v>93</v>
      </c>
      <c r="Z207" s="36" t="str">
        <f>""</f>
        <v/>
      </c>
      <c r="AA207" s="37">
        <v>0</v>
      </c>
      <c r="AB207" s="37" t="str">
        <f>""</f>
        <v/>
      </c>
      <c r="AC207" s="595" t="str">
        <f>""</f>
        <v/>
      </c>
      <c r="AD207" s="40"/>
    </row>
    <row r="208" spans="25:30" ht="12.75" thickTop="1" x14ac:dyDescent="0.2"/>
  </sheetData>
  <mergeCells count="18">
    <mergeCell ref="AL63:AM63"/>
    <mergeCell ref="X63:Y63"/>
    <mergeCell ref="AD63:AE63"/>
    <mergeCell ref="AF63:AG63"/>
    <mergeCell ref="AH63:AI63"/>
    <mergeCell ref="AJ63:AK63"/>
    <mergeCell ref="AS29:AZ29"/>
    <mergeCell ref="BA29:BH29"/>
    <mergeCell ref="BI29:BP29"/>
    <mergeCell ref="W3:AA3"/>
    <mergeCell ref="AB3:AF3"/>
    <mergeCell ref="AG3:AK3"/>
    <mergeCell ref="AL3:AP3"/>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77BC5-DC8D-4E89-A35F-44F2E910242E}">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10.425781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50" s="2" customFormat="1" x14ac:dyDescent="0.2">
      <c r="Z1" s="1"/>
    </row>
    <row r="2" spans="1:50" s="2" customFormat="1" x14ac:dyDescent="0.2">
      <c r="B2" s="13"/>
      <c r="C2" s="13"/>
      <c r="D2" s="13"/>
      <c r="E2" s="13"/>
      <c r="F2" s="1"/>
      <c r="G2" s="1"/>
      <c r="H2" s="1"/>
      <c r="I2" s="1"/>
      <c r="J2" s="1"/>
      <c r="K2" s="1"/>
      <c r="L2" s="1"/>
      <c r="M2" s="1"/>
      <c r="N2" s="13"/>
      <c r="O2" s="1"/>
      <c r="P2" s="1"/>
      <c r="Q2" s="1"/>
      <c r="W2" s="2" t="s">
        <v>148</v>
      </c>
      <c r="AS2" s="1"/>
      <c r="AT2" s="1"/>
      <c r="AU2" s="1"/>
      <c r="AV2" s="1" t="s">
        <v>385</v>
      </c>
      <c r="AW2" s="1"/>
      <c r="AX2" s="1"/>
    </row>
    <row r="3" spans="1:50" s="2" customFormat="1" ht="13.5" customHeight="1" thickBot="1" x14ac:dyDescent="0.25">
      <c r="B3" s="1"/>
      <c r="C3" s="13"/>
      <c r="D3" s="13"/>
      <c r="E3" s="13"/>
      <c r="F3" s="13"/>
      <c r="G3" s="68" t="s">
        <v>107</v>
      </c>
      <c r="H3" s="68" t="s">
        <v>108</v>
      </c>
      <c r="I3" s="729" t="s">
        <v>381</v>
      </c>
      <c r="J3" s="729" t="s">
        <v>110</v>
      </c>
      <c r="K3" s="729" t="s">
        <v>103</v>
      </c>
      <c r="L3" s="28" t="s">
        <v>104</v>
      </c>
      <c r="M3" s="28" t="s">
        <v>105</v>
      </c>
      <c r="N3" s="28" t="s">
        <v>106</v>
      </c>
      <c r="O3" s="107"/>
      <c r="P3" s="108"/>
      <c r="Q3" s="108"/>
      <c r="R3" s="108"/>
      <c r="S3" s="108"/>
      <c r="T3" s="108"/>
      <c r="U3" s="108"/>
      <c r="V3" s="108"/>
      <c r="W3" s="976"/>
      <c r="X3" s="977"/>
      <c r="Y3" s="977"/>
      <c r="Z3" s="977"/>
      <c r="AA3" s="977"/>
      <c r="AB3" s="976"/>
      <c r="AC3" s="977"/>
      <c r="AD3" s="977"/>
      <c r="AE3" s="977"/>
      <c r="AF3" s="977"/>
      <c r="AG3" s="976"/>
      <c r="AH3" s="977"/>
      <c r="AI3" s="977"/>
      <c r="AJ3" s="977"/>
      <c r="AK3" s="977"/>
      <c r="AL3" s="976"/>
      <c r="AM3" s="977"/>
      <c r="AN3" s="977"/>
      <c r="AO3" s="977"/>
      <c r="AP3" s="977"/>
      <c r="AS3" s="28" t="s">
        <v>386</v>
      </c>
      <c r="AT3" s="28" t="s">
        <v>387</v>
      </c>
      <c r="AU3" s="28" t="s">
        <v>388</v>
      </c>
      <c r="AV3" s="28" t="s">
        <v>389</v>
      </c>
      <c r="AW3" s="28"/>
      <c r="AX3" s="28" t="s">
        <v>390</v>
      </c>
    </row>
    <row r="4" spans="1:50" s="2" customFormat="1" ht="12.75" thickTop="1" x14ac:dyDescent="0.2">
      <c r="A4" s="214"/>
      <c r="B4" s="1">
        <v>1</v>
      </c>
      <c r="C4" s="21">
        <f ca="1">RANK(D4,$D$4:$D$12,1)</f>
        <v>1</v>
      </c>
      <c r="D4" s="13">
        <f ca="1">E4+ROW()/1000+(F4="")*10</f>
        <v>11.004</v>
      </c>
      <c r="E4" s="219">
        <f ca="1">IF($AI$15,RANK(AH17,AH$17:AH$25,1),RANK(X17,X$17:X$25,1))</f>
        <v>1</v>
      </c>
      <c r="F4" s="1" t="str">
        <f ca="1">$Q64</f>
        <v/>
      </c>
      <c r="G4" s="1">
        <f ca="1">SUMIFS($AH$64:$AH$135,$V$64:$V$135,$F4)+SUMIFS($AI$64:$AI$135,$W$64:$W$135,$F4)</f>
        <v>0</v>
      </c>
      <c r="H4" s="1">
        <f ca="1">SUMIFS($AI$64:$AI$135,$V$64:$V$135,$F4)+SUMIFS($AH$64:$AH$135,$W$64:$W$135,$F4)</f>
        <v>0</v>
      </c>
      <c r="I4" s="13">
        <f ca="1">IF(Einstellungen!$G$24,G4-H4,IF(H4=0,IF(G4=0,0,Einstellungen!$F$24),G4/H4))</f>
        <v>0</v>
      </c>
      <c r="J4" s="1">
        <f ca="1">$L4*Einstellungen!$C$4+$M4</f>
        <v>0</v>
      </c>
      <c r="K4" s="1">
        <f ca="1">SUMPRODUCT(($V$64:$V$135=F4)*($AJ$64:$AJ$135&lt;&gt;"")*$AA$64:$AA$135)+SUMPRODUCT(($W$64:$W$135=F4)*($AK$64:$AK$135&lt;&gt;"")*$AA$64:$AA$135)</f>
        <v>0</v>
      </c>
      <c r="L4" s="1">
        <f ca="1">SUMPRODUCT(($V$64:$V$135=F4)*($AJ$64:$AJ$135&gt;$AK$64:$AK$135)*$AA$64:$AA$135)+SUMPRODUCT(($W$64:$W$135=F4)*($AJ$64:$AJ$135&lt;$AK$64:$AK$135)*$AA$64:$AA$135)</f>
        <v>0</v>
      </c>
      <c r="M4" s="1">
        <f ca="1">SUMPRODUCT(($V$64:$W$135=F4)*($AJ$64:$AJ$135=$AK$64:$AK$135)*$AA$64:$AA$135)</f>
        <v>0</v>
      </c>
      <c r="N4" s="1">
        <f ca="1">K4-L4-M4</f>
        <v>0</v>
      </c>
      <c r="O4" s="116"/>
      <c r="P4" s="116"/>
      <c r="Q4" s="116"/>
      <c r="R4" s="116"/>
      <c r="V4" s="1"/>
      <c r="W4" s="456"/>
      <c r="X4" s="457"/>
      <c r="Y4" s="458"/>
      <c r="Z4" s="458"/>
      <c r="AA4" s="460"/>
      <c r="AB4" s="456"/>
      <c r="AC4" s="457"/>
      <c r="AD4" s="479"/>
      <c r="AE4" s="458"/>
      <c r="AF4" s="458"/>
      <c r="AG4" s="456"/>
      <c r="AH4" s="457"/>
      <c r="AI4" s="479"/>
      <c r="AJ4" s="458"/>
      <c r="AK4" s="460"/>
      <c r="AL4" s="457"/>
      <c r="AM4" s="457"/>
      <c r="AN4" s="479"/>
      <c r="AO4" s="458"/>
      <c r="AP4" s="460"/>
      <c r="AS4" s="1">
        <f ca="1">SUMPRODUCT(($V$64:$V$135=F4)*$AK$64:$AK$135)+SUMPRODUCT(($W$64:$W$135=F4)*$AJ$64:$AJ$135)</f>
        <v>0</v>
      </c>
      <c r="AT4" s="1">
        <f ca="1">SUMPRODUCT(($V$64:$V$135=F4)*$AJ$64:$AJ$135)+SUMPRODUCT(($W$64:$W$135=F4)*$AK$64:$AK$135)</f>
        <v>0</v>
      </c>
      <c r="AU4" s="1">
        <f ca="1">AT4-AS4</f>
        <v>0</v>
      </c>
      <c r="AV4" s="1">
        <f ca="1">IF(Einstellungen!$G$24,$I4,ROUND($I4,Einstellungen!$H$24))</f>
        <v>0</v>
      </c>
      <c r="AW4" s="1">
        <f ca="1">I4-(F4="")*10000</f>
        <v>-10000</v>
      </c>
      <c r="AX4" s="1">
        <f ca="1" xml:space="preserve"> RANK(AW4,$AW$4:$AW$12,1)</f>
        <v>1</v>
      </c>
    </row>
    <row r="5" spans="1:50" s="2" customFormat="1" x14ac:dyDescent="0.2">
      <c r="A5" s="214"/>
      <c r="B5" s="1">
        <v>2</v>
      </c>
      <c r="C5" s="22">
        <f t="shared" ref="C5:C12" ca="1" si="0">RANK(D5,$D$4:$D$12,1)</f>
        <v>2</v>
      </c>
      <c r="D5" s="13">
        <f t="shared" ref="D5:D12" ca="1" si="1">E5+ROW()/1000+(F5="")*10</f>
        <v>11.004999999999999</v>
      </c>
      <c r="E5" s="219">
        <f t="shared" ref="E5:E12" ca="1" si="2">IF($AI$15,RANK(AH18,AH$17:AH$25,1),RANK(X18,X$17:X$25,1))</f>
        <v>1</v>
      </c>
      <c r="F5" s="1" t="str">
        <f t="shared" ref="F5:F12" ca="1" si="3">$Q65</f>
        <v/>
      </c>
      <c r="G5" s="1">
        <f t="shared" ref="G5:G12" ca="1" si="4">SUMIFS($AH$64:$AH$135,$V$64:$V$135,$F5)+SUMIFS($AI$64:$AI$135,$W$64:$W$135,$F5)</f>
        <v>0</v>
      </c>
      <c r="H5" s="1">
        <f t="shared" ref="H5:H12" ca="1" si="5">SUMIFS($AI$64:$AI$135,$V$64:$V$135,$F5)+SUMIFS($AH$64:$AH$135,$W$64:$W$135,$F5)</f>
        <v>0</v>
      </c>
      <c r="I5" s="13">
        <f ca="1">IF(Einstellungen!$G$24,G5-H5,IF(H5=0,IF(G5=0,0,Einstellungen!$F$24),G5/H5))</f>
        <v>0</v>
      </c>
      <c r="J5" s="1">
        <f ca="1">$L5*Einstellungen!$C$4+$M5</f>
        <v>0</v>
      </c>
      <c r="K5" s="1">
        <f t="shared" ref="K5:K12" ca="1" si="6">SUMPRODUCT(($V$64:$V$135=F5)*($AJ$64:$AJ$135&lt;&gt;"")*$AA$64:$AA$135)+SUMPRODUCT(($W$64:$W$135=F5)*($AK$64:$AK$135&lt;&gt;"")*$AA$64:$AA$135)</f>
        <v>0</v>
      </c>
      <c r="L5" s="1">
        <f t="shared" ref="L5:L12" ca="1" si="7">SUMPRODUCT(($V$64:$V$135=F5)*($AJ$64:$AJ$135&gt;$AK$64:$AK$135)*$AA$64:$AA$135)+SUMPRODUCT(($W$64:$W$135=F5)*($AJ$64:$AJ$135&lt;$AK$64:$AK$135)*$AA$64:$AA$135)</f>
        <v>0</v>
      </c>
      <c r="M5" s="1">
        <f t="shared" ref="M5:M12" ca="1" si="8">SUMPRODUCT(($V$64:$W$135=F5)*($AJ$64:$AJ$135=$AK$64:$AK$135)*$AA$64:$AA$135)</f>
        <v>0</v>
      </c>
      <c r="N5" s="1">
        <f t="shared" ref="N5:N12" ca="1" si="9">K5-L5-M5</f>
        <v>0</v>
      </c>
      <c r="O5" s="24"/>
      <c r="P5" s="25"/>
      <c r="V5" s="1"/>
      <c r="W5" s="461"/>
      <c r="X5" s="462"/>
      <c r="Y5" s="459"/>
      <c r="Z5" s="459"/>
      <c r="AA5" s="464"/>
      <c r="AB5" s="461"/>
      <c r="AC5" s="462"/>
      <c r="AD5" s="463"/>
      <c r="AE5" s="459"/>
      <c r="AF5" s="459"/>
      <c r="AG5" s="461"/>
      <c r="AH5" s="462"/>
      <c r="AI5" s="463"/>
      <c r="AJ5" s="459"/>
      <c r="AK5" s="464"/>
      <c r="AL5" s="462"/>
      <c r="AM5" s="462"/>
      <c r="AN5" s="463"/>
      <c r="AO5" s="459"/>
      <c r="AP5" s="464"/>
      <c r="AS5" s="1">
        <f t="shared" ref="AS5:AS12" ca="1" si="10">SUMPRODUCT(($V$64:$V$135=F5)*$AK$64:$AK$135)+SUMPRODUCT(($W$64:$W$135=F5)*$AJ$64:$AJ$135)</f>
        <v>0</v>
      </c>
      <c r="AT5" s="1">
        <f t="shared" ref="AT5:AT12" ca="1" si="11">SUMPRODUCT(($V$64:$V$135=F5)*$AJ$64:$AJ$135)+SUMPRODUCT(($W$64:$W$135=F5)*$AK$64:$AK$135)</f>
        <v>0</v>
      </c>
      <c r="AU5" s="1">
        <f t="shared" ref="AU5:AU12" ca="1" si="12">AT5-AS5</f>
        <v>0</v>
      </c>
      <c r="AV5" s="1">
        <f ca="1">IF(Einstellungen!$G$24,$I5,ROUND($I5,Einstellungen!$H$24))</f>
        <v>0</v>
      </c>
      <c r="AW5" s="1">
        <f t="shared" ref="AW5:AW12" ca="1" si="13">I5-(F5="")*10000</f>
        <v>-10000</v>
      </c>
      <c r="AX5" s="1">
        <f t="shared" ref="AX5:AX12" ca="1" si="14" xml:space="preserve"> RANK(AW5,$AW$4:$AW$12,1)</f>
        <v>1</v>
      </c>
    </row>
    <row r="6" spans="1:50" s="2" customFormat="1" x14ac:dyDescent="0.2">
      <c r="A6" s="214"/>
      <c r="B6" s="1">
        <v>3</v>
      </c>
      <c r="C6" s="22">
        <f t="shared" ca="1" si="0"/>
        <v>3</v>
      </c>
      <c r="D6" s="13">
        <f t="shared" ca="1" si="1"/>
        <v>11.006</v>
      </c>
      <c r="E6" s="219">
        <f t="shared" ca="1" si="2"/>
        <v>1</v>
      </c>
      <c r="F6" s="1" t="str">
        <f t="shared" si="3"/>
        <v/>
      </c>
      <c r="G6" s="1">
        <f t="shared" ca="1" si="4"/>
        <v>0</v>
      </c>
      <c r="H6" s="1">
        <f t="shared" ca="1" si="5"/>
        <v>0</v>
      </c>
      <c r="I6" s="13">
        <f ca="1">IF(Einstellungen!$G$24,G6-H6,IF(H6=0,IF(G6=0,0,Einstellungen!$F$24),G6/H6))</f>
        <v>0</v>
      </c>
      <c r="J6" s="1">
        <f ca="1">$L6*Einstellungen!$C$4+$M6</f>
        <v>0</v>
      </c>
      <c r="K6" s="1">
        <f t="shared" ca="1" si="6"/>
        <v>0</v>
      </c>
      <c r="L6" s="1">
        <f t="shared" ca="1" si="7"/>
        <v>0</v>
      </c>
      <c r="M6" s="1">
        <f t="shared" ca="1" si="8"/>
        <v>0</v>
      </c>
      <c r="N6" s="1">
        <f t="shared" ca="1" si="9"/>
        <v>0</v>
      </c>
      <c r="O6" s="24"/>
      <c r="P6" s="25"/>
      <c r="V6" s="1"/>
      <c r="W6" s="461"/>
      <c r="X6" s="462"/>
      <c r="Y6" s="459"/>
      <c r="Z6" s="459"/>
      <c r="AA6" s="464"/>
      <c r="AB6" s="461"/>
      <c r="AC6" s="462"/>
      <c r="AD6" s="463"/>
      <c r="AE6" s="459"/>
      <c r="AF6" s="459"/>
      <c r="AG6" s="461"/>
      <c r="AH6" s="462"/>
      <c r="AI6" s="463"/>
      <c r="AJ6" s="459"/>
      <c r="AK6" s="464"/>
      <c r="AL6" s="462"/>
      <c r="AM6" s="462"/>
      <c r="AN6" s="463"/>
      <c r="AO6" s="459"/>
      <c r="AP6" s="464"/>
      <c r="AS6" s="1">
        <f t="shared" ca="1" si="10"/>
        <v>0</v>
      </c>
      <c r="AT6" s="1">
        <f t="shared" ca="1" si="11"/>
        <v>0</v>
      </c>
      <c r="AU6" s="1">
        <f t="shared" ca="1" si="12"/>
        <v>0</v>
      </c>
      <c r="AV6" s="1">
        <f ca="1">IF(Einstellungen!$G$24,$I6,ROUND($I6,Einstellungen!$H$24))</f>
        <v>0</v>
      </c>
      <c r="AW6" s="1">
        <f t="shared" ca="1" si="13"/>
        <v>-10000</v>
      </c>
      <c r="AX6" s="1">
        <f t="shared" ca="1" si="14"/>
        <v>1</v>
      </c>
    </row>
    <row r="7" spans="1:50" s="2" customFormat="1" x14ac:dyDescent="0.2">
      <c r="A7" s="214"/>
      <c r="B7" s="1">
        <v>4</v>
      </c>
      <c r="C7" s="22">
        <f t="shared" ca="1" si="0"/>
        <v>4</v>
      </c>
      <c r="D7" s="13">
        <f t="shared" ca="1" si="1"/>
        <v>11.007</v>
      </c>
      <c r="E7" s="219">
        <f t="shared" ca="1" si="2"/>
        <v>1</v>
      </c>
      <c r="F7" s="1" t="str">
        <f t="shared" si="3"/>
        <v/>
      </c>
      <c r="G7" s="1">
        <f t="shared" ca="1" si="4"/>
        <v>0</v>
      </c>
      <c r="H7" s="1">
        <f t="shared" ca="1" si="5"/>
        <v>0</v>
      </c>
      <c r="I7" s="13">
        <f ca="1">IF(Einstellungen!$G$24,G7-H7,IF(H7=0,IF(G7=0,0,Einstellungen!$F$24),G7/H7))</f>
        <v>0</v>
      </c>
      <c r="J7" s="1">
        <f ca="1">$L7*Einstellungen!$C$4+$M7</f>
        <v>0</v>
      </c>
      <c r="K7" s="1">
        <f t="shared" ca="1" si="6"/>
        <v>0</v>
      </c>
      <c r="L7" s="1">
        <f t="shared" ca="1" si="7"/>
        <v>0</v>
      </c>
      <c r="M7" s="1">
        <f t="shared" ca="1" si="8"/>
        <v>0</v>
      </c>
      <c r="N7" s="1">
        <f t="shared" ca="1" si="9"/>
        <v>0</v>
      </c>
      <c r="O7" s="24"/>
      <c r="P7" s="25"/>
      <c r="V7" s="1"/>
      <c r="W7" s="461"/>
      <c r="X7" s="462"/>
      <c r="Y7" s="459"/>
      <c r="Z7" s="459"/>
      <c r="AA7" s="464"/>
      <c r="AB7" s="461"/>
      <c r="AC7" s="462"/>
      <c r="AD7" s="463"/>
      <c r="AE7" s="459"/>
      <c r="AF7" s="459"/>
      <c r="AG7" s="461"/>
      <c r="AH7" s="462"/>
      <c r="AI7" s="463"/>
      <c r="AJ7" s="459"/>
      <c r="AK7" s="464"/>
      <c r="AL7" s="462"/>
      <c r="AM7" s="462"/>
      <c r="AN7" s="463"/>
      <c r="AO7" s="459"/>
      <c r="AP7" s="464"/>
      <c r="AS7" s="1">
        <f t="shared" ca="1" si="10"/>
        <v>0</v>
      </c>
      <c r="AT7" s="1">
        <f t="shared" ca="1" si="11"/>
        <v>0</v>
      </c>
      <c r="AU7" s="1">
        <f t="shared" ca="1" si="12"/>
        <v>0</v>
      </c>
      <c r="AV7" s="1">
        <f ca="1">IF(Einstellungen!$G$24,$I7,ROUND($I7,Einstellungen!$H$24))</f>
        <v>0</v>
      </c>
      <c r="AW7" s="1">
        <f t="shared" ca="1" si="13"/>
        <v>-10000</v>
      </c>
      <c r="AX7" s="1">
        <f t="shared" ca="1" si="14"/>
        <v>1</v>
      </c>
    </row>
    <row r="8" spans="1:50" s="2" customFormat="1" x14ac:dyDescent="0.2">
      <c r="A8" s="214"/>
      <c r="B8" s="1">
        <v>5</v>
      </c>
      <c r="C8" s="22">
        <f t="shared" ca="1" si="0"/>
        <v>5</v>
      </c>
      <c r="D8" s="13">
        <f t="shared" ca="1" si="1"/>
        <v>11.007999999999999</v>
      </c>
      <c r="E8" s="219">
        <f t="shared" ca="1" si="2"/>
        <v>1</v>
      </c>
      <c r="F8" s="1" t="str">
        <f t="shared" si="3"/>
        <v/>
      </c>
      <c r="G8" s="1">
        <f t="shared" ca="1" si="4"/>
        <v>0</v>
      </c>
      <c r="H8" s="1">
        <f t="shared" ca="1" si="5"/>
        <v>0</v>
      </c>
      <c r="I8" s="13">
        <f ca="1">IF(Einstellungen!$G$24,G8-H8,IF(H8=0,IF(G8=0,0,Einstellungen!$F$24),G8/H8))</f>
        <v>0</v>
      </c>
      <c r="J8" s="1">
        <f ca="1">$L8*Einstellungen!$C$4+$M8</f>
        <v>0</v>
      </c>
      <c r="K8" s="1">
        <f t="shared" ca="1" si="6"/>
        <v>0</v>
      </c>
      <c r="L8" s="1">
        <f t="shared" ca="1" si="7"/>
        <v>0</v>
      </c>
      <c r="M8" s="1">
        <f t="shared" ca="1" si="8"/>
        <v>0</v>
      </c>
      <c r="N8" s="1">
        <f t="shared" ca="1" si="9"/>
        <v>0</v>
      </c>
      <c r="P8" s="25"/>
      <c r="W8" s="461"/>
      <c r="X8" s="462"/>
      <c r="Y8" s="459"/>
      <c r="Z8" s="459"/>
      <c r="AA8" s="464"/>
      <c r="AB8" s="461"/>
      <c r="AC8" s="462"/>
      <c r="AD8" s="463"/>
      <c r="AE8" s="459"/>
      <c r="AF8" s="459"/>
      <c r="AG8" s="461"/>
      <c r="AH8" s="462"/>
      <c r="AI8" s="463"/>
      <c r="AJ8" s="459"/>
      <c r="AK8" s="464"/>
      <c r="AL8" s="462"/>
      <c r="AM8" s="462"/>
      <c r="AN8" s="463"/>
      <c r="AO8" s="459"/>
      <c r="AP8" s="464"/>
      <c r="AS8" s="1">
        <f t="shared" ca="1" si="10"/>
        <v>0</v>
      </c>
      <c r="AT8" s="1">
        <f t="shared" ca="1" si="11"/>
        <v>0</v>
      </c>
      <c r="AU8" s="1">
        <f t="shared" ca="1" si="12"/>
        <v>0</v>
      </c>
      <c r="AV8" s="1">
        <f ca="1">IF(Einstellungen!$G$24,$I8,ROUND($I8,Einstellungen!$H$24))</f>
        <v>0</v>
      </c>
      <c r="AW8" s="1">
        <f t="shared" ca="1" si="13"/>
        <v>-10000</v>
      </c>
      <c r="AX8" s="1">
        <f t="shared" ca="1" si="14"/>
        <v>1</v>
      </c>
    </row>
    <row r="9" spans="1:50" s="2" customFormat="1" x14ac:dyDescent="0.2">
      <c r="A9" s="214"/>
      <c r="B9" s="1">
        <v>6</v>
      </c>
      <c r="C9" s="22">
        <f t="shared" ca="1" si="0"/>
        <v>6</v>
      </c>
      <c r="D9" s="13">
        <f t="shared" ca="1" si="1"/>
        <v>11.009</v>
      </c>
      <c r="E9" s="219">
        <f t="shared" ca="1" si="2"/>
        <v>1</v>
      </c>
      <c r="F9" s="1" t="str">
        <f t="shared" si="3"/>
        <v/>
      </c>
      <c r="G9" s="1">
        <f t="shared" ca="1" si="4"/>
        <v>0</v>
      </c>
      <c r="H9" s="1">
        <f t="shared" ca="1" si="5"/>
        <v>0</v>
      </c>
      <c r="I9" s="13">
        <f ca="1">IF(Einstellungen!$G$24,G9-H9,IF(H9=0,IF(G9=0,0,Einstellungen!$F$24),G9/H9))</f>
        <v>0</v>
      </c>
      <c r="J9" s="1">
        <f ca="1">$L9*Einstellungen!$C$4+$M9</f>
        <v>0</v>
      </c>
      <c r="K9" s="1">
        <f t="shared" ca="1" si="6"/>
        <v>0</v>
      </c>
      <c r="L9" s="1">
        <f t="shared" ca="1" si="7"/>
        <v>0</v>
      </c>
      <c r="M9" s="1">
        <f t="shared" ca="1" si="8"/>
        <v>0</v>
      </c>
      <c r="N9" s="1">
        <f t="shared" ca="1" si="9"/>
        <v>0</v>
      </c>
      <c r="P9" s="25"/>
      <c r="W9" s="461"/>
      <c r="X9" s="462"/>
      <c r="Y9" s="459"/>
      <c r="Z9" s="459"/>
      <c r="AA9" s="464"/>
      <c r="AB9" s="461"/>
      <c r="AC9" s="462"/>
      <c r="AD9" s="463"/>
      <c r="AE9" s="459"/>
      <c r="AF9" s="459"/>
      <c r="AG9" s="461"/>
      <c r="AH9" s="462"/>
      <c r="AI9" s="463"/>
      <c r="AJ9" s="459"/>
      <c r="AK9" s="464"/>
      <c r="AL9" s="462"/>
      <c r="AM9" s="462"/>
      <c r="AN9" s="463"/>
      <c r="AO9" s="459"/>
      <c r="AP9" s="464"/>
      <c r="AS9" s="1">
        <f t="shared" ca="1" si="10"/>
        <v>0</v>
      </c>
      <c r="AT9" s="1">
        <f t="shared" ca="1" si="11"/>
        <v>0</v>
      </c>
      <c r="AU9" s="1">
        <f t="shared" ca="1" si="12"/>
        <v>0</v>
      </c>
      <c r="AV9" s="1">
        <f ca="1">IF(Einstellungen!$G$24,$I9,ROUND($I9,Einstellungen!$H$24))</f>
        <v>0</v>
      </c>
      <c r="AW9" s="1">
        <f t="shared" ca="1" si="13"/>
        <v>-10000</v>
      </c>
      <c r="AX9" s="1">
        <f t="shared" ca="1" si="14"/>
        <v>1</v>
      </c>
    </row>
    <row r="10" spans="1:50" s="2" customFormat="1" x14ac:dyDescent="0.2">
      <c r="A10" s="214"/>
      <c r="B10" s="1">
        <v>7</v>
      </c>
      <c r="C10" s="22">
        <f t="shared" ca="1" si="0"/>
        <v>7</v>
      </c>
      <c r="D10" s="13">
        <f t="shared" ca="1" si="1"/>
        <v>11.01</v>
      </c>
      <c r="E10" s="219">
        <f t="shared" ca="1" si="2"/>
        <v>1</v>
      </c>
      <c r="F10" s="1" t="str">
        <f t="shared" si="3"/>
        <v/>
      </c>
      <c r="G10" s="1">
        <f t="shared" ca="1" si="4"/>
        <v>0</v>
      </c>
      <c r="H10" s="1">
        <f t="shared" ca="1" si="5"/>
        <v>0</v>
      </c>
      <c r="I10" s="13">
        <f ca="1">IF(Einstellungen!$G$24,G10-H10,IF(H10=0,IF(G10=0,0,Einstellungen!$F$24),G10/H10))</f>
        <v>0</v>
      </c>
      <c r="J10" s="1">
        <f ca="1">$L10*Einstellungen!$C$4+$M10</f>
        <v>0</v>
      </c>
      <c r="K10" s="1">
        <f t="shared" ca="1" si="6"/>
        <v>0</v>
      </c>
      <c r="L10" s="1">
        <f t="shared" ca="1" si="7"/>
        <v>0</v>
      </c>
      <c r="M10" s="1">
        <f t="shared" ca="1" si="8"/>
        <v>0</v>
      </c>
      <c r="N10" s="1">
        <f t="shared" ca="1" si="9"/>
        <v>0</v>
      </c>
      <c r="P10" s="25"/>
      <c r="W10" s="461"/>
      <c r="X10" s="462"/>
      <c r="Y10" s="459"/>
      <c r="Z10" s="459"/>
      <c r="AA10" s="464"/>
      <c r="AB10" s="461"/>
      <c r="AC10" s="462"/>
      <c r="AD10" s="463"/>
      <c r="AE10" s="459"/>
      <c r="AF10" s="459"/>
      <c r="AG10" s="461"/>
      <c r="AH10" s="462"/>
      <c r="AI10" s="463"/>
      <c r="AJ10" s="459"/>
      <c r="AK10" s="464"/>
      <c r="AL10" s="462"/>
      <c r="AM10" s="462"/>
      <c r="AN10" s="463"/>
      <c r="AO10" s="459"/>
      <c r="AP10" s="464"/>
      <c r="AS10" s="1">
        <f t="shared" ca="1" si="10"/>
        <v>0</v>
      </c>
      <c r="AT10" s="1">
        <f t="shared" ca="1" si="11"/>
        <v>0</v>
      </c>
      <c r="AU10" s="1">
        <f t="shared" ca="1" si="12"/>
        <v>0</v>
      </c>
      <c r="AV10" s="1">
        <f ca="1">IF(Einstellungen!$G$24,$I10,ROUND($I10,Einstellungen!$H$24))</f>
        <v>0</v>
      </c>
      <c r="AW10" s="1">
        <f t="shared" ca="1" si="13"/>
        <v>-10000</v>
      </c>
      <c r="AX10" s="1">
        <f t="shared" ca="1" si="14"/>
        <v>1</v>
      </c>
    </row>
    <row r="11" spans="1:50" s="2" customFormat="1" x14ac:dyDescent="0.2">
      <c r="A11" s="214"/>
      <c r="B11" s="1">
        <v>8</v>
      </c>
      <c r="C11" s="22">
        <f t="shared" ca="1" si="0"/>
        <v>8</v>
      </c>
      <c r="D11" s="13">
        <f t="shared" ca="1" si="1"/>
        <v>11.010999999999999</v>
      </c>
      <c r="E11" s="219">
        <f t="shared" ca="1" si="2"/>
        <v>1</v>
      </c>
      <c r="F11" s="1" t="str">
        <f t="shared" si="3"/>
        <v/>
      </c>
      <c r="G11" s="1">
        <f t="shared" ca="1" si="4"/>
        <v>0</v>
      </c>
      <c r="H11" s="1">
        <f t="shared" ca="1" si="5"/>
        <v>0</v>
      </c>
      <c r="I11" s="13">
        <f ca="1">IF(Einstellungen!$G$24,G11-H11,IF(H11=0,IF(G11=0,0,Einstellungen!$F$24),G11/H11))</f>
        <v>0</v>
      </c>
      <c r="J11" s="1">
        <f ca="1">$L11*Einstellungen!$C$4+$M11</f>
        <v>0</v>
      </c>
      <c r="K11" s="1">
        <f t="shared" ca="1" si="6"/>
        <v>0</v>
      </c>
      <c r="L11" s="1">
        <f t="shared" ca="1" si="7"/>
        <v>0</v>
      </c>
      <c r="M11" s="1">
        <f t="shared" ca="1" si="8"/>
        <v>0</v>
      </c>
      <c r="N11" s="1">
        <f t="shared" ca="1" si="9"/>
        <v>0</v>
      </c>
      <c r="O11" s="13"/>
      <c r="P11" s="13"/>
      <c r="Q11" s="13"/>
      <c r="R11" s="13"/>
      <c r="S11" s="13"/>
      <c r="T11" s="13"/>
      <c r="U11" s="13"/>
      <c r="V11" s="13"/>
      <c r="W11" s="461"/>
      <c r="X11" s="462"/>
      <c r="Y11" s="459"/>
      <c r="Z11" s="459"/>
      <c r="AA11" s="464"/>
      <c r="AB11" s="461"/>
      <c r="AC11" s="462"/>
      <c r="AD11" s="463"/>
      <c r="AE11" s="459"/>
      <c r="AF11" s="459"/>
      <c r="AG11" s="461"/>
      <c r="AH11" s="462"/>
      <c r="AI11" s="463"/>
      <c r="AJ11" s="459"/>
      <c r="AK11" s="464"/>
      <c r="AL11" s="462"/>
      <c r="AM11" s="462"/>
      <c r="AN11" s="463"/>
      <c r="AO11" s="459"/>
      <c r="AP11" s="464"/>
      <c r="AS11" s="1">
        <f t="shared" ca="1" si="10"/>
        <v>0</v>
      </c>
      <c r="AT11" s="1">
        <f t="shared" ca="1" si="11"/>
        <v>0</v>
      </c>
      <c r="AU11" s="1">
        <f t="shared" ca="1" si="12"/>
        <v>0</v>
      </c>
      <c r="AV11" s="1">
        <f ca="1">IF(Einstellungen!$G$24,$I11,ROUND($I11,Einstellungen!$H$24))</f>
        <v>0</v>
      </c>
      <c r="AW11" s="1">
        <f t="shared" ca="1" si="13"/>
        <v>-10000</v>
      </c>
      <c r="AX11" s="1">
        <f t="shared" ca="1" si="14"/>
        <v>1</v>
      </c>
    </row>
    <row r="12" spans="1:50" s="2" customFormat="1" ht="12.75" thickBot="1" x14ac:dyDescent="0.25">
      <c r="A12" s="214"/>
      <c r="B12" s="1">
        <v>9</v>
      </c>
      <c r="C12" s="23">
        <f t="shared" ca="1" si="0"/>
        <v>9</v>
      </c>
      <c r="D12" s="13">
        <f t="shared" ca="1" si="1"/>
        <v>11.012</v>
      </c>
      <c r="E12" s="219">
        <f t="shared" ca="1" si="2"/>
        <v>1</v>
      </c>
      <c r="F12" s="1" t="str">
        <f t="shared" si="3"/>
        <v/>
      </c>
      <c r="G12" s="1">
        <f t="shared" ca="1" si="4"/>
        <v>0</v>
      </c>
      <c r="H12" s="1">
        <f t="shared" ca="1" si="5"/>
        <v>0</v>
      </c>
      <c r="I12" s="13">
        <f ca="1">IF(Einstellungen!$G$24,G12-H12,IF(H12=0,IF(G12=0,0,Einstellungen!$F$24),G12/H12))</f>
        <v>0</v>
      </c>
      <c r="J12" s="1">
        <f ca="1">$L12*Einstellungen!$C$4+$M12</f>
        <v>0</v>
      </c>
      <c r="K12" s="29">
        <f t="shared" ca="1" si="6"/>
        <v>0</v>
      </c>
      <c r="L12" s="1">
        <f t="shared" ca="1" si="7"/>
        <v>0</v>
      </c>
      <c r="M12" s="1">
        <f t="shared" ca="1" si="8"/>
        <v>0</v>
      </c>
      <c r="N12" s="1">
        <f t="shared" ca="1" si="9"/>
        <v>0</v>
      </c>
      <c r="O12" s="1"/>
      <c r="P12" s="1"/>
      <c r="Q12" s="1"/>
      <c r="R12" s="1"/>
      <c r="S12" s="1"/>
      <c r="T12" s="1"/>
      <c r="U12" s="1"/>
      <c r="V12" s="1"/>
      <c r="W12" s="465"/>
      <c r="X12" s="466"/>
      <c r="Y12" s="467"/>
      <c r="Z12" s="467"/>
      <c r="AA12" s="468"/>
      <c r="AB12" s="465"/>
      <c r="AC12" s="466"/>
      <c r="AD12" s="469"/>
      <c r="AE12" s="467"/>
      <c r="AF12" s="467"/>
      <c r="AG12" s="465"/>
      <c r="AH12" s="466"/>
      <c r="AI12" s="469"/>
      <c r="AJ12" s="467"/>
      <c r="AK12" s="468"/>
      <c r="AL12" s="466"/>
      <c r="AM12" s="466"/>
      <c r="AN12" s="469"/>
      <c r="AO12" s="467"/>
      <c r="AP12" s="468"/>
      <c r="AS12" s="1">
        <f t="shared" ca="1" si="10"/>
        <v>0</v>
      </c>
      <c r="AT12" s="1">
        <f t="shared" ca="1" si="11"/>
        <v>0</v>
      </c>
      <c r="AU12" s="1">
        <f t="shared" ca="1" si="12"/>
        <v>0</v>
      </c>
      <c r="AV12" s="1">
        <f ca="1">IF(Einstellungen!$G$24,$I12,ROUND($I12,Einstellungen!$H$24))</f>
        <v>0</v>
      </c>
      <c r="AW12" s="1">
        <f t="shared" ca="1" si="13"/>
        <v>-10000</v>
      </c>
      <c r="AX12" s="1">
        <f t="shared" ca="1" si="14"/>
        <v>1</v>
      </c>
    </row>
    <row r="13" spans="1:50" s="2" customFormat="1" ht="12.75" thickTop="1" x14ac:dyDescent="0.2">
      <c r="B13" s="13">
        <f ca="1">$F$13*($F$13-1)</f>
        <v>0</v>
      </c>
      <c r="C13" s="13"/>
      <c r="D13" s="13"/>
      <c r="E13" s="13"/>
      <c r="F13" s="13">
        <f ca="1">9-COUNTBLANK($F$4:$F$12)</f>
        <v>0</v>
      </c>
      <c r="G13" s="13"/>
      <c r="H13" s="13"/>
      <c r="I13" s="13"/>
      <c r="J13" s="13"/>
      <c r="K13" s="28">
        <f ca="1">QUOTIENT(SUM(K4:K12),2)</f>
        <v>0</v>
      </c>
      <c r="L13" s="1"/>
      <c r="M13" s="1"/>
      <c r="N13" s="1"/>
      <c r="O13" s="1"/>
      <c r="P13" s="1"/>
      <c r="Q13" s="1"/>
      <c r="R13" s="1"/>
      <c r="S13" s="1"/>
      <c r="T13" s="1"/>
      <c r="U13" s="1"/>
      <c r="V13" s="1"/>
      <c r="Y13" s="1"/>
      <c r="Z13" s="1"/>
    </row>
    <row r="14" spans="1:50" s="2" customFormat="1" x14ac:dyDescent="0.2">
      <c r="B14" s="14"/>
      <c r="D14" s="1"/>
      <c r="F14" s="14"/>
      <c r="O14" s="1"/>
      <c r="P14" s="1"/>
      <c r="Q14" s="1"/>
      <c r="R14" s="1"/>
      <c r="S14" s="1"/>
      <c r="T14" s="1"/>
      <c r="U14" s="1"/>
      <c r="V14" s="1"/>
      <c r="W14" s="1"/>
      <c r="Y14" s="1"/>
      <c r="Z14" s="1"/>
    </row>
    <row r="15" spans="1:50" s="2" customFormat="1" x14ac:dyDescent="0.2">
      <c r="O15" s="12"/>
      <c r="AD15" s="611"/>
      <c r="AE15" s="611"/>
      <c r="AF15" s="611"/>
      <c r="AG15" s="611"/>
      <c r="AH15" s="611"/>
      <c r="AI15" s="612"/>
      <c r="AK15" s="214"/>
    </row>
    <row r="16" spans="1:50" s="2" customFormat="1" ht="15.75" thickBot="1" x14ac:dyDescent="0.25">
      <c r="B16" s="13" t="s">
        <v>6</v>
      </c>
      <c r="C16" s="729" t="s">
        <v>97</v>
      </c>
      <c r="D16" s="729" t="s">
        <v>103</v>
      </c>
      <c r="E16" s="729" t="s">
        <v>104</v>
      </c>
      <c r="F16" s="729" t="s">
        <v>105</v>
      </c>
      <c r="G16" s="729" t="s">
        <v>106</v>
      </c>
      <c r="H16" s="729" t="s">
        <v>107</v>
      </c>
      <c r="I16" s="729" t="s">
        <v>108</v>
      </c>
      <c r="J16" s="729" t="s">
        <v>109</v>
      </c>
      <c r="K16" s="729" t="s">
        <v>382</v>
      </c>
      <c r="L16" s="11" t="s">
        <v>383</v>
      </c>
      <c r="M16" s="68" t="s">
        <v>96</v>
      </c>
      <c r="N16" s="68" t="s">
        <v>15</v>
      </c>
      <c r="O16" s="30">
        <v>1</v>
      </c>
      <c r="P16" s="1">
        <v>2</v>
      </c>
      <c r="Q16" s="1">
        <v>3</v>
      </c>
      <c r="R16" s="1">
        <v>4</v>
      </c>
      <c r="S16" s="1">
        <v>5</v>
      </c>
      <c r="T16" s="1">
        <v>6</v>
      </c>
      <c r="U16" s="1">
        <v>7</v>
      </c>
      <c r="V16" s="1">
        <v>8</v>
      </c>
      <c r="W16" s="11" t="s">
        <v>98</v>
      </c>
      <c r="X16" s="173" t="s">
        <v>166</v>
      </c>
      <c r="Y16" s="11" t="s">
        <v>454</v>
      </c>
      <c r="Z16" s="173" t="s">
        <v>210</v>
      </c>
      <c r="AA16" s="1" t="s">
        <v>387</v>
      </c>
      <c r="AB16" s="1" t="s">
        <v>109</v>
      </c>
      <c r="AC16" s="1" t="s">
        <v>107</v>
      </c>
      <c r="AD16" s="617" t="s">
        <v>428</v>
      </c>
      <c r="AE16" s="610"/>
      <c r="AF16" s="613"/>
      <c r="AG16" s="613"/>
      <c r="AH16" s="614"/>
      <c r="AI16" s="612"/>
    </row>
    <row r="17" spans="2:80" s="2" customFormat="1" ht="12.75" thickTop="1" x14ac:dyDescent="0.2">
      <c r="C17" s="2" t="str">
        <f ca="1">$Q64</f>
        <v/>
      </c>
      <c r="D17" s="1">
        <f t="shared" ref="D17:G25" ca="1" si="15">K4</f>
        <v>0</v>
      </c>
      <c r="E17" s="1">
        <f t="shared" ca="1" si="15"/>
        <v>0</v>
      </c>
      <c r="F17" s="1">
        <f t="shared" ca="1" si="15"/>
        <v>0</v>
      </c>
      <c r="G17" s="1">
        <f t="shared" ca="1" si="15"/>
        <v>0</v>
      </c>
      <c r="H17" s="1">
        <f t="shared" ref="H17:J25" ca="1" si="16">G4</f>
        <v>0</v>
      </c>
      <c r="I17" s="1">
        <f t="shared" ca="1" si="16"/>
        <v>0</v>
      </c>
      <c r="J17" s="13">
        <f t="shared" ca="1" si="16"/>
        <v>0</v>
      </c>
      <c r="K17" s="1">
        <f ca="1">IF(Einstellungen!$G$9,J4,$AT4)</f>
        <v>0</v>
      </c>
      <c r="L17" s="694">
        <f ca="1">K17*$F$64+(AU4+$H$65)*$F$65*Einstellungen!$G$14+AT4*$F$66*Einstellungen!$G$19+AX4*$F$67</f>
        <v>1E-3</v>
      </c>
      <c r="M17" s="14">
        <f ca="1">IF($AI$15,COUNTIF($K$17:$K$25,K17),COUNTIF($L$17:$L$25,L17))</f>
        <v>9</v>
      </c>
      <c r="N17" s="14">
        <f t="array" aca="1" ref="N17" ca="1">IF($AI$15,SUM(($K$17:$K$25&gt;=K17)/COUNTIF($K$17:$K$25,$K$17:$K$25)),SUM(($L$17:$L$25&gt;=L17)/COUNTIF($L$17:$L$25,$L$17:$L$25)))</f>
        <v>1.0000000000000002</v>
      </c>
      <c r="O17" s="52" t="str">
        <f t="shared" ref="O17:O25" ca="1" si="17">IF(AND(M17&gt;1,N17=1),C17,"")</f>
        <v/>
      </c>
      <c r="P17" s="53" t="str">
        <f t="shared" ref="P17:P25" ca="1" si="18">IF(AND(M17&gt;1,N17=2),C17,"")</f>
        <v/>
      </c>
      <c r="Q17" s="53" t="str">
        <f t="shared" ref="Q17:Q25" ca="1" si="19">IF(AND(M17&gt;1,N17=3),C17,"")</f>
        <v/>
      </c>
      <c r="R17" s="53" t="str">
        <f t="shared" ref="R17:R25" ca="1" si="20">IF(AND(M17&gt;1,N17=4),C17,"")</f>
        <v/>
      </c>
      <c r="S17" s="53" t="str">
        <f t="shared" ref="S17:S25" ca="1" si="21">IF(AND(M17&gt;1,N17=5),C17,"")</f>
        <v/>
      </c>
      <c r="T17" s="53" t="str">
        <f t="shared" ref="T17:T25" ca="1" si="22">IF(AND($M17&gt;1,$N17=6),$C17,"")</f>
        <v/>
      </c>
      <c r="U17" s="53" t="str">
        <f t="shared" ref="U17:U25" ca="1" si="23">IF(AND($M17&gt;1,$N17=7),$C17,"")</f>
        <v/>
      </c>
      <c r="V17" s="54" t="str">
        <f t="shared" ref="V17:V25" ca="1" si="24">IF(AND($M17&gt;1,$N17=8),$C17,"")</f>
        <v/>
      </c>
      <c r="W17" s="62">
        <f ca="1">AA17*$F$64+(AB17+$H$65)*$F$65</f>
        <v>500000</v>
      </c>
      <c r="X17" s="21">
        <f ca="1">RANK($L17,$L$17:$L$25)+RANK($W17,$W$17:$W$25)/100+(9-$Y17)/10000+($C17="")*100</f>
        <v>101.01090000000001</v>
      </c>
      <c r="Y17" s="13">
        <f ca="1">'Endrunde 4'!$AU40+$AD17</f>
        <v>0</v>
      </c>
      <c r="Z17" s="1">
        <f ca="1">RANK($W17,$W$17:$W$25)+(9-$Y17)/10</f>
        <v>1.9</v>
      </c>
      <c r="AA17" s="1">
        <f ca="1">SUM(E30:BP30)</f>
        <v>0</v>
      </c>
      <c r="AB17" s="1">
        <f ca="1">SUM(E41:BP41)</f>
        <v>0</v>
      </c>
      <c r="AC17" s="1">
        <f ca="1">SUM(E52:BP52)</f>
        <v>0</v>
      </c>
      <c r="AD17" s="613">
        <f ca="1">IF($C17="",0,COUNTIF(Playoffs!$U$25:$U$30,$C17))</f>
        <v>0</v>
      </c>
      <c r="AE17" s="615"/>
      <c r="AF17" s="613"/>
      <c r="AG17" s="613"/>
      <c r="AH17" s="616"/>
      <c r="AI17" s="613"/>
    </row>
    <row r="18" spans="2:80" s="2" customFormat="1" x14ac:dyDescent="0.2">
      <c r="C18" s="2" t="str">
        <f t="shared" ref="C18:C25" ca="1" si="25">$Q65</f>
        <v/>
      </c>
      <c r="D18" s="1">
        <f t="shared" ca="1" si="15"/>
        <v>0</v>
      </c>
      <c r="E18" s="1">
        <f t="shared" ca="1" si="15"/>
        <v>0</v>
      </c>
      <c r="F18" s="1">
        <f t="shared" ca="1" si="15"/>
        <v>0</v>
      </c>
      <c r="G18" s="1">
        <f t="shared" ca="1" si="15"/>
        <v>0</v>
      </c>
      <c r="H18" s="1">
        <f t="shared" ca="1" si="16"/>
        <v>0</v>
      </c>
      <c r="I18" s="1">
        <f t="shared" ca="1" si="16"/>
        <v>0</v>
      </c>
      <c r="J18" s="13">
        <f t="shared" ca="1" si="16"/>
        <v>0</v>
      </c>
      <c r="K18" s="1">
        <f ca="1">IF(Einstellungen!$G$9,J5,$AT5)</f>
        <v>0</v>
      </c>
      <c r="L18" s="694">
        <f ca="1">K18*$F$64+(AU5+$H$65)*$F$65*Einstellungen!$G$14+AT5*$F$66*Einstellungen!$G$19+AX5*$F$67</f>
        <v>1E-3</v>
      </c>
      <c r="M18" s="14">
        <f t="shared" ref="M18:M25" ca="1" si="26">IF($AI$15,COUNTIF($K$17:$K$25,K18),COUNTIF($L$17:$L$25,L18))</f>
        <v>9</v>
      </c>
      <c r="N18" s="14">
        <f t="array" aca="1" ref="N18" ca="1">IF($AI$15,SUM(($K$17:$K$25&gt;=K18)/COUNTIF($K$17:$K$25,$K$17:$K$25)),SUM(($L$17:$L$25&gt;=L18)/COUNTIF($L$17:$L$25,$L$17:$L$25)))</f>
        <v>1.0000000000000002</v>
      </c>
      <c r="O18" s="6" t="str">
        <f t="shared" ca="1" si="17"/>
        <v/>
      </c>
      <c r="P18" s="4" t="str">
        <f t="shared" ca="1" si="18"/>
        <v/>
      </c>
      <c r="Q18" s="4" t="str">
        <f t="shared" ca="1" si="19"/>
        <v/>
      </c>
      <c r="R18" s="4" t="str">
        <f t="shared" ca="1" si="20"/>
        <v/>
      </c>
      <c r="S18" s="4" t="str">
        <f t="shared" ca="1" si="21"/>
        <v/>
      </c>
      <c r="T18" s="4" t="str">
        <f t="shared" ca="1" si="22"/>
        <v/>
      </c>
      <c r="U18" s="4" t="str">
        <f t="shared" ca="1" si="23"/>
        <v/>
      </c>
      <c r="V18" s="55" t="str">
        <f t="shared" ca="1" si="24"/>
        <v/>
      </c>
      <c r="W18" s="62">
        <f t="shared" ref="W18:W25" ca="1" si="27">AA18*$F$64+(AB18+$H$65)*$F$65</f>
        <v>500000</v>
      </c>
      <c r="X18" s="22">
        <f ca="1">RANK($L18,$L$17:$L$25)+RANK($W18,$W$17:$W$25)/100+(9-$Y18)/10000+($C18="")*100</f>
        <v>101.01090000000001</v>
      </c>
      <c r="Y18" s="13">
        <f ca="1">'Endrunde 4'!$AU41+$AD18</f>
        <v>0</v>
      </c>
      <c r="Z18" s="1">
        <f t="shared" ref="Z18:Z25" ca="1" si="28">RANK($W18,$W$17:$W$25)+(9-$Y18)/10</f>
        <v>1.9</v>
      </c>
      <c r="AA18" s="1">
        <f t="shared" ref="AA18:AA25" ca="1" si="29">SUM(E31:BP31)</f>
        <v>0</v>
      </c>
      <c r="AB18" s="1">
        <f t="shared" ref="AB18:AB25" ca="1" si="30">SUM(E42:BP42)</f>
        <v>0</v>
      </c>
      <c r="AC18" s="1">
        <f t="shared" ref="AC18:AC25" ca="1" si="31">SUM(E53:BP53)</f>
        <v>0</v>
      </c>
      <c r="AD18" s="613">
        <f ca="1">IF($C18="",0,COUNTIF(Playoffs!$U$25:$U$30,$C18))</f>
        <v>0</v>
      </c>
      <c r="AE18" s="615"/>
      <c r="AF18" s="613"/>
      <c r="AG18" s="613"/>
      <c r="AH18" s="616"/>
      <c r="AI18" s="613"/>
    </row>
    <row r="19" spans="2:80" s="2" customFormat="1" x14ac:dyDescent="0.2">
      <c r="C19" s="2" t="str">
        <f t="shared" si="25"/>
        <v/>
      </c>
      <c r="D19" s="1">
        <f t="shared" ca="1" si="15"/>
        <v>0</v>
      </c>
      <c r="E19" s="1">
        <f t="shared" ca="1" si="15"/>
        <v>0</v>
      </c>
      <c r="F19" s="1">
        <f t="shared" ca="1" si="15"/>
        <v>0</v>
      </c>
      <c r="G19" s="1">
        <f t="shared" ca="1" si="15"/>
        <v>0</v>
      </c>
      <c r="H19" s="1">
        <f t="shared" ca="1" si="16"/>
        <v>0</v>
      </c>
      <c r="I19" s="1">
        <f t="shared" ca="1" si="16"/>
        <v>0</v>
      </c>
      <c r="J19" s="13">
        <f t="shared" ca="1" si="16"/>
        <v>0</v>
      </c>
      <c r="K19" s="1">
        <f ca="1">IF(Einstellungen!$G$9,J6,$AT6)</f>
        <v>0</v>
      </c>
      <c r="L19" s="694">
        <f ca="1">K19*$F$64+(AU6+$H$65)*$F$65*Einstellungen!$G$14+AT6*$F$66*Einstellungen!$G$19+AX6*$F$67</f>
        <v>1E-3</v>
      </c>
      <c r="M19" s="14">
        <f t="shared" ca="1" si="26"/>
        <v>9</v>
      </c>
      <c r="N19" s="14">
        <f t="array" aca="1" ref="N19" ca="1">IF($AI$15,SUM(($K$17:$K$25&gt;=K19)/COUNTIF($K$17:$K$25,$K$17:$K$25)),SUM(($L$17:$L$25&gt;=L19)/COUNTIF($L$17:$L$25,$L$17:$L$25)))</f>
        <v>1.0000000000000002</v>
      </c>
      <c r="O19" s="6" t="str">
        <f t="shared" ca="1" si="17"/>
        <v/>
      </c>
      <c r="P19" s="4" t="str">
        <f t="shared" ca="1" si="18"/>
        <v/>
      </c>
      <c r="Q19" s="4" t="str">
        <f t="shared" ca="1" si="19"/>
        <v/>
      </c>
      <c r="R19" s="4" t="str">
        <f t="shared" ca="1" si="20"/>
        <v/>
      </c>
      <c r="S19" s="4" t="str">
        <f t="shared" ca="1" si="21"/>
        <v/>
      </c>
      <c r="T19" s="4" t="str">
        <f t="shared" ca="1" si="22"/>
        <v/>
      </c>
      <c r="U19" s="4" t="str">
        <f t="shared" ca="1" si="23"/>
        <v/>
      </c>
      <c r="V19" s="55" t="str">
        <f t="shared" ca="1" si="24"/>
        <v/>
      </c>
      <c r="W19" s="62">
        <f t="shared" ca="1" si="27"/>
        <v>500000</v>
      </c>
      <c r="X19" s="22">
        <f t="shared" ref="X19:X25" ca="1" si="32">RANK($L19,$L$17:$L$25)+RANK($W19,$W$17:$W$25)/100+(9-$Y19)/10000+($C19="")*100</f>
        <v>101.01090000000001</v>
      </c>
      <c r="Y19" s="13">
        <f>'Endrunde 4'!$AU42+$AD19</f>
        <v>0</v>
      </c>
      <c r="Z19" s="1">
        <f t="shared" ca="1" si="28"/>
        <v>1.9</v>
      </c>
      <c r="AA19" s="1">
        <f t="shared" ca="1" si="29"/>
        <v>0</v>
      </c>
      <c r="AB19" s="1">
        <f t="shared" ca="1" si="30"/>
        <v>0</v>
      </c>
      <c r="AC19" s="1">
        <f t="shared" ca="1" si="31"/>
        <v>0</v>
      </c>
      <c r="AD19" s="613">
        <f>IF($C19="",0,COUNTIF(Playoffs!$U$25:$U$30,$C19))</f>
        <v>0</v>
      </c>
      <c r="AE19" s="615"/>
      <c r="AF19" s="613"/>
      <c r="AG19" s="613"/>
      <c r="AH19" s="616"/>
      <c r="AI19" s="613"/>
    </row>
    <row r="20" spans="2:80" s="2" customFormat="1" x14ac:dyDescent="0.2">
      <c r="C20" s="2" t="str">
        <f t="shared" si="25"/>
        <v/>
      </c>
      <c r="D20" s="1">
        <f t="shared" ca="1" si="15"/>
        <v>0</v>
      </c>
      <c r="E20" s="1">
        <f t="shared" ca="1" si="15"/>
        <v>0</v>
      </c>
      <c r="F20" s="1">
        <f t="shared" ca="1" si="15"/>
        <v>0</v>
      </c>
      <c r="G20" s="1">
        <f t="shared" ca="1" si="15"/>
        <v>0</v>
      </c>
      <c r="H20" s="1">
        <f t="shared" ca="1" si="16"/>
        <v>0</v>
      </c>
      <c r="I20" s="1">
        <f t="shared" ca="1" si="16"/>
        <v>0</v>
      </c>
      <c r="J20" s="13">
        <f t="shared" ca="1" si="16"/>
        <v>0</v>
      </c>
      <c r="K20" s="1">
        <f ca="1">IF(Einstellungen!$G$9,J7,$AT7)</f>
        <v>0</v>
      </c>
      <c r="L20" s="694">
        <f ca="1">K20*$F$64+(AU7+$H$65)*$F$65*Einstellungen!$G$14+AT7*$F$66*Einstellungen!$G$19+AX7*$F$67</f>
        <v>1E-3</v>
      </c>
      <c r="M20" s="14">
        <f t="shared" ca="1" si="26"/>
        <v>9</v>
      </c>
      <c r="N20" s="14">
        <f t="array" aca="1" ref="N20" ca="1">IF($AI$15,SUM(($K$17:$K$25&gt;=K20)/COUNTIF($K$17:$K$25,$K$17:$K$25)),SUM(($L$17:$L$25&gt;=L20)/COUNTIF($L$17:$L$25,$L$17:$L$25)))</f>
        <v>1.0000000000000002</v>
      </c>
      <c r="O20" s="6" t="str">
        <f t="shared" ca="1" si="17"/>
        <v/>
      </c>
      <c r="P20" s="4" t="str">
        <f t="shared" ca="1" si="18"/>
        <v/>
      </c>
      <c r="Q20" s="4" t="str">
        <f t="shared" ca="1" si="19"/>
        <v/>
      </c>
      <c r="R20" s="4" t="str">
        <f t="shared" ca="1" si="20"/>
        <v/>
      </c>
      <c r="S20" s="4" t="str">
        <f t="shared" ca="1" si="21"/>
        <v/>
      </c>
      <c r="T20" s="4" t="str">
        <f t="shared" ca="1" si="22"/>
        <v/>
      </c>
      <c r="U20" s="4" t="str">
        <f t="shared" ca="1" si="23"/>
        <v/>
      </c>
      <c r="V20" s="55" t="str">
        <f t="shared" ca="1" si="24"/>
        <v/>
      </c>
      <c r="W20" s="62">
        <f t="shared" ca="1" si="27"/>
        <v>500000</v>
      </c>
      <c r="X20" s="22">
        <f t="shared" ca="1" si="32"/>
        <v>101.01090000000001</v>
      </c>
      <c r="Y20" s="13">
        <f>'Endrunde 4'!$AU43+$AD20</f>
        <v>0</v>
      </c>
      <c r="Z20" s="1">
        <f t="shared" ca="1" si="28"/>
        <v>1.9</v>
      </c>
      <c r="AA20" s="1">
        <f t="shared" ca="1" si="29"/>
        <v>0</v>
      </c>
      <c r="AB20" s="1">
        <f t="shared" ca="1" si="30"/>
        <v>0</v>
      </c>
      <c r="AC20" s="1">
        <f t="shared" ca="1" si="31"/>
        <v>0</v>
      </c>
      <c r="AD20" s="613">
        <f>IF($C20="",0,COUNTIF(Playoffs!$U$25:$U$30,$C20))</f>
        <v>0</v>
      </c>
      <c r="AE20" s="615"/>
      <c r="AF20" s="613"/>
      <c r="AG20" s="613"/>
      <c r="AH20" s="616"/>
      <c r="AI20" s="613"/>
    </row>
    <row r="21" spans="2:80" s="2" customFormat="1" x14ac:dyDescent="0.2">
      <c r="C21" s="2" t="str">
        <f t="shared" si="25"/>
        <v/>
      </c>
      <c r="D21" s="1">
        <f t="shared" ca="1" si="15"/>
        <v>0</v>
      </c>
      <c r="E21" s="1">
        <f t="shared" ca="1" si="15"/>
        <v>0</v>
      </c>
      <c r="F21" s="1">
        <f t="shared" ca="1" si="15"/>
        <v>0</v>
      </c>
      <c r="G21" s="1">
        <f t="shared" ca="1" si="15"/>
        <v>0</v>
      </c>
      <c r="H21" s="1">
        <f t="shared" ca="1" si="16"/>
        <v>0</v>
      </c>
      <c r="I21" s="1">
        <f t="shared" ca="1" si="16"/>
        <v>0</v>
      </c>
      <c r="J21" s="13">
        <f t="shared" ca="1" si="16"/>
        <v>0</v>
      </c>
      <c r="K21" s="1">
        <f ca="1">IF(Einstellungen!$G$9,J8,$AT8)</f>
        <v>0</v>
      </c>
      <c r="L21" s="694">
        <f ca="1">K21*$F$64+(AU8+$H$65)*$F$65*Einstellungen!$G$14+AT8*$F$66*Einstellungen!$G$19+AX8*$F$67</f>
        <v>1E-3</v>
      </c>
      <c r="M21" s="14">
        <f t="shared" ca="1" si="26"/>
        <v>9</v>
      </c>
      <c r="N21" s="14">
        <f t="array" aca="1" ref="N21" ca="1">IF($AI$15,SUM(($K$17:$K$25&gt;=K21)/COUNTIF($K$17:$K$25,$K$17:$K$25)),SUM(($L$17:$L$25&gt;=L21)/COUNTIF($L$17:$L$25,$L$17:$L$25)))</f>
        <v>1.0000000000000002</v>
      </c>
      <c r="O21" s="6" t="str">
        <f t="shared" ca="1" si="17"/>
        <v/>
      </c>
      <c r="P21" s="4" t="str">
        <f t="shared" ca="1" si="18"/>
        <v/>
      </c>
      <c r="Q21" s="4" t="str">
        <f t="shared" ca="1" si="19"/>
        <v/>
      </c>
      <c r="R21" s="4" t="str">
        <f t="shared" ca="1" si="20"/>
        <v/>
      </c>
      <c r="S21" s="4" t="str">
        <f t="shared" ca="1" si="21"/>
        <v/>
      </c>
      <c r="T21" s="4" t="str">
        <f t="shared" ca="1" si="22"/>
        <v/>
      </c>
      <c r="U21" s="4" t="str">
        <f t="shared" ca="1" si="23"/>
        <v/>
      </c>
      <c r="V21" s="55" t="str">
        <f t="shared" ca="1" si="24"/>
        <v/>
      </c>
      <c r="W21" s="62">
        <f t="shared" ca="1" si="27"/>
        <v>500000</v>
      </c>
      <c r="X21" s="22">
        <f t="shared" ca="1" si="32"/>
        <v>101.01090000000001</v>
      </c>
      <c r="Y21" s="13">
        <v>0</v>
      </c>
      <c r="Z21" s="1">
        <f t="shared" ca="1" si="28"/>
        <v>1.9</v>
      </c>
      <c r="AA21" s="1">
        <f t="shared" ca="1" si="29"/>
        <v>0</v>
      </c>
      <c r="AB21" s="1">
        <f t="shared" ca="1" si="30"/>
        <v>0</v>
      </c>
      <c r="AC21" s="1">
        <f t="shared" ca="1" si="31"/>
        <v>0</v>
      </c>
      <c r="AD21" s="613">
        <v>0</v>
      </c>
      <c r="AE21" s="615"/>
      <c r="AF21" s="613"/>
      <c r="AG21" s="613"/>
      <c r="AH21" s="616"/>
      <c r="AI21" s="613"/>
    </row>
    <row r="22" spans="2:80" s="2" customFormat="1" x14ac:dyDescent="0.2">
      <c r="C22" s="2" t="str">
        <f t="shared" si="25"/>
        <v/>
      </c>
      <c r="D22" s="1">
        <f t="shared" ca="1" si="15"/>
        <v>0</v>
      </c>
      <c r="E22" s="1">
        <f t="shared" ca="1" si="15"/>
        <v>0</v>
      </c>
      <c r="F22" s="1">
        <f t="shared" ca="1" si="15"/>
        <v>0</v>
      </c>
      <c r="G22" s="1">
        <f t="shared" ca="1" si="15"/>
        <v>0</v>
      </c>
      <c r="H22" s="1">
        <f t="shared" ca="1" si="16"/>
        <v>0</v>
      </c>
      <c r="I22" s="1">
        <f t="shared" ca="1" si="16"/>
        <v>0</v>
      </c>
      <c r="J22" s="13">
        <f t="shared" ca="1" si="16"/>
        <v>0</v>
      </c>
      <c r="K22" s="1">
        <f ca="1">IF(Einstellungen!$G$9,J9,$AT9)</f>
        <v>0</v>
      </c>
      <c r="L22" s="694">
        <f ca="1">K22*$F$64+(AU9+$H$65)*$F$65*Einstellungen!$G$14+AT9*$F$66*Einstellungen!$G$19+AX9*$F$67</f>
        <v>1E-3</v>
      </c>
      <c r="M22" s="14">
        <f t="shared" ca="1" si="26"/>
        <v>9</v>
      </c>
      <c r="N22" s="14">
        <f t="array" aca="1" ref="N22" ca="1">IF($AI$15,SUM(($K$17:$K$25&gt;=K22)/COUNTIF($K$17:$K$25,$K$17:$K$25)),SUM(($L$17:$L$25&gt;=L22)/COUNTIF($L$17:$L$25,$L$17:$L$25)))</f>
        <v>1.0000000000000002</v>
      </c>
      <c r="O22" s="6" t="str">
        <f t="shared" ca="1" si="17"/>
        <v/>
      </c>
      <c r="P22" s="4" t="str">
        <f t="shared" ca="1" si="18"/>
        <v/>
      </c>
      <c r="Q22" s="4" t="str">
        <f t="shared" ca="1" si="19"/>
        <v/>
      </c>
      <c r="R22" s="4" t="str">
        <f t="shared" ca="1" si="20"/>
        <v/>
      </c>
      <c r="S22" s="4" t="str">
        <f t="shared" ca="1" si="21"/>
        <v/>
      </c>
      <c r="T22" s="4" t="str">
        <f t="shared" ca="1" si="22"/>
        <v/>
      </c>
      <c r="U22" s="4" t="str">
        <f t="shared" ca="1" si="23"/>
        <v/>
      </c>
      <c r="V22" s="55" t="str">
        <f t="shared" ca="1" si="24"/>
        <v/>
      </c>
      <c r="W22" s="62">
        <f t="shared" ca="1" si="27"/>
        <v>500000</v>
      </c>
      <c r="X22" s="22">
        <f t="shared" ca="1" si="32"/>
        <v>101.01090000000001</v>
      </c>
      <c r="Y22" s="13">
        <v>0</v>
      </c>
      <c r="Z22" s="1">
        <f t="shared" ca="1" si="28"/>
        <v>1.9</v>
      </c>
      <c r="AA22" s="1">
        <f t="shared" ca="1" si="29"/>
        <v>0</v>
      </c>
      <c r="AB22" s="1">
        <f t="shared" ca="1" si="30"/>
        <v>0</v>
      </c>
      <c r="AC22" s="1">
        <f t="shared" ca="1" si="31"/>
        <v>0</v>
      </c>
      <c r="AD22" s="613">
        <v>0</v>
      </c>
      <c r="AE22" s="615"/>
      <c r="AF22" s="613"/>
      <c r="AG22" s="613"/>
      <c r="AH22" s="616"/>
      <c r="AI22" s="613"/>
    </row>
    <row r="23" spans="2:80" s="2" customFormat="1" x14ac:dyDescent="0.2">
      <c r="C23" s="2" t="str">
        <f t="shared" si="25"/>
        <v/>
      </c>
      <c r="D23" s="1">
        <f t="shared" ca="1" si="15"/>
        <v>0</v>
      </c>
      <c r="E23" s="1">
        <f t="shared" ca="1" si="15"/>
        <v>0</v>
      </c>
      <c r="F23" s="1">
        <f t="shared" ca="1" si="15"/>
        <v>0</v>
      </c>
      <c r="G23" s="1">
        <f t="shared" ca="1" si="15"/>
        <v>0</v>
      </c>
      <c r="H23" s="1">
        <f t="shared" ca="1" si="16"/>
        <v>0</v>
      </c>
      <c r="I23" s="1">
        <f t="shared" ca="1" si="16"/>
        <v>0</v>
      </c>
      <c r="J23" s="13">
        <f t="shared" ca="1" si="16"/>
        <v>0</v>
      </c>
      <c r="K23" s="1">
        <f ca="1">IF(Einstellungen!$G$9,J10,$AT10)</f>
        <v>0</v>
      </c>
      <c r="L23" s="694">
        <f ca="1">K23*$F$64+(AU10+$H$65)*$F$65*Einstellungen!$G$14+AT10*$F$66*Einstellungen!$G$19+AX10*$F$67</f>
        <v>1E-3</v>
      </c>
      <c r="M23" s="14">
        <f t="shared" ca="1" si="26"/>
        <v>9</v>
      </c>
      <c r="N23" s="14">
        <f t="array" aca="1" ref="N23" ca="1">IF($AI$15,SUM(($K$17:$K$25&gt;=K23)/COUNTIF($K$17:$K$25,$K$17:$K$25)),SUM(($L$17:$L$25&gt;=L23)/COUNTIF($L$17:$L$25,$L$17:$L$25)))</f>
        <v>1.0000000000000002</v>
      </c>
      <c r="O23" s="6" t="str">
        <f t="shared" ca="1" si="17"/>
        <v/>
      </c>
      <c r="P23" s="4" t="str">
        <f t="shared" ca="1" si="18"/>
        <v/>
      </c>
      <c r="Q23" s="4" t="str">
        <f t="shared" ca="1" si="19"/>
        <v/>
      </c>
      <c r="R23" s="4" t="str">
        <f t="shared" ca="1" si="20"/>
        <v/>
      </c>
      <c r="S23" s="4" t="str">
        <f t="shared" ca="1" si="21"/>
        <v/>
      </c>
      <c r="T23" s="4" t="str">
        <f t="shared" ca="1" si="22"/>
        <v/>
      </c>
      <c r="U23" s="4" t="str">
        <f t="shared" ca="1" si="23"/>
        <v/>
      </c>
      <c r="V23" s="55" t="str">
        <f t="shared" ca="1" si="24"/>
        <v/>
      </c>
      <c r="W23" s="62">
        <f t="shared" ca="1" si="27"/>
        <v>500000</v>
      </c>
      <c r="X23" s="22">
        <f t="shared" ca="1" si="32"/>
        <v>101.01090000000001</v>
      </c>
      <c r="Y23" s="13">
        <v>0</v>
      </c>
      <c r="Z23" s="1">
        <f t="shared" ca="1" si="28"/>
        <v>1.9</v>
      </c>
      <c r="AA23" s="1">
        <f t="shared" ca="1" si="29"/>
        <v>0</v>
      </c>
      <c r="AB23" s="1">
        <f t="shared" ca="1" si="30"/>
        <v>0</v>
      </c>
      <c r="AC23" s="1">
        <f t="shared" ca="1" si="31"/>
        <v>0</v>
      </c>
      <c r="AD23" s="613">
        <v>0</v>
      </c>
      <c r="AE23" s="615"/>
      <c r="AF23" s="613"/>
      <c r="AG23" s="613"/>
      <c r="AH23" s="616"/>
      <c r="AI23" s="613"/>
    </row>
    <row r="24" spans="2:80" s="2" customFormat="1" x14ac:dyDescent="0.2">
      <c r="C24" s="2" t="str">
        <f t="shared" si="25"/>
        <v/>
      </c>
      <c r="D24" s="1">
        <f t="shared" ca="1" si="15"/>
        <v>0</v>
      </c>
      <c r="E24" s="1">
        <f t="shared" ca="1" si="15"/>
        <v>0</v>
      </c>
      <c r="F24" s="1">
        <f t="shared" ca="1" si="15"/>
        <v>0</v>
      </c>
      <c r="G24" s="1">
        <f t="shared" ca="1" si="15"/>
        <v>0</v>
      </c>
      <c r="H24" s="1">
        <f t="shared" ca="1" si="16"/>
        <v>0</v>
      </c>
      <c r="I24" s="1">
        <f t="shared" ca="1" si="16"/>
        <v>0</v>
      </c>
      <c r="J24" s="13">
        <f t="shared" ca="1" si="16"/>
        <v>0</v>
      </c>
      <c r="K24" s="1">
        <f ca="1">IF(Einstellungen!$G$9,J11,$AT11)</f>
        <v>0</v>
      </c>
      <c r="L24" s="694">
        <f ca="1">K24*$F$64+(AU11+$H$65)*$F$65*Einstellungen!$G$14+AT11*$F$66*Einstellungen!$G$19+AX11*$F$67</f>
        <v>1E-3</v>
      </c>
      <c r="M24" s="14">
        <f t="shared" ca="1" si="26"/>
        <v>9</v>
      </c>
      <c r="N24" s="14">
        <f t="array" aca="1" ref="N24" ca="1">IF($AI$15,SUM(($K$17:$K$25&gt;=K24)/COUNTIF($K$17:$K$25,$K$17:$K$25)),SUM(($L$17:$L$25&gt;=L24)/COUNTIF($L$17:$L$25,$L$17:$L$25)))</f>
        <v>1.0000000000000002</v>
      </c>
      <c r="O24" s="6" t="str">
        <f t="shared" ca="1" si="17"/>
        <v/>
      </c>
      <c r="P24" s="4" t="str">
        <f t="shared" ca="1" si="18"/>
        <v/>
      </c>
      <c r="Q24" s="4" t="str">
        <f t="shared" ca="1" si="19"/>
        <v/>
      </c>
      <c r="R24" s="4" t="str">
        <f t="shared" ca="1" si="20"/>
        <v/>
      </c>
      <c r="S24" s="4" t="str">
        <f t="shared" ca="1" si="21"/>
        <v/>
      </c>
      <c r="T24" s="4" t="str">
        <f t="shared" ca="1" si="22"/>
        <v/>
      </c>
      <c r="U24" s="4" t="str">
        <f t="shared" ca="1" si="23"/>
        <v/>
      </c>
      <c r="V24" s="55" t="str">
        <f t="shared" ca="1" si="24"/>
        <v/>
      </c>
      <c r="W24" s="62">
        <f t="shared" ca="1" si="27"/>
        <v>500000</v>
      </c>
      <c r="X24" s="22">
        <f t="shared" ca="1" si="32"/>
        <v>101.01090000000001</v>
      </c>
      <c r="Y24" s="13">
        <v>0</v>
      </c>
      <c r="Z24" s="1">
        <f t="shared" ca="1" si="28"/>
        <v>1.9</v>
      </c>
      <c r="AA24" s="1">
        <f t="shared" ca="1" si="29"/>
        <v>0</v>
      </c>
      <c r="AB24" s="1">
        <f t="shared" ca="1" si="30"/>
        <v>0</v>
      </c>
      <c r="AC24" s="1">
        <f t="shared" ca="1" si="31"/>
        <v>0</v>
      </c>
      <c r="AD24" s="613">
        <v>0</v>
      </c>
      <c r="AE24" s="615"/>
      <c r="AF24" s="613"/>
      <c r="AG24" s="613"/>
      <c r="AH24" s="616"/>
      <c r="AI24" s="613"/>
    </row>
    <row r="25" spans="2:80" s="2" customFormat="1" ht="12.75" thickBot="1" x14ac:dyDescent="0.25">
      <c r="C25" s="2" t="str">
        <f t="shared" si="25"/>
        <v/>
      </c>
      <c r="D25" s="1">
        <f t="shared" ca="1" si="15"/>
        <v>0</v>
      </c>
      <c r="E25" s="1">
        <f t="shared" ca="1" si="15"/>
        <v>0</v>
      </c>
      <c r="F25" s="1">
        <f t="shared" ca="1" si="15"/>
        <v>0</v>
      </c>
      <c r="G25" s="1">
        <f t="shared" ca="1" si="15"/>
        <v>0</v>
      </c>
      <c r="H25" s="1">
        <f t="shared" ca="1" si="16"/>
        <v>0</v>
      </c>
      <c r="I25" s="1">
        <f t="shared" ca="1" si="16"/>
        <v>0</v>
      </c>
      <c r="J25" s="13">
        <f t="shared" ca="1" si="16"/>
        <v>0</v>
      </c>
      <c r="K25" s="1">
        <f ca="1">IF(Einstellungen!$G$9,J12,$AT12)</f>
        <v>0</v>
      </c>
      <c r="L25" s="694">
        <f ca="1">K25*$F$64+(AU12+$H$65)*$F$65*Einstellungen!$G$14+AT12*$F$66*Einstellungen!$G$19+AX12*$F$67</f>
        <v>1E-3</v>
      </c>
      <c r="M25" s="14">
        <f t="shared" ca="1" si="26"/>
        <v>9</v>
      </c>
      <c r="N25" s="14">
        <f t="array" aca="1" ref="N25" ca="1">IF($AI$15,SUM(($K$17:$K$25&gt;=K25)/COUNTIF($K$17:$K$25,$K$17:$K$25)),SUM(($L$17:$L$25&gt;=L25)/COUNTIF($L$17:$L$25,$L$17:$L$25)))</f>
        <v>1.0000000000000002</v>
      </c>
      <c r="O25" s="56" t="str">
        <f t="shared" ca="1" si="17"/>
        <v/>
      </c>
      <c r="P25" s="57" t="str">
        <f t="shared" ca="1" si="18"/>
        <v/>
      </c>
      <c r="Q25" s="57" t="str">
        <f t="shared" ca="1" si="19"/>
        <v/>
      </c>
      <c r="R25" s="57" t="str">
        <f t="shared" ca="1" si="20"/>
        <v/>
      </c>
      <c r="S25" s="57" t="str">
        <f t="shared" ca="1" si="21"/>
        <v/>
      </c>
      <c r="T25" s="57" t="str">
        <f t="shared" ca="1" si="22"/>
        <v/>
      </c>
      <c r="U25" s="57" t="str">
        <f t="shared" ca="1" si="23"/>
        <v/>
      </c>
      <c r="V25" s="58" t="str">
        <f t="shared" ca="1" si="24"/>
        <v/>
      </c>
      <c r="W25" s="62">
        <f t="shared" ca="1" si="27"/>
        <v>500000</v>
      </c>
      <c r="X25" s="23">
        <f t="shared" ca="1" si="32"/>
        <v>101.01090000000001</v>
      </c>
      <c r="Y25" s="13">
        <v>0</v>
      </c>
      <c r="Z25" s="1">
        <f t="shared" ca="1" si="28"/>
        <v>1.9</v>
      </c>
      <c r="AA25" s="1">
        <f t="shared" ca="1" si="29"/>
        <v>0</v>
      </c>
      <c r="AB25" s="1">
        <f t="shared" ca="1" si="30"/>
        <v>0</v>
      </c>
      <c r="AC25" s="1">
        <f t="shared" ca="1" si="31"/>
        <v>0</v>
      </c>
      <c r="AD25" s="613">
        <v>0</v>
      </c>
      <c r="AE25" s="615"/>
      <c r="AF25" s="613"/>
      <c r="AG25" s="613"/>
      <c r="AH25" s="616"/>
      <c r="AI25" s="613"/>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99</v>
      </c>
    </row>
    <row r="29" spans="2:80" s="2" customFormat="1" ht="12.75" thickTop="1" x14ac:dyDescent="0.2">
      <c r="B29" s="596" t="s">
        <v>384</v>
      </c>
      <c r="E29" s="985">
        <v>1</v>
      </c>
      <c r="F29" s="982"/>
      <c r="G29" s="982"/>
      <c r="H29" s="982"/>
      <c r="I29" s="982"/>
      <c r="J29" s="982"/>
      <c r="K29" s="982"/>
      <c r="L29" s="984"/>
      <c r="M29" s="981">
        <v>2</v>
      </c>
      <c r="N29" s="982"/>
      <c r="O29" s="982"/>
      <c r="P29" s="982"/>
      <c r="Q29" s="982"/>
      <c r="R29" s="982"/>
      <c r="S29" s="982"/>
      <c r="T29" s="984"/>
      <c r="U29" s="981">
        <v>3</v>
      </c>
      <c r="V29" s="982"/>
      <c r="W29" s="982"/>
      <c r="X29" s="982"/>
      <c r="Y29" s="982"/>
      <c r="Z29" s="982"/>
      <c r="AA29" s="982"/>
      <c r="AB29" s="984"/>
      <c r="AC29" s="981">
        <v>4</v>
      </c>
      <c r="AD29" s="982"/>
      <c r="AE29" s="982"/>
      <c r="AF29" s="982"/>
      <c r="AG29" s="982"/>
      <c r="AH29" s="982"/>
      <c r="AI29" s="982"/>
      <c r="AJ29" s="984"/>
      <c r="AK29" s="981">
        <v>5</v>
      </c>
      <c r="AL29" s="982"/>
      <c r="AM29" s="982"/>
      <c r="AN29" s="982"/>
      <c r="AO29" s="982"/>
      <c r="AP29" s="982"/>
      <c r="AQ29" s="982"/>
      <c r="AR29" s="984"/>
      <c r="AS29" s="981">
        <v>6</v>
      </c>
      <c r="AT29" s="982"/>
      <c r="AU29" s="982"/>
      <c r="AV29" s="982"/>
      <c r="AW29" s="982"/>
      <c r="AX29" s="982"/>
      <c r="AY29" s="982"/>
      <c r="AZ29" s="984"/>
      <c r="BA29" s="981">
        <v>7</v>
      </c>
      <c r="BB29" s="982"/>
      <c r="BC29" s="982"/>
      <c r="BD29" s="982"/>
      <c r="BE29" s="982"/>
      <c r="BF29" s="982"/>
      <c r="BG29" s="982"/>
      <c r="BH29" s="984"/>
      <c r="BI29" s="981">
        <v>8</v>
      </c>
      <c r="BJ29" s="982"/>
      <c r="BK29" s="982"/>
      <c r="BL29" s="982"/>
      <c r="BM29" s="982"/>
      <c r="BN29" s="982"/>
      <c r="BO29" s="982"/>
      <c r="BP29" s="983"/>
      <c r="BQ29" s="13"/>
      <c r="BR29" s="5" t="s">
        <v>94</v>
      </c>
      <c r="BS29" s="2" t="str">
        <f ca="1">$F$4</f>
        <v/>
      </c>
      <c r="BT29" s="2" t="str">
        <f ca="1">$F$5</f>
        <v/>
      </c>
      <c r="BU29" s="2" t="str">
        <f>$F$6</f>
        <v/>
      </c>
      <c r="BV29" s="2" t="str">
        <f>$F$7</f>
        <v/>
      </c>
      <c r="BW29" s="2" t="str">
        <f>$F$8</f>
        <v/>
      </c>
      <c r="BX29" s="2" t="str">
        <f>$F$9</f>
        <v/>
      </c>
      <c r="BY29" s="2" t="str">
        <f>$F$10</f>
        <v/>
      </c>
      <c r="BZ29" s="2" t="str">
        <f>$F$11</f>
        <v/>
      </c>
      <c r="CA29" s="2" t="str">
        <f>$F$12</f>
        <v/>
      </c>
      <c r="CB29" s="51"/>
    </row>
    <row r="30" spans="2:80" s="2" customFormat="1" x14ac:dyDescent="0.2">
      <c r="C30" s="2" t="str">
        <f ca="1">$Q64</f>
        <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3">F4</f>
        <v/>
      </c>
      <c r="BS30" s="7"/>
      <c r="BT30" s="8">
        <f t="shared" ref="BT30:CA32" ca="1" si="34">SUMIFS($AH$64:$AH$135,$V$64:$V$135,$BR30,$W$64:$W$135,BT$29)+SUMIFS($AI$64:$AI$135,$W$64:$W$135,$BR30,$V$64:$V$135,BT$29)</f>
        <v>0</v>
      </c>
      <c r="BU30" s="8">
        <f t="shared" ca="1" si="34"/>
        <v>0</v>
      </c>
      <c r="BV30" s="8">
        <f t="shared" ca="1" si="34"/>
        <v>0</v>
      </c>
      <c r="BW30" s="8">
        <f t="shared" ca="1" si="34"/>
        <v>0</v>
      </c>
      <c r="BX30" s="8">
        <f t="shared" ca="1" si="34"/>
        <v>0</v>
      </c>
      <c r="BY30" s="8">
        <f t="shared" ca="1" si="34"/>
        <v>0</v>
      </c>
      <c r="BZ30" s="8">
        <f t="shared" ca="1" si="34"/>
        <v>0</v>
      </c>
      <c r="CA30" s="8">
        <f t="shared" ca="1" si="34"/>
        <v>0</v>
      </c>
      <c r="CB30" s="4"/>
    </row>
    <row r="31" spans="2:80" s="2" customFormat="1" x14ac:dyDescent="0.2">
      <c r="C31" s="2" t="str">
        <f t="shared" ref="C31:C38" ca="1" si="35">$Q65</f>
        <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3"/>
        <v/>
      </c>
      <c r="BS31" s="9">
        <f t="shared" ref="BS31:BU38" ca="1" si="36">SUMIFS($AH$64:$AH$135,$V$64:$V$135,$BR31,$W$64:$W$135,BS$29)+SUMIFS($AI$64:$AI$135,$W$64:$W$135,$BR31,$V$64:$V$135,BS$29)</f>
        <v>0</v>
      </c>
      <c r="BT31" s="7"/>
      <c r="BU31" s="8">
        <f t="shared" ca="1" si="34"/>
        <v>0</v>
      </c>
      <c r="BV31" s="8">
        <f t="shared" ca="1" si="34"/>
        <v>0</v>
      </c>
      <c r="BW31" s="8">
        <f t="shared" ca="1" si="34"/>
        <v>0</v>
      </c>
      <c r="BX31" s="8">
        <f t="shared" ca="1" si="34"/>
        <v>0</v>
      </c>
      <c r="BY31" s="8">
        <f t="shared" ca="1" si="34"/>
        <v>0</v>
      </c>
      <c r="BZ31" s="8">
        <f t="shared" ca="1" si="34"/>
        <v>0</v>
      </c>
      <c r="CA31" s="8">
        <f t="shared" ca="1" si="34"/>
        <v>0</v>
      </c>
      <c r="CB31" s="4"/>
    </row>
    <row r="32" spans="2:80" s="2" customFormat="1" x14ac:dyDescent="0.2">
      <c r="C32" s="2" t="str">
        <f t="shared" si="35"/>
        <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33"/>
        <v/>
      </c>
      <c r="BS32" s="9">
        <f t="shared" ca="1" si="36"/>
        <v>0</v>
      </c>
      <c r="BT32" s="9">
        <f t="shared" ca="1" si="36"/>
        <v>0</v>
      </c>
      <c r="BU32" s="7"/>
      <c r="BV32" s="8">
        <f t="shared" ca="1" si="34"/>
        <v>0</v>
      </c>
      <c r="BW32" s="8">
        <f t="shared" ca="1" si="34"/>
        <v>0</v>
      </c>
      <c r="BX32" s="8">
        <f t="shared" ca="1" si="34"/>
        <v>0</v>
      </c>
      <c r="BY32" s="8">
        <f t="shared" ca="1" si="34"/>
        <v>0</v>
      </c>
      <c r="BZ32" s="8">
        <f t="shared" ca="1" si="34"/>
        <v>0</v>
      </c>
      <c r="CA32" s="8">
        <f t="shared" ca="1" si="34"/>
        <v>0</v>
      </c>
      <c r="CB32" s="4"/>
    </row>
    <row r="33" spans="2:80" s="2" customFormat="1" x14ac:dyDescent="0.2">
      <c r="C33" s="2" t="str">
        <f t="shared" si="35"/>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33"/>
        <v/>
      </c>
      <c r="BS33" s="9">
        <f t="shared" ca="1" si="36"/>
        <v>0</v>
      </c>
      <c r="BT33" s="9">
        <f t="shared" ca="1" si="36"/>
        <v>0</v>
      </c>
      <c r="BU33" s="9">
        <f t="shared" ca="1" si="36"/>
        <v>0</v>
      </c>
      <c r="BV33" s="7"/>
      <c r="BW33" s="8">
        <f ca="1">SUMIFS($AH$64:$AH$135,$V$64:$V$135,$BR33,$W$64:$W$135,BW$29)+SUMIFS($AI$64:$AI$135,$W$64:$W$135,$BR33,$V$64:$V$135,BW$29)</f>
        <v>0</v>
      </c>
      <c r="BX33" s="8">
        <f ca="1">SUMIFS($AH$64:$AH$135,$V$64:$V$135,$BR33,$W$64:$W$135,BX$29)+SUMIFS($AI$64:$AI$135,$W$64:$W$135,$BR33,$V$64:$V$135,BX$29)</f>
        <v>0</v>
      </c>
      <c r="BY33" s="8">
        <f ca="1">SUMIFS($AH$64:$AH$135,$V$64:$V$135,$BR33,$W$64:$W$135,BY$29)+SUMIFS($AI$64:$AI$135,$W$64:$W$135,$BR33,$V$64:$V$135,BY$29)</f>
        <v>0</v>
      </c>
      <c r="BZ33" s="8">
        <f ca="1">SUMIFS($AH$64:$AH$135,$V$64:$V$135,$BR33,$W$64:$W$135,BZ$29)+SUMIFS($AI$64:$AI$135,$W$64:$W$135,$BR33,$V$64:$V$135,BZ$29)</f>
        <v>0</v>
      </c>
      <c r="CA33" s="8">
        <f ca="1">SUMIFS($AH$64:$AH$135,$V$64:$V$135,$BR33,$W$64:$W$135,CA$29)+SUMIFS($AI$64:$AI$135,$W$64:$W$135,$BR33,$V$64:$V$135,CA$29)</f>
        <v>0</v>
      </c>
      <c r="CB33" s="4"/>
    </row>
    <row r="34" spans="2:80" s="2" customFormat="1" x14ac:dyDescent="0.2">
      <c r="C34" s="2" t="str">
        <f t="shared" si="35"/>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3"/>
        <v/>
      </c>
      <c r="BS34" s="9">
        <f t="shared" ca="1" si="36"/>
        <v>0</v>
      </c>
      <c r="BT34" s="9">
        <f t="shared" ca="1" si="36"/>
        <v>0</v>
      </c>
      <c r="BU34" s="9">
        <f t="shared" ca="1" si="36"/>
        <v>0</v>
      </c>
      <c r="BV34" s="9">
        <f ca="1">SUMIFS($AH$64:$AH$135,$V$64:$V$135,$BR34,$W$64:$W$135,BV$29)+SUMIFS($AI$64:$AI$135,$W$64:$W$135,$BR34,$V$64:$V$135,BV$29)</f>
        <v>0</v>
      </c>
      <c r="BW34" s="7"/>
      <c r="BX34" s="8">
        <f ca="1">SUMIFS($AH$64:$AH$135,$V$64:$V$135,$BR34,$W$64:$W$135,BX$29)+SUMIFS($AI$64:$AI$135,$W$64:$W$135,$BR34,$V$64:$V$135,BX$29)</f>
        <v>0</v>
      </c>
      <c r="BY34" s="8">
        <f ca="1">SUMIFS($AH$64:$AH$135,$V$64:$V$135,$BR34,$W$64:$W$135,BY$29)+SUMIFS($AI$64:$AI$135,$W$64:$W$135,$BR34,$V$64:$V$135,BY$29)</f>
        <v>0</v>
      </c>
      <c r="BZ34" s="8">
        <f ca="1">SUMIFS($AH$64:$AH$135,$V$64:$V$135,$BR34,$W$64:$W$135,BZ$29)+SUMIFS($AI$64:$AI$135,$W$64:$W$135,$BR34,$V$64:$V$135,BZ$29)</f>
        <v>0</v>
      </c>
      <c r="CA34" s="8">
        <f ca="1">SUMIFS($AH$64:$AH$135,$V$64:$V$135,$BR34,$W$64:$W$135,CA$29)+SUMIFS($AI$64:$AI$135,$W$64:$W$135,$BR34,$V$64:$V$135,CA$29)</f>
        <v>0</v>
      </c>
      <c r="CB34" s="4"/>
    </row>
    <row r="35" spans="2:80" s="2" customFormat="1" x14ac:dyDescent="0.2">
      <c r="C35" s="2" t="str">
        <f t="shared" si="35"/>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3"/>
        <v/>
      </c>
      <c r="BS35" s="9">
        <f t="shared" ca="1" si="36"/>
        <v>0</v>
      </c>
      <c r="BT35" s="9">
        <f t="shared" ca="1" si="36"/>
        <v>0</v>
      </c>
      <c r="BU35" s="9">
        <f t="shared" ca="1" si="36"/>
        <v>0</v>
      </c>
      <c r="BV35" s="9">
        <f ca="1">SUMIFS($AH$64:$AH$135,$V$64:$V$135,$BR35,$W$64:$W$135,BV$29)+SUMIFS($AI$64:$AI$135,$W$64:$W$135,$BR35,$V$64:$V$135,BV$29)</f>
        <v>0</v>
      </c>
      <c r="BW35" s="9">
        <f ca="1">SUMIFS($AH$64:$AH$135,$V$64:$V$135,$BR35,$W$64:$W$135,BW$29)+SUMIFS($AI$64:$AI$135,$W$64:$W$135,$BR35,$V$64:$V$135,BW$29)</f>
        <v>0</v>
      </c>
      <c r="BX35" s="7"/>
      <c r="BY35" s="8">
        <f ca="1">SUMIFS($AH$64:$AH$135,$V$64:$V$135,$BR35,$W$64:$W$135,BY$29)+SUMIFS($AI$64:$AI$135,$W$64:$W$135,$BR35,$V$64:$V$135,BY$29)</f>
        <v>0</v>
      </c>
      <c r="BZ35" s="8">
        <f ca="1">SUMIFS($AH$64:$AH$135,$V$64:$V$135,$BR35,$W$64:$W$135,BZ$29)+SUMIFS($AI$64:$AI$135,$W$64:$W$135,$BR35,$V$64:$V$135,BZ$29)</f>
        <v>0</v>
      </c>
      <c r="CA35" s="8">
        <f ca="1">SUMIFS($AH$64:$AH$135,$V$64:$V$135,$BR35,$W$64:$W$135,CA$29)+SUMIFS($AI$64:$AI$135,$W$64:$W$135,$BR35,$V$64:$V$135,CA$29)</f>
        <v>0</v>
      </c>
      <c r="CB35" s="4"/>
    </row>
    <row r="36" spans="2:80" s="2" customFormat="1" x14ac:dyDescent="0.2">
      <c r="C36" s="2" t="str">
        <f t="shared" si="35"/>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3"/>
        <v/>
      </c>
      <c r="BS36" s="9">
        <f t="shared" ca="1" si="36"/>
        <v>0</v>
      </c>
      <c r="BT36" s="9">
        <f t="shared" ca="1" si="36"/>
        <v>0</v>
      </c>
      <c r="BU36" s="9">
        <f t="shared" ca="1" si="36"/>
        <v>0</v>
      </c>
      <c r="BV36" s="9">
        <f ca="1">SUMIFS($AH$64:$AH$135,$V$64:$V$135,$BR36,$W$64:$W$135,BV$29)+SUMIFS($AI$64:$AI$135,$W$64:$W$135,$BR36,$V$64:$V$135,BV$29)</f>
        <v>0</v>
      </c>
      <c r="BW36" s="9">
        <f ca="1">SUMIFS($AH$64:$AH$135,$V$64:$V$135,$BR36,$W$64:$W$135,BW$29)+SUMIFS($AI$64:$AI$135,$W$64:$W$135,$BR36,$V$64:$V$135,BW$29)</f>
        <v>0</v>
      </c>
      <c r="BX36" s="9">
        <f ca="1">SUMIFS($AH$64:$AH$135,$V$64:$V$135,$BR36,$W$64:$W$135,BX$29)+SUMIFS($AI$64:$AI$135,$W$64:$W$135,$BR36,$V$64:$V$135,BX$29)</f>
        <v>0</v>
      </c>
      <c r="BY36" s="7"/>
      <c r="BZ36" s="8">
        <f ca="1">SUMIFS($AH$64:$AH$135,$V$64:$V$135,$BR36,$W$64:$W$135,BZ$29)+SUMIFS($AI$64:$AI$135,$W$64:$W$135,$BR36,$V$64:$V$135,BZ$29)</f>
        <v>0</v>
      </c>
      <c r="CA36" s="8">
        <f ca="1">SUMIFS($AH$64:$AH$135,$V$64:$V$135,$BR36,$W$64:$W$135,CA$29)+SUMIFS($AI$64:$AI$135,$W$64:$W$135,$BR36,$V$64:$V$135,CA$29)</f>
        <v>0</v>
      </c>
      <c r="CB36" s="4"/>
    </row>
    <row r="37" spans="2:80" s="2" customFormat="1" x14ac:dyDescent="0.2">
      <c r="C37" s="2" t="str">
        <f t="shared" si="35"/>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3"/>
        <v/>
      </c>
      <c r="BS37" s="9">
        <f t="shared" ca="1" si="36"/>
        <v>0</v>
      </c>
      <c r="BT37" s="9">
        <f t="shared" ca="1" si="36"/>
        <v>0</v>
      </c>
      <c r="BU37" s="9">
        <f t="shared" ca="1" si="36"/>
        <v>0</v>
      </c>
      <c r="BV37" s="9">
        <f ca="1">SUMIFS($AH$64:$AH$135,$V$64:$V$135,$BR37,$W$64:$W$135,BV$29)+SUMIFS($AI$64:$AI$135,$W$64:$W$135,$BR37,$V$64:$V$135,BV$29)</f>
        <v>0</v>
      </c>
      <c r="BW37" s="9">
        <f ca="1">SUMIFS($AH$64:$AH$135,$V$64:$V$135,$BR37,$W$64:$W$135,BW$29)+SUMIFS($AI$64:$AI$135,$W$64:$W$135,$BR37,$V$64:$V$135,BW$29)</f>
        <v>0</v>
      </c>
      <c r="BX37" s="9">
        <f ca="1">SUMIFS($AH$64:$AH$135,$V$64:$V$135,$BR37,$W$64:$W$135,BX$29)+SUMIFS($AI$64:$AI$135,$W$64:$W$135,$BR37,$V$64:$V$135,BX$29)</f>
        <v>0</v>
      </c>
      <c r="BY37" s="9">
        <f ca="1">SUMIFS($AH$64:$AH$135,$V$64:$V$135,$BR37,$W$64:$W$135,BY$29)+SUMIFS($AI$64:$AI$135,$W$64:$W$135,$BR37,$V$64:$V$135,BY$29)</f>
        <v>0</v>
      </c>
      <c r="BZ37" s="7"/>
      <c r="CA37" s="8">
        <f ca="1">SUMIFS($AH$64:$AH$135,$V$64:$V$135,$BR37,$W$64:$W$135,CA$29)+SUMIFS($AI$64:$AI$135,$W$64:$W$135,$BR37,$V$64:$V$135,CA$29)</f>
        <v>0</v>
      </c>
      <c r="CB37" s="4"/>
    </row>
    <row r="38" spans="2:80" s="2" customFormat="1" x14ac:dyDescent="0.2">
      <c r="C38" s="2" t="str">
        <f t="shared" si="35"/>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3"/>
        <v/>
      </c>
      <c r="BS38" s="9">
        <f t="shared" ca="1" si="36"/>
        <v>0</v>
      </c>
      <c r="BT38" s="9">
        <f t="shared" ca="1" si="36"/>
        <v>0</v>
      </c>
      <c r="BU38" s="9">
        <f t="shared" ca="1" si="36"/>
        <v>0</v>
      </c>
      <c r="BV38" s="9">
        <f ca="1">SUMIFS($AH$64:$AH$135,$V$64:$V$135,$BR38,$W$64:$W$135,BV$29)+SUMIFS($AI$64:$AI$135,$W$64:$W$135,$BR38,$V$64:$V$135,BV$29)</f>
        <v>0</v>
      </c>
      <c r="BW38" s="9">
        <f ca="1">SUMIFS($AH$64:$AH$135,$V$64:$V$135,$BR38,$W$64:$W$135,BW$29)+SUMIFS($AI$64:$AI$135,$W$64:$W$135,$BR38,$V$64:$V$135,BW$29)</f>
        <v>0</v>
      </c>
      <c r="BX38" s="9">
        <f ca="1">SUMIFS($AH$64:$AH$135,$V$64:$V$135,$BR38,$W$64:$W$135,BX$29)+SUMIFS($AI$64:$AI$135,$W$64:$W$135,$BR38,$V$64:$V$135,BX$29)</f>
        <v>0</v>
      </c>
      <c r="BY38" s="9">
        <f ca="1">SUMIFS($AH$64:$AH$135,$V$64:$V$135,$BR38,$W$64:$W$135,BY$29)+SUMIFS($AI$64:$AI$135,$W$64:$W$135,$BR38,$V$64:$V$135,BY$29)</f>
        <v>0</v>
      </c>
      <c r="BZ38" s="9">
        <f ca="1">SUMIFS($AH$64:$AH$135,$V$64:$V$135,$BR38,$W$64:$W$135,BZ$29)+SUMIFS($AI$64:$AI$135,$W$64:$W$135,$BR38,$V$64:$V$135,BZ$29)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102</v>
      </c>
      <c r="BS40" s="2" t="str">
        <f ca="1">$F$4</f>
        <v/>
      </c>
      <c r="BT40" s="2" t="str">
        <f ca="1">$F$5</f>
        <v/>
      </c>
      <c r="BU40" s="2" t="str">
        <f>$F$6</f>
        <v/>
      </c>
      <c r="BV40" s="2" t="str">
        <f>$F$7</f>
        <v/>
      </c>
      <c r="BW40" s="2" t="str">
        <f>$F$8</f>
        <v/>
      </c>
      <c r="BX40" s="2" t="str">
        <f>$F$9</f>
        <v/>
      </c>
      <c r="BY40" s="2" t="str">
        <f>$F$10</f>
        <v/>
      </c>
      <c r="BZ40" s="2" t="str">
        <f>$F$11</f>
        <v/>
      </c>
      <c r="CA40" s="2" t="str">
        <f>$F$12</f>
        <v/>
      </c>
      <c r="CB40" s="4"/>
    </row>
    <row r="41" spans="2:80" s="2" customFormat="1" x14ac:dyDescent="0.2">
      <c r="B41" s="596" t="s">
        <v>100</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7">F4</f>
        <v/>
      </c>
      <c r="BS41" s="7"/>
      <c r="BT41" s="8">
        <f ca="1">BT30-BS31</f>
        <v>0</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7"/>
        <v/>
      </c>
      <c r="BS42" s="9">
        <f ca="1">IF(BT41="","",-1*BT41)</f>
        <v>0</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37"/>
        <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37"/>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7"/>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7"/>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7"/>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7"/>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7"/>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38">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95</v>
      </c>
      <c r="BS51" s="2" t="str">
        <f ca="1">$F$4</f>
        <v/>
      </c>
      <c r="BT51" s="2" t="str">
        <f ca="1">$F$5</f>
        <v/>
      </c>
      <c r="BU51" s="2" t="str">
        <f>$F$6</f>
        <v/>
      </c>
      <c r="BV51" s="2" t="str">
        <f>$F$7</f>
        <v/>
      </c>
      <c r="BW51" s="2" t="str">
        <f>$F$8</f>
        <v/>
      </c>
      <c r="BX51" s="2" t="str">
        <f>$F$9</f>
        <v/>
      </c>
      <c r="BY51" s="2" t="str">
        <f>$F$10</f>
        <v/>
      </c>
      <c r="BZ51" s="2" t="str">
        <f>$F$11</f>
        <v/>
      </c>
      <c r="CA51" s="2" t="str">
        <f>$F$12</f>
        <v/>
      </c>
      <c r="CB51" s="4"/>
    </row>
    <row r="52" spans="2:80" s="2" customFormat="1" x14ac:dyDescent="0.2">
      <c r="B52" s="596" t="s">
        <v>101</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39">F4</f>
        <v/>
      </c>
      <c r="BS52" s="7"/>
      <c r="BT52" s="8">
        <f t="shared" ref="BT52:CA54" ca="1" si="40">SUMIFS($AJ$64:$AJ$135,$V$64:$V$135,$BR52,$W$64:$W$135,BT$51)+SUMIFS($AK$64:$AK$135,$W$64:$W$135,$BR52,$V$64:$V$135,BT$51)</f>
        <v>0</v>
      </c>
      <c r="BU52" s="8">
        <f t="shared" ca="1" si="40"/>
        <v>0</v>
      </c>
      <c r="BV52" s="8">
        <f t="shared" ca="1" si="40"/>
        <v>0</v>
      </c>
      <c r="BW52" s="8">
        <f t="shared" ca="1" si="40"/>
        <v>0</v>
      </c>
      <c r="BX52" s="8">
        <f t="shared" ca="1" si="40"/>
        <v>0</v>
      </c>
      <c r="BY52" s="8">
        <f t="shared" ca="1" si="40"/>
        <v>0</v>
      </c>
      <c r="BZ52" s="8">
        <f t="shared" ca="1" si="40"/>
        <v>0</v>
      </c>
      <c r="CA52" s="8">
        <f t="shared" ca="1" si="40"/>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39"/>
        <v/>
      </c>
      <c r="BS53" s="9">
        <f t="shared" ref="BS53:BU60" ca="1" si="41">SUMIFS($AJ$64:$AJ$135,$V$64:$V$135,$BR53,$W$64:$W$135,BS$51)+SUMIFS($AK$64:$AK$135,$W$64:$W$135,$BR53,$V$64:$V$135,BS$51)</f>
        <v>0</v>
      </c>
      <c r="BT53" s="7"/>
      <c r="BU53" s="8">
        <f t="shared" ca="1" si="40"/>
        <v>0</v>
      </c>
      <c r="BV53" s="8">
        <f t="shared" ca="1" si="40"/>
        <v>0</v>
      </c>
      <c r="BW53" s="8">
        <f t="shared" ca="1" si="40"/>
        <v>0</v>
      </c>
      <c r="BX53" s="8">
        <f t="shared" ca="1" si="40"/>
        <v>0</v>
      </c>
      <c r="BY53" s="8">
        <f t="shared" ca="1" si="40"/>
        <v>0</v>
      </c>
      <c r="BZ53" s="8">
        <f t="shared" ca="1" si="40"/>
        <v>0</v>
      </c>
      <c r="CA53" s="8">
        <f t="shared" ca="1" si="40"/>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39"/>
        <v/>
      </c>
      <c r="BS54" s="9">
        <f t="shared" ca="1" si="41"/>
        <v>0</v>
      </c>
      <c r="BT54" s="9">
        <f t="shared" ca="1" si="41"/>
        <v>0</v>
      </c>
      <c r="BU54" s="7"/>
      <c r="BV54" s="8">
        <f t="shared" ca="1" si="40"/>
        <v>0</v>
      </c>
      <c r="BW54" s="8">
        <f t="shared" ca="1" si="40"/>
        <v>0</v>
      </c>
      <c r="BX54" s="8">
        <f t="shared" ca="1" si="40"/>
        <v>0</v>
      </c>
      <c r="BY54" s="8">
        <f t="shared" ca="1" si="40"/>
        <v>0</v>
      </c>
      <c r="BZ54" s="8">
        <f t="shared" ca="1" si="40"/>
        <v>0</v>
      </c>
      <c r="CA54" s="8">
        <f t="shared" ca="1" si="40"/>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39"/>
        <v/>
      </c>
      <c r="BS55" s="9">
        <f t="shared" ca="1" si="41"/>
        <v>0</v>
      </c>
      <c r="BT55" s="9">
        <f t="shared" ca="1" si="41"/>
        <v>0</v>
      </c>
      <c r="BU55" s="9">
        <f t="shared" ca="1" si="41"/>
        <v>0</v>
      </c>
      <c r="BV55" s="7"/>
      <c r="BW55" s="8">
        <f ca="1">SUMIFS($AJ$64:$AJ$135,$V$64:$V$135,$BR55,$W$64:$W$135,BW$51)+SUMIFS($AK$64:$AK$135,$W$64:$W$135,$BR55,$V$64:$V$135,BW$51)</f>
        <v>0</v>
      </c>
      <c r="BX55" s="8">
        <f ca="1">SUMIFS($AJ$64:$AJ$135,$V$64:$V$135,$BR55,$W$64:$W$135,BX$51)+SUMIFS($AK$64:$AK$135,$W$64:$W$135,$BR55,$V$64:$V$135,BX$51)</f>
        <v>0</v>
      </c>
      <c r="BY55" s="8">
        <f ca="1">SUMIFS($AJ$64:$AJ$135,$V$64:$V$135,$BR55,$W$64:$W$135,BY$51)+SUMIFS($AK$64:$AK$135,$W$64:$W$135,$BR55,$V$64:$V$135,BY$51)</f>
        <v>0</v>
      </c>
      <c r="BZ55" s="8">
        <f ca="1">SUMIFS($AJ$64:$AJ$135,$V$64:$V$135,$BR55,$W$64:$W$135,BZ$51)+SUMIFS($AK$64:$AK$135,$W$64:$W$135,$BR55,$V$64:$V$135,BZ$51)</f>
        <v>0</v>
      </c>
      <c r="CA55" s="8">
        <f ca="1">SUMIFS($AJ$64:$AJ$135,$V$64:$V$135,$BR55,$W$64:$W$135,CA$51)+SUMIFS($AK$64:$AK$135,$W$64:$W$135,$BR55,$V$64:$V$135,CA$51)</f>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39"/>
        <v/>
      </c>
      <c r="BS56" s="9">
        <f t="shared" ca="1" si="41"/>
        <v>0</v>
      </c>
      <c r="BT56" s="9">
        <f t="shared" ca="1" si="41"/>
        <v>0</v>
      </c>
      <c r="BU56" s="9">
        <f t="shared" ca="1" si="41"/>
        <v>0</v>
      </c>
      <c r="BV56" s="9">
        <f ca="1">SUMIFS($AJ$64:$AJ$135,$V$64:$V$135,$BR56,$W$64:$W$135,BV$51)+SUMIFS($AK$64:$AK$135,$W$64:$W$135,$BR56,$V$64:$V$135,BV$51)</f>
        <v>0</v>
      </c>
      <c r="BW56" s="7"/>
      <c r="BX56" s="8">
        <f ca="1">SUMIFS($AJ$64:$AJ$135,$V$64:$V$135,$BR56,$W$64:$W$135,BX$51)+SUMIFS($AK$64:$AK$135,$W$64:$W$135,$BR56,$V$64:$V$135,BX$51)</f>
        <v>0</v>
      </c>
      <c r="BY56" s="8">
        <f ca="1">SUMIFS($AJ$64:$AJ$135,$V$64:$V$135,$BR56,$W$64:$W$135,BY$51)+SUMIFS($AK$64:$AK$135,$W$64:$W$135,$BR56,$V$64:$V$135,BY$51)</f>
        <v>0</v>
      </c>
      <c r="BZ56" s="8">
        <f ca="1">SUMIFS($AJ$64:$AJ$135,$V$64:$V$135,$BR56,$W$64:$W$135,BZ$51)+SUMIFS($AK$64:$AK$135,$W$64:$W$135,$BR56,$V$64:$V$135,BZ$51)</f>
        <v>0</v>
      </c>
      <c r="CA56" s="8">
        <f ca="1">SUMIFS($AJ$64:$AJ$135,$V$64:$V$135,$BR56,$W$64:$W$135,CA$51)+SUMIFS($AK$64:$AK$135,$W$64:$W$135,$BR56,$V$64:$V$135,CA$51)</f>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39"/>
        <v/>
      </c>
      <c r="BS57" s="9">
        <f t="shared" ca="1" si="41"/>
        <v>0</v>
      </c>
      <c r="BT57" s="9">
        <f t="shared" ca="1" si="41"/>
        <v>0</v>
      </c>
      <c r="BU57" s="9">
        <f t="shared" ca="1" si="41"/>
        <v>0</v>
      </c>
      <c r="BV57" s="9">
        <f ca="1">SUMIFS($AJ$64:$AJ$135,$V$64:$V$135,$BR57,$W$64:$W$135,BV$51)+SUMIFS($AK$64:$AK$135,$W$64:$W$135,$BR57,$V$64:$V$135,BV$51)</f>
        <v>0</v>
      </c>
      <c r="BW57" s="9">
        <f ca="1">SUMIFS($AJ$64:$AJ$135,$V$64:$V$135,$BR57,$W$64:$W$135,BW$51)+SUMIFS($AK$64:$AK$135,$W$64:$W$135,$BR57,$V$64:$V$135,BW$51)</f>
        <v>0</v>
      </c>
      <c r="BX57" s="7"/>
      <c r="BY57" s="8">
        <f ca="1">SUMIFS($AJ$64:$AJ$135,$V$64:$V$135,$BR57,$W$64:$W$135,BY$51)+SUMIFS($AK$64:$AK$135,$W$64:$W$135,$BR57,$V$64:$V$135,BY$51)</f>
        <v>0</v>
      </c>
      <c r="BZ57" s="8">
        <f ca="1">SUMIFS($AJ$64:$AJ$135,$V$64:$V$135,$BR57,$W$64:$W$135,BZ$51)+SUMIFS($AK$64:$AK$135,$W$64:$W$135,$BR57,$V$64:$V$135,BZ$51)</f>
        <v>0</v>
      </c>
      <c r="CA57" s="8">
        <f ca="1">SUMIFS($AJ$64:$AJ$135,$V$64:$V$135,$BR57,$W$64:$W$135,CA$51)+SUMIFS($AK$64:$AK$135,$W$64:$W$135,$BR57,$V$64:$V$135,CA$51)</f>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39"/>
        <v/>
      </c>
      <c r="BS58" s="9">
        <f t="shared" ca="1" si="41"/>
        <v>0</v>
      </c>
      <c r="BT58" s="9">
        <f t="shared" ca="1" si="41"/>
        <v>0</v>
      </c>
      <c r="BU58" s="9">
        <f t="shared" ca="1" si="41"/>
        <v>0</v>
      </c>
      <c r="BV58" s="9">
        <f ca="1">SUMIFS($AJ$64:$AJ$135,$V$64:$V$135,$BR58,$W$64:$W$135,BV$51)+SUMIFS($AK$64:$AK$135,$W$64:$W$135,$BR58,$V$64:$V$135,BV$51)</f>
        <v>0</v>
      </c>
      <c r="BW58" s="9">
        <f ca="1">SUMIFS($AJ$64:$AJ$135,$V$64:$V$135,$BR58,$W$64:$W$135,BW$51)+SUMIFS($AK$64:$AK$135,$W$64:$W$135,$BR58,$V$64:$V$135,BW$51)</f>
        <v>0</v>
      </c>
      <c r="BX58" s="9">
        <f ca="1">SUMIFS($AJ$64:$AJ$135,$V$64:$V$135,$BR58,$W$64:$W$135,BX$51)+SUMIFS($AK$64:$AK$135,$W$64:$W$135,$BR58,$V$64:$V$135,BX$51)</f>
        <v>0</v>
      </c>
      <c r="BY58" s="7"/>
      <c r="BZ58" s="8">
        <f ca="1">SUMIFS($AJ$64:$AJ$135,$V$64:$V$135,$BR58,$W$64:$W$135,BZ$51)+SUMIFS($AK$64:$AK$135,$W$64:$W$135,$BR58,$V$64:$V$135,BZ$51)</f>
        <v>0</v>
      </c>
      <c r="CA58" s="8">
        <f ca="1">SUMIFS($AJ$64:$AJ$135,$V$64:$V$135,$BR58,$W$64:$W$135,CA$51)+SUMIFS($AK$64:$AK$135,$W$64:$W$135,$BR58,$V$64:$V$135,CA$51)</f>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39"/>
        <v/>
      </c>
      <c r="BS59" s="9">
        <f t="shared" ca="1" si="41"/>
        <v>0</v>
      </c>
      <c r="BT59" s="9">
        <f t="shared" ca="1" si="41"/>
        <v>0</v>
      </c>
      <c r="BU59" s="9">
        <f t="shared" ca="1" si="41"/>
        <v>0</v>
      </c>
      <c r="BV59" s="9">
        <f ca="1">SUMIFS($AJ$64:$AJ$135,$V$64:$V$135,$BR59,$W$64:$W$135,BV$51)+SUMIFS($AK$64:$AK$135,$W$64:$W$135,$BR59,$V$64:$V$135,BV$51)</f>
        <v>0</v>
      </c>
      <c r="BW59" s="9">
        <f ca="1">SUMIFS($AJ$64:$AJ$135,$V$64:$V$135,$BR59,$W$64:$W$135,BW$51)+SUMIFS($AK$64:$AK$135,$W$64:$W$135,$BR59,$V$64:$V$135,BW$51)</f>
        <v>0</v>
      </c>
      <c r="BX59" s="9">
        <f ca="1">SUMIFS($AJ$64:$AJ$135,$V$64:$V$135,$BR59,$W$64:$W$135,BX$51)+SUMIFS($AK$64:$AK$135,$W$64:$W$135,$BR59,$V$64:$V$135,BX$51)</f>
        <v>0</v>
      </c>
      <c r="BY59" s="9">
        <f ca="1">SUMIFS($AJ$64:$AJ$135,$V$64:$V$135,$BR59,$W$64:$W$135,BY$51)+SUMIFS($AK$64:$AK$135,$W$64:$W$135,$BR59,$V$64:$V$135,BY$51)</f>
        <v>0</v>
      </c>
      <c r="BZ59" s="7"/>
      <c r="CA59" s="8">
        <f ca="1">SUMIFS($AJ$64:$AJ$135,$V$64:$V$135,$BR59,$W$64:$W$135,CA$51)+SUMIFS($AK$64:$AK$135,$W$64:$W$135,$BR59,$V$64:$V$135,CA$51)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39"/>
        <v/>
      </c>
      <c r="BS60" s="9">
        <f t="shared" ca="1" si="41"/>
        <v>0</v>
      </c>
      <c r="BT60" s="9">
        <f t="shared" ca="1" si="41"/>
        <v>0</v>
      </c>
      <c r="BU60" s="9">
        <f t="shared" ca="1" si="41"/>
        <v>0</v>
      </c>
      <c r="BV60" s="9">
        <f ca="1">SUMIFS($AJ$64:$AJ$135,$V$64:$V$135,$BR60,$W$64:$W$135,BV$51)+SUMIFS($AK$64:$AK$135,$W$64:$W$135,$BR60,$V$64:$V$135,BV$51)</f>
        <v>0</v>
      </c>
      <c r="BW60" s="9">
        <f ca="1">SUMIFS($AJ$64:$AJ$135,$V$64:$V$135,$BR60,$W$64:$W$135,BW$51)+SUMIFS($AK$64:$AK$135,$W$64:$W$135,$BR60,$V$64:$V$135,BW$51)</f>
        <v>0</v>
      </c>
      <c r="BX60" s="9">
        <f ca="1">SUMIFS($AJ$64:$AJ$135,$V$64:$V$135,$BR60,$W$64:$W$135,BX$51)+SUMIFS($AK$64:$AK$135,$W$64:$W$135,$BR60,$V$64:$V$135,BX$51)</f>
        <v>0</v>
      </c>
      <c r="BY60" s="9">
        <f ca="1">SUMIFS($AJ$64:$AJ$135,$V$64:$V$135,$BR60,$W$64:$W$135,BY$51)+SUMIFS($AK$64:$AK$135,$W$64:$W$135,$BR60,$V$64:$V$135,BY$51)</f>
        <v>0</v>
      </c>
      <c r="BZ60" s="9">
        <f ca="1">SUMIFS($AJ$64:$AJ$135,$V$64:$V$135,$BR60,$W$64:$W$135,BZ$51)+SUMIFS($AK$64:$AK$135,$W$64:$W$135,$BR60,$V$64:$V$135,BZ$51)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73" t="s">
        <v>167</v>
      </c>
      <c r="X63" s="979" t="s">
        <v>374</v>
      </c>
      <c r="Y63" s="979"/>
      <c r="Z63" s="68" t="s">
        <v>153</v>
      </c>
      <c r="AA63" s="68" t="s">
        <v>16</v>
      </c>
      <c r="AB63" s="68" t="s">
        <v>372</v>
      </c>
      <c r="AC63" s="592" t="s">
        <v>370</v>
      </c>
      <c r="AD63" s="980" t="s">
        <v>376</v>
      </c>
      <c r="AE63" s="980"/>
      <c r="AF63" s="980" t="s">
        <v>378</v>
      </c>
      <c r="AG63" s="980"/>
      <c r="AH63" s="978" t="s">
        <v>372</v>
      </c>
      <c r="AI63" s="978"/>
      <c r="AJ63" s="978" t="s">
        <v>370</v>
      </c>
      <c r="AK63" s="978"/>
      <c r="AL63" s="978" t="s">
        <v>380</v>
      </c>
      <c r="AM63" s="978"/>
      <c r="AN63" s="4"/>
      <c r="AO63" s="4"/>
      <c r="AP63" s="4"/>
      <c r="AQ63" s="4"/>
      <c r="AR63" s="4"/>
    </row>
    <row r="64" spans="2:80" s="2" customFormat="1" ht="14.25" thickTop="1" thickBot="1" x14ac:dyDescent="0.25">
      <c r="F64" s="685">
        <v>1000000</v>
      </c>
      <c r="G64" s="686" t="s">
        <v>441</v>
      </c>
      <c r="H64" s="687"/>
      <c r="I64" s="687"/>
      <c r="P64" s="44" t="s">
        <v>7</v>
      </c>
      <c r="Q64" s="59" t="str">
        <f ca="1">IF('Endrunde 4'!$AS40="","",'Endrunde 4'!$AS40)</f>
        <v/>
      </c>
      <c r="U64" s="64" t="s">
        <v>7</v>
      </c>
      <c r="V64" s="39" t="str">
        <f ca="1">'Endrunde 4'!$I12</f>
        <v/>
      </c>
      <c r="W64" s="32" t="str">
        <f ca="1">'Endrunde 4'!$K12</f>
        <v/>
      </c>
      <c r="X64" s="32" t="str">
        <f ca="1">IF(AND($AA64=1,'Endrunde 4'!$L12&lt;&gt;"",'Endrunde 4'!$N12&lt;&gt;"",ABS('Endrunde 4'!$L12-'Endrunde 4'!$N12)&gt;1),'Endrunde 4'!$L12,"")</f>
        <v/>
      </c>
      <c r="Y64" s="33" t="str">
        <f ca="1">IF(AND($AA64=1,'Endrunde 4'!$L12&lt;&gt;"",'Endrunde 4'!$N12&lt;&gt;"",ABS('Endrunde 4'!$L12-'Endrunde 4'!$N12)&gt;1),'Endrunde 4'!$N12,"")</f>
        <v/>
      </c>
      <c r="Z64" s="31" t="str">
        <f ca="1">V64&amp;W64</f>
        <v/>
      </c>
      <c r="AA64" s="32">
        <f ca="1">IF(AND(V64&lt;&gt;"",W64&lt;&gt;"",V64&lt;&gt;W64,'Endrunde 4'!$U12&lt;&gt;"",'Endrunde 4'!$W12&lt;&gt;""),1,0)</f>
        <v>0</v>
      </c>
      <c r="AB64" s="138" t="str">
        <f ca="1">IF(AA64&gt;0,AH64&amp;Sprache!$E$108&amp;AI64,"")</f>
        <v/>
      </c>
      <c r="AC64" s="35" t="str">
        <f ca="1">IF(AA64&gt;0,AJ64&amp;Sprache!$E$108&amp;AK64,"")</f>
        <v/>
      </c>
      <c r="AD64" s="39" t="str">
        <f ca="1">IF(AND($AA64=1,'Endrunde 4'!$O12&lt;&gt;"",'Endrunde 4'!$Q12&lt;&gt;"",ABS('Endrunde 4'!$O12-'Endrunde 4'!$Q12)&gt;1),'Endrunde 4'!$O12,"")</f>
        <v/>
      </c>
      <c r="AE64" s="33" t="str">
        <f ca="1">IF(AND($AA64=1,'Endrunde 4'!$O12&lt;&gt;"",'Endrunde 4'!$Q12&lt;&gt;"",ABS('Endrunde 4'!$O12-'Endrunde 4'!$Q12)&gt;1),'Endrunde 4'!$Q12,"")</f>
        <v/>
      </c>
      <c r="AF64" s="39" t="str">
        <f ca="1">IF(AND($AA64=1,'Endrunde 4'!$R12&lt;&gt;"",'Endrunde 4'!$T12&lt;&gt;"",ABS('Endrunde 4'!$R12-'Endrunde 4'!$T12)&gt;1),'Endrunde 4'!$R12,"")</f>
        <v/>
      </c>
      <c r="AG64" s="33" t="str">
        <f ca="1">IF(AND($AA64=1,'Endrunde 4'!$R12&lt;&gt;"",'Endrunde 4'!$T12&lt;&gt;"",ABS('Endrunde 4'!$R12-'Endrunde 4'!$T12)&gt;1),'Endrunde 4'!$T12,"")</f>
        <v/>
      </c>
      <c r="AH64" s="39" t="str">
        <f ca="1">IF(AA64&gt;0,SUM(X64,AD64,AF64),"")</f>
        <v/>
      </c>
      <c r="AI64" s="33" t="str">
        <f ca="1">IF(AA64&gt;0,SUM(Y64,AE64,AG64),"")</f>
        <v/>
      </c>
      <c r="AJ64" s="39">
        <f ca="1">IF('Endrunde 4'!$U12="",0,'Endrunde 4'!$U12)</f>
        <v>0</v>
      </c>
      <c r="AK64" s="33">
        <f ca="1">IF('Endrunde 4'!$W12="",0,'Endrunde 4'!$W12)</f>
        <v>0</v>
      </c>
      <c r="AL64" s="32" t="str">
        <f ca="1">IF($AA64=0,"",IF($AJ64&gt;$AK64,Einstellungen!$C$4,IF($AJ64=$AK64,1,0)))</f>
        <v/>
      </c>
      <c r="AM64" s="33" t="str">
        <f ca="1">IF($AA64=0,"",IF($AJ64&lt;$AK64,Einstellungen!$C$4,IF($AJ64=$AK64,1,0)))</f>
        <v/>
      </c>
      <c r="AN64" s="4"/>
      <c r="AO64" s="4"/>
      <c r="AP64" s="4"/>
      <c r="AQ64" s="4"/>
      <c r="AR64" s="4"/>
    </row>
    <row r="65" spans="2:43" s="2" customFormat="1" ht="13.5" thickBot="1" x14ac:dyDescent="0.25">
      <c r="F65" s="688">
        <v>1000</v>
      </c>
      <c r="G65" s="689" t="s">
        <v>442</v>
      </c>
      <c r="H65" s="690">
        <v>500</v>
      </c>
      <c r="I65" s="691" t="s">
        <v>443</v>
      </c>
      <c r="P65" s="45" t="s">
        <v>8</v>
      </c>
      <c r="Q65" s="60" t="str">
        <f ca="1">IF('Endrunde 4'!$AS41="","",'Endrunde 4'!$AS41)</f>
        <v/>
      </c>
      <c r="U65" s="65" t="s">
        <v>8</v>
      </c>
      <c r="V65" s="40" t="str">
        <f ca="1">'Endrunde 4'!$I13</f>
        <v/>
      </c>
      <c r="W65" s="13" t="str">
        <f ca="1">'Endrunde 4'!$K13</f>
        <v/>
      </c>
      <c r="X65" s="13" t="str">
        <f ca="1">IF(AND($AA65=1,'Endrunde 4'!$L13&lt;&gt;"",'Endrunde 4'!$N13&lt;&gt;"",ABS('Endrunde 4'!$L13-'Endrunde 4'!$N13)&gt;1),'Endrunde 4'!$L13,"")</f>
        <v/>
      </c>
      <c r="Y65" s="35" t="str">
        <f ca="1">IF(AND($AA65=1,'Endrunde 4'!$L13&lt;&gt;"",'Endrunde 4'!$N13&lt;&gt;"",ABS('Endrunde 4'!$L13-'Endrunde 4'!$N13)&gt;1),'Endrunde 4'!$N13,"")</f>
        <v/>
      </c>
      <c r="Z65" s="34" t="str">
        <f t="shared" ref="Z65:Z88" ca="1" si="42">V65&amp;W65</f>
        <v/>
      </c>
      <c r="AA65" s="13">
        <f ca="1">IF(AND(V65&lt;&gt;"",W65&lt;&gt;"",V65&lt;&gt;W65,'Endrunde 4'!$U13&lt;&gt;"",'Endrunde 4'!$W13&lt;&gt;""),1,0)</f>
        <v>0</v>
      </c>
      <c r="AB65" s="13" t="str">
        <f ca="1">IF(AA65&gt;0,AH65&amp;Sprache!$E$108&amp;AI65,"")</f>
        <v/>
      </c>
      <c r="AC65" s="35" t="str">
        <f ca="1">IF(AA65&gt;0,AJ65&amp;Sprache!$E$108&amp;AK65,"")</f>
        <v/>
      </c>
      <c r="AD65" s="40" t="str">
        <f ca="1">IF(AND($AA65=1,'Endrunde 4'!$O13&lt;&gt;"",'Endrunde 4'!$Q13&lt;&gt;"",ABS('Endrunde 4'!$O13-'Endrunde 4'!$Q13)&gt;1),'Endrunde 4'!$O13,"")</f>
        <v/>
      </c>
      <c r="AE65" s="35" t="str">
        <f ca="1">IF(AND($AA65=1,'Endrunde 4'!$O13&lt;&gt;"",'Endrunde 4'!$Q13&lt;&gt;"",ABS('Endrunde 4'!$O13-'Endrunde 4'!$Q13)&gt;1),'Endrunde 4'!$Q13,"")</f>
        <v/>
      </c>
      <c r="AF65" s="40" t="str">
        <f ca="1">IF(AND($AA65=1,'Endrunde 4'!$R13&lt;&gt;"",'Endrunde 4'!$T13&lt;&gt;"",ABS('Endrunde 4'!$R13-'Endrunde 4'!$T13)&gt;1),'Endrunde 4'!$R13,"")</f>
        <v/>
      </c>
      <c r="AG65" s="35" t="str">
        <f ca="1">IF(AND($AA65=1,'Endrunde 4'!$R13&lt;&gt;"",'Endrunde 4'!$T13&lt;&gt;"",ABS('Endrunde 4'!$R13-'Endrunde 4'!$T13)&gt;1),'Endrunde 4'!$T13,"")</f>
        <v/>
      </c>
      <c r="AH65" s="40" t="str">
        <f t="shared" ref="AH65:AH88" ca="1" si="43">IF(AA65&gt;0,SUM(X65,AD65,AF65),"")</f>
        <v/>
      </c>
      <c r="AI65" s="35" t="str">
        <f t="shared" ref="AI65:AI88" ca="1" si="44">IF(AA65&gt;0,SUM(Y65,AE65,AG65),"")</f>
        <v/>
      </c>
      <c r="AJ65" s="40">
        <f ca="1">IF('Endrunde 4'!$U13="",0,'Endrunde 4'!$U13)</f>
        <v>0</v>
      </c>
      <c r="AK65" s="35">
        <f ca="1">IF('Endrunde 4'!$W13="",0,'Endrunde 4'!$W13)</f>
        <v>0</v>
      </c>
      <c r="AL65" s="13" t="str">
        <f ca="1">IF($AA65=0,"",IF($AJ65&gt;$AK65,Einstellungen!$C$4,IF($AJ65=$AK65,1,0)))</f>
        <v/>
      </c>
      <c r="AM65" s="35" t="str">
        <f ca="1">IF($AA65=0,"",IF($AJ65&lt;$AK65,Einstellungen!$C$4,IF($AJ65=$AK65,1,0)))</f>
        <v/>
      </c>
      <c r="AN65" s="13"/>
      <c r="AO65" s="13"/>
      <c r="AP65" s="13"/>
      <c r="AQ65" s="13"/>
    </row>
    <row r="66" spans="2:43" s="2" customFormat="1" ht="12.75" x14ac:dyDescent="0.2">
      <c r="F66" s="688">
        <v>1</v>
      </c>
      <c r="G66" s="689" t="s">
        <v>444</v>
      </c>
      <c r="H66" s="687"/>
      <c r="I66" s="687"/>
      <c r="P66" s="45" t="s">
        <v>9</v>
      </c>
      <c r="Q66" s="60" t="str">
        <f>""</f>
        <v/>
      </c>
      <c r="U66" s="65" t="s">
        <v>9</v>
      </c>
      <c r="V66" s="40" t="str">
        <f ca="1">'Endrunde 4'!$I14</f>
        <v>FC Barcelona</v>
      </c>
      <c r="W66" s="13" t="str">
        <f ca="1">'Endrunde 4'!$K14</f>
        <v/>
      </c>
      <c r="X66" s="13" t="str">
        <f ca="1">IF(AND($AA66=1,'Endrunde 4'!$L14&lt;&gt;"",'Endrunde 4'!$N14&lt;&gt;"",ABS('Endrunde 4'!$L14-'Endrunde 4'!$N14)&gt;1),'Endrunde 4'!$L14,"")</f>
        <v/>
      </c>
      <c r="Y66" s="35" t="str">
        <f ca="1">IF(AND($AA66=1,'Endrunde 4'!$L14&lt;&gt;"",'Endrunde 4'!$N14&lt;&gt;"",ABS('Endrunde 4'!$L14-'Endrunde 4'!$N14)&gt;1),'Endrunde 4'!$N14,"")</f>
        <v/>
      </c>
      <c r="Z66" s="34" t="str">
        <f t="shared" ca="1" si="42"/>
        <v>FC Barcelona</v>
      </c>
      <c r="AA66" s="13">
        <f ca="1">IF(AND(V66&lt;&gt;"",W66&lt;&gt;"",V66&lt;&gt;W66,'Endrunde 4'!$U14&lt;&gt;"",'Endrunde 4'!$W14&lt;&gt;""),1,0)</f>
        <v>0</v>
      </c>
      <c r="AB66" s="13" t="str">
        <f ca="1">IF(AA66&gt;0,AH66&amp;Sprache!$E$108&amp;AI66,"")</f>
        <v/>
      </c>
      <c r="AC66" s="35" t="str">
        <f ca="1">IF(AA66&gt;0,AJ66&amp;Sprache!$E$108&amp;AK66,"")</f>
        <v/>
      </c>
      <c r="AD66" s="40" t="str">
        <f ca="1">IF(AND($AA66=1,'Endrunde 4'!$O14&lt;&gt;"",'Endrunde 4'!$Q14&lt;&gt;"",ABS('Endrunde 4'!$O14-'Endrunde 4'!$Q14)&gt;1),'Endrunde 4'!$O14,"")</f>
        <v/>
      </c>
      <c r="AE66" s="35" t="str">
        <f ca="1">IF(AND($AA66=1,'Endrunde 4'!$O14&lt;&gt;"",'Endrunde 4'!$Q14&lt;&gt;"",ABS('Endrunde 4'!$O14-'Endrunde 4'!$Q14)&gt;1),'Endrunde 4'!$Q14,"")</f>
        <v/>
      </c>
      <c r="AF66" s="40" t="str">
        <f ca="1">IF(AND($AA66=1,'Endrunde 4'!$R14&lt;&gt;"",'Endrunde 4'!$T14&lt;&gt;"",ABS('Endrunde 4'!$R14-'Endrunde 4'!$T14)&gt;1),'Endrunde 4'!$R14,"")</f>
        <v/>
      </c>
      <c r="AG66" s="35" t="str">
        <f ca="1">IF(AND($AA66=1,'Endrunde 4'!$R14&lt;&gt;"",'Endrunde 4'!$T14&lt;&gt;"",ABS('Endrunde 4'!$R14-'Endrunde 4'!$T14)&gt;1),'Endrunde 4'!$T14,"")</f>
        <v/>
      </c>
      <c r="AH66" s="40" t="str">
        <f t="shared" ca="1" si="43"/>
        <v/>
      </c>
      <c r="AI66" s="35" t="str">
        <f t="shared" ca="1" si="44"/>
        <v/>
      </c>
      <c r="AJ66" s="40">
        <f ca="1">IF('Endrunde 4'!$U14="",0,'Endrunde 4'!$U14)</f>
        <v>0</v>
      </c>
      <c r="AK66" s="35">
        <f ca="1">IF('Endrunde 4'!$W14="",0,'Endrunde 4'!$W14)</f>
        <v>0</v>
      </c>
      <c r="AL66" s="13" t="str">
        <f ca="1">IF($AA66=0,"",IF($AJ66&gt;$AK66,Einstellungen!$C$4,IF($AJ66=$AK66,1,0)))</f>
        <v/>
      </c>
      <c r="AM66" s="35" t="str">
        <f ca="1">IF($AA66=0,"",IF($AJ66&lt;$AK66,Einstellungen!$C$4,IF($AJ66=$AK66,1,0)))</f>
        <v/>
      </c>
      <c r="AN66" s="13"/>
      <c r="AO66" s="13"/>
      <c r="AP66" s="13"/>
      <c r="AQ66" s="13"/>
    </row>
    <row r="67" spans="2:43" s="2" customFormat="1" ht="12.75" thickBot="1" x14ac:dyDescent="0.25">
      <c r="F67" s="692">
        <v>1E-3</v>
      </c>
      <c r="G67" s="693" t="s">
        <v>445</v>
      </c>
      <c r="H67" s="687"/>
      <c r="I67" s="687"/>
      <c r="P67" s="45" t="s">
        <v>10</v>
      </c>
      <c r="Q67" s="60" t="str">
        <f>""</f>
        <v/>
      </c>
      <c r="U67" s="65" t="s">
        <v>10</v>
      </c>
      <c r="V67" s="40" t="str">
        <f ca="1">'Endrunde 4'!$I15</f>
        <v>VFB Essenheim</v>
      </c>
      <c r="W67" s="13" t="str">
        <f ca="1">'Endrunde 4'!$K15</f>
        <v>SSV Wildbach</v>
      </c>
      <c r="X67" s="13">
        <f ca="1">IF(AND($AA67=1,'Endrunde 4'!$L15&lt;&gt;"",'Endrunde 4'!$N15&lt;&gt;"",ABS('Endrunde 4'!$L15-'Endrunde 4'!$N15)&gt;1),'Endrunde 4'!$L15,"")</f>
        <v>25</v>
      </c>
      <c r="Y67" s="35">
        <f ca="1">IF(AND($AA67=1,'Endrunde 4'!$L15&lt;&gt;"",'Endrunde 4'!$N15&lt;&gt;"",ABS('Endrunde 4'!$L15-'Endrunde 4'!$N15)&gt;1),'Endrunde 4'!$N15,"")</f>
        <v>20</v>
      </c>
      <c r="Z67" s="34" t="str">
        <f t="shared" ca="1" si="42"/>
        <v>VFB EssenheimSSV Wildbach</v>
      </c>
      <c r="AA67" s="13">
        <f ca="1">IF(AND(V67&lt;&gt;"",W67&lt;&gt;"",V67&lt;&gt;W67,'Endrunde 4'!$U15&lt;&gt;"",'Endrunde 4'!$W15&lt;&gt;""),1,0)</f>
        <v>1</v>
      </c>
      <c r="AB67" s="13" t="str">
        <f ca="1">IF(AA67&gt;0,AH67&amp;Sprache!$E$108&amp;AI67,"")</f>
        <v>50 : 37</v>
      </c>
      <c r="AC67" s="35" t="str">
        <f ca="1">IF(AA67&gt;0,AJ67&amp;Sprache!$E$108&amp;AK67,"")</f>
        <v>2 : 0</v>
      </c>
      <c r="AD67" s="40">
        <f ca="1">IF(AND($AA67=1,'Endrunde 4'!$O15&lt;&gt;"",'Endrunde 4'!$Q15&lt;&gt;"",ABS('Endrunde 4'!$O15-'Endrunde 4'!$Q15)&gt;1),'Endrunde 4'!$O15,"")</f>
        <v>25</v>
      </c>
      <c r="AE67" s="35">
        <f ca="1">IF(AND($AA67=1,'Endrunde 4'!$O15&lt;&gt;"",'Endrunde 4'!$Q15&lt;&gt;"",ABS('Endrunde 4'!$O15-'Endrunde 4'!$Q15)&gt;1),'Endrunde 4'!$Q15,"")</f>
        <v>17</v>
      </c>
      <c r="AF67" s="40" t="str">
        <f ca="1">IF(AND($AA67=1,'Endrunde 4'!$R15&lt;&gt;"",'Endrunde 4'!$T15&lt;&gt;"",ABS('Endrunde 4'!$R15-'Endrunde 4'!$T15)&gt;1),'Endrunde 4'!$R15,"")</f>
        <v/>
      </c>
      <c r="AG67" s="35" t="str">
        <f ca="1">IF(AND($AA67=1,'Endrunde 4'!$R15&lt;&gt;"",'Endrunde 4'!$T15&lt;&gt;"",ABS('Endrunde 4'!$R15-'Endrunde 4'!$T15)&gt;1),'Endrunde 4'!$T15,"")</f>
        <v/>
      </c>
      <c r="AH67" s="40">
        <f t="shared" ca="1" si="43"/>
        <v>50</v>
      </c>
      <c r="AI67" s="35">
        <f t="shared" ca="1" si="44"/>
        <v>37</v>
      </c>
      <c r="AJ67" s="40">
        <f ca="1">IF('Endrunde 4'!$U15="",0,'Endrunde 4'!$U15)</f>
        <v>2</v>
      </c>
      <c r="AK67" s="35">
        <f ca="1">IF('Endrunde 4'!$W15="",0,'Endrunde 4'!$W15)</f>
        <v>0</v>
      </c>
      <c r="AL67" s="13">
        <f ca="1">IF($AA67=0,"",IF($AJ67&gt;$AK67,Einstellungen!$C$4,IF($AJ67=$AK67,1,0)))</f>
        <v>2</v>
      </c>
      <c r="AM67" s="35">
        <f ca="1">IF($AA67=0,"",IF($AJ67&lt;$AK67,Einstellungen!$C$4,IF($AJ67=$AK67,1,0)))</f>
        <v>0</v>
      </c>
      <c r="AN67" s="13"/>
      <c r="AO67" s="13"/>
      <c r="AP67" s="13"/>
      <c r="AQ67" s="13"/>
    </row>
    <row r="68" spans="2:43" s="2" customFormat="1" x14ac:dyDescent="0.2">
      <c r="P68" s="45" t="s">
        <v>11</v>
      </c>
      <c r="Q68" s="60" t="str">
        <f>""</f>
        <v/>
      </c>
      <c r="U68" s="65" t="s">
        <v>11</v>
      </c>
      <c r="V68" s="40" t="str">
        <f ca="1">'Endrunde 4'!$I16</f>
        <v>Eintracht Frankfurt</v>
      </c>
      <c r="W68" s="13" t="str">
        <f ca="1">'Endrunde 4'!$K16</f>
        <v>Manchester City</v>
      </c>
      <c r="X68" s="13">
        <f ca="1">IF(AND($AA68=1,'Endrunde 4'!$L16&lt;&gt;"",'Endrunde 4'!$N16&lt;&gt;"",ABS('Endrunde 4'!$L16-'Endrunde 4'!$N16)&gt;1),'Endrunde 4'!$L16,"")</f>
        <v>19</v>
      </c>
      <c r="Y68" s="35">
        <f ca="1">IF(AND($AA68=1,'Endrunde 4'!$L16&lt;&gt;"",'Endrunde 4'!$N16&lt;&gt;"",ABS('Endrunde 4'!$L16-'Endrunde 4'!$N16)&gt;1),'Endrunde 4'!$N16,"")</f>
        <v>25</v>
      </c>
      <c r="Z68" s="34" t="str">
        <f t="shared" ca="1" si="42"/>
        <v>Eintracht FrankfurtManchester City</v>
      </c>
      <c r="AA68" s="13">
        <f ca="1">IF(AND(V68&lt;&gt;"",W68&lt;&gt;"",V68&lt;&gt;W68,'Endrunde 4'!$U16&lt;&gt;"",'Endrunde 4'!$W16&lt;&gt;""),1,0)</f>
        <v>1</v>
      </c>
      <c r="AB68" s="13" t="str">
        <f ca="1">IF(AA68&gt;0,AH68&amp;Sprache!$E$108&amp;AI68,"")</f>
        <v>35 : 50</v>
      </c>
      <c r="AC68" s="35" t="str">
        <f ca="1">IF(AA68&gt;0,AJ68&amp;Sprache!$E$108&amp;AK68,"")</f>
        <v>0 : 2</v>
      </c>
      <c r="AD68" s="40">
        <f ca="1">IF(AND($AA68=1,'Endrunde 4'!$O16&lt;&gt;"",'Endrunde 4'!$Q16&lt;&gt;"",ABS('Endrunde 4'!$O16-'Endrunde 4'!$Q16)&gt;1),'Endrunde 4'!$O16,"")</f>
        <v>16</v>
      </c>
      <c r="AE68" s="35">
        <f ca="1">IF(AND($AA68=1,'Endrunde 4'!$O16&lt;&gt;"",'Endrunde 4'!$Q16&lt;&gt;"",ABS('Endrunde 4'!$O16-'Endrunde 4'!$Q16)&gt;1),'Endrunde 4'!$Q16,"")</f>
        <v>25</v>
      </c>
      <c r="AF68" s="40" t="str">
        <f ca="1">IF(AND($AA68=1,'Endrunde 4'!$R16&lt;&gt;"",'Endrunde 4'!$T16&lt;&gt;"",ABS('Endrunde 4'!$R16-'Endrunde 4'!$T16)&gt;1),'Endrunde 4'!$R16,"")</f>
        <v/>
      </c>
      <c r="AG68" s="35" t="str">
        <f ca="1">IF(AND($AA68=1,'Endrunde 4'!$R16&lt;&gt;"",'Endrunde 4'!$T16&lt;&gt;"",ABS('Endrunde 4'!$R16-'Endrunde 4'!$T16)&gt;1),'Endrunde 4'!$T16,"")</f>
        <v/>
      </c>
      <c r="AH68" s="40">
        <f t="shared" ca="1" si="43"/>
        <v>35</v>
      </c>
      <c r="AI68" s="35">
        <f t="shared" ca="1" si="44"/>
        <v>50</v>
      </c>
      <c r="AJ68" s="40">
        <f ca="1">IF('Endrunde 4'!$U16="",0,'Endrunde 4'!$U16)</f>
        <v>0</v>
      </c>
      <c r="AK68" s="35">
        <f ca="1">IF('Endrunde 4'!$W16="",0,'Endrunde 4'!$W16)</f>
        <v>2</v>
      </c>
      <c r="AL68" s="13">
        <f ca="1">IF($AA68=0,"",IF($AJ68&gt;$AK68,Einstellungen!$C$4,IF($AJ68=$AK68,1,0)))</f>
        <v>0</v>
      </c>
      <c r="AM68" s="35">
        <f ca="1">IF($AA68=0,"",IF($AJ68&lt;$AK68,Einstellungen!$C$4,IF($AJ68=$AK68,1,0)))</f>
        <v>2</v>
      </c>
      <c r="AN68" s="13"/>
      <c r="AO68" s="13"/>
      <c r="AP68" s="13"/>
      <c r="AQ68" s="13"/>
    </row>
    <row r="69" spans="2:43" s="2" customFormat="1" x14ac:dyDescent="0.2">
      <c r="P69" s="45" t="s">
        <v>12</v>
      </c>
      <c r="Q69" s="60" t="str">
        <f>""</f>
        <v/>
      </c>
      <c r="U69" s="65" t="s">
        <v>12</v>
      </c>
      <c r="V69" s="40" t="str">
        <f ca="1">'Endrunde 4'!$I17</f>
        <v/>
      </c>
      <c r="W69" s="13" t="str">
        <f ca="1">'Endrunde 4'!$K17</f>
        <v/>
      </c>
      <c r="X69" s="13" t="str">
        <f ca="1">IF(AND($AA69=1,'Endrunde 4'!$L17&lt;&gt;"",'Endrunde 4'!$N17&lt;&gt;"",ABS('Endrunde 4'!$L17-'Endrunde 4'!$N17)&gt;1),'Endrunde 4'!$L17,"")</f>
        <v/>
      </c>
      <c r="Y69" s="35" t="str">
        <f ca="1">IF(AND($AA69=1,'Endrunde 4'!$L17&lt;&gt;"",'Endrunde 4'!$N17&lt;&gt;"",ABS('Endrunde 4'!$L17-'Endrunde 4'!$N17)&gt;1),'Endrunde 4'!$N17,"")</f>
        <v/>
      </c>
      <c r="Z69" s="34" t="str">
        <f t="shared" ca="1" si="42"/>
        <v/>
      </c>
      <c r="AA69" s="13">
        <f ca="1">IF(AND(V69&lt;&gt;"",W69&lt;&gt;"",V69&lt;&gt;W69,'Endrunde 4'!$U17&lt;&gt;"",'Endrunde 4'!$W17&lt;&gt;""),1,0)</f>
        <v>0</v>
      </c>
      <c r="AB69" s="13" t="str">
        <f ca="1">IF(AA69&gt;0,AH69&amp;Sprache!$E$108&amp;AI69,"")</f>
        <v/>
      </c>
      <c r="AC69" s="35" t="str">
        <f ca="1">IF(AA69&gt;0,AJ69&amp;Sprache!$E$108&amp;AK69,"")</f>
        <v/>
      </c>
      <c r="AD69" s="40" t="str">
        <f ca="1">IF(AND($AA69=1,'Endrunde 4'!$O17&lt;&gt;"",'Endrunde 4'!$Q17&lt;&gt;"",ABS('Endrunde 4'!$O17-'Endrunde 4'!$Q17)&gt;1),'Endrunde 4'!$O17,"")</f>
        <v/>
      </c>
      <c r="AE69" s="35" t="str">
        <f ca="1">IF(AND($AA69=1,'Endrunde 4'!$O17&lt;&gt;"",'Endrunde 4'!$Q17&lt;&gt;"",ABS('Endrunde 4'!$O17-'Endrunde 4'!$Q17)&gt;1),'Endrunde 4'!$Q17,"")</f>
        <v/>
      </c>
      <c r="AF69" s="40" t="str">
        <f ca="1">IF(AND($AA69=1,'Endrunde 4'!$R17&lt;&gt;"",'Endrunde 4'!$T17&lt;&gt;"",ABS('Endrunde 4'!$R17-'Endrunde 4'!$T17)&gt;1),'Endrunde 4'!$R17,"")</f>
        <v/>
      </c>
      <c r="AG69" s="35" t="str">
        <f ca="1">IF(AND($AA69=1,'Endrunde 4'!$R17&lt;&gt;"",'Endrunde 4'!$T17&lt;&gt;"",ABS('Endrunde 4'!$R17-'Endrunde 4'!$T17)&gt;1),'Endrunde 4'!$T17,"")</f>
        <v/>
      </c>
      <c r="AH69" s="40" t="str">
        <f t="shared" ca="1" si="43"/>
        <v/>
      </c>
      <c r="AI69" s="35" t="str">
        <f t="shared" ca="1" si="44"/>
        <v/>
      </c>
      <c r="AJ69" s="40">
        <f ca="1">IF('Endrunde 4'!$U17="",0,'Endrunde 4'!$U17)</f>
        <v>0</v>
      </c>
      <c r="AK69" s="35">
        <f ca="1">IF('Endrunde 4'!$W17="",0,'Endrunde 4'!$W17)</f>
        <v>0</v>
      </c>
      <c r="AL69" s="13" t="str">
        <f ca="1">IF($AA69=0,"",IF($AJ69&gt;$AK69,Einstellungen!$C$4,IF($AJ69=$AK69,1,0)))</f>
        <v/>
      </c>
      <c r="AM69" s="35" t="str">
        <f ca="1">IF($AA69=0,"",IF($AJ69&lt;$AK69,Einstellungen!$C$4,IF($AJ69=$AK69,1,0)))</f>
        <v/>
      </c>
      <c r="AN69" s="13"/>
      <c r="AO69" s="13"/>
      <c r="AP69" s="13"/>
      <c r="AQ69" s="13"/>
    </row>
    <row r="70" spans="2:43" s="2" customFormat="1" x14ac:dyDescent="0.2">
      <c r="P70" s="45" t="s">
        <v>17</v>
      </c>
      <c r="Q70" s="60" t="str">
        <f>""</f>
        <v/>
      </c>
      <c r="U70" s="65" t="s">
        <v>17</v>
      </c>
      <c r="V70" s="40" t="str">
        <f ca="1">'Endrunde 4'!$I18</f>
        <v>Inter Mailand</v>
      </c>
      <c r="W70" s="13" t="str">
        <f ca="1">'Endrunde 4'!$K18</f>
        <v/>
      </c>
      <c r="X70" s="13" t="str">
        <f ca="1">IF(AND($AA70=1,'Endrunde 4'!$L18&lt;&gt;"",'Endrunde 4'!$N18&lt;&gt;"",ABS('Endrunde 4'!$L18-'Endrunde 4'!$N18)&gt;1),'Endrunde 4'!$L18,"")</f>
        <v/>
      </c>
      <c r="Y70" s="35" t="str">
        <f ca="1">IF(AND($AA70=1,'Endrunde 4'!$L18&lt;&gt;"",'Endrunde 4'!$N18&lt;&gt;"",ABS('Endrunde 4'!$L18-'Endrunde 4'!$N18)&gt;1),'Endrunde 4'!$N18,"")</f>
        <v/>
      </c>
      <c r="Z70" s="34" t="str">
        <f t="shared" ca="1" si="42"/>
        <v>Inter Mailand</v>
      </c>
      <c r="AA70" s="13">
        <f ca="1">IF(AND(V70&lt;&gt;"",W70&lt;&gt;"",V70&lt;&gt;W70,'Endrunde 4'!$U18&lt;&gt;"",'Endrunde 4'!$W18&lt;&gt;""),1,0)</f>
        <v>0</v>
      </c>
      <c r="AB70" s="13" t="str">
        <f ca="1">IF(AA70&gt;0,AH70&amp;Sprache!$E$108&amp;AI70,"")</f>
        <v/>
      </c>
      <c r="AC70" s="35" t="str">
        <f ca="1">IF(AA70&gt;0,AJ70&amp;Sprache!$E$108&amp;AK70,"")</f>
        <v/>
      </c>
      <c r="AD70" s="40" t="str">
        <f ca="1">IF(AND($AA70=1,'Endrunde 4'!$O18&lt;&gt;"",'Endrunde 4'!$Q18&lt;&gt;"",ABS('Endrunde 4'!$O18-'Endrunde 4'!$Q18)&gt;1),'Endrunde 4'!$O18,"")</f>
        <v/>
      </c>
      <c r="AE70" s="35" t="str">
        <f ca="1">IF(AND($AA70=1,'Endrunde 4'!$O18&lt;&gt;"",'Endrunde 4'!$Q18&lt;&gt;"",ABS('Endrunde 4'!$O18-'Endrunde 4'!$Q18)&gt;1),'Endrunde 4'!$Q18,"")</f>
        <v/>
      </c>
      <c r="AF70" s="40" t="str">
        <f ca="1">IF(AND($AA70=1,'Endrunde 4'!$R18&lt;&gt;"",'Endrunde 4'!$T18&lt;&gt;"",ABS('Endrunde 4'!$R18-'Endrunde 4'!$T18)&gt;1),'Endrunde 4'!$R18,"")</f>
        <v/>
      </c>
      <c r="AG70" s="35" t="str">
        <f ca="1">IF(AND($AA70=1,'Endrunde 4'!$R18&lt;&gt;"",'Endrunde 4'!$T18&lt;&gt;"",ABS('Endrunde 4'!$R18-'Endrunde 4'!$T18)&gt;1),'Endrunde 4'!$T18,"")</f>
        <v/>
      </c>
      <c r="AH70" s="40" t="str">
        <f t="shared" ca="1" si="43"/>
        <v/>
      </c>
      <c r="AI70" s="35" t="str">
        <f t="shared" ca="1" si="44"/>
        <v/>
      </c>
      <c r="AJ70" s="40">
        <f ca="1">IF('Endrunde 4'!$U18="",0,'Endrunde 4'!$U18)</f>
        <v>0</v>
      </c>
      <c r="AK70" s="35">
        <f ca="1">IF('Endrunde 4'!$W18="",0,'Endrunde 4'!$W18)</f>
        <v>0</v>
      </c>
      <c r="AL70" s="13" t="str">
        <f ca="1">IF($AA70=0,"",IF($AJ70&gt;$AK70,Einstellungen!$C$4,IF($AJ70=$AK70,1,0)))</f>
        <v/>
      </c>
      <c r="AM70" s="35" t="str">
        <f ca="1">IF($AA70=0,"",IF($AJ70&lt;$AK70,Einstellungen!$C$4,IF($AJ70=$AK70,1,0)))</f>
        <v/>
      </c>
      <c r="AN70" s="4"/>
      <c r="AO70" s="13"/>
      <c r="AP70" s="13"/>
      <c r="AQ70" s="13"/>
    </row>
    <row r="71" spans="2:43" s="2" customFormat="1" x14ac:dyDescent="0.2">
      <c r="B71" s="4"/>
      <c r="C71" s="4"/>
      <c r="D71" s="4"/>
      <c r="E71" s="4"/>
      <c r="F71" s="4"/>
      <c r="G71" s="4"/>
      <c r="H71" s="4"/>
      <c r="I71" s="4"/>
      <c r="J71" s="4"/>
      <c r="K71" s="4"/>
      <c r="L71" s="4"/>
      <c r="M71" s="4"/>
      <c r="P71" s="45" t="s">
        <v>18</v>
      </c>
      <c r="Q71" s="60" t="str">
        <f>""</f>
        <v/>
      </c>
      <c r="U71" s="65" t="s">
        <v>18</v>
      </c>
      <c r="V71" s="40" t="str">
        <f ca="1">'Endrunde 4'!$I19</f>
        <v>FC Grönlingen</v>
      </c>
      <c r="W71" s="13" t="str">
        <f ca="1">'Endrunde 4'!$K19</f>
        <v>1. FC Riedwald</v>
      </c>
      <c r="X71" s="13">
        <f ca="1">IF(AND($AA71=1,'Endrunde 4'!$L19&lt;&gt;"",'Endrunde 4'!$N19&lt;&gt;"",ABS('Endrunde 4'!$L19-'Endrunde 4'!$N19)&gt;1),'Endrunde 4'!$L19,"")</f>
        <v>25</v>
      </c>
      <c r="Y71" s="35">
        <f ca="1">IF(AND($AA71=1,'Endrunde 4'!$L19&lt;&gt;"",'Endrunde 4'!$N19&lt;&gt;"",ABS('Endrunde 4'!$L19-'Endrunde 4'!$N19)&gt;1),'Endrunde 4'!$N19,"")</f>
        <v>23</v>
      </c>
      <c r="Z71" s="34" t="str">
        <f t="shared" ca="1" si="42"/>
        <v>FC Grönlingen1. FC Riedwald</v>
      </c>
      <c r="AA71" s="13">
        <f ca="1">IF(AND(V71&lt;&gt;"",W71&lt;&gt;"",V71&lt;&gt;W71,'Endrunde 4'!$U19&lt;&gt;"",'Endrunde 4'!$W19&lt;&gt;""),1,0)</f>
        <v>1</v>
      </c>
      <c r="AB71" s="13" t="str">
        <f ca="1">IF(AA71&gt;0,AH71&amp;Sprache!$E$108&amp;AI71,"")</f>
        <v>50 : 44</v>
      </c>
      <c r="AC71" s="35" t="str">
        <f ca="1">IF(AA71&gt;0,AJ71&amp;Sprache!$E$108&amp;AK71,"")</f>
        <v>2 : 0</v>
      </c>
      <c r="AD71" s="40">
        <f ca="1">IF(AND($AA71=1,'Endrunde 4'!$O19&lt;&gt;"",'Endrunde 4'!$Q19&lt;&gt;"",ABS('Endrunde 4'!$O19-'Endrunde 4'!$Q19)&gt;1),'Endrunde 4'!$O19,"")</f>
        <v>25</v>
      </c>
      <c r="AE71" s="35">
        <f ca="1">IF(AND($AA71=1,'Endrunde 4'!$O19&lt;&gt;"",'Endrunde 4'!$Q19&lt;&gt;"",ABS('Endrunde 4'!$O19-'Endrunde 4'!$Q19)&gt;1),'Endrunde 4'!$Q19,"")</f>
        <v>21</v>
      </c>
      <c r="AF71" s="40" t="str">
        <f ca="1">IF(AND($AA71=1,'Endrunde 4'!$R19&lt;&gt;"",'Endrunde 4'!$T19&lt;&gt;"",ABS('Endrunde 4'!$R19-'Endrunde 4'!$T19)&gt;1),'Endrunde 4'!$R19,"")</f>
        <v/>
      </c>
      <c r="AG71" s="35" t="str">
        <f ca="1">IF(AND($AA71=1,'Endrunde 4'!$R19&lt;&gt;"",'Endrunde 4'!$T19&lt;&gt;"",ABS('Endrunde 4'!$R19-'Endrunde 4'!$T19)&gt;1),'Endrunde 4'!$T19,"")</f>
        <v/>
      </c>
      <c r="AH71" s="40">
        <f t="shared" ca="1" si="43"/>
        <v>50</v>
      </c>
      <c r="AI71" s="35">
        <f t="shared" ca="1" si="44"/>
        <v>44</v>
      </c>
      <c r="AJ71" s="40">
        <f ca="1">IF('Endrunde 4'!$U19="",0,'Endrunde 4'!$U19)</f>
        <v>2</v>
      </c>
      <c r="AK71" s="35">
        <f ca="1">IF('Endrunde 4'!$W19="",0,'Endrunde 4'!$W19)</f>
        <v>0</v>
      </c>
      <c r="AL71" s="13">
        <f ca="1">IF($AA71=0,"",IF($AJ71&gt;$AK71,Einstellungen!$C$4,IF($AJ71=$AK71,1,0)))</f>
        <v>2</v>
      </c>
      <c r="AM71" s="35">
        <f ca="1">IF($AA71=0,"",IF($AJ71&lt;$AK71,Einstellungen!$C$4,IF($AJ71=$AK71,1,0)))</f>
        <v>0</v>
      </c>
      <c r="AN71" s="13"/>
      <c r="AO71" s="4"/>
      <c r="AP71" s="13"/>
      <c r="AQ71" s="13"/>
    </row>
    <row r="72" spans="2:43" s="2" customFormat="1" ht="12.75" thickBot="1" x14ac:dyDescent="0.25">
      <c r="B72" s="4"/>
      <c r="C72" s="4"/>
      <c r="D72" s="4"/>
      <c r="E72" s="4"/>
      <c r="F72" s="13"/>
      <c r="G72" s="13"/>
      <c r="H72" s="13"/>
      <c r="I72" s="13"/>
      <c r="J72" s="13"/>
      <c r="K72" s="13"/>
      <c r="L72" s="13"/>
      <c r="M72" s="13"/>
      <c r="P72" s="46" t="s">
        <v>19</v>
      </c>
      <c r="Q72" s="61" t="str">
        <f>""</f>
        <v/>
      </c>
      <c r="U72" s="65" t="s">
        <v>19</v>
      </c>
      <c r="V72" s="40" t="str">
        <f ca="1">'Endrunde 4'!$I20</f>
        <v>Mainz 05</v>
      </c>
      <c r="W72" s="13" t="str">
        <f ca="1">'Endrunde 4'!$K20</f>
        <v>Maibach 1822 eV</v>
      </c>
      <c r="X72" s="13">
        <f ca="1">IF(AND($AA72=1,'Endrunde 4'!$L20&lt;&gt;"",'Endrunde 4'!$N20&lt;&gt;"",ABS('Endrunde 4'!$L20-'Endrunde 4'!$N20)&gt;1),'Endrunde 4'!$L20,"")</f>
        <v>25</v>
      </c>
      <c r="Y72" s="35">
        <f ca="1">IF(AND($AA72=1,'Endrunde 4'!$L20&lt;&gt;"",'Endrunde 4'!$N20&lt;&gt;"",ABS('Endrunde 4'!$L20-'Endrunde 4'!$N20)&gt;1),'Endrunde 4'!$N20,"")</f>
        <v>17</v>
      </c>
      <c r="Z72" s="34" t="str">
        <f t="shared" ca="1" si="42"/>
        <v>Mainz 05Maibach 1822 eV</v>
      </c>
      <c r="AA72" s="13">
        <f ca="1">IF(AND(V72&lt;&gt;"",W72&lt;&gt;"",V72&lt;&gt;W72,'Endrunde 4'!$U20&lt;&gt;"",'Endrunde 4'!$W20&lt;&gt;""),1,0)</f>
        <v>1</v>
      </c>
      <c r="AB72" s="13" t="str">
        <f ca="1">IF(AA72&gt;0,AH72&amp;Sprache!$E$108&amp;AI72,"")</f>
        <v>50 : 39</v>
      </c>
      <c r="AC72" s="35" t="str">
        <f ca="1">IF(AA72&gt;0,AJ72&amp;Sprache!$E$108&amp;AK72,"")</f>
        <v>2 : 0</v>
      </c>
      <c r="AD72" s="40">
        <f ca="1">IF(AND($AA72=1,'Endrunde 4'!$O20&lt;&gt;"",'Endrunde 4'!$Q20&lt;&gt;"",ABS('Endrunde 4'!$O20-'Endrunde 4'!$Q20)&gt;1),'Endrunde 4'!$O20,"")</f>
        <v>25</v>
      </c>
      <c r="AE72" s="35">
        <f ca="1">IF(AND($AA72=1,'Endrunde 4'!$O20&lt;&gt;"",'Endrunde 4'!$Q20&lt;&gt;"",ABS('Endrunde 4'!$O20-'Endrunde 4'!$Q20)&gt;1),'Endrunde 4'!$Q20,"")</f>
        <v>22</v>
      </c>
      <c r="AF72" s="40" t="str">
        <f ca="1">IF(AND($AA72=1,'Endrunde 4'!$R20&lt;&gt;"",'Endrunde 4'!$T20&lt;&gt;"",ABS('Endrunde 4'!$R20-'Endrunde 4'!$T20)&gt;1),'Endrunde 4'!$R20,"")</f>
        <v/>
      </c>
      <c r="AG72" s="35" t="str">
        <f ca="1">IF(AND($AA72=1,'Endrunde 4'!$R20&lt;&gt;"",'Endrunde 4'!$T20&lt;&gt;"",ABS('Endrunde 4'!$R20-'Endrunde 4'!$T20)&gt;1),'Endrunde 4'!$T20,"")</f>
        <v/>
      </c>
      <c r="AH72" s="40">
        <f t="shared" ca="1" si="43"/>
        <v>50</v>
      </c>
      <c r="AI72" s="35">
        <f t="shared" ca="1" si="44"/>
        <v>39</v>
      </c>
      <c r="AJ72" s="40">
        <f ca="1">IF('Endrunde 4'!$U20="",0,'Endrunde 4'!$U20)</f>
        <v>2</v>
      </c>
      <c r="AK72" s="35">
        <f ca="1">IF('Endrunde 4'!$W20="",0,'Endrunde 4'!$W20)</f>
        <v>0</v>
      </c>
      <c r="AL72" s="13">
        <f ca="1">IF($AA72=0,"",IF($AJ72&gt;$AK72,Einstellungen!$C$4,IF($AJ72=$AK72,1,0)))</f>
        <v>2</v>
      </c>
      <c r="AM72" s="35">
        <f ca="1">IF($AA72=0,"",IF($AJ72&lt;$AK72,Einstellungen!$C$4,IF($AJ72=$AK72,1,0)))</f>
        <v>0</v>
      </c>
      <c r="AN72" s="13"/>
      <c r="AO72" s="13"/>
      <c r="AP72" s="4"/>
      <c r="AQ72" s="13"/>
    </row>
    <row r="73" spans="2:43" s="2" customFormat="1" ht="12.75" thickTop="1" x14ac:dyDescent="0.2">
      <c r="B73" s="4"/>
      <c r="C73" s="4"/>
      <c r="D73" s="4"/>
      <c r="E73" s="4"/>
      <c r="F73" s="13"/>
      <c r="G73" s="13"/>
      <c r="H73" s="13"/>
      <c r="I73" s="13"/>
      <c r="J73" s="13"/>
      <c r="K73" s="13"/>
      <c r="L73" s="13"/>
      <c r="M73" s="13"/>
      <c r="U73" s="65" t="s">
        <v>25</v>
      </c>
      <c r="V73" s="40" t="str">
        <f ca="1">'Endrunde 4'!$I21</f>
        <v/>
      </c>
      <c r="W73" s="13" t="str">
        <f ca="1">'Endrunde 4'!$K21</f>
        <v/>
      </c>
      <c r="X73" s="13" t="str">
        <f ca="1">IF(AND($AA73=1,'Endrunde 4'!$L21&lt;&gt;"",'Endrunde 4'!$N21&lt;&gt;"",ABS('Endrunde 4'!$L21-'Endrunde 4'!$N21)&gt;1),'Endrunde 4'!$L21,"")</f>
        <v/>
      </c>
      <c r="Y73" s="35" t="str">
        <f ca="1">IF(AND($AA73=1,'Endrunde 4'!$L21&lt;&gt;"",'Endrunde 4'!$N21&lt;&gt;"",ABS('Endrunde 4'!$L21-'Endrunde 4'!$N21)&gt;1),'Endrunde 4'!$N21,"")</f>
        <v/>
      </c>
      <c r="Z73" s="34" t="str">
        <f t="shared" ca="1" si="42"/>
        <v/>
      </c>
      <c r="AA73" s="13">
        <f ca="1">IF(AND(V73&lt;&gt;"",W73&lt;&gt;"",V73&lt;&gt;W73,'Endrunde 4'!$U21&lt;&gt;"",'Endrunde 4'!$W21&lt;&gt;""),1,0)</f>
        <v>0</v>
      </c>
      <c r="AB73" s="13" t="str">
        <f ca="1">IF(AA73&gt;0,AH73&amp;Sprache!$E$108&amp;AI73,"")</f>
        <v/>
      </c>
      <c r="AC73" s="35" t="str">
        <f ca="1">IF(AA73&gt;0,AJ73&amp;Sprache!$E$108&amp;AK73,"")</f>
        <v/>
      </c>
      <c r="AD73" s="40" t="str">
        <f ca="1">IF(AND($AA73=1,'Endrunde 4'!$O21&lt;&gt;"",'Endrunde 4'!$Q21&lt;&gt;"",ABS('Endrunde 4'!$O21-'Endrunde 4'!$Q21)&gt;1),'Endrunde 4'!$O21,"")</f>
        <v/>
      </c>
      <c r="AE73" s="35" t="str">
        <f ca="1">IF(AND($AA73=1,'Endrunde 4'!$O21&lt;&gt;"",'Endrunde 4'!$Q21&lt;&gt;"",ABS('Endrunde 4'!$O21-'Endrunde 4'!$Q21)&gt;1),'Endrunde 4'!$Q21,"")</f>
        <v/>
      </c>
      <c r="AF73" s="40" t="str">
        <f ca="1">IF(AND($AA73=1,'Endrunde 4'!$R21&lt;&gt;"",'Endrunde 4'!$T21&lt;&gt;"",ABS('Endrunde 4'!$R21-'Endrunde 4'!$T21)&gt;1),'Endrunde 4'!$R21,"")</f>
        <v/>
      </c>
      <c r="AG73" s="35" t="str">
        <f ca="1">IF(AND($AA73=1,'Endrunde 4'!$R21&lt;&gt;"",'Endrunde 4'!$T21&lt;&gt;"",ABS('Endrunde 4'!$R21-'Endrunde 4'!$T21)&gt;1),'Endrunde 4'!$T21,"")</f>
        <v/>
      </c>
      <c r="AH73" s="40" t="str">
        <f t="shared" ca="1" si="43"/>
        <v/>
      </c>
      <c r="AI73" s="35" t="str">
        <f t="shared" ca="1" si="44"/>
        <v/>
      </c>
      <c r="AJ73" s="40">
        <f ca="1">IF('Endrunde 4'!$U21="",0,'Endrunde 4'!$U21)</f>
        <v>0</v>
      </c>
      <c r="AK73" s="35">
        <f ca="1">IF('Endrunde 4'!$W21="",0,'Endrunde 4'!$W21)</f>
        <v>0</v>
      </c>
      <c r="AL73" s="13" t="str">
        <f ca="1">IF($AA73=0,"",IF($AJ73&gt;$AK73,Einstellungen!$C$4,IF($AJ73=$AK73,1,0)))</f>
        <v/>
      </c>
      <c r="AM73" s="35" t="str">
        <f ca="1">IF($AA73=0,"",IF($AJ73&lt;$AK73,Einstellungen!$C$4,IF($AJ73=$AK73,1,0)))</f>
        <v/>
      </c>
      <c r="AN73" s="13"/>
      <c r="AO73" s="13"/>
      <c r="AP73" s="13"/>
      <c r="AQ73" s="4"/>
    </row>
    <row r="74" spans="2:43" s="2" customFormat="1" x14ac:dyDescent="0.2">
      <c r="B74" s="4"/>
      <c r="C74" s="4"/>
      <c r="D74" s="4"/>
      <c r="E74" s="4"/>
      <c r="F74" s="13"/>
      <c r="G74" s="13"/>
      <c r="H74" s="13"/>
      <c r="I74" s="13"/>
      <c r="J74" s="13"/>
      <c r="K74" s="13"/>
      <c r="L74" s="13"/>
      <c r="M74" s="13"/>
      <c r="U74" s="65" t="s">
        <v>26</v>
      </c>
      <c r="V74" s="40" t="str">
        <f ca="1">'Endrunde 4'!$I22</f>
        <v>FC Barcelona</v>
      </c>
      <c r="W74" s="13" t="str">
        <f ca="1">'Endrunde 4'!$K22</f>
        <v/>
      </c>
      <c r="X74" s="13" t="str">
        <f ca="1">IF(AND($AA74=1,'Endrunde 4'!$L22&lt;&gt;"",'Endrunde 4'!$N22&lt;&gt;"",ABS('Endrunde 4'!$L22-'Endrunde 4'!$N22)&gt;1),'Endrunde 4'!$L22,"")</f>
        <v/>
      </c>
      <c r="Y74" s="35" t="str">
        <f ca="1">IF(AND($AA74=1,'Endrunde 4'!$L22&lt;&gt;"",'Endrunde 4'!$N22&lt;&gt;"",ABS('Endrunde 4'!$L22-'Endrunde 4'!$N22)&gt;1),'Endrunde 4'!$N22,"")</f>
        <v/>
      </c>
      <c r="Z74" s="34" t="str">
        <f t="shared" ca="1" si="42"/>
        <v>FC Barcelona</v>
      </c>
      <c r="AA74" s="13">
        <f ca="1">IF(AND(V74&lt;&gt;"",W74&lt;&gt;"",V74&lt;&gt;W74,'Endrunde 4'!$U22&lt;&gt;"",'Endrunde 4'!$W22&lt;&gt;""),1,0)</f>
        <v>0</v>
      </c>
      <c r="AB74" s="13" t="str">
        <f ca="1">IF(AA74&gt;0,AH74&amp;Sprache!$E$108&amp;AI74,"")</f>
        <v/>
      </c>
      <c r="AC74" s="35" t="str">
        <f ca="1">IF(AA74&gt;0,AJ74&amp;Sprache!$E$108&amp;AK74,"")</f>
        <v/>
      </c>
      <c r="AD74" s="40" t="str">
        <f ca="1">IF(AND($AA74=1,'Endrunde 4'!$O22&lt;&gt;"",'Endrunde 4'!$Q22&lt;&gt;"",ABS('Endrunde 4'!$O22-'Endrunde 4'!$Q22)&gt;1),'Endrunde 4'!$O22,"")</f>
        <v/>
      </c>
      <c r="AE74" s="35" t="str">
        <f ca="1">IF(AND($AA74=1,'Endrunde 4'!$O22&lt;&gt;"",'Endrunde 4'!$Q22&lt;&gt;"",ABS('Endrunde 4'!$O22-'Endrunde 4'!$Q22)&gt;1),'Endrunde 4'!$Q22,"")</f>
        <v/>
      </c>
      <c r="AF74" s="40" t="str">
        <f ca="1">IF(AND($AA74=1,'Endrunde 4'!$R22&lt;&gt;"",'Endrunde 4'!$T22&lt;&gt;"",ABS('Endrunde 4'!$R22-'Endrunde 4'!$T22)&gt;1),'Endrunde 4'!$R22,"")</f>
        <v/>
      </c>
      <c r="AG74" s="35" t="str">
        <f ca="1">IF(AND($AA74=1,'Endrunde 4'!$R22&lt;&gt;"",'Endrunde 4'!$T22&lt;&gt;"",ABS('Endrunde 4'!$R22-'Endrunde 4'!$T22)&gt;1),'Endrunde 4'!$T22,"")</f>
        <v/>
      </c>
      <c r="AH74" s="40" t="str">
        <f t="shared" ca="1" si="43"/>
        <v/>
      </c>
      <c r="AI74" s="35" t="str">
        <f t="shared" ca="1" si="44"/>
        <v/>
      </c>
      <c r="AJ74" s="40">
        <f ca="1">IF('Endrunde 4'!$U22="",0,'Endrunde 4'!$U22)</f>
        <v>0</v>
      </c>
      <c r="AK74" s="35">
        <f ca="1">IF('Endrunde 4'!$W22="",0,'Endrunde 4'!$W22)</f>
        <v>0</v>
      </c>
      <c r="AL74" s="13" t="str">
        <f ca="1">IF($AA74=0,"",IF($AJ74&gt;$AK74,Einstellungen!$C$4,IF($AJ74=$AK74,1,0)))</f>
        <v/>
      </c>
      <c r="AM74" s="35" t="str">
        <f ca="1">IF($AA74=0,"",IF($AJ74&lt;$AK74,Einstellungen!$C$4,IF($AJ74=$AK74,1,0)))</f>
        <v/>
      </c>
    </row>
    <row r="75" spans="2:43" s="2" customFormat="1" x14ac:dyDescent="0.2">
      <c r="B75" s="4"/>
      <c r="C75" s="4"/>
      <c r="D75" s="4"/>
      <c r="E75" s="4"/>
      <c r="F75" s="13"/>
      <c r="G75" s="13"/>
      <c r="H75" s="13"/>
      <c r="I75" s="13"/>
      <c r="J75" s="13"/>
      <c r="K75" s="13"/>
      <c r="L75" s="13"/>
      <c r="M75" s="13"/>
      <c r="U75" s="65" t="s">
        <v>27</v>
      </c>
      <c r="V75" s="40" t="str">
        <f ca="1">'Endrunde 4'!$I23</f>
        <v>VFB Essenheim</v>
      </c>
      <c r="W75" s="13" t="str">
        <f ca="1">'Endrunde 4'!$K23</f>
        <v>1. FC Riedwald</v>
      </c>
      <c r="X75" s="13">
        <f ca="1">IF(AND($AA75=1,'Endrunde 4'!$L23&lt;&gt;"",'Endrunde 4'!$N23&lt;&gt;"",ABS('Endrunde 4'!$L23-'Endrunde 4'!$N23)&gt;1),'Endrunde 4'!$L23,"")</f>
        <v>19</v>
      </c>
      <c r="Y75" s="35">
        <f ca="1">IF(AND($AA75=1,'Endrunde 4'!$L23&lt;&gt;"",'Endrunde 4'!$N23&lt;&gt;"",ABS('Endrunde 4'!$L23-'Endrunde 4'!$N23)&gt;1),'Endrunde 4'!$N23,"")</f>
        <v>25</v>
      </c>
      <c r="Z75" s="34" t="str">
        <f t="shared" ca="1" si="42"/>
        <v>VFB Essenheim1. FC Riedwald</v>
      </c>
      <c r="AA75" s="13">
        <f ca="1">IF(AND(V75&lt;&gt;"",W75&lt;&gt;"",V75&lt;&gt;W75,'Endrunde 4'!$U23&lt;&gt;"",'Endrunde 4'!$W23&lt;&gt;""),1,0)</f>
        <v>1</v>
      </c>
      <c r="AB75" s="13" t="str">
        <f ca="1">IF(AA75&gt;0,AH75&amp;Sprache!$E$108&amp;AI75,"")</f>
        <v>44 : 37</v>
      </c>
      <c r="AC75" s="35" t="str">
        <f ca="1">IF(AA75&gt;0,AJ75&amp;Sprache!$E$108&amp;AK75,"")</f>
        <v>1 : 1</v>
      </c>
      <c r="AD75" s="40">
        <f ca="1">IF(AND($AA75=1,'Endrunde 4'!$O23&lt;&gt;"",'Endrunde 4'!$Q23&lt;&gt;"",ABS('Endrunde 4'!$O23-'Endrunde 4'!$Q23)&gt;1),'Endrunde 4'!$O23,"")</f>
        <v>25</v>
      </c>
      <c r="AE75" s="35">
        <f ca="1">IF(AND($AA75=1,'Endrunde 4'!$O23&lt;&gt;"",'Endrunde 4'!$Q23&lt;&gt;"",ABS('Endrunde 4'!$O23-'Endrunde 4'!$Q23)&gt;1),'Endrunde 4'!$Q23,"")</f>
        <v>12</v>
      </c>
      <c r="AF75" s="40" t="str">
        <f ca="1">IF(AND($AA75=1,'Endrunde 4'!$R23&lt;&gt;"",'Endrunde 4'!$T23&lt;&gt;"",ABS('Endrunde 4'!$R23-'Endrunde 4'!$T23)&gt;1),'Endrunde 4'!$R23,"")</f>
        <v/>
      </c>
      <c r="AG75" s="35" t="str">
        <f ca="1">IF(AND($AA75=1,'Endrunde 4'!$R23&lt;&gt;"",'Endrunde 4'!$T23&lt;&gt;"",ABS('Endrunde 4'!$R23-'Endrunde 4'!$T23)&gt;1),'Endrunde 4'!$T23,"")</f>
        <v/>
      </c>
      <c r="AH75" s="40">
        <f t="shared" ca="1" si="43"/>
        <v>44</v>
      </c>
      <c r="AI75" s="35">
        <f t="shared" ca="1" si="44"/>
        <v>37</v>
      </c>
      <c r="AJ75" s="40">
        <f ca="1">IF('Endrunde 4'!$U23="",0,'Endrunde 4'!$U23)</f>
        <v>1</v>
      </c>
      <c r="AK75" s="35">
        <f ca="1">IF('Endrunde 4'!$W23="",0,'Endrunde 4'!$W23)</f>
        <v>1</v>
      </c>
      <c r="AL75" s="13">
        <f ca="1">IF($AA75=0,"",IF($AJ75&gt;$AK75,Einstellungen!$C$4,IF($AJ75=$AK75,1,0)))</f>
        <v>1</v>
      </c>
      <c r="AM75" s="35">
        <f ca="1">IF($AA75=0,"",IF($AJ75&lt;$AK75,Einstellungen!$C$4,IF($AJ75=$AK75,1,0)))</f>
        <v>1</v>
      </c>
    </row>
    <row r="76" spans="2:43" s="2" customFormat="1" x14ac:dyDescent="0.2">
      <c r="B76" s="4"/>
      <c r="C76" s="4"/>
      <c r="D76" s="4"/>
      <c r="E76" s="4"/>
      <c r="F76" s="13"/>
      <c r="G76" s="13"/>
      <c r="H76" s="13"/>
      <c r="I76" s="13"/>
      <c r="J76" s="13"/>
      <c r="K76" s="13"/>
      <c r="L76" s="13"/>
      <c r="M76" s="13"/>
      <c r="U76" s="65" t="s">
        <v>28</v>
      </c>
      <c r="V76" s="40" t="str">
        <f ca="1">'Endrunde 4'!$I24</f>
        <v>Eintracht Frankfurt</v>
      </c>
      <c r="W76" s="13" t="str">
        <f ca="1">'Endrunde 4'!$K24</f>
        <v>Maibach 1822 eV</v>
      </c>
      <c r="X76" s="13">
        <f ca="1">IF(AND($AA76=1,'Endrunde 4'!$L24&lt;&gt;"",'Endrunde 4'!$N24&lt;&gt;"",ABS('Endrunde 4'!$L24-'Endrunde 4'!$N24)&gt;1),'Endrunde 4'!$L24,"")</f>
        <v>13</v>
      </c>
      <c r="Y76" s="35">
        <f ca="1">IF(AND($AA76=1,'Endrunde 4'!$L24&lt;&gt;"",'Endrunde 4'!$N24&lt;&gt;"",ABS('Endrunde 4'!$L24-'Endrunde 4'!$N24)&gt;1),'Endrunde 4'!$N24,"")</f>
        <v>25</v>
      </c>
      <c r="Z76" s="34" t="str">
        <f t="shared" ca="1" si="42"/>
        <v>Eintracht FrankfurtMaibach 1822 eV</v>
      </c>
      <c r="AA76" s="13">
        <f ca="1">IF(AND(V76&lt;&gt;"",W76&lt;&gt;"",V76&lt;&gt;W76,'Endrunde 4'!$U24&lt;&gt;"",'Endrunde 4'!$W24&lt;&gt;""),1,0)</f>
        <v>1</v>
      </c>
      <c r="AB76" s="13" t="str">
        <f ca="1">IF(AA76&gt;0,AH76&amp;Sprache!$E$108&amp;AI76,"")</f>
        <v>31 : 50</v>
      </c>
      <c r="AC76" s="35" t="str">
        <f ca="1">IF(AA76&gt;0,AJ76&amp;Sprache!$E$108&amp;AK76,"")</f>
        <v>0 : 2</v>
      </c>
      <c r="AD76" s="40">
        <f ca="1">IF(AND($AA76=1,'Endrunde 4'!$O24&lt;&gt;"",'Endrunde 4'!$Q24&lt;&gt;"",ABS('Endrunde 4'!$O24-'Endrunde 4'!$Q24)&gt;1),'Endrunde 4'!$O24,"")</f>
        <v>18</v>
      </c>
      <c r="AE76" s="35">
        <f ca="1">IF(AND($AA76=1,'Endrunde 4'!$O24&lt;&gt;"",'Endrunde 4'!$Q24&lt;&gt;"",ABS('Endrunde 4'!$O24-'Endrunde 4'!$Q24)&gt;1),'Endrunde 4'!$Q24,"")</f>
        <v>25</v>
      </c>
      <c r="AF76" s="40" t="str">
        <f ca="1">IF(AND($AA76=1,'Endrunde 4'!$R24&lt;&gt;"",'Endrunde 4'!$T24&lt;&gt;"",ABS('Endrunde 4'!$R24-'Endrunde 4'!$T24)&gt;1),'Endrunde 4'!$R24,"")</f>
        <v/>
      </c>
      <c r="AG76" s="35" t="str">
        <f ca="1">IF(AND($AA76=1,'Endrunde 4'!$R24&lt;&gt;"",'Endrunde 4'!$T24&lt;&gt;"",ABS('Endrunde 4'!$R24-'Endrunde 4'!$T24)&gt;1),'Endrunde 4'!$T24,"")</f>
        <v/>
      </c>
      <c r="AH76" s="40">
        <f t="shared" ca="1" si="43"/>
        <v>31</v>
      </c>
      <c r="AI76" s="35">
        <f t="shared" ca="1" si="44"/>
        <v>50</v>
      </c>
      <c r="AJ76" s="40">
        <f ca="1">IF('Endrunde 4'!$U24="",0,'Endrunde 4'!$U24)</f>
        <v>0</v>
      </c>
      <c r="AK76" s="35">
        <f ca="1">IF('Endrunde 4'!$W24="",0,'Endrunde 4'!$W24)</f>
        <v>2</v>
      </c>
      <c r="AL76" s="13">
        <f ca="1">IF($AA76=0,"",IF($AJ76&gt;$AK76,Einstellungen!$C$4,IF($AJ76=$AK76,1,0)))</f>
        <v>0</v>
      </c>
      <c r="AM76" s="35">
        <f ca="1">IF($AA76=0,"",IF($AJ76&lt;$AK76,Einstellungen!$C$4,IF($AJ76=$AK76,1,0)))</f>
        <v>2</v>
      </c>
    </row>
    <row r="77" spans="2:43" s="2" customFormat="1" x14ac:dyDescent="0.2">
      <c r="B77" s="4"/>
      <c r="C77" s="4"/>
      <c r="D77" s="4"/>
      <c r="E77" s="4"/>
      <c r="F77" s="13"/>
      <c r="G77" s="13"/>
      <c r="H77" s="13"/>
      <c r="I77" s="13"/>
      <c r="J77" s="13"/>
      <c r="K77" s="13"/>
      <c r="L77" s="13"/>
      <c r="M77" s="13"/>
      <c r="U77" s="65" t="s">
        <v>29</v>
      </c>
      <c r="V77" s="40" t="str">
        <f ca="1">'Endrunde 4'!$I25</f>
        <v/>
      </c>
      <c r="W77" s="13" t="str">
        <f ca="1">'Endrunde 4'!$K25</f>
        <v/>
      </c>
      <c r="X77" s="13" t="str">
        <f ca="1">IF(AND($AA77=1,'Endrunde 4'!$L25&lt;&gt;"",'Endrunde 4'!$N25&lt;&gt;"",ABS('Endrunde 4'!$L25-'Endrunde 4'!$N25)&gt;1),'Endrunde 4'!$L25,"")</f>
        <v/>
      </c>
      <c r="Y77" s="35" t="str">
        <f ca="1">IF(AND($AA77=1,'Endrunde 4'!$L25&lt;&gt;"",'Endrunde 4'!$N25&lt;&gt;"",ABS('Endrunde 4'!$L25-'Endrunde 4'!$N25)&gt;1),'Endrunde 4'!$N25,"")</f>
        <v/>
      </c>
      <c r="Z77" s="34" t="str">
        <f t="shared" ca="1" si="42"/>
        <v/>
      </c>
      <c r="AA77" s="13">
        <f ca="1">IF(AND(V77&lt;&gt;"",W77&lt;&gt;"",V77&lt;&gt;W77,'Endrunde 4'!$U25&lt;&gt;"",'Endrunde 4'!$W25&lt;&gt;""),1,0)</f>
        <v>0</v>
      </c>
      <c r="AB77" s="13" t="str">
        <f ca="1">IF(AA77&gt;0,AH77&amp;Sprache!$E$108&amp;AI77,"")</f>
        <v/>
      </c>
      <c r="AC77" s="35" t="str">
        <f ca="1">IF(AA77&gt;0,AJ77&amp;Sprache!$E$108&amp;AK77,"")</f>
        <v/>
      </c>
      <c r="AD77" s="40" t="str">
        <f ca="1">IF(AND($AA77=1,'Endrunde 4'!$O25&lt;&gt;"",'Endrunde 4'!$Q25&lt;&gt;"",ABS('Endrunde 4'!$O25-'Endrunde 4'!$Q25)&gt;1),'Endrunde 4'!$O25,"")</f>
        <v/>
      </c>
      <c r="AE77" s="35" t="str">
        <f ca="1">IF(AND($AA77=1,'Endrunde 4'!$O25&lt;&gt;"",'Endrunde 4'!$Q25&lt;&gt;"",ABS('Endrunde 4'!$O25-'Endrunde 4'!$Q25)&gt;1),'Endrunde 4'!$Q25,"")</f>
        <v/>
      </c>
      <c r="AF77" s="40" t="str">
        <f ca="1">IF(AND($AA77=1,'Endrunde 4'!$R25&lt;&gt;"",'Endrunde 4'!$T25&lt;&gt;"",ABS('Endrunde 4'!$R25-'Endrunde 4'!$T25)&gt;1),'Endrunde 4'!$R25,"")</f>
        <v/>
      </c>
      <c r="AG77" s="35" t="str">
        <f ca="1">IF(AND($AA77=1,'Endrunde 4'!$R25&lt;&gt;"",'Endrunde 4'!$T25&lt;&gt;"",ABS('Endrunde 4'!$R25-'Endrunde 4'!$T25)&gt;1),'Endrunde 4'!$T25,"")</f>
        <v/>
      </c>
      <c r="AH77" s="40" t="str">
        <f t="shared" ca="1" si="43"/>
        <v/>
      </c>
      <c r="AI77" s="35" t="str">
        <f t="shared" ca="1" si="44"/>
        <v/>
      </c>
      <c r="AJ77" s="40">
        <f ca="1">IF('Endrunde 4'!$U25="",0,'Endrunde 4'!$U25)</f>
        <v>0</v>
      </c>
      <c r="AK77" s="35">
        <f ca="1">IF('Endrunde 4'!$W25="",0,'Endrunde 4'!$W25)</f>
        <v>0</v>
      </c>
      <c r="AL77" s="13" t="str">
        <f ca="1">IF($AA77=0,"",IF($AJ77&gt;$AK77,Einstellungen!$C$4,IF($AJ77=$AK77,1,0)))</f>
        <v/>
      </c>
      <c r="AM77" s="35" t="str">
        <f ca="1">IF($AA77=0,"",IF($AJ77&lt;$AK77,Einstellungen!$C$4,IF($AJ77=$AK77,1,0)))</f>
        <v/>
      </c>
    </row>
    <row r="78" spans="2:43" s="2" customFormat="1" x14ac:dyDescent="0.2">
      <c r="B78" s="4"/>
      <c r="C78" s="4"/>
      <c r="D78" s="4"/>
      <c r="E78" s="4"/>
      <c r="F78" s="13"/>
      <c r="G78" s="13"/>
      <c r="H78" s="13"/>
      <c r="I78" s="13"/>
      <c r="J78" s="13"/>
      <c r="K78" s="13"/>
      <c r="L78" s="13"/>
      <c r="M78" s="13"/>
      <c r="U78" s="65" t="s">
        <v>30</v>
      </c>
      <c r="V78" s="40" t="str">
        <f ca="1">'Endrunde 4'!$I26</f>
        <v>Inter Mailand</v>
      </c>
      <c r="W78" s="13" t="str">
        <f ca="1">'Endrunde 4'!$K26</f>
        <v/>
      </c>
      <c r="X78" s="13" t="str">
        <f ca="1">IF(AND($AA78=1,'Endrunde 4'!$L26&lt;&gt;"",'Endrunde 4'!$N26&lt;&gt;"",ABS('Endrunde 4'!$L26-'Endrunde 4'!$N26)&gt;1),'Endrunde 4'!$L26,"")</f>
        <v/>
      </c>
      <c r="Y78" s="35" t="str">
        <f ca="1">IF(AND($AA78=1,'Endrunde 4'!$L26&lt;&gt;"",'Endrunde 4'!$N26&lt;&gt;"",ABS('Endrunde 4'!$L26-'Endrunde 4'!$N26)&gt;1),'Endrunde 4'!$N26,"")</f>
        <v/>
      </c>
      <c r="Z78" s="34" t="str">
        <f t="shared" ca="1" si="42"/>
        <v>Inter Mailand</v>
      </c>
      <c r="AA78" s="13">
        <f ca="1">IF(AND(V78&lt;&gt;"",W78&lt;&gt;"",V78&lt;&gt;W78,'Endrunde 4'!$U26&lt;&gt;"",'Endrunde 4'!$W26&lt;&gt;""),1,0)</f>
        <v>0</v>
      </c>
      <c r="AB78" s="13" t="str">
        <f ca="1">IF(AA78&gt;0,AH78&amp;Sprache!$E$108&amp;AI78,"")</f>
        <v/>
      </c>
      <c r="AC78" s="35" t="str">
        <f ca="1">IF(AA78&gt;0,AJ78&amp;Sprache!$E$108&amp;AK78,"")</f>
        <v/>
      </c>
      <c r="AD78" s="40" t="str">
        <f ca="1">IF(AND($AA78=1,'Endrunde 4'!$O26&lt;&gt;"",'Endrunde 4'!$Q26&lt;&gt;"",ABS('Endrunde 4'!$O26-'Endrunde 4'!$Q26)&gt;1),'Endrunde 4'!$O26,"")</f>
        <v/>
      </c>
      <c r="AE78" s="35" t="str">
        <f ca="1">IF(AND($AA78=1,'Endrunde 4'!$O26&lt;&gt;"",'Endrunde 4'!$Q26&lt;&gt;"",ABS('Endrunde 4'!$O26-'Endrunde 4'!$Q26)&gt;1),'Endrunde 4'!$Q26,"")</f>
        <v/>
      </c>
      <c r="AF78" s="40" t="str">
        <f ca="1">IF(AND($AA78=1,'Endrunde 4'!$R26&lt;&gt;"",'Endrunde 4'!$T26&lt;&gt;"",ABS('Endrunde 4'!$R26-'Endrunde 4'!$T26)&gt;1),'Endrunde 4'!$R26,"")</f>
        <v/>
      </c>
      <c r="AG78" s="35" t="str">
        <f ca="1">IF(AND($AA78=1,'Endrunde 4'!$R26&lt;&gt;"",'Endrunde 4'!$T26&lt;&gt;"",ABS('Endrunde 4'!$R26-'Endrunde 4'!$T26)&gt;1),'Endrunde 4'!$T26,"")</f>
        <v/>
      </c>
      <c r="AH78" s="40" t="str">
        <f t="shared" ca="1" si="43"/>
        <v/>
      </c>
      <c r="AI78" s="35" t="str">
        <f t="shared" ca="1" si="44"/>
        <v/>
      </c>
      <c r="AJ78" s="40">
        <f ca="1">IF('Endrunde 4'!$U26="",0,'Endrunde 4'!$U26)</f>
        <v>0</v>
      </c>
      <c r="AK78" s="35">
        <f ca="1">IF('Endrunde 4'!$W26="",0,'Endrunde 4'!$W26)</f>
        <v>0</v>
      </c>
      <c r="AL78" s="13" t="str">
        <f ca="1">IF($AA78=0,"",IF($AJ78&gt;$AK78,Einstellungen!$C$4,IF($AJ78=$AK78,1,0)))</f>
        <v/>
      </c>
      <c r="AM78" s="35" t="str">
        <f ca="1">IF($AA78=0,"",IF($AJ78&lt;$AK78,Einstellungen!$C$4,IF($AJ78=$AK78,1,0)))</f>
        <v/>
      </c>
    </row>
    <row r="79" spans="2:43" s="2" customFormat="1" x14ac:dyDescent="0.2">
      <c r="B79" s="4"/>
      <c r="C79" s="4"/>
      <c r="D79" s="4"/>
      <c r="E79" s="4"/>
      <c r="F79" s="13"/>
      <c r="G79" s="13"/>
      <c r="H79" s="13"/>
      <c r="I79" s="13"/>
      <c r="J79" s="13"/>
      <c r="K79" s="13"/>
      <c r="L79" s="13"/>
      <c r="M79" s="13"/>
      <c r="U79" s="65" t="s">
        <v>31</v>
      </c>
      <c r="V79" s="40" t="str">
        <f ca="1">'Endrunde 4'!$I27</f>
        <v>FC Grönlingen</v>
      </c>
      <c r="W79" s="13" t="str">
        <f ca="1">'Endrunde 4'!$K27</f>
        <v>SSV Wildbach</v>
      </c>
      <c r="X79" s="13">
        <f ca="1">IF(AND($AA79=1,'Endrunde 4'!$L27&lt;&gt;"",'Endrunde 4'!$N27&lt;&gt;"",ABS('Endrunde 4'!$L27-'Endrunde 4'!$N27)&gt;1),'Endrunde 4'!$L27,"")</f>
        <v>22</v>
      </c>
      <c r="Y79" s="35">
        <f ca="1">IF(AND($AA79=1,'Endrunde 4'!$L27&lt;&gt;"",'Endrunde 4'!$N27&lt;&gt;"",ABS('Endrunde 4'!$L27-'Endrunde 4'!$N27)&gt;1),'Endrunde 4'!$N27,"")</f>
        <v>25</v>
      </c>
      <c r="Z79" s="34" t="str">
        <f t="shared" ca="1" si="42"/>
        <v>FC GrönlingenSSV Wildbach</v>
      </c>
      <c r="AA79" s="13">
        <f ca="1">IF(AND(V79&lt;&gt;"",W79&lt;&gt;"",V79&lt;&gt;W79,'Endrunde 4'!$U27&lt;&gt;"",'Endrunde 4'!$W27&lt;&gt;""),1,0)</f>
        <v>1</v>
      </c>
      <c r="AB79" s="13" t="str">
        <f ca="1">IF(AA79&gt;0,AH79&amp;Sprache!$E$108&amp;AI79,"")</f>
        <v>47 : 45</v>
      </c>
      <c r="AC79" s="35" t="str">
        <f ca="1">IF(AA79&gt;0,AJ79&amp;Sprache!$E$108&amp;AK79,"")</f>
        <v>1 : 1</v>
      </c>
      <c r="AD79" s="40">
        <f ca="1">IF(AND($AA79=1,'Endrunde 4'!$O27&lt;&gt;"",'Endrunde 4'!$Q27&lt;&gt;"",ABS('Endrunde 4'!$O27-'Endrunde 4'!$Q27)&gt;1),'Endrunde 4'!$O27,"")</f>
        <v>25</v>
      </c>
      <c r="AE79" s="35">
        <f ca="1">IF(AND($AA79=1,'Endrunde 4'!$O27&lt;&gt;"",'Endrunde 4'!$Q27&lt;&gt;"",ABS('Endrunde 4'!$O27-'Endrunde 4'!$Q27)&gt;1),'Endrunde 4'!$Q27,"")</f>
        <v>20</v>
      </c>
      <c r="AF79" s="40" t="str">
        <f ca="1">IF(AND($AA79=1,'Endrunde 4'!$R27&lt;&gt;"",'Endrunde 4'!$T27&lt;&gt;"",ABS('Endrunde 4'!$R27-'Endrunde 4'!$T27)&gt;1),'Endrunde 4'!$R27,"")</f>
        <v/>
      </c>
      <c r="AG79" s="35" t="str">
        <f ca="1">IF(AND($AA79=1,'Endrunde 4'!$R27&lt;&gt;"",'Endrunde 4'!$T27&lt;&gt;"",ABS('Endrunde 4'!$R27-'Endrunde 4'!$T27)&gt;1),'Endrunde 4'!$T27,"")</f>
        <v/>
      </c>
      <c r="AH79" s="40">
        <f t="shared" ca="1" si="43"/>
        <v>47</v>
      </c>
      <c r="AI79" s="35">
        <f t="shared" ca="1" si="44"/>
        <v>45</v>
      </c>
      <c r="AJ79" s="40">
        <f ca="1">IF('Endrunde 4'!$U27="",0,'Endrunde 4'!$U27)</f>
        <v>1</v>
      </c>
      <c r="AK79" s="35">
        <f ca="1">IF('Endrunde 4'!$W27="",0,'Endrunde 4'!$W27)</f>
        <v>1</v>
      </c>
      <c r="AL79" s="13">
        <f ca="1">IF($AA79=0,"",IF($AJ79&gt;$AK79,Einstellungen!$C$4,IF($AJ79=$AK79,1,0)))</f>
        <v>1</v>
      </c>
      <c r="AM79" s="35">
        <f ca="1">IF($AA79=0,"",IF($AJ79&lt;$AK79,Einstellungen!$C$4,IF($AJ79=$AK79,1,0)))</f>
        <v>1</v>
      </c>
    </row>
    <row r="80" spans="2:43" s="2" customFormat="1" x14ac:dyDescent="0.2">
      <c r="B80" s="4"/>
      <c r="C80" s="4"/>
      <c r="D80" s="4"/>
      <c r="E80" s="4"/>
      <c r="F80" s="13"/>
      <c r="G80" s="13"/>
      <c r="H80" s="13"/>
      <c r="I80" s="13"/>
      <c r="J80" s="13"/>
      <c r="K80" s="13"/>
      <c r="L80" s="13"/>
      <c r="M80" s="13"/>
      <c r="U80" s="65" t="s">
        <v>32</v>
      </c>
      <c r="V80" s="40" t="str">
        <f ca="1">'Endrunde 4'!$I28</f>
        <v>Mainz 05</v>
      </c>
      <c r="W80" s="13" t="str">
        <f ca="1">'Endrunde 4'!$K28</f>
        <v>Manchester City</v>
      </c>
      <c r="X80" s="13">
        <f ca="1">IF(AND($AA80=1,'Endrunde 4'!$L28&lt;&gt;"",'Endrunde 4'!$N28&lt;&gt;"",ABS('Endrunde 4'!$L28-'Endrunde 4'!$N28)&gt;1),'Endrunde 4'!$L28,"")</f>
        <v>19</v>
      </c>
      <c r="Y80" s="35">
        <f ca="1">IF(AND($AA80=1,'Endrunde 4'!$L28&lt;&gt;"",'Endrunde 4'!$N28&lt;&gt;"",ABS('Endrunde 4'!$L28-'Endrunde 4'!$N28)&gt;1),'Endrunde 4'!$N28,"")</f>
        <v>25</v>
      </c>
      <c r="Z80" s="34" t="str">
        <f t="shared" ca="1" si="42"/>
        <v>Mainz 05Manchester City</v>
      </c>
      <c r="AA80" s="13">
        <f ca="1">IF(AND(V80&lt;&gt;"",W80&lt;&gt;"",V80&lt;&gt;W80,'Endrunde 4'!$U28&lt;&gt;"",'Endrunde 4'!$W28&lt;&gt;""),1,0)</f>
        <v>1</v>
      </c>
      <c r="AB80" s="13" t="str">
        <f ca="1">IF(AA80&gt;0,AH80&amp;Sprache!$E$108&amp;AI80,"")</f>
        <v>44 : 44</v>
      </c>
      <c r="AC80" s="35" t="str">
        <f ca="1">IF(AA80&gt;0,AJ80&amp;Sprache!$E$108&amp;AK80,"")</f>
        <v>1 : 1</v>
      </c>
      <c r="AD80" s="40">
        <f ca="1">IF(AND($AA80=1,'Endrunde 4'!$O28&lt;&gt;"",'Endrunde 4'!$Q28&lt;&gt;"",ABS('Endrunde 4'!$O28-'Endrunde 4'!$Q28)&gt;1),'Endrunde 4'!$O28,"")</f>
        <v>25</v>
      </c>
      <c r="AE80" s="35">
        <f ca="1">IF(AND($AA80=1,'Endrunde 4'!$O28&lt;&gt;"",'Endrunde 4'!$Q28&lt;&gt;"",ABS('Endrunde 4'!$O28-'Endrunde 4'!$Q28)&gt;1),'Endrunde 4'!$Q28,"")</f>
        <v>19</v>
      </c>
      <c r="AF80" s="40" t="str">
        <f ca="1">IF(AND($AA80=1,'Endrunde 4'!$R28&lt;&gt;"",'Endrunde 4'!$T28&lt;&gt;"",ABS('Endrunde 4'!$R28-'Endrunde 4'!$T28)&gt;1),'Endrunde 4'!$R28,"")</f>
        <v/>
      </c>
      <c r="AG80" s="35" t="str">
        <f ca="1">IF(AND($AA80=1,'Endrunde 4'!$R28&lt;&gt;"",'Endrunde 4'!$T28&lt;&gt;"",ABS('Endrunde 4'!$R28-'Endrunde 4'!$T28)&gt;1),'Endrunde 4'!$T28,"")</f>
        <v/>
      </c>
      <c r="AH80" s="40">
        <f t="shared" ca="1" si="43"/>
        <v>44</v>
      </c>
      <c r="AI80" s="35">
        <f t="shared" ca="1" si="44"/>
        <v>44</v>
      </c>
      <c r="AJ80" s="40">
        <f ca="1">IF('Endrunde 4'!$U28="",0,'Endrunde 4'!$U28)</f>
        <v>1</v>
      </c>
      <c r="AK80" s="35">
        <f ca="1">IF('Endrunde 4'!$W28="",0,'Endrunde 4'!$W28)</f>
        <v>1</v>
      </c>
      <c r="AL80" s="13">
        <f ca="1">IF($AA80=0,"",IF($AJ80&gt;$AK80,Einstellungen!$C$4,IF($AJ80=$AK80,1,0)))</f>
        <v>1</v>
      </c>
      <c r="AM80" s="35">
        <f ca="1">IF($AA80=0,"",IF($AJ80&lt;$AK80,Einstellungen!$C$4,IF($AJ80=$AK80,1,0)))</f>
        <v>1</v>
      </c>
    </row>
    <row r="81" spans="2:39" s="2" customFormat="1" x14ac:dyDescent="0.2">
      <c r="B81" s="4"/>
      <c r="C81" s="4"/>
      <c r="D81" s="4"/>
      <c r="E81" s="4"/>
      <c r="F81" s="13"/>
      <c r="G81" s="13"/>
      <c r="H81" s="13"/>
      <c r="I81" s="13"/>
      <c r="J81" s="13"/>
      <c r="K81" s="13"/>
      <c r="L81" s="13"/>
      <c r="M81" s="13"/>
      <c r="U81" s="65" t="s">
        <v>33</v>
      </c>
      <c r="V81" s="40" t="str">
        <f ca="1">'Endrunde 4'!$I29</f>
        <v/>
      </c>
      <c r="W81" s="13" t="str">
        <f ca="1">'Endrunde 4'!$K29</f>
        <v/>
      </c>
      <c r="X81" s="13" t="str">
        <f ca="1">IF(AND($AA81=1,'Endrunde 4'!$L29&lt;&gt;"",'Endrunde 4'!$N29&lt;&gt;"",ABS('Endrunde 4'!$L29-'Endrunde 4'!$N29)&gt;1),'Endrunde 4'!$L29,"")</f>
        <v/>
      </c>
      <c r="Y81" s="35" t="str">
        <f ca="1">IF(AND($AA81=1,'Endrunde 4'!$L29&lt;&gt;"",'Endrunde 4'!$N29&lt;&gt;"",ABS('Endrunde 4'!$L29-'Endrunde 4'!$N29)&gt;1),'Endrunde 4'!$N29,"")</f>
        <v/>
      </c>
      <c r="Z81" s="34" t="str">
        <f t="shared" ca="1" si="42"/>
        <v/>
      </c>
      <c r="AA81" s="13">
        <f ca="1">IF(AND(V81&lt;&gt;"",W81&lt;&gt;"",V81&lt;&gt;W81,'Endrunde 4'!$U29&lt;&gt;"",'Endrunde 4'!$W29&lt;&gt;""),1,0)</f>
        <v>0</v>
      </c>
      <c r="AB81" s="13" t="str">
        <f ca="1">IF(AA81&gt;0,AH81&amp;Sprache!$E$108&amp;AI81,"")</f>
        <v/>
      </c>
      <c r="AC81" s="35" t="str">
        <f ca="1">IF(AA81&gt;0,AJ81&amp;Sprache!$E$108&amp;AK81,"")</f>
        <v/>
      </c>
      <c r="AD81" s="40" t="str">
        <f ca="1">IF(AND($AA81=1,'Endrunde 4'!$O29&lt;&gt;"",'Endrunde 4'!$Q29&lt;&gt;"",ABS('Endrunde 4'!$O29-'Endrunde 4'!$Q29)&gt;1),'Endrunde 4'!$O29,"")</f>
        <v/>
      </c>
      <c r="AE81" s="35" t="str">
        <f ca="1">IF(AND($AA81=1,'Endrunde 4'!$O29&lt;&gt;"",'Endrunde 4'!$Q29&lt;&gt;"",ABS('Endrunde 4'!$O29-'Endrunde 4'!$Q29)&gt;1),'Endrunde 4'!$Q29,"")</f>
        <v/>
      </c>
      <c r="AF81" s="40" t="str">
        <f ca="1">IF(AND($AA81=1,'Endrunde 4'!$R29&lt;&gt;"",'Endrunde 4'!$T29&lt;&gt;"",ABS('Endrunde 4'!$R29-'Endrunde 4'!$T29)&gt;1),'Endrunde 4'!$R29,"")</f>
        <v/>
      </c>
      <c r="AG81" s="35" t="str">
        <f ca="1">IF(AND($AA81=1,'Endrunde 4'!$R29&lt;&gt;"",'Endrunde 4'!$T29&lt;&gt;"",ABS('Endrunde 4'!$R29-'Endrunde 4'!$T29)&gt;1),'Endrunde 4'!$T29,"")</f>
        <v/>
      </c>
      <c r="AH81" s="40" t="str">
        <f t="shared" ca="1" si="43"/>
        <v/>
      </c>
      <c r="AI81" s="35" t="str">
        <f t="shared" ca="1" si="44"/>
        <v/>
      </c>
      <c r="AJ81" s="40">
        <f ca="1">IF('Endrunde 4'!$U29="",0,'Endrunde 4'!$U29)</f>
        <v>0</v>
      </c>
      <c r="AK81" s="35">
        <f ca="1">IF('Endrunde 4'!$W29="",0,'Endrunde 4'!$W29)</f>
        <v>0</v>
      </c>
      <c r="AL81" s="13" t="str">
        <f ca="1">IF($AA81=0,"",IF($AJ81&gt;$AK81,Einstellungen!$C$4,IF($AJ81=$AK81,1,0)))</f>
        <v/>
      </c>
      <c r="AM81" s="35" t="str">
        <f ca="1">IF($AA81=0,"",IF($AJ81&lt;$AK81,Einstellungen!$C$4,IF($AJ81=$AK81,1,0)))</f>
        <v/>
      </c>
    </row>
    <row r="82" spans="2:39" s="2" customFormat="1" x14ac:dyDescent="0.2">
      <c r="B82" s="4"/>
      <c r="C82" s="4"/>
      <c r="D82" s="4"/>
      <c r="E82" s="4"/>
      <c r="F82" s="13"/>
      <c r="G82" s="13"/>
      <c r="H82" s="13"/>
      <c r="I82" s="13"/>
      <c r="J82" s="13"/>
      <c r="K82" s="13"/>
      <c r="L82" s="13"/>
      <c r="M82" s="13"/>
      <c r="U82" s="65" t="s">
        <v>34</v>
      </c>
      <c r="V82" s="40" t="str">
        <f ca="1">'Endrunde 4'!$I30</f>
        <v/>
      </c>
      <c r="W82" s="13" t="str">
        <f ca="1">'Endrunde 4'!$K30</f>
        <v/>
      </c>
      <c r="X82" s="13" t="str">
        <f ca="1">IF(AND($AA82=1,'Endrunde 4'!$L30&lt;&gt;"",'Endrunde 4'!$N30&lt;&gt;"",ABS('Endrunde 4'!$L30-'Endrunde 4'!$N30)&gt;1),'Endrunde 4'!$L30,"")</f>
        <v/>
      </c>
      <c r="Y82" s="35" t="str">
        <f ca="1">IF(AND($AA82=1,'Endrunde 4'!$L30&lt;&gt;"",'Endrunde 4'!$N30&lt;&gt;"",ABS('Endrunde 4'!$L30-'Endrunde 4'!$N30)&gt;1),'Endrunde 4'!$N30,"")</f>
        <v/>
      </c>
      <c r="Z82" s="34" t="str">
        <f t="shared" ca="1" si="42"/>
        <v/>
      </c>
      <c r="AA82" s="13">
        <f ca="1">IF(AND(V82&lt;&gt;"",W82&lt;&gt;"",V82&lt;&gt;W82,'Endrunde 4'!$U30&lt;&gt;"",'Endrunde 4'!$W30&lt;&gt;""),1,0)</f>
        <v>0</v>
      </c>
      <c r="AB82" s="13" t="str">
        <f ca="1">IF(AA82&gt;0,AH82&amp;Sprache!$E$108&amp;AI82,"")</f>
        <v/>
      </c>
      <c r="AC82" s="35" t="str">
        <f ca="1">IF(AA82&gt;0,AJ82&amp;Sprache!$E$108&amp;AK82,"")</f>
        <v/>
      </c>
      <c r="AD82" s="40" t="str">
        <f ca="1">IF(AND($AA82=1,'Endrunde 4'!$O30&lt;&gt;"",'Endrunde 4'!$Q30&lt;&gt;"",ABS('Endrunde 4'!$O30-'Endrunde 4'!$Q30)&gt;1),'Endrunde 4'!$O30,"")</f>
        <v/>
      </c>
      <c r="AE82" s="35" t="str">
        <f ca="1">IF(AND($AA82=1,'Endrunde 4'!$O30&lt;&gt;"",'Endrunde 4'!$Q30&lt;&gt;"",ABS('Endrunde 4'!$O30-'Endrunde 4'!$Q30)&gt;1),'Endrunde 4'!$Q30,"")</f>
        <v/>
      </c>
      <c r="AF82" s="40" t="str">
        <f ca="1">IF(AND($AA82=1,'Endrunde 4'!$R30&lt;&gt;"",'Endrunde 4'!$T30&lt;&gt;"",ABS('Endrunde 4'!$R30-'Endrunde 4'!$T30)&gt;1),'Endrunde 4'!$R30,"")</f>
        <v/>
      </c>
      <c r="AG82" s="35" t="str">
        <f ca="1">IF(AND($AA82=1,'Endrunde 4'!$R30&lt;&gt;"",'Endrunde 4'!$T30&lt;&gt;"",ABS('Endrunde 4'!$R30-'Endrunde 4'!$T30)&gt;1),'Endrunde 4'!$T30,"")</f>
        <v/>
      </c>
      <c r="AH82" s="40" t="str">
        <f t="shared" ca="1" si="43"/>
        <v/>
      </c>
      <c r="AI82" s="35" t="str">
        <f t="shared" ca="1" si="44"/>
        <v/>
      </c>
      <c r="AJ82" s="40">
        <f ca="1">IF('Endrunde 4'!$U30="",0,'Endrunde 4'!$U30)</f>
        <v>0</v>
      </c>
      <c r="AK82" s="35">
        <f ca="1">IF('Endrunde 4'!$W30="",0,'Endrunde 4'!$W30)</f>
        <v>0</v>
      </c>
      <c r="AL82" s="13" t="str">
        <f ca="1">IF($AA82=0,"",IF($AJ82&gt;$AK82,Einstellungen!$C$4,IF($AJ82=$AK82,1,0)))</f>
        <v/>
      </c>
      <c r="AM82" s="35" t="str">
        <f ca="1">IF($AA82=0,"",IF($AJ82&lt;$AK82,Einstellungen!$C$4,IF($AJ82=$AK82,1,0)))</f>
        <v/>
      </c>
    </row>
    <row r="83" spans="2:39" s="2" customFormat="1" x14ac:dyDescent="0.2">
      <c r="B83" s="4"/>
      <c r="C83" s="4"/>
      <c r="D83" s="4"/>
      <c r="E83" s="4"/>
      <c r="F83" s="13"/>
      <c r="G83" s="13"/>
      <c r="H83" s="13"/>
      <c r="I83" s="13"/>
      <c r="J83" s="13"/>
      <c r="K83" s="13"/>
      <c r="L83" s="13"/>
      <c r="M83" s="13"/>
      <c r="U83" s="65" t="s">
        <v>35</v>
      </c>
      <c r="V83" s="40" t="str">
        <f ca="1">'Endrunde 4'!$I31</f>
        <v>1. FC Riedwald</v>
      </c>
      <c r="W83" s="13" t="str">
        <f ca="1">'Endrunde 4'!$K31</f>
        <v>SSV Wildbach</v>
      </c>
      <c r="X83" s="13">
        <f ca="1">IF(AND($AA83=1,'Endrunde 4'!$L31&lt;&gt;"",'Endrunde 4'!$N31&lt;&gt;"",ABS('Endrunde 4'!$L31-'Endrunde 4'!$N31)&gt;1),'Endrunde 4'!$L31,"")</f>
        <v>14</v>
      </c>
      <c r="Y83" s="35">
        <f ca="1">IF(AND($AA83=1,'Endrunde 4'!$L31&lt;&gt;"",'Endrunde 4'!$N31&lt;&gt;"",ABS('Endrunde 4'!$L31-'Endrunde 4'!$N31)&gt;1),'Endrunde 4'!$N31,"")</f>
        <v>25</v>
      </c>
      <c r="Z83" s="34" t="str">
        <f t="shared" ca="1" si="42"/>
        <v>1. FC RiedwaldSSV Wildbach</v>
      </c>
      <c r="AA83" s="13">
        <f ca="1">IF(AND(V83&lt;&gt;"",W83&lt;&gt;"",V83&lt;&gt;W83,'Endrunde 4'!$U31&lt;&gt;"",'Endrunde 4'!$W31&lt;&gt;""),1,0)</f>
        <v>1</v>
      </c>
      <c r="AB83" s="13" t="str">
        <f ca="1">IF(AA83&gt;0,AH83&amp;Sprache!$E$108&amp;AI83,"")</f>
        <v>39 : 48</v>
      </c>
      <c r="AC83" s="35" t="str">
        <f ca="1">IF(AA83&gt;0,AJ83&amp;Sprache!$E$108&amp;AK83,"")</f>
        <v>1 : 1</v>
      </c>
      <c r="AD83" s="40">
        <f ca="1">IF(AND($AA83=1,'Endrunde 4'!$O31&lt;&gt;"",'Endrunde 4'!$Q31&lt;&gt;"",ABS('Endrunde 4'!$O31-'Endrunde 4'!$Q31)&gt;1),'Endrunde 4'!$O31,"")</f>
        <v>25</v>
      </c>
      <c r="AE83" s="35">
        <f ca="1">IF(AND($AA83=1,'Endrunde 4'!$O31&lt;&gt;"",'Endrunde 4'!$Q31&lt;&gt;"",ABS('Endrunde 4'!$O31-'Endrunde 4'!$Q31)&gt;1),'Endrunde 4'!$Q31,"")</f>
        <v>23</v>
      </c>
      <c r="AF83" s="40" t="str">
        <f ca="1">IF(AND($AA83=1,'Endrunde 4'!$R31&lt;&gt;"",'Endrunde 4'!$T31&lt;&gt;"",ABS('Endrunde 4'!$R31-'Endrunde 4'!$T31)&gt;1),'Endrunde 4'!$R31,"")</f>
        <v/>
      </c>
      <c r="AG83" s="35" t="str">
        <f ca="1">IF(AND($AA83=1,'Endrunde 4'!$R31&lt;&gt;"",'Endrunde 4'!$T31&lt;&gt;"",ABS('Endrunde 4'!$R31-'Endrunde 4'!$T31)&gt;1),'Endrunde 4'!$T31,"")</f>
        <v/>
      </c>
      <c r="AH83" s="40">
        <f t="shared" ca="1" si="43"/>
        <v>39</v>
      </c>
      <c r="AI83" s="35">
        <f t="shared" ca="1" si="44"/>
        <v>48</v>
      </c>
      <c r="AJ83" s="40">
        <f ca="1">IF('Endrunde 4'!$U31="",0,'Endrunde 4'!$U31)</f>
        <v>1</v>
      </c>
      <c r="AK83" s="35">
        <f ca="1">IF('Endrunde 4'!$W31="",0,'Endrunde 4'!$W31)</f>
        <v>1</v>
      </c>
      <c r="AL83" s="13">
        <f ca="1">IF($AA83=0,"",IF($AJ83&gt;$AK83,Einstellungen!$C$4,IF($AJ83=$AK83,1,0)))</f>
        <v>1</v>
      </c>
      <c r="AM83" s="35">
        <f ca="1">IF($AA83=0,"",IF($AJ83&lt;$AK83,Einstellungen!$C$4,IF($AJ83=$AK83,1,0)))</f>
        <v>1</v>
      </c>
    </row>
    <row r="84" spans="2:39" s="2" customFormat="1" x14ac:dyDescent="0.2">
      <c r="B84" s="4"/>
      <c r="C84" s="4"/>
      <c r="D84" s="4"/>
      <c r="E84" s="4"/>
      <c r="F84" s="13"/>
      <c r="G84" s="13"/>
      <c r="H84" s="13"/>
      <c r="I84" s="13"/>
      <c r="J84" s="13"/>
      <c r="K84" s="13"/>
      <c r="L84" s="13"/>
      <c r="M84" s="13"/>
      <c r="U84" s="65" t="s">
        <v>36</v>
      </c>
      <c r="V84" s="40" t="str">
        <f ca="1">'Endrunde 4'!$I32</f>
        <v>Maibach 1822 eV</v>
      </c>
      <c r="W84" s="13" t="str">
        <f ca="1">'Endrunde 4'!$K32</f>
        <v>Manchester City</v>
      </c>
      <c r="X84" s="13">
        <f ca="1">IF(AND($AA84=1,'Endrunde 4'!$L32&lt;&gt;"",'Endrunde 4'!$N32&lt;&gt;"",ABS('Endrunde 4'!$L32-'Endrunde 4'!$N32)&gt;1),'Endrunde 4'!$L32,"")</f>
        <v>21</v>
      </c>
      <c r="Y84" s="35">
        <f ca="1">IF(AND($AA84=1,'Endrunde 4'!$L32&lt;&gt;"",'Endrunde 4'!$N32&lt;&gt;"",ABS('Endrunde 4'!$L32-'Endrunde 4'!$N32)&gt;1),'Endrunde 4'!$N32,"")</f>
        <v>25</v>
      </c>
      <c r="Z84" s="34" t="str">
        <f t="shared" ca="1" si="42"/>
        <v>Maibach 1822 eVManchester City</v>
      </c>
      <c r="AA84" s="13">
        <f ca="1">IF(AND(V84&lt;&gt;"",W84&lt;&gt;"",V84&lt;&gt;W84,'Endrunde 4'!$U32&lt;&gt;"",'Endrunde 4'!$W32&lt;&gt;""),1,0)</f>
        <v>1</v>
      </c>
      <c r="AB84" s="13" t="str">
        <f ca="1">IF(AA84&gt;0,AH84&amp;Sprache!$E$108&amp;AI84,"")</f>
        <v>46 : 42</v>
      </c>
      <c r="AC84" s="35" t="str">
        <f ca="1">IF(AA84&gt;0,AJ84&amp;Sprache!$E$108&amp;AK84,"")</f>
        <v>1 : 1</v>
      </c>
      <c r="AD84" s="40">
        <f ca="1">IF(AND($AA84=1,'Endrunde 4'!$O32&lt;&gt;"",'Endrunde 4'!$Q32&lt;&gt;"",ABS('Endrunde 4'!$O32-'Endrunde 4'!$Q32)&gt;1),'Endrunde 4'!$O32,"")</f>
        <v>25</v>
      </c>
      <c r="AE84" s="35">
        <f ca="1">IF(AND($AA84=1,'Endrunde 4'!$O32&lt;&gt;"",'Endrunde 4'!$Q32&lt;&gt;"",ABS('Endrunde 4'!$O32-'Endrunde 4'!$Q32)&gt;1),'Endrunde 4'!$Q32,"")</f>
        <v>17</v>
      </c>
      <c r="AF84" s="40" t="str">
        <f ca="1">IF(AND($AA84=1,'Endrunde 4'!$R32&lt;&gt;"",'Endrunde 4'!$T32&lt;&gt;"",ABS('Endrunde 4'!$R32-'Endrunde 4'!$T32)&gt;1),'Endrunde 4'!$R32,"")</f>
        <v/>
      </c>
      <c r="AG84" s="35" t="str">
        <f ca="1">IF(AND($AA84=1,'Endrunde 4'!$R32&lt;&gt;"",'Endrunde 4'!$T32&lt;&gt;"",ABS('Endrunde 4'!$R32-'Endrunde 4'!$T32)&gt;1),'Endrunde 4'!$T32,"")</f>
        <v/>
      </c>
      <c r="AH84" s="40">
        <f t="shared" ca="1" si="43"/>
        <v>46</v>
      </c>
      <c r="AI84" s="35">
        <f t="shared" ca="1" si="44"/>
        <v>42</v>
      </c>
      <c r="AJ84" s="40">
        <f ca="1">IF('Endrunde 4'!$U32="",0,'Endrunde 4'!$U32)</f>
        <v>1</v>
      </c>
      <c r="AK84" s="35">
        <f ca="1">IF('Endrunde 4'!$W32="",0,'Endrunde 4'!$W32)</f>
        <v>1</v>
      </c>
      <c r="AL84" s="13">
        <f ca="1">IF($AA84=0,"",IF($AJ84&gt;$AK84,Einstellungen!$C$4,IF($AJ84=$AK84,1,0)))</f>
        <v>1</v>
      </c>
      <c r="AM84" s="35">
        <f ca="1">IF($AA84=0,"",IF($AJ84&lt;$AK84,Einstellungen!$C$4,IF($AJ84=$AK84,1,0)))</f>
        <v>1</v>
      </c>
    </row>
    <row r="85" spans="2:39" s="2" customFormat="1" x14ac:dyDescent="0.2">
      <c r="B85" s="4"/>
      <c r="C85" s="4"/>
      <c r="D85" s="4"/>
      <c r="E85" s="4"/>
      <c r="F85" s="13"/>
      <c r="G85" s="13"/>
      <c r="H85" s="13"/>
      <c r="I85" s="13"/>
      <c r="J85" s="13"/>
      <c r="K85" s="13"/>
      <c r="L85" s="13"/>
      <c r="M85" s="13"/>
      <c r="U85" s="65" t="s">
        <v>37</v>
      </c>
      <c r="V85" s="40" t="str">
        <f ca="1">'Endrunde 4'!$I33</f>
        <v/>
      </c>
      <c r="W85" s="13" t="str">
        <f ca="1">'Endrunde 4'!$K33</f>
        <v/>
      </c>
      <c r="X85" s="13" t="str">
        <f ca="1">IF(AND($AA85=1,'Endrunde 4'!$L33&lt;&gt;"",'Endrunde 4'!$N33&lt;&gt;"",ABS('Endrunde 4'!$L33-'Endrunde 4'!$N33)&gt;1),'Endrunde 4'!$L33,"")</f>
        <v/>
      </c>
      <c r="Y85" s="35" t="str">
        <f ca="1">IF(AND($AA85=1,'Endrunde 4'!$L33&lt;&gt;"",'Endrunde 4'!$N33&lt;&gt;"",ABS('Endrunde 4'!$L33-'Endrunde 4'!$N33)&gt;1),'Endrunde 4'!$N33,"")</f>
        <v/>
      </c>
      <c r="Z85" s="34" t="str">
        <f t="shared" ca="1" si="42"/>
        <v/>
      </c>
      <c r="AA85" s="13">
        <f ca="1">IF(AND(V85&lt;&gt;"",W85&lt;&gt;"",V85&lt;&gt;W85,'Endrunde 4'!$U33&lt;&gt;"",'Endrunde 4'!$W33&lt;&gt;""),1,0)</f>
        <v>0</v>
      </c>
      <c r="AB85" s="13" t="str">
        <f ca="1">IF(AA85&gt;0,AH85&amp;Sprache!$E$108&amp;AI85,"")</f>
        <v/>
      </c>
      <c r="AC85" s="35" t="str">
        <f ca="1">IF(AA85&gt;0,AJ85&amp;Sprache!$E$108&amp;AK85,"")</f>
        <v/>
      </c>
      <c r="AD85" s="40" t="str">
        <f ca="1">IF(AND($AA85=1,'Endrunde 4'!$O33&lt;&gt;"",'Endrunde 4'!$Q33&lt;&gt;"",ABS('Endrunde 4'!$O33-'Endrunde 4'!$Q33)&gt;1),'Endrunde 4'!$O33,"")</f>
        <v/>
      </c>
      <c r="AE85" s="35" t="str">
        <f ca="1">IF(AND($AA85=1,'Endrunde 4'!$O33&lt;&gt;"",'Endrunde 4'!$Q33&lt;&gt;"",ABS('Endrunde 4'!$O33-'Endrunde 4'!$Q33)&gt;1),'Endrunde 4'!$Q33,"")</f>
        <v/>
      </c>
      <c r="AF85" s="40" t="str">
        <f ca="1">IF(AND($AA85=1,'Endrunde 4'!$R33&lt;&gt;"",'Endrunde 4'!$T33&lt;&gt;"",ABS('Endrunde 4'!$R33-'Endrunde 4'!$T33)&gt;1),'Endrunde 4'!$R33,"")</f>
        <v/>
      </c>
      <c r="AG85" s="35" t="str">
        <f ca="1">IF(AND($AA85=1,'Endrunde 4'!$R33&lt;&gt;"",'Endrunde 4'!$T33&lt;&gt;"",ABS('Endrunde 4'!$R33-'Endrunde 4'!$T33)&gt;1),'Endrunde 4'!$T33,"")</f>
        <v/>
      </c>
      <c r="AH85" s="40" t="str">
        <f t="shared" ca="1" si="43"/>
        <v/>
      </c>
      <c r="AI85" s="35" t="str">
        <f t="shared" ca="1" si="44"/>
        <v/>
      </c>
      <c r="AJ85" s="40">
        <f ca="1">IF('Endrunde 4'!$U33="",0,'Endrunde 4'!$U33)</f>
        <v>0</v>
      </c>
      <c r="AK85" s="35">
        <f ca="1">IF('Endrunde 4'!$W33="",0,'Endrunde 4'!$W33)</f>
        <v>0</v>
      </c>
      <c r="AL85" s="13" t="str">
        <f ca="1">IF($AA85=0,"",IF($AJ85&gt;$AK85,Einstellungen!$C$4,IF($AJ85=$AK85,1,0)))</f>
        <v/>
      </c>
      <c r="AM85" s="35" t="str">
        <f ca="1">IF($AA85=0,"",IF($AJ85&lt;$AK85,Einstellungen!$C$4,IF($AJ85=$AK85,1,0)))</f>
        <v/>
      </c>
    </row>
    <row r="86" spans="2:39" s="2" customFormat="1" x14ac:dyDescent="0.2">
      <c r="B86" s="4"/>
      <c r="C86" s="4"/>
      <c r="D86" s="4"/>
      <c r="E86" s="4"/>
      <c r="F86" s="13"/>
      <c r="G86" s="13"/>
      <c r="H86" s="13"/>
      <c r="I86" s="13"/>
      <c r="J86" s="13"/>
      <c r="K86" s="13"/>
      <c r="L86" s="13"/>
      <c r="M86" s="13"/>
      <c r="U86" s="65" t="s">
        <v>38</v>
      </c>
      <c r="V86" s="40" t="str">
        <f ca="1">'Endrunde 4'!$I34</f>
        <v>FC Barcelona</v>
      </c>
      <c r="W86" s="13" t="str">
        <f ca="1">'Endrunde 4'!$K34</f>
        <v>Inter Mailand</v>
      </c>
      <c r="X86" s="13">
        <f ca="1">IF(AND($AA86=1,'Endrunde 4'!$L34&lt;&gt;"",'Endrunde 4'!$N34&lt;&gt;"",ABS('Endrunde 4'!$L34-'Endrunde 4'!$N34)&gt;1),'Endrunde 4'!$L34,"")</f>
        <v>20</v>
      </c>
      <c r="Y86" s="35">
        <f ca="1">IF(AND($AA86=1,'Endrunde 4'!$L34&lt;&gt;"",'Endrunde 4'!$N34&lt;&gt;"",ABS('Endrunde 4'!$L34-'Endrunde 4'!$N34)&gt;1),'Endrunde 4'!$N34,"")</f>
        <v>25</v>
      </c>
      <c r="Z86" s="34" t="str">
        <f t="shared" ca="1" si="42"/>
        <v>FC BarcelonaInter Mailand</v>
      </c>
      <c r="AA86" s="13">
        <f ca="1">IF(AND(V86&lt;&gt;"",W86&lt;&gt;"",V86&lt;&gt;W86,'Endrunde 4'!$U34&lt;&gt;"",'Endrunde 4'!$W34&lt;&gt;""),1,0)</f>
        <v>1</v>
      </c>
      <c r="AB86" s="13" t="str">
        <f ca="1">IF(AA86&gt;0,AH86&amp;Sprache!$E$108&amp;AI86,"")</f>
        <v>70 : 65</v>
      </c>
      <c r="AC86" s="35" t="str">
        <f ca="1">IF(AA86&gt;0,AJ86&amp;Sprache!$E$108&amp;AK86,"")</f>
        <v>2 : 1</v>
      </c>
      <c r="AD86" s="40">
        <f ca="1">IF(AND($AA86=1,'Endrunde 4'!$O34&lt;&gt;"",'Endrunde 4'!$Q34&lt;&gt;"",ABS('Endrunde 4'!$O34-'Endrunde 4'!$Q34)&gt;1),'Endrunde 4'!$O34,"")</f>
        <v>25</v>
      </c>
      <c r="AE86" s="35">
        <f ca="1">IF(AND($AA86=1,'Endrunde 4'!$O34&lt;&gt;"",'Endrunde 4'!$Q34&lt;&gt;"",ABS('Endrunde 4'!$O34-'Endrunde 4'!$Q34)&gt;1),'Endrunde 4'!$Q34,"")</f>
        <v>18</v>
      </c>
      <c r="AF86" s="40">
        <f ca="1">IF(AND($AA86=1,'Endrunde 4'!$R34&lt;&gt;"",'Endrunde 4'!$T34&lt;&gt;"",ABS('Endrunde 4'!$R34-'Endrunde 4'!$T34)&gt;1),'Endrunde 4'!$R34,"")</f>
        <v>25</v>
      </c>
      <c r="AG86" s="35">
        <f ca="1">IF(AND($AA86=1,'Endrunde 4'!$R34&lt;&gt;"",'Endrunde 4'!$T34&lt;&gt;"",ABS('Endrunde 4'!$R34-'Endrunde 4'!$T34)&gt;1),'Endrunde 4'!$T34,"")</f>
        <v>22</v>
      </c>
      <c r="AH86" s="40">
        <f t="shared" ca="1" si="43"/>
        <v>70</v>
      </c>
      <c r="AI86" s="35">
        <f t="shared" ca="1" si="44"/>
        <v>65</v>
      </c>
      <c r="AJ86" s="40">
        <f ca="1">IF('Endrunde 4'!$U34="",0,'Endrunde 4'!$U34)</f>
        <v>2</v>
      </c>
      <c r="AK86" s="35">
        <f ca="1">IF('Endrunde 4'!$W34="",0,'Endrunde 4'!$W34)</f>
        <v>1</v>
      </c>
      <c r="AL86" s="13">
        <f ca="1">IF($AA86=0,"",IF($AJ86&gt;$AK86,Einstellungen!$C$4,IF($AJ86=$AK86,1,0)))</f>
        <v>2</v>
      </c>
      <c r="AM86" s="35">
        <f ca="1">IF($AA86=0,"",IF($AJ86&lt;$AK86,Einstellungen!$C$4,IF($AJ86=$AK86,1,0)))</f>
        <v>0</v>
      </c>
    </row>
    <row r="87" spans="2:39" s="2" customFormat="1" x14ac:dyDescent="0.2">
      <c r="B87" s="4"/>
      <c r="C87" s="4"/>
      <c r="D87" s="4"/>
      <c r="E87" s="4"/>
      <c r="F87" s="13"/>
      <c r="G87" s="13"/>
      <c r="H87" s="13"/>
      <c r="I87" s="13"/>
      <c r="J87" s="13"/>
      <c r="K87" s="13"/>
      <c r="L87" s="13"/>
      <c r="M87" s="13"/>
      <c r="U87" s="65" t="s">
        <v>39</v>
      </c>
      <c r="V87" s="40" t="str">
        <f ca="1">'Endrunde 4'!$I35</f>
        <v>VFB Essenheim</v>
      </c>
      <c r="W87" s="13" t="str">
        <f ca="1">'Endrunde 4'!$K35</f>
        <v>FC Grönlingen</v>
      </c>
      <c r="X87" s="13">
        <f ca="1">IF(AND($AA87=1,'Endrunde 4'!$L35&lt;&gt;"",'Endrunde 4'!$N35&lt;&gt;"",ABS('Endrunde 4'!$L35-'Endrunde 4'!$N35)&gt;1),'Endrunde 4'!$L35,"")</f>
        <v>25</v>
      </c>
      <c r="Y87" s="35">
        <f ca="1">IF(AND($AA87=1,'Endrunde 4'!$L35&lt;&gt;"",'Endrunde 4'!$N35&lt;&gt;"",ABS('Endrunde 4'!$L35-'Endrunde 4'!$N35)&gt;1),'Endrunde 4'!$N35,"")</f>
        <v>20</v>
      </c>
      <c r="Z87" s="34" t="str">
        <f t="shared" ca="1" si="42"/>
        <v>VFB EssenheimFC Grönlingen</v>
      </c>
      <c r="AA87" s="13">
        <f ca="1">IF(AND(V87&lt;&gt;"",W87&lt;&gt;"",V87&lt;&gt;W87,'Endrunde 4'!$U35&lt;&gt;"",'Endrunde 4'!$W35&lt;&gt;""),1,0)</f>
        <v>1</v>
      </c>
      <c r="AB87" s="13" t="str">
        <f ca="1">IF(AA87&gt;0,AH87&amp;Sprache!$E$108&amp;AI87,"")</f>
        <v>50 : 39</v>
      </c>
      <c r="AC87" s="35" t="str">
        <f ca="1">IF(AA87&gt;0,AJ87&amp;Sprache!$E$108&amp;AK87,"")</f>
        <v>2 : 0</v>
      </c>
      <c r="AD87" s="40">
        <f ca="1">IF(AND($AA87=1,'Endrunde 4'!$O35&lt;&gt;"",'Endrunde 4'!$Q35&lt;&gt;"",ABS('Endrunde 4'!$O35-'Endrunde 4'!$Q35)&gt;1),'Endrunde 4'!$O35,"")</f>
        <v>25</v>
      </c>
      <c r="AE87" s="35">
        <f ca="1">IF(AND($AA87=1,'Endrunde 4'!$O35&lt;&gt;"",'Endrunde 4'!$Q35&lt;&gt;"",ABS('Endrunde 4'!$O35-'Endrunde 4'!$Q35)&gt;1),'Endrunde 4'!$Q35,"")</f>
        <v>19</v>
      </c>
      <c r="AF87" s="40" t="str">
        <f ca="1">IF(AND($AA87=1,'Endrunde 4'!$R35&lt;&gt;"",'Endrunde 4'!$T35&lt;&gt;"",ABS('Endrunde 4'!$R35-'Endrunde 4'!$T35)&gt;1),'Endrunde 4'!$R35,"")</f>
        <v/>
      </c>
      <c r="AG87" s="35" t="str">
        <f ca="1">IF(AND($AA87=1,'Endrunde 4'!$R35&lt;&gt;"",'Endrunde 4'!$T35&lt;&gt;"",ABS('Endrunde 4'!$R35-'Endrunde 4'!$T35)&gt;1),'Endrunde 4'!$T35,"")</f>
        <v/>
      </c>
      <c r="AH87" s="40">
        <f t="shared" ca="1" si="43"/>
        <v>50</v>
      </c>
      <c r="AI87" s="35">
        <f t="shared" ca="1" si="44"/>
        <v>39</v>
      </c>
      <c r="AJ87" s="40">
        <f ca="1">IF('Endrunde 4'!$U35="",0,'Endrunde 4'!$U35)</f>
        <v>2</v>
      </c>
      <c r="AK87" s="35">
        <f ca="1">IF('Endrunde 4'!$W35="",0,'Endrunde 4'!$W35)</f>
        <v>0</v>
      </c>
      <c r="AL87" s="13">
        <f ca="1">IF($AA87=0,"",IF($AJ87&gt;$AK87,Einstellungen!$C$4,IF($AJ87=$AK87,1,0)))</f>
        <v>2</v>
      </c>
      <c r="AM87" s="35">
        <f ca="1">IF($AA87=0,"",IF($AJ87&lt;$AK87,Einstellungen!$C$4,IF($AJ87=$AK87,1,0)))</f>
        <v>0</v>
      </c>
    </row>
    <row r="88" spans="2:39" s="2" customFormat="1" ht="12.75" thickBot="1" x14ac:dyDescent="0.25">
      <c r="B88" s="4"/>
      <c r="C88" s="4"/>
      <c r="D88" s="4"/>
      <c r="E88" s="4"/>
      <c r="F88" s="13"/>
      <c r="G88" s="13"/>
      <c r="H88" s="13"/>
      <c r="I88" s="13"/>
      <c r="J88" s="13"/>
      <c r="K88" s="13"/>
      <c r="L88" s="13"/>
      <c r="M88" s="13"/>
      <c r="U88" s="754" t="s">
        <v>40</v>
      </c>
      <c r="V88" s="755" t="str">
        <f ca="1">'Endrunde 4'!$I36</f>
        <v>Eintracht Frankfurt</v>
      </c>
      <c r="W88" s="756" t="str">
        <f ca="1">'Endrunde 4'!$K36</f>
        <v>Mainz 05</v>
      </c>
      <c r="X88" s="756">
        <f ca="1">IF(AND($AA88=1,'Endrunde 4'!$L36&lt;&gt;"",'Endrunde 4'!$N36&lt;&gt;"",ABS('Endrunde 4'!$L36-'Endrunde 4'!$N36)&gt;1),'Endrunde 4'!$L36,"")</f>
        <v>25</v>
      </c>
      <c r="Y88" s="757">
        <f ca="1">IF(AND($AA88=1,'Endrunde 4'!$L36&lt;&gt;"",'Endrunde 4'!$N36&lt;&gt;"",ABS('Endrunde 4'!$L36-'Endrunde 4'!$N36)&gt;1),'Endrunde 4'!$N36,"")</f>
        <v>13</v>
      </c>
      <c r="Z88" s="758" t="str">
        <f t="shared" ca="1" si="42"/>
        <v>Eintracht FrankfurtMainz 05</v>
      </c>
      <c r="AA88" s="756">
        <f ca="1">IF(AND(V88&lt;&gt;"",W88&lt;&gt;"",V88&lt;&gt;W88,'Endrunde 4'!$U36&lt;&gt;"",'Endrunde 4'!$W36&lt;&gt;""),1,0)</f>
        <v>1</v>
      </c>
      <c r="AB88" s="756" t="str">
        <f ca="1">IF(AA88&gt;0,AH88&amp;Sprache!$E$108&amp;AI88,"")</f>
        <v>50 : 33</v>
      </c>
      <c r="AC88" s="757" t="str">
        <f ca="1">IF(AA88&gt;0,AJ88&amp;Sprache!$E$108&amp;AK88,"")</f>
        <v>2 : 0</v>
      </c>
      <c r="AD88" s="755">
        <f ca="1">IF(AND($AA88=1,'Endrunde 4'!$O36&lt;&gt;"",'Endrunde 4'!$Q36&lt;&gt;"",ABS('Endrunde 4'!$O36-'Endrunde 4'!$Q36)&gt;1),'Endrunde 4'!$O36,"")</f>
        <v>25</v>
      </c>
      <c r="AE88" s="757">
        <f ca="1">IF(AND($AA88=1,'Endrunde 4'!$O36&lt;&gt;"",'Endrunde 4'!$Q36&lt;&gt;"",ABS('Endrunde 4'!$O36-'Endrunde 4'!$Q36)&gt;1),'Endrunde 4'!$Q36,"")</f>
        <v>20</v>
      </c>
      <c r="AF88" s="755" t="str">
        <f ca="1">IF(AND($AA88=1,'Endrunde 4'!$R36&lt;&gt;"",'Endrunde 4'!$T36&lt;&gt;"",ABS('Endrunde 4'!$R36-'Endrunde 4'!$T36)&gt;1),'Endrunde 4'!$R36,"")</f>
        <v/>
      </c>
      <c r="AG88" s="757" t="str">
        <f ca="1">IF(AND($AA88=1,'Endrunde 4'!$R36&lt;&gt;"",'Endrunde 4'!$T36&lt;&gt;"",ABS('Endrunde 4'!$R36-'Endrunde 4'!$T36)&gt;1),'Endrunde 4'!$T36,"")</f>
        <v/>
      </c>
      <c r="AH88" s="755">
        <f t="shared" ca="1" si="43"/>
        <v>50</v>
      </c>
      <c r="AI88" s="757">
        <f t="shared" ca="1" si="44"/>
        <v>33</v>
      </c>
      <c r="AJ88" s="755">
        <f ca="1">IF('Endrunde 4'!$U36="",0,'Endrunde 4'!$U36)</f>
        <v>2</v>
      </c>
      <c r="AK88" s="757">
        <f ca="1">IF('Endrunde 4'!$W36="",0,'Endrunde 4'!$W36)</f>
        <v>0</v>
      </c>
      <c r="AL88" s="756">
        <f ca="1">IF($AA88=0,"",IF($AJ88&gt;$AK88,Einstellungen!$C$4,IF($AJ88=$AK88,1,0)))</f>
        <v>2</v>
      </c>
      <c r="AM88" s="757">
        <f ca="1">IF($AA88=0,"",IF($AJ88&lt;$AK88,Einstellungen!$C$4,IF($AJ88=$AK88,1,0)))</f>
        <v>0</v>
      </c>
    </row>
    <row r="89" spans="2:39" s="2" customFormat="1" ht="12.75" thickTop="1" x14ac:dyDescent="0.2">
      <c r="B89" s="4"/>
      <c r="C89" s="4"/>
      <c r="D89" s="4"/>
      <c r="E89" s="4"/>
      <c r="F89" s="13"/>
      <c r="G89" s="13"/>
      <c r="H89" s="13"/>
      <c r="I89" s="13"/>
      <c r="J89" s="13"/>
      <c r="K89" s="13"/>
      <c r="L89" s="13"/>
      <c r="M89" s="13"/>
      <c r="U89" s="65" t="s">
        <v>41</v>
      </c>
      <c r="V89" s="40" t="str">
        <f>""</f>
        <v/>
      </c>
      <c r="W89" s="13" t="str">
        <f>""</f>
        <v/>
      </c>
      <c r="X89" s="13" t="str">
        <f>""</f>
        <v/>
      </c>
      <c r="Y89" s="35" t="str">
        <f>""</f>
        <v/>
      </c>
      <c r="Z89" s="34" t="str">
        <f>""</f>
        <v/>
      </c>
      <c r="AA89" s="13">
        <v>0</v>
      </c>
      <c r="AB89" s="13" t="str">
        <f>""</f>
        <v/>
      </c>
      <c r="AC89" s="35"/>
      <c r="AD89" s="40" t="str">
        <f>""</f>
        <v/>
      </c>
      <c r="AE89" s="35" t="str">
        <f>""</f>
        <v/>
      </c>
      <c r="AF89" s="40" t="str">
        <f>""</f>
        <v/>
      </c>
      <c r="AG89" s="35" t="str">
        <f>""</f>
        <v/>
      </c>
      <c r="AH89" s="40" t="str">
        <f>""</f>
        <v/>
      </c>
      <c r="AI89" s="35" t="str">
        <f>""</f>
        <v/>
      </c>
      <c r="AJ89" s="40"/>
      <c r="AK89" s="35"/>
      <c r="AL89" s="13" t="str">
        <f>""</f>
        <v/>
      </c>
      <c r="AM89" s="35" t="str">
        <f>""</f>
        <v/>
      </c>
    </row>
    <row r="90" spans="2:39" s="2" customFormat="1" x14ac:dyDescent="0.2">
      <c r="B90" s="4"/>
      <c r="C90" s="4"/>
      <c r="D90" s="4"/>
      <c r="E90" s="4"/>
      <c r="F90" s="13"/>
      <c r="G90" s="13"/>
      <c r="H90" s="13"/>
      <c r="I90" s="13"/>
      <c r="J90" s="13"/>
      <c r="K90" s="13"/>
      <c r="L90" s="13"/>
      <c r="M90" s="13"/>
      <c r="U90" s="65" t="s">
        <v>42</v>
      </c>
      <c r="V90" s="40" t="str">
        <f>""</f>
        <v/>
      </c>
      <c r="W90" s="13" t="str">
        <f>""</f>
        <v/>
      </c>
      <c r="X90" s="13" t="str">
        <f>""</f>
        <v/>
      </c>
      <c r="Y90" s="35" t="str">
        <f>""</f>
        <v/>
      </c>
      <c r="Z90" s="34" t="str">
        <f>""</f>
        <v/>
      </c>
      <c r="AA90" s="13">
        <v>0</v>
      </c>
      <c r="AB90" s="13" t="str">
        <f>""</f>
        <v/>
      </c>
      <c r="AC90" s="35"/>
      <c r="AD90" s="40" t="str">
        <f>""</f>
        <v/>
      </c>
      <c r="AE90" s="35" t="str">
        <f>""</f>
        <v/>
      </c>
      <c r="AF90" s="40" t="str">
        <f>""</f>
        <v/>
      </c>
      <c r="AG90" s="35" t="str">
        <f>""</f>
        <v/>
      </c>
      <c r="AH90" s="40" t="str">
        <f>""</f>
        <v/>
      </c>
      <c r="AI90" s="35" t="str">
        <f>""</f>
        <v/>
      </c>
      <c r="AJ90" s="40"/>
      <c r="AK90" s="35"/>
      <c r="AL90" s="13" t="str">
        <f>""</f>
        <v/>
      </c>
      <c r="AM90" s="35" t="str">
        <f>""</f>
        <v/>
      </c>
    </row>
    <row r="91" spans="2:39" s="2" customFormat="1" x14ac:dyDescent="0.2">
      <c r="B91" s="4"/>
      <c r="C91" s="4"/>
      <c r="D91" s="4"/>
      <c r="E91" s="4"/>
      <c r="F91" s="13"/>
      <c r="G91" s="13"/>
      <c r="H91" s="13"/>
      <c r="I91" s="13"/>
      <c r="J91" s="13"/>
      <c r="K91" s="13"/>
      <c r="L91" s="13"/>
      <c r="M91" s="13"/>
      <c r="U91" s="65" t="s">
        <v>43</v>
      </c>
      <c r="V91" s="40" t="str">
        <f>""</f>
        <v/>
      </c>
      <c r="W91" s="13" t="str">
        <f>""</f>
        <v/>
      </c>
      <c r="X91" s="13" t="str">
        <f>""</f>
        <v/>
      </c>
      <c r="Y91" s="35" t="str">
        <f>""</f>
        <v/>
      </c>
      <c r="Z91" s="34" t="str">
        <f>""</f>
        <v/>
      </c>
      <c r="AA91" s="13">
        <v>0</v>
      </c>
      <c r="AB91" s="13" t="str">
        <f>""</f>
        <v/>
      </c>
      <c r="AC91" s="35"/>
      <c r="AD91" s="40" t="str">
        <f>""</f>
        <v/>
      </c>
      <c r="AE91" s="35" t="str">
        <f>""</f>
        <v/>
      </c>
      <c r="AF91" s="40" t="str">
        <f>""</f>
        <v/>
      </c>
      <c r="AG91" s="35" t="str">
        <f>""</f>
        <v/>
      </c>
      <c r="AH91" s="40" t="str">
        <f>""</f>
        <v/>
      </c>
      <c r="AI91" s="35" t="str">
        <f>""</f>
        <v/>
      </c>
      <c r="AJ91" s="40"/>
      <c r="AK91" s="35"/>
      <c r="AL91" s="13" t="str">
        <f>""</f>
        <v/>
      </c>
      <c r="AM91" s="35" t="str">
        <f>""</f>
        <v/>
      </c>
    </row>
    <row r="92" spans="2:39" s="2" customFormat="1" x14ac:dyDescent="0.2">
      <c r="B92" s="4"/>
      <c r="C92" s="4"/>
      <c r="D92" s="4"/>
      <c r="E92" s="4"/>
      <c r="F92" s="13"/>
      <c r="G92" s="13"/>
      <c r="H92" s="13"/>
      <c r="I92" s="13"/>
      <c r="J92" s="13"/>
      <c r="K92" s="13"/>
      <c r="L92" s="13"/>
      <c r="M92" s="13"/>
      <c r="U92" s="65" t="s">
        <v>44</v>
      </c>
      <c r="V92" s="40" t="str">
        <f>""</f>
        <v/>
      </c>
      <c r="W92" s="13" t="str">
        <f>""</f>
        <v/>
      </c>
      <c r="X92" s="13" t="str">
        <f>""</f>
        <v/>
      </c>
      <c r="Y92" s="35" t="str">
        <f>""</f>
        <v/>
      </c>
      <c r="Z92" s="34" t="str">
        <f>""</f>
        <v/>
      </c>
      <c r="AA92" s="13">
        <v>0</v>
      </c>
      <c r="AB92" s="13" t="str">
        <f>""</f>
        <v/>
      </c>
      <c r="AC92" s="35"/>
      <c r="AD92" s="40" t="str">
        <f>""</f>
        <v/>
      </c>
      <c r="AE92" s="35" t="str">
        <f>""</f>
        <v/>
      </c>
      <c r="AF92" s="40" t="str">
        <f>""</f>
        <v/>
      </c>
      <c r="AG92" s="35" t="str">
        <f>""</f>
        <v/>
      </c>
      <c r="AH92" s="40" t="str">
        <f>""</f>
        <v/>
      </c>
      <c r="AI92" s="35" t="str">
        <f>""</f>
        <v/>
      </c>
      <c r="AJ92" s="40"/>
      <c r="AK92" s="35"/>
      <c r="AL92" s="13" t="str">
        <f>""</f>
        <v/>
      </c>
      <c r="AM92" s="35" t="str">
        <f>""</f>
        <v/>
      </c>
    </row>
    <row r="93" spans="2:39" s="2" customFormat="1" x14ac:dyDescent="0.2">
      <c r="B93" s="4"/>
      <c r="C93" s="4"/>
      <c r="D93" s="4"/>
      <c r="E93" s="4"/>
      <c r="F93" s="13"/>
      <c r="G93" s="13"/>
      <c r="H93" s="13"/>
      <c r="I93" s="13"/>
      <c r="J93" s="13"/>
      <c r="K93" s="13"/>
      <c r="L93" s="13"/>
      <c r="M93" s="13"/>
      <c r="U93" s="65" t="s">
        <v>45</v>
      </c>
      <c r="V93" s="40" t="str">
        <f>""</f>
        <v/>
      </c>
      <c r="W93" s="13" t="str">
        <f>""</f>
        <v/>
      </c>
      <c r="X93" s="13" t="str">
        <f>""</f>
        <v/>
      </c>
      <c r="Y93" s="35" t="str">
        <f>""</f>
        <v/>
      </c>
      <c r="Z93" s="34" t="str">
        <f>""</f>
        <v/>
      </c>
      <c r="AA93" s="13">
        <v>0</v>
      </c>
      <c r="AB93" s="13" t="str">
        <f>""</f>
        <v/>
      </c>
      <c r="AC93" s="35"/>
      <c r="AD93" s="40" t="str">
        <f>""</f>
        <v/>
      </c>
      <c r="AE93" s="35" t="str">
        <f>""</f>
        <v/>
      </c>
      <c r="AF93" s="40" t="str">
        <f>""</f>
        <v/>
      </c>
      <c r="AG93" s="35" t="str">
        <f>""</f>
        <v/>
      </c>
      <c r="AH93" s="40" t="str">
        <f>""</f>
        <v/>
      </c>
      <c r="AI93" s="35" t="str">
        <f>""</f>
        <v/>
      </c>
      <c r="AJ93" s="40"/>
      <c r="AK93" s="35"/>
      <c r="AL93" s="13" t="str">
        <f>""</f>
        <v/>
      </c>
      <c r="AM93" s="35" t="str">
        <f>""</f>
        <v/>
      </c>
    </row>
    <row r="94" spans="2:39" s="2" customFormat="1" x14ac:dyDescent="0.2">
      <c r="B94" s="4"/>
      <c r="C94" s="4"/>
      <c r="D94" s="4"/>
      <c r="E94" s="4"/>
      <c r="F94" s="13"/>
      <c r="G94" s="13"/>
      <c r="H94" s="13"/>
      <c r="I94" s="13"/>
      <c r="J94" s="13"/>
      <c r="K94" s="13"/>
      <c r="L94" s="13"/>
      <c r="M94" s="13"/>
      <c r="U94" s="65" t="s">
        <v>46</v>
      </c>
      <c r="V94" s="40" t="str">
        <f>""</f>
        <v/>
      </c>
      <c r="W94" s="13" t="str">
        <f>""</f>
        <v/>
      </c>
      <c r="X94" s="13" t="str">
        <f>""</f>
        <v/>
      </c>
      <c r="Y94" s="35" t="str">
        <f>""</f>
        <v/>
      </c>
      <c r="Z94" s="34" t="str">
        <f>""</f>
        <v/>
      </c>
      <c r="AA94" s="13">
        <v>0</v>
      </c>
      <c r="AB94" s="13" t="str">
        <f>""</f>
        <v/>
      </c>
      <c r="AC94" s="35"/>
      <c r="AD94" s="40" t="str">
        <f>""</f>
        <v/>
      </c>
      <c r="AE94" s="35" t="str">
        <f>""</f>
        <v/>
      </c>
      <c r="AF94" s="40" t="str">
        <f>""</f>
        <v/>
      </c>
      <c r="AG94" s="35" t="str">
        <f>""</f>
        <v/>
      </c>
      <c r="AH94" s="40" t="str">
        <f>""</f>
        <v/>
      </c>
      <c r="AI94" s="35" t="str">
        <f>""</f>
        <v/>
      </c>
      <c r="AJ94" s="40"/>
      <c r="AK94" s="35"/>
      <c r="AL94" s="13" t="str">
        <f>""</f>
        <v/>
      </c>
      <c r="AM94" s="35" t="str">
        <f>""</f>
        <v/>
      </c>
    </row>
    <row r="95" spans="2:39" s="2" customFormat="1" x14ac:dyDescent="0.2">
      <c r="B95" s="4"/>
      <c r="C95" s="4"/>
      <c r="D95" s="4"/>
      <c r="E95" s="4"/>
      <c r="F95" s="13"/>
      <c r="G95" s="13"/>
      <c r="H95" s="13"/>
      <c r="I95" s="13"/>
      <c r="J95" s="13"/>
      <c r="K95" s="13"/>
      <c r="L95" s="13"/>
      <c r="M95" s="13"/>
      <c r="U95" s="65" t="s">
        <v>47</v>
      </c>
      <c r="V95" s="40" t="str">
        <f>""</f>
        <v/>
      </c>
      <c r="W95" s="13" t="str">
        <f>""</f>
        <v/>
      </c>
      <c r="X95" s="13" t="str">
        <f>""</f>
        <v/>
      </c>
      <c r="Y95" s="35" t="str">
        <f>""</f>
        <v/>
      </c>
      <c r="Z95" s="34" t="str">
        <f>""</f>
        <v/>
      </c>
      <c r="AA95" s="13">
        <v>0</v>
      </c>
      <c r="AB95" s="13" t="str">
        <f>""</f>
        <v/>
      </c>
      <c r="AC95" s="35"/>
      <c r="AD95" s="40" t="str">
        <f>""</f>
        <v/>
      </c>
      <c r="AE95" s="35" t="str">
        <f>""</f>
        <v/>
      </c>
      <c r="AF95" s="40" t="str">
        <f>""</f>
        <v/>
      </c>
      <c r="AG95" s="35" t="str">
        <f>""</f>
        <v/>
      </c>
      <c r="AH95" s="40" t="str">
        <f>""</f>
        <v/>
      </c>
      <c r="AI95" s="35" t="str">
        <f>""</f>
        <v/>
      </c>
      <c r="AJ95" s="40"/>
      <c r="AK95" s="35"/>
      <c r="AL95" s="13" t="str">
        <f>""</f>
        <v/>
      </c>
      <c r="AM95" s="35" t="str">
        <f>""</f>
        <v/>
      </c>
    </row>
    <row r="96" spans="2:39" s="2" customFormat="1" x14ac:dyDescent="0.2">
      <c r="B96" s="4"/>
      <c r="C96" s="4"/>
      <c r="D96" s="4"/>
      <c r="E96" s="4"/>
      <c r="F96" s="13"/>
      <c r="G96" s="13"/>
      <c r="H96" s="13"/>
      <c r="I96" s="13"/>
      <c r="J96" s="13"/>
      <c r="K96" s="13"/>
      <c r="L96" s="13"/>
      <c r="M96" s="13"/>
      <c r="U96" s="65" t="s">
        <v>48</v>
      </c>
      <c r="V96" s="40" t="str">
        <f>""</f>
        <v/>
      </c>
      <c r="W96" s="13" t="str">
        <f>""</f>
        <v/>
      </c>
      <c r="X96" s="13" t="str">
        <f>""</f>
        <v/>
      </c>
      <c r="Y96" s="35" t="str">
        <f>""</f>
        <v/>
      </c>
      <c r="Z96" s="34" t="str">
        <f>""</f>
        <v/>
      </c>
      <c r="AA96" s="13">
        <v>0</v>
      </c>
      <c r="AB96" s="13" t="str">
        <f>""</f>
        <v/>
      </c>
      <c r="AC96" s="35"/>
      <c r="AD96" s="40" t="str">
        <f>""</f>
        <v/>
      </c>
      <c r="AE96" s="35" t="str">
        <f>""</f>
        <v/>
      </c>
      <c r="AF96" s="40" t="str">
        <f>""</f>
        <v/>
      </c>
      <c r="AG96" s="35" t="str">
        <f>""</f>
        <v/>
      </c>
      <c r="AH96" s="40" t="str">
        <f>""</f>
        <v/>
      </c>
      <c r="AI96" s="35" t="str">
        <f>""</f>
        <v/>
      </c>
      <c r="AJ96" s="40"/>
      <c r="AK96" s="35"/>
      <c r="AL96" s="13" t="str">
        <f>""</f>
        <v/>
      </c>
      <c r="AM96" s="35" t="str">
        <f>""</f>
        <v/>
      </c>
    </row>
    <row r="97" spans="2:39" s="2" customFormat="1" x14ac:dyDescent="0.2">
      <c r="B97" s="4"/>
      <c r="C97" s="4"/>
      <c r="D97" s="4"/>
      <c r="E97" s="4"/>
      <c r="F97" s="13"/>
      <c r="G97" s="13"/>
      <c r="H97" s="13"/>
      <c r="I97" s="13"/>
      <c r="J97" s="13"/>
      <c r="K97" s="13"/>
      <c r="L97" s="13"/>
      <c r="M97" s="13"/>
      <c r="U97" s="65" t="s">
        <v>49</v>
      </c>
      <c r="V97" s="40" t="str">
        <f>""</f>
        <v/>
      </c>
      <c r="W97" s="13" t="str">
        <f>""</f>
        <v/>
      </c>
      <c r="X97" s="13" t="str">
        <f>""</f>
        <v/>
      </c>
      <c r="Y97" s="35" t="str">
        <f>""</f>
        <v/>
      </c>
      <c r="Z97" s="34" t="str">
        <f>""</f>
        <v/>
      </c>
      <c r="AA97" s="13">
        <v>0</v>
      </c>
      <c r="AB97" s="13" t="str">
        <f>""</f>
        <v/>
      </c>
      <c r="AC97" s="35"/>
      <c r="AD97" s="40" t="str">
        <f>""</f>
        <v/>
      </c>
      <c r="AE97" s="35" t="str">
        <f>""</f>
        <v/>
      </c>
      <c r="AF97" s="40" t="str">
        <f>""</f>
        <v/>
      </c>
      <c r="AG97" s="35" t="str">
        <f>""</f>
        <v/>
      </c>
      <c r="AH97" s="40" t="str">
        <f>""</f>
        <v/>
      </c>
      <c r="AI97" s="35" t="str">
        <f>""</f>
        <v/>
      </c>
      <c r="AJ97" s="40"/>
      <c r="AK97" s="35"/>
      <c r="AL97" s="13" t="str">
        <f>""</f>
        <v/>
      </c>
      <c r="AM97" s="35" t="str">
        <f>""</f>
        <v/>
      </c>
    </row>
    <row r="98" spans="2:39" s="2" customFormat="1" x14ac:dyDescent="0.2">
      <c r="B98" s="4"/>
      <c r="C98" s="4"/>
      <c r="D98" s="4"/>
      <c r="E98" s="4"/>
      <c r="F98" s="13"/>
      <c r="G98" s="13"/>
      <c r="H98" s="13"/>
      <c r="I98" s="13"/>
      <c r="J98" s="13"/>
      <c r="K98" s="13"/>
      <c r="L98" s="13"/>
      <c r="M98" s="13"/>
      <c r="U98" s="65" t="s">
        <v>50</v>
      </c>
      <c r="V98" s="40" t="str">
        <f>""</f>
        <v/>
      </c>
      <c r="W98" s="13" t="str">
        <f>""</f>
        <v/>
      </c>
      <c r="X98" s="13" t="str">
        <f>""</f>
        <v/>
      </c>
      <c r="Y98" s="35" t="str">
        <f>""</f>
        <v/>
      </c>
      <c r="Z98" s="34" t="str">
        <f>""</f>
        <v/>
      </c>
      <c r="AA98" s="13">
        <v>0</v>
      </c>
      <c r="AB98" s="13" t="str">
        <f>""</f>
        <v/>
      </c>
      <c r="AC98" s="35"/>
      <c r="AD98" s="40" t="str">
        <f>""</f>
        <v/>
      </c>
      <c r="AE98" s="35" t="str">
        <f>""</f>
        <v/>
      </c>
      <c r="AF98" s="40" t="str">
        <f>""</f>
        <v/>
      </c>
      <c r="AG98" s="35" t="str">
        <f>""</f>
        <v/>
      </c>
      <c r="AH98" s="40" t="str">
        <f>""</f>
        <v/>
      </c>
      <c r="AI98" s="35" t="str">
        <f>""</f>
        <v/>
      </c>
      <c r="AJ98" s="40"/>
      <c r="AK98" s="35"/>
      <c r="AL98" s="13" t="str">
        <f>""</f>
        <v/>
      </c>
      <c r="AM98" s="35" t="str">
        <f>""</f>
        <v/>
      </c>
    </row>
    <row r="99" spans="2:39" s="2" customFormat="1" x14ac:dyDescent="0.2">
      <c r="B99" s="4"/>
      <c r="C99" s="4"/>
      <c r="D99" s="4"/>
      <c r="E99" s="4"/>
      <c r="F99" s="13"/>
      <c r="G99" s="13"/>
      <c r="H99" s="13"/>
      <c r="I99" s="13"/>
      <c r="J99" s="13"/>
      <c r="K99" s="13"/>
      <c r="L99" s="13"/>
      <c r="M99" s="13"/>
      <c r="U99" s="65" t="s">
        <v>51</v>
      </c>
      <c r="V99" s="40" t="str">
        <f>""</f>
        <v/>
      </c>
      <c r="W99" s="13" t="str">
        <f>""</f>
        <v/>
      </c>
      <c r="X99" s="13" t="str">
        <f>""</f>
        <v/>
      </c>
      <c r="Y99" s="35" t="str">
        <f>""</f>
        <v/>
      </c>
      <c r="Z99" s="34" t="str">
        <f>""</f>
        <v/>
      </c>
      <c r="AA99" s="13">
        <v>0</v>
      </c>
      <c r="AB99" s="13" t="str">
        <f>""</f>
        <v/>
      </c>
      <c r="AC99" s="35"/>
      <c r="AD99" s="40" t="str">
        <f>""</f>
        <v/>
      </c>
      <c r="AE99" s="35" t="str">
        <f>""</f>
        <v/>
      </c>
      <c r="AF99" s="40" t="str">
        <f>""</f>
        <v/>
      </c>
      <c r="AG99" s="35" t="str">
        <f>""</f>
        <v/>
      </c>
      <c r="AH99" s="40" t="str">
        <f>""</f>
        <v/>
      </c>
      <c r="AI99" s="35" t="str">
        <f>""</f>
        <v/>
      </c>
      <c r="AJ99" s="40"/>
      <c r="AK99" s="35"/>
      <c r="AL99" s="13" t="str">
        <f>""</f>
        <v/>
      </c>
      <c r="AM99" s="35" t="str">
        <f>""</f>
        <v/>
      </c>
    </row>
    <row r="100" spans="2:39" s="2" customFormat="1" x14ac:dyDescent="0.2">
      <c r="B100" s="4"/>
      <c r="C100" s="4"/>
      <c r="D100" s="4"/>
      <c r="E100" s="4"/>
      <c r="F100" s="13"/>
      <c r="G100" s="13"/>
      <c r="H100" s="13"/>
      <c r="I100" s="13"/>
      <c r="J100" s="13"/>
      <c r="K100" s="13"/>
      <c r="L100" s="13"/>
      <c r="M100" s="13"/>
      <c r="U100" s="65" t="s">
        <v>58</v>
      </c>
      <c r="V100" s="40" t="str">
        <f>""</f>
        <v/>
      </c>
      <c r="W100" s="13" t="str">
        <f>""</f>
        <v/>
      </c>
      <c r="X100" s="13" t="str">
        <f>""</f>
        <v/>
      </c>
      <c r="Y100" s="35" t="str">
        <f>""</f>
        <v/>
      </c>
      <c r="Z100" s="34" t="str">
        <f>""</f>
        <v/>
      </c>
      <c r="AA100" s="13">
        <v>0</v>
      </c>
      <c r="AB100" s="13" t="str">
        <f>""</f>
        <v/>
      </c>
      <c r="AC100" s="35"/>
      <c r="AD100" s="40" t="str">
        <f>""</f>
        <v/>
      </c>
      <c r="AE100" s="35" t="str">
        <f>""</f>
        <v/>
      </c>
      <c r="AF100" s="40" t="str">
        <f>""</f>
        <v/>
      </c>
      <c r="AG100" s="35" t="str">
        <f>""</f>
        <v/>
      </c>
      <c r="AH100" s="40" t="str">
        <f>""</f>
        <v/>
      </c>
      <c r="AI100" s="35" t="str">
        <f>""</f>
        <v/>
      </c>
      <c r="AJ100" s="40"/>
      <c r="AK100" s="35"/>
      <c r="AL100" s="13" t="str">
        <f>""</f>
        <v/>
      </c>
      <c r="AM100" s="35" t="str">
        <f>""</f>
        <v/>
      </c>
    </row>
    <row r="101" spans="2:39" s="2" customFormat="1" x14ac:dyDescent="0.2">
      <c r="B101" s="4"/>
      <c r="C101" s="4"/>
      <c r="D101" s="4"/>
      <c r="E101" s="4"/>
      <c r="F101" s="13"/>
      <c r="G101" s="13"/>
      <c r="H101" s="13"/>
      <c r="I101" s="13"/>
      <c r="J101" s="13"/>
      <c r="K101" s="13"/>
      <c r="L101" s="13"/>
      <c r="M101" s="13"/>
      <c r="U101" s="65" t="s">
        <v>59</v>
      </c>
      <c r="V101" s="40" t="str">
        <f>""</f>
        <v/>
      </c>
      <c r="W101" s="13" t="str">
        <f>""</f>
        <v/>
      </c>
      <c r="X101" s="13" t="str">
        <f>""</f>
        <v/>
      </c>
      <c r="Y101" s="35" t="str">
        <f>""</f>
        <v/>
      </c>
      <c r="Z101" s="34" t="str">
        <f>""</f>
        <v/>
      </c>
      <c r="AA101" s="13">
        <v>0</v>
      </c>
      <c r="AB101" s="13" t="str">
        <f>""</f>
        <v/>
      </c>
      <c r="AC101" s="35"/>
      <c r="AD101" s="40" t="str">
        <f>""</f>
        <v/>
      </c>
      <c r="AE101" s="35" t="str">
        <f>""</f>
        <v/>
      </c>
      <c r="AF101" s="40" t="str">
        <f>""</f>
        <v/>
      </c>
      <c r="AG101" s="35" t="str">
        <f>""</f>
        <v/>
      </c>
      <c r="AH101" s="40" t="str">
        <f>""</f>
        <v/>
      </c>
      <c r="AI101" s="35" t="str">
        <f>""</f>
        <v/>
      </c>
      <c r="AJ101" s="40"/>
      <c r="AK101" s="35"/>
      <c r="AL101" s="13" t="str">
        <f>""</f>
        <v/>
      </c>
      <c r="AM101" s="35" t="str">
        <f>""</f>
        <v/>
      </c>
    </row>
    <row r="102" spans="2:39" s="2" customFormat="1" x14ac:dyDescent="0.2">
      <c r="B102" s="4"/>
      <c r="C102" s="4"/>
      <c r="D102" s="4"/>
      <c r="E102" s="4"/>
      <c r="F102" s="13"/>
      <c r="G102" s="13"/>
      <c r="H102" s="13"/>
      <c r="I102" s="13"/>
      <c r="J102" s="13"/>
      <c r="K102" s="13"/>
      <c r="L102" s="13"/>
      <c r="M102" s="13"/>
      <c r="U102" s="65" t="s">
        <v>60</v>
      </c>
      <c r="V102" s="40" t="str">
        <f>""</f>
        <v/>
      </c>
      <c r="W102" s="13" t="str">
        <f>""</f>
        <v/>
      </c>
      <c r="X102" s="13" t="str">
        <f>""</f>
        <v/>
      </c>
      <c r="Y102" s="35" t="str">
        <f>""</f>
        <v/>
      </c>
      <c r="Z102" s="34" t="str">
        <f>""</f>
        <v/>
      </c>
      <c r="AA102" s="13">
        <v>0</v>
      </c>
      <c r="AB102" s="13" t="str">
        <f>""</f>
        <v/>
      </c>
      <c r="AC102" s="35"/>
      <c r="AD102" s="40" t="str">
        <f>""</f>
        <v/>
      </c>
      <c r="AE102" s="35" t="str">
        <f>""</f>
        <v/>
      </c>
      <c r="AF102" s="40" t="str">
        <f>""</f>
        <v/>
      </c>
      <c r="AG102" s="35" t="str">
        <f>""</f>
        <v/>
      </c>
      <c r="AH102" s="40" t="str">
        <f>""</f>
        <v/>
      </c>
      <c r="AI102" s="35" t="str">
        <f>""</f>
        <v/>
      </c>
      <c r="AJ102" s="40"/>
      <c r="AK102" s="35"/>
      <c r="AL102" s="13" t="str">
        <f>""</f>
        <v/>
      </c>
      <c r="AM102" s="35" t="str">
        <f>""</f>
        <v/>
      </c>
    </row>
    <row r="103" spans="2:39" s="2" customFormat="1" x14ac:dyDescent="0.2">
      <c r="B103" s="4"/>
      <c r="C103" s="4"/>
      <c r="D103" s="4"/>
      <c r="E103" s="4"/>
      <c r="F103" s="13"/>
      <c r="G103" s="13"/>
      <c r="H103" s="13"/>
      <c r="I103" s="13"/>
      <c r="J103" s="13"/>
      <c r="K103" s="13"/>
      <c r="L103" s="13"/>
      <c r="M103" s="13"/>
      <c r="U103" s="65" t="s">
        <v>61</v>
      </c>
      <c r="V103" s="40" t="str">
        <f>""</f>
        <v/>
      </c>
      <c r="W103" s="13" t="str">
        <f>""</f>
        <v/>
      </c>
      <c r="X103" s="13" t="str">
        <f>""</f>
        <v/>
      </c>
      <c r="Y103" s="35" t="str">
        <f>""</f>
        <v/>
      </c>
      <c r="Z103" s="34" t="str">
        <f>""</f>
        <v/>
      </c>
      <c r="AA103" s="13">
        <v>0</v>
      </c>
      <c r="AB103" s="13" t="str">
        <f>""</f>
        <v/>
      </c>
      <c r="AC103" s="35"/>
      <c r="AD103" s="40" t="str">
        <f>""</f>
        <v/>
      </c>
      <c r="AE103" s="35" t="str">
        <f>""</f>
        <v/>
      </c>
      <c r="AF103" s="40" t="str">
        <f>""</f>
        <v/>
      </c>
      <c r="AG103" s="35" t="str">
        <f>""</f>
        <v/>
      </c>
      <c r="AH103" s="40" t="str">
        <f>""</f>
        <v/>
      </c>
      <c r="AI103" s="35" t="str">
        <f>""</f>
        <v/>
      </c>
      <c r="AJ103" s="40"/>
      <c r="AK103" s="35"/>
      <c r="AL103" s="13" t="str">
        <f>""</f>
        <v/>
      </c>
      <c r="AM103" s="35" t="str">
        <f>""</f>
        <v/>
      </c>
    </row>
    <row r="104" spans="2:39" s="2" customFormat="1" x14ac:dyDescent="0.2">
      <c r="B104" s="4"/>
      <c r="C104" s="4"/>
      <c r="D104" s="4"/>
      <c r="E104" s="4"/>
      <c r="F104" s="13"/>
      <c r="G104" s="13"/>
      <c r="H104" s="13"/>
      <c r="I104" s="13"/>
      <c r="J104" s="13"/>
      <c r="K104" s="13"/>
      <c r="L104" s="13"/>
      <c r="M104" s="13"/>
      <c r="U104" s="65" t="s">
        <v>62</v>
      </c>
      <c r="V104" s="40" t="str">
        <f>""</f>
        <v/>
      </c>
      <c r="W104" s="13" t="str">
        <f>""</f>
        <v/>
      </c>
      <c r="X104" s="13" t="str">
        <f>""</f>
        <v/>
      </c>
      <c r="Y104" s="35" t="str">
        <f>""</f>
        <v/>
      </c>
      <c r="Z104" s="34" t="str">
        <f>""</f>
        <v/>
      </c>
      <c r="AA104" s="13">
        <v>0</v>
      </c>
      <c r="AB104" s="13" t="str">
        <f>""</f>
        <v/>
      </c>
      <c r="AC104" s="35"/>
      <c r="AD104" s="40" t="str">
        <f>""</f>
        <v/>
      </c>
      <c r="AE104" s="35" t="str">
        <f>""</f>
        <v/>
      </c>
      <c r="AF104" s="40" t="str">
        <f>""</f>
        <v/>
      </c>
      <c r="AG104" s="35" t="str">
        <f>""</f>
        <v/>
      </c>
      <c r="AH104" s="40" t="str">
        <f>""</f>
        <v/>
      </c>
      <c r="AI104" s="35" t="str">
        <f>""</f>
        <v/>
      </c>
      <c r="AJ104" s="40"/>
      <c r="AK104" s="35"/>
      <c r="AL104" s="13" t="str">
        <f>""</f>
        <v/>
      </c>
      <c r="AM104" s="35" t="str">
        <f>""</f>
        <v/>
      </c>
    </row>
    <row r="105" spans="2:39" s="2" customFormat="1" x14ac:dyDescent="0.2">
      <c r="B105" s="4"/>
      <c r="C105" s="4"/>
      <c r="D105" s="4"/>
      <c r="E105" s="4"/>
      <c r="F105" s="13"/>
      <c r="G105" s="13"/>
      <c r="H105" s="13"/>
      <c r="I105" s="13"/>
      <c r="J105" s="13"/>
      <c r="K105" s="13"/>
      <c r="L105" s="13"/>
      <c r="M105" s="13"/>
      <c r="U105" s="65" t="s">
        <v>63</v>
      </c>
      <c r="V105" s="40" t="str">
        <f>""</f>
        <v/>
      </c>
      <c r="W105" s="13" t="str">
        <f>""</f>
        <v/>
      </c>
      <c r="X105" s="13" t="str">
        <f>""</f>
        <v/>
      </c>
      <c r="Y105" s="35" t="str">
        <f>""</f>
        <v/>
      </c>
      <c r="Z105" s="34" t="str">
        <f>""</f>
        <v/>
      </c>
      <c r="AA105" s="13">
        <v>0</v>
      </c>
      <c r="AB105" s="13" t="str">
        <f>""</f>
        <v/>
      </c>
      <c r="AC105" s="35"/>
      <c r="AD105" s="40" t="str">
        <f>""</f>
        <v/>
      </c>
      <c r="AE105" s="35" t="str">
        <f>""</f>
        <v/>
      </c>
      <c r="AF105" s="40" t="str">
        <f>""</f>
        <v/>
      </c>
      <c r="AG105" s="35" t="str">
        <f>""</f>
        <v/>
      </c>
      <c r="AH105" s="40" t="str">
        <f>""</f>
        <v/>
      </c>
      <c r="AI105" s="35" t="str">
        <f>""</f>
        <v/>
      </c>
      <c r="AJ105" s="40"/>
      <c r="AK105" s="35"/>
      <c r="AL105" s="13" t="str">
        <f>""</f>
        <v/>
      </c>
      <c r="AM105" s="35" t="str">
        <f>""</f>
        <v/>
      </c>
    </row>
    <row r="106" spans="2:39" s="2" customFormat="1" x14ac:dyDescent="0.2">
      <c r="B106" s="4"/>
      <c r="C106" s="4"/>
      <c r="D106" s="4"/>
      <c r="E106" s="4"/>
      <c r="F106" s="13"/>
      <c r="G106" s="13"/>
      <c r="H106" s="13"/>
      <c r="I106" s="13"/>
      <c r="J106" s="13"/>
      <c r="K106" s="13"/>
      <c r="L106" s="13"/>
      <c r="M106" s="13"/>
      <c r="U106" s="65" t="s">
        <v>64</v>
      </c>
      <c r="V106" s="40" t="str">
        <f>""</f>
        <v/>
      </c>
      <c r="W106" s="13" t="str">
        <f>""</f>
        <v/>
      </c>
      <c r="X106" s="13" t="str">
        <f>""</f>
        <v/>
      </c>
      <c r="Y106" s="35" t="str">
        <f>""</f>
        <v/>
      </c>
      <c r="Z106" s="34" t="str">
        <f>""</f>
        <v/>
      </c>
      <c r="AA106" s="13">
        <v>0</v>
      </c>
      <c r="AB106" s="13" t="str">
        <f>""</f>
        <v/>
      </c>
      <c r="AC106" s="35"/>
      <c r="AD106" s="40" t="str">
        <f>""</f>
        <v/>
      </c>
      <c r="AE106" s="35" t="str">
        <f>""</f>
        <v/>
      </c>
      <c r="AF106" s="40" t="str">
        <f>""</f>
        <v/>
      </c>
      <c r="AG106" s="35" t="str">
        <f>""</f>
        <v/>
      </c>
      <c r="AH106" s="40" t="str">
        <f>""</f>
        <v/>
      </c>
      <c r="AI106" s="35" t="str">
        <f>""</f>
        <v/>
      </c>
      <c r="AJ106" s="40"/>
      <c r="AK106" s="35"/>
      <c r="AL106" s="13" t="str">
        <f>""</f>
        <v/>
      </c>
      <c r="AM106" s="35" t="str">
        <f>""</f>
        <v/>
      </c>
    </row>
    <row r="107" spans="2:39" s="2" customFormat="1" x14ac:dyDescent="0.2">
      <c r="B107" s="4"/>
      <c r="C107" s="4"/>
      <c r="D107" s="4"/>
      <c r="E107" s="4"/>
      <c r="F107" s="13"/>
      <c r="G107" s="13"/>
      <c r="H107" s="13"/>
      <c r="I107" s="13"/>
      <c r="J107" s="13"/>
      <c r="K107" s="13"/>
      <c r="L107" s="13"/>
      <c r="M107" s="13"/>
      <c r="U107" s="65" t="s">
        <v>65</v>
      </c>
      <c r="V107" s="40" t="str">
        <f>""</f>
        <v/>
      </c>
      <c r="W107" s="13" t="str">
        <f>""</f>
        <v/>
      </c>
      <c r="X107" s="13" t="str">
        <f>""</f>
        <v/>
      </c>
      <c r="Y107" s="35" t="str">
        <f>""</f>
        <v/>
      </c>
      <c r="Z107" s="34" t="str">
        <f>""</f>
        <v/>
      </c>
      <c r="AA107" s="13">
        <v>0</v>
      </c>
      <c r="AB107" s="13" t="str">
        <f>""</f>
        <v/>
      </c>
      <c r="AC107" s="35"/>
      <c r="AD107" s="40" t="str">
        <f>""</f>
        <v/>
      </c>
      <c r="AE107" s="35" t="str">
        <f>""</f>
        <v/>
      </c>
      <c r="AF107" s="40" t="str">
        <f>""</f>
        <v/>
      </c>
      <c r="AG107" s="35" t="str">
        <f>""</f>
        <v/>
      </c>
      <c r="AH107" s="40" t="str">
        <f>""</f>
        <v/>
      </c>
      <c r="AI107" s="35" t="str">
        <f>""</f>
        <v/>
      </c>
      <c r="AJ107" s="40"/>
      <c r="AK107" s="35"/>
      <c r="AL107" s="13" t="str">
        <f>""</f>
        <v/>
      </c>
      <c r="AM107" s="35" t="str">
        <f>""</f>
        <v/>
      </c>
    </row>
    <row r="108" spans="2:39" s="2" customFormat="1" x14ac:dyDescent="0.2">
      <c r="B108" s="4"/>
      <c r="C108" s="4"/>
      <c r="D108" s="4"/>
      <c r="E108" s="4"/>
      <c r="F108" s="13"/>
      <c r="G108" s="13"/>
      <c r="H108" s="13"/>
      <c r="I108" s="13"/>
      <c r="J108" s="13"/>
      <c r="K108" s="13"/>
      <c r="L108" s="13"/>
      <c r="M108" s="13"/>
      <c r="U108" s="65" t="s">
        <v>66</v>
      </c>
      <c r="V108" s="40" t="str">
        <f>""</f>
        <v/>
      </c>
      <c r="W108" s="13" t="str">
        <f>""</f>
        <v/>
      </c>
      <c r="X108" s="13" t="str">
        <f>""</f>
        <v/>
      </c>
      <c r="Y108" s="35" t="str">
        <f>""</f>
        <v/>
      </c>
      <c r="Z108" s="34" t="str">
        <f>""</f>
        <v/>
      </c>
      <c r="AA108" s="13">
        <v>0</v>
      </c>
      <c r="AB108" s="13" t="str">
        <f>""</f>
        <v/>
      </c>
      <c r="AC108" s="35"/>
      <c r="AD108" s="40" t="str">
        <f>""</f>
        <v/>
      </c>
      <c r="AE108" s="35" t="str">
        <f>""</f>
        <v/>
      </c>
      <c r="AF108" s="40" t="str">
        <f>""</f>
        <v/>
      </c>
      <c r="AG108" s="35" t="str">
        <f>""</f>
        <v/>
      </c>
      <c r="AH108" s="40" t="str">
        <f>""</f>
        <v/>
      </c>
      <c r="AI108" s="35" t="str">
        <f>""</f>
        <v/>
      </c>
      <c r="AJ108" s="40"/>
      <c r="AK108" s="35"/>
      <c r="AL108" s="13" t="str">
        <f>""</f>
        <v/>
      </c>
      <c r="AM108" s="35" t="str">
        <f>""</f>
        <v/>
      </c>
    </row>
    <row r="109" spans="2:39" s="2" customFormat="1" x14ac:dyDescent="0.2">
      <c r="B109" s="4"/>
      <c r="C109" s="4"/>
      <c r="D109" s="4"/>
      <c r="E109" s="4"/>
      <c r="F109" s="13"/>
      <c r="G109" s="13"/>
      <c r="H109" s="13"/>
      <c r="I109" s="13"/>
      <c r="J109" s="13"/>
      <c r="K109" s="13"/>
      <c r="L109" s="13"/>
      <c r="M109" s="13"/>
      <c r="U109" s="65" t="s">
        <v>67</v>
      </c>
      <c r="V109" s="40" t="str">
        <f>""</f>
        <v/>
      </c>
      <c r="W109" s="13" t="str">
        <f>""</f>
        <v/>
      </c>
      <c r="X109" s="13" t="str">
        <f>""</f>
        <v/>
      </c>
      <c r="Y109" s="35" t="str">
        <f>""</f>
        <v/>
      </c>
      <c r="Z109" s="34" t="str">
        <f>""</f>
        <v/>
      </c>
      <c r="AA109" s="13">
        <v>0</v>
      </c>
      <c r="AB109" s="13" t="str">
        <f>""</f>
        <v/>
      </c>
      <c r="AC109" s="35"/>
      <c r="AD109" s="40" t="str">
        <f>""</f>
        <v/>
      </c>
      <c r="AE109" s="35" t="str">
        <f>""</f>
        <v/>
      </c>
      <c r="AF109" s="40" t="str">
        <f>""</f>
        <v/>
      </c>
      <c r="AG109" s="35" t="str">
        <f>""</f>
        <v/>
      </c>
      <c r="AH109" s="40" t="str">
        <f>""</f>
        <v/>
      </c>
      <c r="AI109" s="35" t="str">
        <f>""</f>
        <v/>
      </c>
      <c r="AJ109" s="40"/>
      <c r="AK109" s="35"/>
      <c r="AL109" s="13" t="str">
        <f>""</f>
        <v/>
      </c>
      <c r="AM109" s="35" t="str">
        <f>""</f>
        <v/>
      </c>
    </row>
    <row r="110" spans="2:39" s="2" customFormat="1" x14ac:dyDescent="0.2">
      <c r="B110" s="4"/>
      <c r="C110" s="4"/>
      <c r="D110" s="4"/>
      <c r="E110" s="4"/>
      <c r="F110" s="13"/>
      <c r="G110" s="13"/>
      <c r="H110" s="13"/>
      <c r="I110" s="13"/>
      <c r="J110" s="13"/>
      <c r="K110" s="13"/>
      <c r="L110" s="13"/>
      <c r="M110" s="13"/>
      <c r="U110" s="65" t="s">
        <v>68</v>
      </c>
      <c r="V110" s="40" t="str">
        <f>""</f>
        <v/>
      </c>
      <c r="W110" s="13" t="str">
        <f>""</f>
        <v/>
      </c>
      <c r="X110" s="13" t="str">
        <f>""</f>
        <v/>
      </c>
      <c r="Y110" s="35" t="str">
        <f>""</f>
        <v/>
      </c>
      <c r="Z110" s="34" t="str">
        <f>""</f>
        <v/>
      </c>
      <c r="AA110" s="13">
        <v>0</v>
      </c>
      <c r="AB110" s="13" t="str">
        <f>""</f>
        <v/>
      </c>
      <c r="AC110" s="35"/>
      <c r="AD110" s="40" t="str">
        <f>""</f>
        <v/>
      </c>
      <c r="AE110" s="35" t="str">
        <f>""</f>
        <v/>
      </c>
      <c r="AF110" s="40" t="str">
        <f>""</f>
        <v/>
      </c>
      <c r="AG110" s="35" t="str">
        <f>""</f>
        <v/>
      </c>
      <c r="AH110" s="40" t="str">
        <f>""</f>
        <v/>
      </c>
      <c r="AI110" s="35" t="str">
        <f>""</f>
        <v/>
      </c>
      <c r="AJ110" s="40"/>
      <c r="AK110" s="35"/>
      <c r="AL110" s="13" t="str">
        <f>""</f>
        <v/>
      </c>
      <c r="AM110" s="35" t="str">
        <f>""</f>
        <v/>
      </c>
    </row>
    <row r="111" spans="2:39" s="2" customFormat="1" x14ac:dyDescent="0.2">
      <c r="B111" s="4"/>
      <c r="C111" s="4"/>
      <c r="D111" s="4"/>
      <c r="E111" s="4"/>
      <c r="F111" s="13"/>
      <c r="G111" s="13"/>
      <c r="H111" s="13"/>
      <c r="I111" s="13"/>
      <c r="J111" s="13"/>
      <c r="K111" s="13"/>
      <c r="L111" s="13"/>
      <c r="M111" s="13"/>
      <c r="U111" s="65" t="s">
        <v>69</v>
      </c>
      <c r="V111" s="40" t="str">
        <f>""</f>
        <v/>
      </c>
      <c r="W111" s="13" t="str">
        <f>""</f>
        <v/>
      </c>
      <c r="X111" s="13" t="str">
        <f>""</f>
        <v/>
      </c>
      <c r="Y111" s="35" t="str">
        <f>""</f>
        <v/>
      </c>
      <c r="Z111" s="34" t="str">
        <f>""</f>
        <v/>
      </c>
      <c r="AA111" s="13">
        <v>0</v>
      </c>
      <c r="AB111" s="13" t="str">
        <f>""</f>
        <v/>
      </c>
      <c r="AC111" s="35"/>
      <c r="AD111" s="40" t="str">
        <f>""</f>
        <v/>
      </c>
      <c r="AE111" s="35" t="str">
        <f>""</f>
        <v/>
      </c>
      <c r="AF111" s="40" t="str">
        <f>""</f>
        <v/>
      </c>
      <c r="AG111" s="35" t="str">
        <f>""</f>
        <v/>
      </c>
      <c r="AH111" s="40" t="str">
        <f>""</f>
        <v/>
      </c>
      <c r="AI111" s="35" t="str">
        <f>""</f>
        <v/>
      </c>
      <c r="AJ111" s="40"/>
      <c r="AK111" s="35"/>
      <c r="AL111" s="13" t="str">
        <f>""</f>
        <v/>
      </c>
      <c r="AM111" s="35" t="str">
        <f>""</f>
        <v/>
      </c>
    </row>
    <row r="112" spans="2:39" s="2" customFormat="1" x14ac:dyDescent="0.2">
      <c r="B112" s="4"/>
      <c r="C112" s="4"/>
      <c r="D112" s="4"/>
      <c r="E112" s="4"/>
      <c r="F112" s="13"/>
      <c r="G112" s="13"/>
      <c r="H112" s="13"/>
      <c r="I112" s="13"/>
      <c r="J112" s="13"/>
      <c r="K112" s="13"/>
      <c r="L112" s="13"/>
      <c r="M112" s="13"/>
      <c r="U112" s="65" t="s">
        <v>70</v>
      </c>
      <c r="V112" s="40" t="str">
        <f>""</f>
        <v/>
      </c>
      <c r="W112" s="13" t="str">
        <f>""</f>
        <v/>
      </c>
      <c r="X112" s="13" t="str">
        <f>""</f>
        <v/>
      </c>
      <c r="Y112" s="35" t="str">
        <f>""</f>
        <v/>
      </c>
      <c r="Z112" s="34" t="str">
        <f>""</f>
        <v/>
      </c>
      <c r="AA112" s="13">
        <v>0</v>
      </c>
      <c r="AB112" s="13" t="str">
        <f>""</f>
        <v/>
      </c>
      <c r="AC112" s="35"/>
      <c r="AD112" s="40" t="str">
        <f>""</f>
        <v/>
      </c>
      <c r="AE112" s="35" t="str">
        <f>""</f>
        <v/>
      </c>
      <c r="AF112" s="40" t="str">
        <f>""</f>
        <v/>
      </c>
      <c r="AG112" s="35" t="str">
        <f>""</f>
        <v/>
      </c>
      <c r="AH112" s="40" t="str">
        <f>""</f>
        <v/>
      </c>
      <c r="AI112" s="35" t="str">
        <f>""</f>
        <v/>
      </c>
      <c r="AJ112" s="40"/>
      <c r="AK112" s="35"/>
      <c r="AL112" s="13" t="str">
        <f>""</f>
        <v/>
      </c>
      <c r="AM112" s="35" t="str">
        <f>""</f>
        <v/>
      </c>
    </row>
    <row r="113" spans="2:39" s="2" customFormat="1" x14ac:dyDescent="0.2">
      <c r="B113" s="4"/>
      <c r="C113" s="4"/>
      <c r="D113" s="4"/>
      <c r="E113" s="4"/>
      <c r="F113" s="13"/>
      <c r="G113" s="13"/>
      <c r="H113" s="13"/>
      <c r="I113" s="13"/>
      <c r="J113" s="13"/>
      <c r="K113" s="13"/>
      <c r="L113" s="13"/>
      <c r="M113" s="13"/>
      <c r="U113" s="65" t="s">
        <v>71</v>
      </c>
      <c r="V113" s="40" t="str">
        <f>""</f>
        <v/>
      </c>
      <c r="W113" s="13" t="str">
        <f>""</f>
        <v/>
      </c>
      <c r="X113" s="13" t="str">
        <f>""</f>
        <v/>
      </c>
      <c r="Y113" s="35" t="str">
        <f>""</f>
        <v/>
      </c>
      <c r="Z113" s="34" t="str">
        <f>""</f>
        <v/>
      </c>
      <c r="AA113" s="13">
        <v>0</v>
      </c>
      <c r="AB113" s="13" t="str">
        <f>""</f>
        <v/>
      </c>
      <c r="AC113" s="35"/>
      <c r="AD113" s="40" t="str">
        <f>""</f>
        <v/>
      </c>
      <c r="AE113" s="35" t="str">
        <f>""</f>
        <v/>
      </c>
      <c r="AF113" s="40" t="str">
        <f>""</f>
        <v/>
      </c>
      <c r="AG113" s="35" t="str">
        <f>""</f>
        <v/>
      </c>
      <c r="AH113" s="40" t="str">
        <f>""</f>
        <v/>
      </c>
      <c r="AI113" s="35" t="str">
        <f>""</f>
        <v/>
      </c>
      <c r="AJ113" s="40"/>
      <c r="AK113" s="35"/>
      <c r="AL113" s="13" t="str">
        <f>""</f>
        <v/>
      </c>
      <c r="AM113" s="35" t="str">
        <f>""</f>
        <v/>
      </c>
    </row>
    <row r="114" spans="2:39" s="2" customFormat="1" x14ac:dyDescent="0.2">
      <c r="B114" s="4"/>
      <c r="C114" s="4"/>
      <c r="D114" s="4"/>
      <c r="E114" s="4"/>
      <c r="F114" s="13"/>
      <c r="G114" s="13"/>
      <c r="H114" s="13"/>
      <c r="I114" s="13"/>
      <c r="J114" s="13"/>
      <c r="K114" s="13"/>
      <c r="L114" s="13"/>
      <c r="M114" s="13"/>
      <c r="U114" s="65" t="s">
        <v>72</v>
      </c>
      <c r="V114" s="40" t="str">
        <f>""</f>
        <v/>
      </c>
      <c r="W114" s="13" t="str">
        <f>""</f>
        <v/>
      </c>
      <c r="X114" s="13" t="str">
        <f>""</f>
        <v/>
      </c>
      <c r="Y114" s="35" t="str">
        <f>""</f>
        <v/>
      </c>
      <c r="Z114" s="34" t="str">
        <f>""</f>
        <v/>
      </c>
      <c r="AA114" s="13">
        <v>0</v>
      </c>
      <c r="AB114" s="13" t="str">
        <f>""</f>
        <v/>
      </c>
      <c r="AC114" s="35"/>
      <c r="AD114" s="40" t="str">
        <f>""</f>
        <v/>
      </c>
      <c r="AE114" s="35" t="str">
        <f>""</f>
        <v/>
      </c>
      <c r="AF114" s="40" t="str">
        <f>""</f>
        <v/>
      </c>
      <c r="AG114" s="35" t="str">
        <f>""</f>
        <v/>
      </c>
      <c r="AH114" s="40" t="str">
        <f>""</f>
        <v/>
      </c>
      <c r="AI114" s="35" t="str">
        <f>""</f>
        <v/>
      </c>
      <c r="AJ114" s="40"/>
      <c r="AK114" s="35"/>
      <c r="AL114" s="13" t="str">
        <f>""</f>
        <v/>
      </c>
      <c r="AM114" s="35" t="str">
        <f>""</f>
        <v/>
      </c>
    </row>
    <row r="115" spans="2:39" s="2" customFormat="1" x14ac:dyDescent="0.2">
      <c r="B115" s="4"/>
      <c r="C115" s="4"/>
      <c r="D115" s="4"/>
      <c r="E115" s="4"/>
      <c r="F115" s="13"/>
      <c r="G115" s="13"/>
      <c r="H115" s="13"/>
      <c r="I115" s="13"/>
      <c r="J115" s="13"/>
      <c r="K115" s="13"/>
      <c r="L115" s="13"/>
      <c r="M115" s="13"/>
      <c r="U115" s="65" t="s">
        <v>73</v>
      </c>
      <c r="V115" s="40" t="str">
        <f>""</f>
        <v/>
      </c>
      <c r="W115" s="13" t="str">
        <f>""</f>
        <v/>
      </c>
      <c r="X115" s="13" t="str">
        <f>""</f>
        <v/>
      </c>
      <c r="Y115" s="35" t="str">
        <f>""</f>
        <v/>
      </c>
      <c r="Z115" s="34" t="str">
        <f>""</f>
        <v/>
      </c>
      <c r="AA115" s="13">
        <v>0</v>
      </c>
      <c r="AB115" s="13" t="str">
        <f>""</f>
        <v/>
      </c>
      <c r="AC115" s="35"/>
      <c r="AD115" s="40" t="str">
        <f>""</f>
        <v/>
      </c>
      <c r="AE115" s="35" t="str">
        <f>""</f>
        <v/>
      </c>
      <c r="AF115" s="40" t="str">
        <f>""</f>
        <v/>
      </c>
      <c r="AG115" s="35" t="str">
        <f>""</f>
        <v/>
      </c>
      <c r="AH115" s="40" t="str">
        <f>""</f>
        <v/>
      </c>
      <c r="AI115" s="35" t="str">
        <f>""</f>
        <v/>
      </c>
      <c r="AJ115" s="40"/>
      <c r="AK115" s="35"/>
      <c r="AL115" s="13" t="str">
        <f>""</f>
        <v/>
      </c>
      <c r="AM115" s="35" t="str">
        <f>""</f>
        <v/>
      </c>
    </row>
    <row r="116" spans="2:39" s="2" customFormat="1" x14ac:dyDescent="0.2">
      <c r="B116" s="4"/>
      <c r="C116" s="4"/>
      <c r="D116" s="4"/>
      <c r="E116" s="4"/>
      <c r="F116" s="13"/>
      <c r="G116" s="13"/>
      <c r="H116" s="13"/>
      <c r="I116" s="13"/>
      <c r="J116" s="13"/>
      <c r="K116" s="13"/>
      <c r="L116" s="13"/>
      <c r="M116" s="13"/>
      <c r="U116" s="65" t="s">
        <v>74</v>
      </c>
      <c r="V116" s="40" t="str">
        <f>""</f>
        <v/>
      </c>
      <c r="W116" s="13" t="str">
        <f>""</f>
        <v/>
      </c>
      <c r="X116" s="13" t="str">
        <f>""</f>
        <v/>
      </c>
      <c r="Y116" s="35" t="str">
        <f>""</f>
        <v/>
      </c>
      <c r="Z116" s="34" t="str">
        <f>""</f>
        <v/>
      </c>
      <c r="AA116" s="13">
        <v>0</v>
      </c>
      <c r="AB116" s="13" t="str">
        <f>""</f>
        <v/>
      </c>
      <c r="AC116" s="35"/>
      <c r="AD116" s="40" t="str">
        <f>""</f>
        <v/>
      </c>
      <c r="AE116" s="35" t="str">
        <f>""</f>
        <v/>
      </c>
      <c r="AF116" s="40" t="str">
        <f>""</f>
        <v/>
      </c>
      <c r="AG116" s="35" t="str">
        <f>""</f>
        <v/>
      </c>
      <c r="AH116" s="40" t="str">
        <f>""</f>
        <v/>
      </c>
      <c r="AI116" s="35" t="str">
        <f>""</f>
        <v/>
      </c>
      <c r="AJ116" s="40"/>
      <c r="AK116" s="35"/>
      <c r="AL116" s="13" t="str">
        <f>""</f>
        <v/>
      </c>
      <c r="AM116" s="35" t="str">
        <f>""</f>
        <v/>
      </c>
    </row>
    <row r="117" spans="2:39" s="2" customFormat="1" x14ac:dyDescent="0.2">
      <c r="B117" s="4"/>
      <c r="C117" s="4"/>
      <c r="D117" s="4"/>
      <c r="E117" s="4"/>
      <c r="F117" s="13"/>
      <c r="G117" s="13"/>
      <c r="H117" s="13"/>
      <c r="I117" s="13"/>
      <c r="J117" s="13"/>
      <c r="K117" s="13"/>
      <c r="L117" s="13"/>
      <c r="M117" s="13"/>
      <c r="U117" s="65" t="s">
        <v>75</v>
      </c>
      <c r="V117" s="40" t="str">
        <f>""</f>
        <v/>
      </c>
      <c r="W117" s="13" t="str">
        <f>""</f>
        <v/>
      </c>
      <c r="X117" s="13" t="str">
        <f>""</f>
        <v/>
      </c>
      <c r="Y117" s="35" t="str">
        <f>""</f>
        <v/>
      </c>
      <c r="Z117" s="34" t="str">
        <f>""</f>
        <v/>
      </c>
      <c r="AA117" s="13">
        <v>0</v>
      </c>
      <c r="AB117" s="13" t="str">
        <f>""</f>
        <v/>
      </c>
      <c r="AC117" s="35"/>
      <c r="AD117" s="40" t="str">
        <f>""</f>
        <v/>
      </c>
      <c r="AE117" s="35" t="str">
        <f>""</f>
        <v/>
      </c>
      <c r="AF117" s="40" t="str">
        <f>""</f>
        <v/>
      </c>
      <c r="AG117" s="35" t="str">
        <f>""</f>
        <v/>
      </c>
      <c r="AH117" s="40" t="str">
        <f>""</f>
        <v/>
      </c>
      <c r="AI117" s="35" t="str">
        <f>""</f>
        <v/>
      </c>
      <c r="AJ117" s="40"/>
      <c r="AK117" s="35"/>
      <c r="AL117" s="13" t="str">
        <f>""</f>
        <v/>
      </c>
      <c r="AM117" s="35" t="str">
        <f>""</f>
        <v/>
      </c>
    </row>
    <row r="118" spans="2:39" s="2" customFormat="1" x14ac:dyDescent="0.2">
      <c r="B118" s="4"/>
      <c r="C118" s="4"/>
      <c r="D118" s="4"/>
      <c r="E118" s="4"/>
      <c r="F118" s="13"/>
      <c r="G118" s="13"/>
      <c r="H118" s="13"/>
      <c r="I118" s="13"/>
      <c r="J118" s="13"/>
      <c r="K118" s="13"/>
      <c r="L118" s="13"/>
      <c r="M118" s="13"/>
      <c r="U118" s="65" t="s">
        <v>76</v>
      </c>
      <c r="V118" s="40" t="str">
        <f>""</f>
        <v/>
      </c>
      <c r="W118" s="13" t="str">
        <f>""</f>
        <v/>
      </c>
      <c r="X118" s="13" t="str">
        <f>""</f>
        <v/>
      </c>
      <c r="Y118" s="35" t="str">
        <f>""</f>
        <v/>
      </c>
      <c r="Z118" s="34" t="str">
        <f>""</f>
        <v/>
      </c>
      <c r="AA118" s="13">
        <v>0</v>
      </c>
      <c r="AB118" s="13" t="str">
        <f>""</f>
        <v/>
      </c>
      <c r="AC118" s="35"/>
      <c r="AD118" s="40" t="str">
        <f>""</f>
        <v/>
      </c>
      <c r="AE118" s="35" t="str">
        <f>""</f>
        <v/>
      </c>
      <c r="AF118" s="40" t="str">
        <f>""</f>
        <v/>
      </c>
      <c r="AG118" s="35" t="str">
        <f>""</f>
        <v/>
      </c>
      <c r="AH118" s="40" t="str">
        <f>""</f>
        <v/>
      </c>
      <c r="AI118" s="35" t="str">
        <f>""</f>
        <v/>
      </c>
      <c r="AJ118" s="40"/>
      <c r="AK118" s="35"/>
      <c r="AL118" s="13" t="str">
        <f>""</f>
        <v/>
      </c>
      <c r="AM118" s="35" t="str">
        <f>""</f>
        <v/>
      </c>
    </row>
    <row r="119" spans="2:39" s="2" customFormat="1" x14ac:dyDescent="0.2">
      <c r="B119" s="4"/>
      <c r="C119" s="4"/>
      <c r="D119" s="4"/>
      <c r="E119" s="4"/>
      <c r="F119" s="13"/>
      <c r="G119" s="13"/>
      <c r="H119" s="13"/>
      <c r="I119" s="13"/>
      <c r="J119" s="13"/>
      <c r="K119" s="13"/>
      <c r="L119" s="13"/>
      <c r="M119" s="13"/>
      <c r="U119" s="65" t="s">
        <v>77</v>
      </c>
      <c r="V119" s="40" t="str">
        <f>""</f>
        <v/>
      </c>
      <c r="W119" s="13" t="str">
        <f>""</f>
        <v/>
      </c>
      <c r="X119" s="13" t="str">
        <f>""</f>
        <v/>
      </c>
      <c r="Y119" s="35" t="str">
        <f>""</f>
        <v/>
      </c>
      <c r="Z119" s="34" t="str">
        <f>""</f>
        <v/>
      </c>
      <c r="AA119" s="13">
        <v>0</v>
      </c>
      <c r="AB119" s="13" t="str">
        <f>""</f>
        <v/>
      </c>
      <c r="AC119" s="35"/>
      <c r="AD119" s="40" t="str">
        <f>""</f>
        <v/>
      </c>
      <c r="AE119" s="35" t="str">
        <f>""</f>
        <v/>
      </c>
      <c r="AF119" s="40" t="str">
        <f>""</f>
        <v/>
      </c>
      <c r="AG119" s="35" t="str">
        <f>""</f>
        <v/>
      </c>
      <c r="AH119" s="40" t="str">
        <f>""</f>
        <v/>
      </c>
      <c r="AI119" s="35" t="str">
        <f>""</f>
        <v/>
      </c>
      <c r="AJ119" s="40"/>
      <c r="AK119" s="35"/>
      <c r="AL119" s="13" t="str">
        <f>""</f>
        <v/>
      </c>
      <c r="AM119" s="35" t="str">
        <f>""</f>
        <v/>
      </c>
    </row>
    <row r="120" spans="2:39" s="2" customFormat="1" x14ac:dyDescent="0.2">
      <c r="B120" s="4"/>
      <c r="C120" s="4"/>
      <c r="D120" s="4"/>
      <c r="E120" s="4"/>
      <c r="F120" s="13"/>
      <c r="G120" s="13"/>
      <c r="H120" s="13"/>
      <c r="I120" s="13"/>
      <c r="J120" s="13"/>
      <c r="K120" s="13"/>
      <c r="L120" s="13"/>
      <c r="M120" s="13"/>
      <c r="U120" s="65" t="s">
        <v>78</v>
      </c>
      <c r="V120" s="40" t="str">
        <f>""</f>
        <v/>
      </c>
      <c r="W120" s="13" t="str">
        <f>""</f>
        <v/>
      </c>
      <c r="X120" s="13" t="str">
        <f>""</f>
        <v/>
      </c>
      <c r="Y120" s="35" t="str">
        <f>""</f>
        <v/>
      </c>
      <c r="Z120" s="34" t="str">
        <f>""</f>
        <v/>
      </c>
      <c r="AA120" s="13">
        <v>0</v>
      </c>
      <c r="AB120" s="13" t="str">
        <f>""</f>
        <v/>
      </c>
      <c r="AC120" s="35"/>
      <c r="AD120" s="40" t="str">
        <f>""</f>
        <v/>
      </c>
      <c r="AE120" s="35" t="str">
        <f>""</f>
        <v/>
      </c>
      <c r="AF120" s="40" t="str">
        <f>""</f>
        <v/>
      </c>
      <c r="AG120" s="35" t="str">
        <f>""</f>
        <v/>
      </c>
      <c r="AH120" s="40" t="str">
        <f>""</f>
        <v/>
      </c>
      <c r="AI120" s="35" t="str">
        <f>""</f>
        <v/>
      </c>
      <c r="AJ120" s="40"/>
      <c r="AK120" s="35"/>
      <c r="AL120" s="13" t="str">
        <f>""</f>
        <v/>
      </c>
      <c r="AM120" s="35" t="str">
        <f>""</f>
        <v/>
      </c>
    </row>
    <row r="121" spans="2:39" s="2" customFormat="1" x14ac:dyDescent="0.2">
      <c r="B121" s="4"/>
      <c r="C121" s="4"/>
      <c r="D121" s="4"/>
      <c r="E121" s="4"/>
      <c r="F121" s="13"/>
      <c r="G121" s="13"/>
      <c r="H121" s="13"/>
      <c r="I121" s="13"/>
      <c r="J121" s="13"/>
      <c r="K121" s="13"/>
      <c r="L121" s="13"/>
      <c r="M121" s="13"/>
      <c r="U121" s="65" t="s">
        <v>79</v>
      </c>
      <c r="V121" s="40" t="str">
        <f>""</f>
        <v/>
      </c>
      <c r="W121" s="13" t="str">
        <f>""</f>
        <v/>
      </c>
      <c r="X121" s="13" t="str">
        <f>""</f>
        <v/>
      </c>
      <c r="Y121" s="35" t="str">
        <f>""</f>
        <v/>
      </c>
      <c r="Z121" s="34" t="str">
        <f>""</f>
        <v/>
      </c>
      <c r="AA121" s="13">
        <v>0</v>
      </c>
      <c r="AB121" s="13" t="str">
        <f>""</f>
        <v/>
      </c>
      <c r="AC121" s="35"/>
      <c r="AD121" s="40" t="str">
        <f>""</f>
        <v/>
      </c>
      <c r="AE121" s="35" t="str">
        <f>""</f>
        <v/>
      </c>
      <c r="AF121" s="40" t="str">
        <f>""</f>
        <v/>
      </c>
      <c r="AG121" s="35" t="str">
        <f>""</f>
        <v/>
      </c>
      <c r="AH121" s="40" t="str">
        <f>""</f>
        <v/>
      </c>
      <c r="AI121" s="35" t="str">
        <f>""</f>
        <v/>
      </c>
      <c r="AJ121" s="40"/>
      <c r="AK121" s="35"/>
      <c r="AL121" s="13" t="str">
        <f>""</f>
        <v/>
      </c>
      <c r="AM121" s="35" t="str">
        <f>""</f>
        <v/>
      </c>
    </row>
    <row r="122" spans="2:39" s="2" customFormat="1" x14ac:dyDescent="0.2">
      <c r="B122" s="4"/>
      <c r="C122" s="4"/>
      <c r="D122" s="4"/>
      <c r="E122" s="4"/>
      <c r="F122" s="13"/>
      <c r="G122" s="13"/>
      <c r="H122" s="13"/>
      <c r="I122" s="13"/>
      <c r="J122" s="13"/>
      <c r="K122" s="13"/>
      <c r="L122" s="13"/>
      <c r="M122" s="13"/>
      <c r="U122" s="65" t="s">
        <v>80</v>
      </c>
      <c r="V122" s="40" t="str">
        <f>""</f>
        <v/>
      </c>
      <c r="W122" s="13" t="str">
        <f>""</f>
        <v/>
      </c>
      <c r="X122" s="13" t="str">
        <f>""</f>
        <v/>
      </c>
      <c r="Y122" s="35" t="str">
        <f>""</f>
        <v/>
      </c>
      <c r="Z122" s="34" t="str">
        <f>""</f>
        <v/>
      </c>
      <c r="AA122" s="13">
        <v>0</v>
      </c>
      <c r="AB122" s="13" t="str">
        <f>""</f>
        <v/>
      </c>
      <c r="AC122" s="35"/>
      <c r="AD122" s="40" t="str">
        <f>""</f>
        <v/>
      </c>
      <c r="AE122" s="35" t="str">
        <f>""</f>
        <v/>
      </c>
      <c r="AF122" s="40" t="str">
        <f>""</f>
        <v/>
      </c>
      <c r="AG122" s="35" t="str">
        <f>""</f>
        <v/>
      </c>
      <c r="AH122" s="40" t="str">
        <f>""</f>
        <v/>
      </c>
      <c r="AI122" s="35" t="str">
        <f>""</f>
        <v/>
      </c>
      <c r="AJ122" s="40"/>
      <c r="AK122" s="35"/>
      <c r="AL122" s="13" t="str">
        <f>""</f>
        <v/>
      </c>
      <c r="AM122" s="35" t="str">
        <f>""</f>
        <v/>
      </c>
    </row>
    <row r="123" spans="2:39" s="2" customFormat="1" x14ac:dyDescent="0.2">
      <c r="B123" s="4"/>
      <c r="C123" s="4"/>
      <c r="D123" s="4"/>
      <c r="E123" s="4"/>
      <c r="F123" s="13"/>
      <c r="G123" s="13"/>
      <c r="H123" s="13"/>
      <c r="I123" s="13"/>
      <c r="J123" s="13"/>
      <c r="K123" s="13"/>
      <c r="L123" s="13"/>
      <c r="M123" s="13"/>
      <c r="U123" s="65" t="s">
        <v>81</v>
      </c>
      <c r="V123" s="40" t="str">
        <f>""</f>
        <v/>
      </c>
      <c r="W123" s="13" t="str">
        <f>""</f>
        <v/>
      </c>
      <c r="X123" s="13" t="str">
        <f>""</f>
        <v/>
      </c>
      <c r="Y123" s="35" t="str">
        <f>""</f>
        <v/>
      </c>
      <c r="Z123" s="34" t="str">
        <f>""</f>
        <v/>
      </c>
      <c r="AA123" s="13">
        <v>0</v>
      </c>
      <c r="AB123" s="13" t="str">
        <f>""</f>
        <v/>
      </c>
      <c r="AC123" s="35"/>
      <c r="AD123" s="40" t="str">
        <f>""</f>
        <v/>
      </c>
      <c r="AE123" s="35" t="str">
        <f>""</f>
        <v/>
      </c>
      <c r="AF123" s="40" t="str">
        <f>""</f>
        <v/>
      </c>
      <c r="AG123" s="35" t="str">
        <f>""</f>
        <v/>
      </c>
      <c r="AH123" s="40" t="str">
        <f>""</f>
        <v/>
      </c>
      <c r="AI123" s="35" t="str">
        <f>""</f>
        <v/>
      </c>
      <c r="AJ123" s="40"/>
      <c r="AK123" s="35"/>
      <c r="AL123" s="13" t="str">
        <f>""</f>
        <v/>
      </c>
      <c r="AM123" s="35" t="str">
        <f>""</f>
        <v/>
      </c>
    </row>
    <row r="124" spans="2:39" s="2" customFormat="1" x14ac:dyDescent="0.2">
      <c r="B124" s="4"/>
      <c r="C124" s="4"/>
      <c r="D124" s="4"/>
      <c r="E124" s="4"/>
      <c r="F124" s="13"/>
      <c r="G124" s="13"/>
      <c r="H124" s="13"/>
      <c r="I124" s="13"/>
      <c r="J124" s="13"/>
      <c r="K124" s="13"/>
      <c r="L124" s="13"/>
      <c r="M124" s="13"/>
      <c r="U124" s="65" t="s">
        <v>82</v>
      </c>
      <c r="V124" s="40" t="str">
        <f>""</f>
        <v/>
      </c>
      <c r="W124" s="13" t="str">
        <f>""</f>
        <v/>
      </c>
      <c r="X124" s="13" t="str">
        <f>""</f>
        <v/>
      </c>
      <c r="Y124" s="35" t="str">
        <f>""</f>
        <v/>
      </c>
      <c r="Z124" s="34" t="str">
        <f>""</f>
        <v/>
      </c>
      <c r="AA124" s="13">
        <v>0</v>
      </c>
      <c r="AB124" s="13" t="str">
        <f>""</f>
        <v/>
      </c>
      <c r="AC124" s="35"/>
      <c r="AD124" s="40" t="str">
        <f>""</f>
        <v/>
      </c>
      <c r="AE124" s="35" t="str">
        <f>""</f>
        <v/>
      </c>
      <c r="AF124" s="40" t="str">
        <f>""</f>
        <v/>
      </c>
      <c r="AG124" s="35" t="str">
        <f>""</f>
        <v/>
      </c>
      <c r="AH124" s="40" t="str">
        <f>""</f>
        <v/>
      </c>
      <c r="AI124" s="35" t="str">
        <f>""</f>
        <v/>
      </c>
      <c r="AJ124" s="40"/>
      <c r="AK124" s="35"/>
      <c r="AL124" s="13" t="str">
        <f>""</f>
        <v/>
      </c>
      <c r="AM124" s="35" t="str">
        <f>""</f>
        <v/>
      </c>
    </row>
    <row r="125" spans="2:39" s="2" customFormat="1" x14ac:dyDescent="0.2">
      <c r="B125" s="4"/>
      <c r="C125" s="4"/>
      <c r="D125" s="4"/>
      <c r="E125" s="4"/>
      <c r="F125" s="13"/>
      <c r="G125" s="13"/>
      <c r="H125" s="13"/>
      <c r="I125" s="13"/>
      <c r="J125" s="13"/>
      <c r="K125" s="13"/>
      <c r="L125" s="13"/>
      <c r="M125" s="13"/>
      <c r="U125" s="65" t="s">
        <v>83</v>
      </c>
      <c r="V125" s="40" t="str">
        <f>""</f>
        <v/>
      </c>
      <c r="W125" s="13" t="str">
        <f>""</f>
        <v/>
      </c>
      <c r="X125" s="13" t="str">
        <f>""</f>
        <v/>
      </c>
      <c r="Y125" s="35" t="str">
        <f>""</f>
        <v/>
      </c>
      <c r="Z125" s="34" t="str">
        <f>""</f>
        <v/>
      </c>
      <c r="AA125" s="13">
        <v>0</v>
      </c>
      <c r="AB125" s="13" t="str">
        <f>""</f>
        <v/>
      </c>
      <c r="AC125" s="35"/>
      <c r="AD125" s="40" t="str">
        <f>""</f>
        <v/>
      </c>
      <c r="AE125" s="35" t="str">
        <f>""</f>
        <v/>
      </c>
      <c r="AF125" s="40" t="str">
        <f>""</f>
        <v/>
      </c>
      <c r="AG125" s="35" t="str">
        <f>""</f>
        <v/>
      </c>
      <c r="AH125" s="40" t="str">
        <f>""</f>
        <v/>
      </c>
      <c r="AI125" s="35" t="str">
        <f>""</f>
        <v/>
      </c>
      <c r="AJ125" s="40"/>
      <c r="AK125" s="35"/>
      <c r="AL125" s="13" t="str">
        <f>""</f>
        <v/>
      </c>
      <c r="AM125" s="35" t="str">
        <f>""</f>
        <v/>
      </c>
    </row>
    <row r="126" spans="2:39" s="2" customFormat="1" x14ac:dyDescent="0.2">
      <c r="B126" s="4"/>
      <c r="C126" s="4"/>
      <c r="D126" s="4"/>
      <c r="E126" s="4"/>
      <c r="F126" s="13"/>
      <c r="G126" s="13"/>
      <c r="H126" s="13"/>
      <c r="I126" s="13"/>
      <c r="J126" s="13"/>
      <c r="K126" s="13"/>
      <c r="L126" s="13"/>
      <c r="M126" s="13"/>
      <c r="U126" s="65" t="s">
        <v>84</v>
      </c>
      <c r="V126" s="40" t="str">
        <f>""</f>
        <v/>
      </c>
      <c r="W126" s="13" t="str">
        <f>""</f>
        <v/>
      </c>
      <c r="X126" s="13" t="str">
        <f>""</f>
        <v/>
      </c>
      <c r="Y126" s="35" t="str">
        <f>""</f>
        <v/>
      </c>
      <c r="Z126" s="34" t="str">
        <f>""</f>
        <v/>
      </c>
      <c r="AA126" s="13">
        <v>0</v>
      </c>
      <c r="AB126" s="13" t="str">
        <f>""</f>
        <v/>
      </c>
      <c r="AC126" s="35"/>
      <c r="AD126" s="40" t="str">
        <f>""</f>
        <v/>
      </c>
      <c r="AE126" s="35" t="str">
        <f>""</f>
        <v/>
      </c>
      <c r="AF126" s="40" t="str">
        <f>""</f>
        <v/>
      </c>
      <c r="AG126" s="35" t="str">
        <f>""</f>
        <v/>
      </c>
      <c r="AH126" s="40" t="str">
        <f>""</f>
        <v/>
      </c>
      <c r="AI126" s="35" t="str">
        <f>""</f>
        <v/>
      </c>
      <c r="AJ126" s="40"/>
      <c r="AK126" s="35"/>
      <c r="AL126" s="13" t="str">
        <f>""</f>
        <v/>
      </c>
      <c r="AM126" s="35" t="str">
        <f>""</f>
        <v/>
      </c>
    </row>
    <row r="127" spans="2:39" s="2" customFormat="1" x14ac:dyDescent="0.2">
      <c r="B127" s="4"/>
      <c r="C127" s="4"/>
      <c r="D127" s="4"/>
      <c r="E127" s="4"/>
      <c r="F127" s="13"/>
      <c r="G127" s="13"/>
      <c r="H127" s="13"/>
      <c r="I127" s="13"/>
      <c r="J127" s="13"/>
      <c r="K127" s="13"/>
      <c r="L127" s="13"/>
      <c r="M127" s="13"/>
      <c r="U127" s="65" t="s">
        <v>85</v>
      </c>
      <c r="V127" s="40" t="str">
        <f>""</f>
        <v/>
      </c>
      <c r="W127" s="13" t="str">
        <f>""</f>
        <v/>
      </c>
      <c r="X127" s="13" t="str">
        <f>""</f>
        <v/>
      </c>
      <c r="Y127" s="35" t="str">
        <f>""</f>
        <v/>
      </c>
      <c r="Z127" s="34" t="str">
        <f>""</f>
        <v/>
      </c>
      <c r="AA127" s="13">
        <v>0</v>
      </c>
      <c r="AB127" s="13" t="str">
        <f>""</f>
        <v/>
      </c>
      <c r="AC127" s="35"/>
      <c r="AD127" s="40" t="str">
        <f>""</f>
        <v/>
      </c>
      <c r="AE127" s="35" t="str">
        <f>""</f>
        <v/>
      </c>
      <c r="AF127" s="40" t="str">
        <f>""</f>
        <v/>
      </c>
      <c r="AG127" s="35" t="str">
        <f>""</f>
        <v/>
      </c>
      <c r="AH127" s="40" t="str">
        <f>""</f>
        <v/>
      </c>
      <c r="AI127" s="35" t="str">
        <f>""</f>
        <v/>
      </c>
      <c r="AJ127" s="40"/>
      <c r="AK127" s="35"/>
      <c r="AL127" s="13" t="str">
        <f>""</f>
        <v/>
      </c>
      <c r="AM127" s="35" t="str">
        <f>""</f>
        <v/>
      </c>
    </row>
    <row r="128" spans="2:39" s="2" customFormat="1" x14ac:dyDescent="0.2">
      <c r="B128" s="4"/>
      <c r="C128" s="4"/>
      <c r="D128" s="4"/>
      <c r="E128" s="4"/>
      <c r="F128" s="13"/>
      <c r="G128" s="13"/>
      <c r="H128" s="13"/>
      <c r="I128" s="13"/>
      <c r="J128" s="13"/>
      <c r="K128" s="13"/>
      <c r="L128" s="13"/>
      <c r="M128" s="13"/>
      <c r="U128" s="65" t="s">
        <v>86</v>
      </c>
      <c r="V128" s="40" t="str">
        <f>""</f>
        <v/>
      </c>
      <c r="W128" s="13" t="str">
        <f>""</f>
        <v/>
      </c>
      <c r="X128" s="13" t="str">
        <f>""</f>
        <v/>
      </c>
      <c r="Y128" s="35" t="str">
        <f>""</f>
        <v/>
      </c>
      <c r="Z128" s="34" t="str">
        <f>""</f>
        <v/>
      </c>
      <c r="AA128" s="13">
        <v>0</v>
      </c>
      <c r="AB128" s="13" t="str">
        <f>""</f>
        <v/>
      </c>
      <c r="AC128" s="35"/>
      <c r="AD128" s="40" t="str">
        <f>""</f>
        <v/>
      </c>
      <c r="AE128" s="35" t="str">
        <f>""</f>
        <v/>
      </c>
      <c r="AF128" s="40" t="str">
        <f>""</f>
        <v/>
      </c>
      <c r="AG128" s="35" t="str">
        <f>""</f>
        <v/>
      </c>
      <c r="AH128" s="40" t="str">
        <f>""</f>
        <v/>
      </c>
      <c r="AI128" s="35" t="str">
        <f>""</f>
        <v/>
      </c>
      <c r="AJ128" s="40"/>
      <c r="AK128" s="35"/>
      <c r="AL128" s="13" t="str">
        <f>""</f>
        <v/>
      </c>
      <c r="AM128" s="35" t="str">
        <f>""</f>
        <v/>
      </c>
    </row>
    <row r="129" spans="2:39" s="2" customFormat="1" x14ac:dyDescent="0.2">
      <c r="B129" s="4"/>
      <c r="C129" s="4"/>
      <c r="D129" s="4"/>
      <c r="E129" s="4"/>
      <c r="F129" s="13"/>
      <c r="G129" s="13"/>
      <c r="H129" s="13"/>
      <c r="I129" s="13"/>
      <c r="J129" s="13"/>
      <c r="K129" s="13"/>
      <c r="L129" s="13"/>
      <c r="M129" s="13"/>
      <c r="U129" s="65" t="s">
        <v>87</v>
      </c>
      <c r="V129" s="40" t="str">
        <f>""</f>
        <v/>
      </c>
      <c r="W129" s="13" t="str">
        <f>""</f>
        <v/>
      </c>
      <c r="X129" s="13" t="str">
        <f>""</f>
        <v/>
      </c>
      <c r="Y129" s="35" t="str">
        <f>""</f>
        <v/>
      </c>
      <c r="Z129" s="34" t="str">
        <f>""</f>
        <v/>
      </c>
      <c r="AA129" s="13">
        <v>0</v>
      </c>
      <c r="AB129" s="13" t="str">
        <f>""</f>
        <v/>
      </c>
      <c r="AC129" s="35"/>
      <c r="AD129" s="40" t="str">
        <f>""</f>
        <v/>
      </c>
      <c r="AE129" s="35" t="str">
        <f>""</f>
        <v/>
      </c>
      <c r="AF129" s="40" t="str">
        <f>""</f>
        <v/>
      </c>
      <c r="AG129" s="35" t="str">
        <f>""</f>
        <v/>
      </c>
      <c r="AH129" s="40" t="str">
        <f>""</f>
        <v/>
      </c>
      <c r="AI129" s="35" t="str">
        <f>""</f>
        <v/>
      </c>
      <c r="AJ129" s="40"/>
      <c r="AK129" s="35"/>
      <c r="AL129" s="13" t="str">
        <f>""</f>
        <v/>
      </c>
      <c r="AM129" s="35" t="str">
        <f>""</f>
        <v/>
      </c>
    </row>
    <row r="130" spans="2:39" s="2" customFormat="1" x14ac:dyDescent="0.2">
      <c r="B130" s="4"/>
      <c r="C130" s="4"/>
      <c r="D130" s="4"/>
      <c r="E130" s="4"/>
      <c r="F130" s="13"/>
      <c r="G130" s="13"/>
      <c r="H130" s="13"/>
      <c r="I130" s="13"/>
      <c r="J130" s="13"/>
      <c r="K130" s="13"/>
      <c r="L130" s="13"/>
      <c r="M130" s="13"/>
      <c r="U130" s="65" t="s">
        <v>88</v>
      </c>
      <c r="V130" s="40" t="str">
        <f>""</f>
        <v/>
      </c>
      <c r="W130" s="13" t="str">
        <f>""</f>
        <v/>
      </c>
      <c r="X130" s="13" t="str">
        <f>""</f>
        <v/>
      </c>
      <c r="Y130" s="35" t="str">
        <f>""</f>
        <v/>
      </c>
      <c r="Z130" s="34" t="str">
        <f>""</f>
        <v/>
      </c>
      <c r="AA130" s="13">
        <v>0</v>
      </c>
      <c r="AB130" s="13" t="str">
        <f>""</f>
        <v/>
      </c>
      <c r="AC130" s="35"/>
      <c r="AD130" s="40" t="str">
        <f>""</f>
        <v/>
      </c>
      <c r="AE130" s="35" t="str">
        <f>""</f>
        <v/>
      </c>
      <c r="AF130" s="40" t="str">
        <f>""</f>
        <v/>
      </c>
      <c r="AG130" s="35" t="str">
        <f>""</f>
        <v/>
      </c>
      <c r="AH130" s="40" t="str">
        <f>""</f>
        <v/>
      </c>
      <c r="AI130" s="35" t="str">
        <f>""</f>
        <v/>
      </c>
      <c r="AJ130" s="40"/>
      <c r="AK130" s="35"/>
      <c r="AL130" s="13" t="str">
        <f>""</f>
        <v/>
      </c>
      <c r="AM130" s="35" t="str">
        <f>""</f>
        <v/>
      </c>
    </row>
    <row r="131" spans="2:39" s="2" customFormat="1" x14ac:dyDescent="0.2">
      <c r="B131" s="4"/>
      <c r="C131" s="4"/>
      <c r="D131" s="4"/>
      <c r="E131" s="4"/>
      <c r="F131" s="13"/>
      <c r="G131" s="13"/>
      <c r="H131" s="13"/>
      <c r="I131" s="13"/>
      <c r="J131" s="13"/>
      <c r="K131" s="13"/>
      <c r="L131" s="13"/>
      <c r="M131" s="13"/>
      <c r="U131" s="65" t="s">
        <v>89</v>
      </c>
      <c r="V131" s="40" t="str">
        <f>""</f>
        <v/>
      </c>
      <c r="W131" s="13" t="str">
        <f>""</f>
        <v/>
      </c>
      <c r="X131" s="13" t="str">
        <f>""</f>
        <v/>
      </c>
      <c r="Y131" s="35" t="str">
        <f>""</f>
        <v/>
      </c>
      <c r="Z131" s="34" t="str">
        <f>""</f>
        <v/>
      </c>
      <c r="AA131" s="13">
        <v>0</v>
      </c>
      <c r="AB131" s="13" t="str">
        <f>""</f>
        <v/>
      </c>
      <c r="AC131" s="35"/>
      <c r="AD131" s="40" t="str">
        <f>""</f>
        <v/>
      </c>
      <c r="AE131" s="35" t="str">
        <f>""</f>
        <v/>
      </c>
      <c r="AF131" s="40" t="str">
        <f>""</f>
        <v/>
      </c>
      <c r="AG131" s="35" t="str">
        <f>""</f>
        <v/>
      </c>
      <c r="AH131" s="40" t="str">
        <f>""</f>
        <v/>
      </c>
      <c r="AI131" s="35" t="str">
        <f>""</f>
        <v/>
      </c>
      <c r="AJ131" s="40"/>
      <c r="AK131" s="35"/>
      <c r="AL131" s="13" t="str">
        <f>""</f>
        <v/>
      </c>
      <c r="AM131" s="35" t="str">
        <f>""</f>
        <v/>
      </c>
    </row>
    <row r="132" spans="2:39" s="2" customFormat="1" x14ac:dyDescent="0.2">
      <c r="B132" s="4"/>
      <c r="C132" s="4"/>
      <c r="D132" s="4"/>
      <c r="E132" s="4"/>
      <c r="F132" s="13"/>
      <c r="G132" s="13"/>
      <c r="H132" s="13"/>
      <c r="I132" s="13"/>
      <c r="J132" s="13"/>
      <c r="K132" s="13"/>
      <c r="L132" s="13"/>
      <c r="M132" s="13"/>
      <c r="U132" s="65" t="s">
        <v>90</v>
      </c>
      <c r="V132" s="40" t="str">
        <f>""</f>
        <v/>
      </c>
      <c r="W132" s="13" t="str">
        <f>""</f>
        <v/>
      </c>
      <c r="X132" s="13" t="str">
        <f>""</f>
        <v/>
      </c>
      <c r="Y132" s="35" t="str">
        <f>""</f>
        <v/>
      </c>
      <c r="Z132" s="34" t="str">
        <f>""</f>
        <v/>
      </c>
      <c r="AA132" s="13">
        <v>0</v>
      </c>
      <c r="AB132" s="13" t="str">
        <f>""</f>
        <v/>
      </c>
      <c r="AC132" s="35"/>
      <c r="AD132" s="40" t="str">
        <f>""</f>
        <v/>
      </c>
      <c r="AE132" s="35" t="str">
        <f>""</f>
        <v/>
      </c>
      <c r="AF132" s="40" t="str">
        <f>""</f>
        <v/>
      </c>
      <c r="AG132" s="35" t="str">
        <f>""</f>
        <v/>
      </c>
      <c r="AH132" s="40" t="str">
        <f>""</f>
        <v/>
      </c>
      <c r="AI132" s="35" t="str">
        <f>""</f>
        <v/>
      </c>
      <c r="AJ132" s="40"/>
      <c r="AK132" s="35"/>
      <c r="AL132" s="13" t="str">
        <f>""</f>
        <v/>
      </c>
      <c r="AM132" s="35" t="str">
        <f>""</f>
        <v/>
      </c>
    </row>
    <row r="133" spans="2:39" s="2" customFormat="1" x14ac:dyDescent="0.2">
      <c r="B133" s="4"/>
      <c r="C133" s="4"/>
      <c r="D133" s="4"/>
      <c r="E133" s="4"/>
      <c r="F133" s="13"/>
      <c r="G133" s="13"/>
      <c r="H133" s="13"/>
      <c r="I133" s="13"/>
      <c r="J133" s="13"/>
      <c r="K133" s="13"/>
      <c r="L133" s="13"/>
      <c r="M133" s="13"/>
      <c r="U133" s="65" t="s">
        <v>91</v>
      </c>
      <c r="V133" s="40" t="str">
        <f>""</f>
        <v/>
      </c>
      <c r="W133" s="13" t="str">
        <f>""</f>
        <v/>
      </c>
      <c r="X133" s="13" t="str">
        <f>""</f>
        <v/>
      </c>
      <c r="Y133" s="35" t="str">
        <f>""</f>
        <v/>
      </c>
      <c r="Z133" s="34" t="str">
        <f>""</f>
        <v/>
      </c>
      <c r="AA133" s="13">
        <v>0</v>
      </c>
      <c r="AB133" s="13" t="str">
        <f>""</f>
        <v/>
      </c>
      <c r="AC133" s="35"/>
      <c r="AD133" s="40" t="str">
        <f>""</f>
        <v/>
      </c>
      <c r="AE133" s="35" t="str">
        <f>""</f>
        <v/>
      </c>
      <c r="AF133" s="40" t="str">
        <f>""</f>
        <v/>
      </c>
      <c r="AG133" s="35" t="str">
        <f>""</f>
        <v/>
      </c>
      <c r="AH133" s="40" t="str">
        <f>""</f>
        <v/>
      </c>
      <c r="AI133" s="35" t="str">
        <f>""</f>
        <v/>
      </c>
      <c r="AJ133" s="40"/>
      <c r="AK133" s="35"/>
      <c r="AL133" s="13" t="str">
        <f>""</f>
        <v/>
      </c>
      <c r="AM133" s="35" t="str">
        <f>""</f>
        <v/>
      </c>
    </row>
    <row r="134" spans="2:39" s="2" customFormat="1" x14ac:dyDescent="0.2">
      <c r="B134" s="4"/>
      <c r="C134" s="4"/>
      <c r="D134" s="4"/>
      <c r="E134" s="4"/>
      <c r="F134" s="13"/>
      <c r="G134" s="13"/>
      <c r="H134" s="13"/>
      <c r="I134" s="13"/>
      <c r="J134" s="13"/>
      <c r="K134" s="13"/>
      <c r="L134" s="13"/>
      <c r="M134" s="13"/>
      <c r="U134" s="65" t="s">
        <v>92</v>
      </c>
      <c r="V134" s="40" t="str">
        <f>""</f>
        <v/>
      </c>
      <c r="W134" s="13" t="str">
        <f>""</f>
        <v/>
      </c>
      <c r="X134" s="13" t="str">
        <f>""</f>
        <v/>
      </c>
      <c r="Y134" s="35" t="str">
        <f>""</f>
        <v/>
      </c>
      <c r="Z134" s="34" t="str">
        <f>""</f>
        <v/>
      </c>
      <c r="AA134" s="13">
        <v>0</v>
      </c>
      <c r="AB134" s="13" t="str">
        <f>""</f>
        <v/>
      </c>
      <c r="AC134" s="35"/>
      <c r="AD134" s="40" t="str">
        <f>""</f>
        <v/>
      </c>
      <c r="AE134" s="35" t="str">
        <f>""</f>
        <v/>
      </c>
      <c r="AF134" s="40" t="str">
        <f>""</f>
        <v/>
      </c>
      <c r="AG134" s="35" t="str">
        <f>""</f>
        <v/>
      </c>
      <c r="AH134" s="40" t="str">
        <f>""</f>
        <v/>
      </c>
      <c r="AI134" s="35" t="str">
        <f>""</f>
        <v/>
      </c>
      <c r="AJ134" s="40"/>
      <c r="AK134" s="35"/>
      <c r="AL134" s="13" t="str">
        <f>""</f>
        <v/>
      </c>
      <c r="AM134" s="35" t="str">
        <f>""</f>
        <v/>
      </c>
    </row>
    <row r="135" spans="2:39" s="2" customFormat="1" ht="12.75" thickBot="1" x14ac:dyDescent="0.25">
      <c r="B135" s="4"/>
      <c r="C135" s="4"/>
      <c r="D135" s="4"/>
      <c r="E135" s="4"/>
      <c r="F135" s="13"/>
      <c r="G135" s="13"/>
      <c r="H135" s="13"/>
      <c r="I135" s="13"/>
      <c r="J135" s="13"/>
      <c r="K135" s="13"/>
      <c r="L135" s="13"/>
      <c r="M135" s="13"/>
      <c r="U135" s="66" t="s">
        <v>93</v>
      </c>
      <c r="V135" s="41" t="str">
        <f>""</f>
        <v/>
      </c>
      <c r="W135" s="37" t="str">
        <f>""</f>
        <v/>
      </c>
      <c r="X135" s="37" t="str">
        <f>""</f>
        <v/>
      </c>
      <c r="Y135" s="38" t="str">
        <f>""</f>
        <v/>
      </c>
      <c r="Z135" s="36" t="str">
        <f>""</f>
        <v/>
      </c>
      <c r="AA135" s="37">
        <v>0</v>
      </c>
      <c r="AB135" s="37" t="str">
        <f>""</f>
        <v/>
      </c>
      <c r="AC135" s="38"/>
      <c r="AD135" s="41" t="str">
        <f>""</f>
        <v/>
      </c>
      <c r="AE135" s="38" t="str">
        <f>""</f>
        <v/>
      </c>
      <c r="AF135" s="41" t="str">
        <f>""</f>
        <v/>
      </c>
      <c r="AG135" s="38" t="str">
        <f>""</f>
        <v/>
      </c>
      <c r="AH135" s="41" t="str">
        <f>""</f>
        <v/>
      </c>
      <c r="AI135" s="38" t="str">
        <f>""</f>
        <v/>
      </c>
      <c r="AJ135" s="41"/>
      <c r="AK135" s="38"/>
      <c r="AL135" s="37" t="str">
        <f>""</f>
        <v/>
      </c>
      <c r="AM135" s="38" t="str">
        <f>""</f>
        <v/>
      </c>
    </row>
    <row r="136" spans="2:39" s="2" customFormat="1" ht="12.75" thickTop="1" x14ac:dyDescent="0.2">
      <c r="B136" s="4"/>
      <c r="C136" s="4"/>
      <c r="D136" s="4"/>
      <c r="E136" s="4"/>
      <c r="F136" s="13"/>
      <c r="G136" s="13"/>
      <c r="H136" s="13"/>
      <c r="I136" s="13"/>
      <c r="J136" s="13"/>
      <c r="K136" s="13"/>
      <c r="L136" s="13"/>
      <c r="M136" s="13"/>
      <c r="Y136" s="65" t="s">
        <v>7</v>
      </c>
      <c r="Z136" s="31" t="str">
        <f ca="1">W64&amp;V64</f>
        <v/>
      </c>
      <c r="AA136" s="32">
        <f ca="1">AA64</f>
        <v>0</v>
      </c>
      <c r="AB136" s="32" t="str">
        <f ca="1">IF(AA64&gt;0,AI64&amp;Sprache!$E$108&amp;AH64,"")</f>
        <v/>
      </c>
      <c r="AC136" s="593" t="str">
        <f ca="1">IF(AA64&gt;0,AK64&amp;Sprache!$E$108&amp;AJ64,"")</f>
        <v/>
      </c>
      <c r="AD136" s="32"/>
    </row>
    <row r="137" spans="2:39" x14ac:dyDescent="0.2">
      <c r="Y137" s="65" t="s">
        <v>8</v>
      </c>
      <c r="Z137" s="34" t="str">
        <f ca="1">W65&amp;V65</f>
        <v/>
      </c>
      <c r="AA137" s="13">
        <f t="shared" ref="AA137:AA160" ca="1" si="45">AA65</f>
        <v>0</v>
      </c>
      <c r="AB137" s="13" t="str">
        <f ca="1">IF(AA65&gt;0,AI65&amp;Sprache!$E$108&amp;AH65,"")</f>
        <v/>
      </c>
      <c r="AC137" s="594" t="str">
        <f ca="1">IF(AA65&gt;0,AK65&amp;Sprache!$E$108&amp;AJ65,"")</f>
        <v/>
      </c>
      <c r="AD137" s="13"/>
    </row>
    <row r="138" spans="2:39" x14ac:dyDescent="0.2">
      <c r="Y138" s="65" t="s">
        <v>9</v>
      </c>
      <c r="Z138" s="34" t="str">
        <f t="shared" ref="Z138:Z160" ca="1" si="46">W66&amp;V66</f>
        <v>FC Barcelona</v>
      </c>
      <c r="AA138" s="13">
        <f t="shared" ca="1" si="45"/>
        <v>0</v>
      </c>
      <c r="AB138" s="13" t="str">
        <f ca="1">IF(AA66&gt;0,AI66&amp;Sprache!$E$108&amp;AH66,"")</f>
        <v/>
      </c>
      <c r="AC138" s="594" t="str">
        <f ca="1">IF(AA66&gt;0,AK66&amp;Sprache!$E$108&amp;AJ66,"")</f>
        <v/>
      </c>
      <c r="AD138" s="13"/>
    </row>
    <row r="139" spans="2:39" x14ac:dyDescent="0.2">
      <c r="Y139" s="65" t="s">
        <v>10</v>
      </c>
      <c r="Z139" s="34" t="str">
        <f t="shared" ca="1" si="46"/>
        <v>SSV WildbachVFB Essenheim</v>
      </c>
      <c r="AA139" s="13">
        <f t="shared" ca="1" si="45"/>
        <v>1</v>
      </c>
      <c r="AB139" s="13" t="str">
        <f ca="1">IF(AA67&gt;0,AI67&amp;Sprache!$E$108&amp;AH67,"")</f>
        <v>37 : 50</v>
      </c>
      <c r="AC139" s="594" t="str">
        <f ca="1">IF(AA67&gt;0,AK67&amp;Sprache!$E$108&amp;AJ67,"")</f>
        <v>0 : 2</v>
      </c>
      <c r="AD139" s="13"/>
    </row>
    <row r="140" spans="2:39" x14ac:dyDescent="0.2">
      <c r="Y140" s="65" t="s">
        <v>11</v>
      </c>
      <c r="Z140" s="34" t="str">
        <f t="shared" ca="1" si="46"/>
        <v>Manchester CityEintracht Frankfurt</v>
      </c>
      <c r="AA140" s="13">
        <f t="shared" ca="1" si="45"/>
        <v>1</v>
      </c>
      <c r="AB140" s="13" t="str">
        <f ca="1">IF(AA68&gt;0,AI68&amp;Sprache!$E$108&amp;AH68,"")</f>
        <v>50 : 35</v>
      </c>
      <c r="AC140" s="594" t="str">
        <f ca="1">IF(AA68&gt;0,AK68&amp;Sprache!$E$108&amp;AJ68,"")</f>
        <v>2 : 0</v>
      </c>
      <c r="AD140" s="13"/>
    </row>
    <row r="141" spans="2:39" x14ac:dyDescent="0.2">
      <c r="Y141" s="65" t="s">
        <v>12</v>
      </c>
      <c r="Z141" s="34" t="str">
        <f t="shared" ca="1" si="46"/>
        <v/>
      </c>
      <c r="AA141" s="13">
        <f t="shared" ca="1" si="45"/>
        <v>0</v>
      </c>
      <c r="AB141" s="13" t="str">
        <f ca="1">IF(AA69&gt;0,AI69&amp;Sprache!$E$108&amp;AH69,"")</f>
        <v/>
      </c>
      <c r="AC141" s="594" t="str">
        <f ca="1">IF(AA69&gt;0,AK69&amp;Sprache!$E$108&amp;AJ69,"")</f>
        <v/>
      </c>
      <c r="AD141" s="13"/>
    </row>
    <row r="142" spans="2:39" x14ac:dyDescent="0.2">
      <c r="Y142" s="65" t="s">
        <v>17</v>
      </c>
      <c r="Z142" s="34" t="str">
        <f t="shared" ca="1" si="46"/>
        <v>Inter Mailand</v>
      </c>
      <c r="AA142" s="13">
        <f t="shared" ca="1" si="45"/>
        <v>0</v>
      </c>
      <c r="AB142" s="13" t="str">
        <f ca="1">IF(AA70&gt;0,AI70&amp;Sprache!$E$108&amp;AH70,"")</f>
        <v/>
      </c>
      <c r="AC142" s="594" t="str">
        <f ca="1">IF(AA70&gt;0,AK70&amp;Sprache!$E$108&amp;AJ70,"")</f>
        <v/>
      </c>
      <c r="AD142" s="13"/>
    </row>
    <row r="143" spans="2:39" x14ac:dyDescent="0.2">
      <c r="Y143" s="65" t="s">
        <v>18</v>
      </c>
      <c r="Z143" s="34" t="str">
        <f t="shared" ca="1" si="46"/>
        <v>1. FC RiedwaldFC Grönlingen</v>
      </c>
      <c r="AA143" s="13">
        <f t="shared" ca="1" si="45"/>
        <v>1</v>
      </c>
      <c r="AB143" s="13" t="str">
        <f ca="1">IF(AA71&gt;0,AI71&amp;Sprache!$E$108&amp;AH71,"")</f>
        <v>44 : 50</v>
      </c>
      <c r="AC143" s="594" t="str">
        <f ca="1">IF(AA71&gt;0,AK71&amp;Sprache!$E$108&amp;AJ71,"")</f>
        <v>0 : 2</v>
      </c>
      <c r="AD143" s="13"/>
    </row>
    <row r="144" spans="2:39" x14ac:dyDescent="0.2">
      <c r="Y144" s="65" t="s">
        <v>19</v>
      </c>
      <c r="Z144" s="34" t="str">
        <f t="shared" ca="1" si="46"/>
        <v>Maibach 1822 eVMainz 05</v>
      </c>
      <c r="AA144" s="13">
        <f t="shared" ca="1" si="45"/>
        <v>1</v>
      </c>
      <c r="AB144" s="13" t="str">
        <f ca="1">IF(AA72&gt;0,AI72&amp;Sprache!$E$108&amp;AH72,"")</f>
        <v>39 : 50</v>
      </c>
      <c r="AC144" s="594" t="str">
        <f ca="1">IF(AA72&gt;0,AK72&amp;Sprache!$E$108&amp;AJ72,"")</f>
        <v>0 : 2</v>
      </c>
      <c r="AD144" s="13"/>
    </row>
    <row r="145" spans="25:30" x14ac:dyDescent="0.2">
      <c r="Y145" s="65" t="s">
        <v>25</v>
      </c>
      <c r="Z145" s="34" t="str">
        <f t="shared" ca="1" si="46"/>
        <v/>
      </c>
      <c r="AA145" s="13">
        <f t="shared" ca="1" si="45"/>
        <v>0</v>
      </c>
      <c r="AB145" s="13" t="str">
        <f ca="1">IF(AA73&gt;0,AI73&amp;Sprache!$E$108&amp;AH73,"")</f>
        <v/>
      </c>
      <c r="AC145" s="594" t="str">
        <f ca="1">IF(AA73&gt;0,AK73&amp;Sprache!$E$108&amp;AJ73,"")</f>
        <v/>
      </c>
      <c r="AD145" s="13"/>
    </row>
    <row r="146" spans="25:30" x14ac:dyDescent="0.2">
      <c r="Y146" s="65" t="s">
        <v>26</v>
      </c>
      <c r="Z146" s="34" t="str">
        <f t="shared" ca="1" si="46"/>
        <v>FC Barcelona</v>
      </c>
      <c r="AA146" s="13">
        <f t="shared" ca="1" si="45"/>
        <v>0</v>
      </c>
      <c r="AB146" s="13" t="str">
        <f ca="1">IF(AA74&gt;0,AI74&amp;Sprache!$E$108&amp;AH74,"")</f>
        <v/>
      </c>
      <c r="AC146" s="594" t="str">
        <f ca="1">IF(AA74&gt;0,AK74&amp;Sprache!$E$108&amp;AJ74,"")</f>
        <v/>
      </c>
      <c r="AD146" s="13"/>
    </row>
    <row r="147" spans="25:30" x14ac:dyDescent="0.2">
      <c r="Y147" s="65" t="s">
        <v>27</v>
      </c>
      <c r="Z147" s="34" t="str">
        <f t="shared" ca="1" si="46"/>
        <v>1. FC RiedwaldVFB Essenheim</v>
      </c>
      <c r="AA147" s="13">
        <f t="shared" ca="1" si="45"/>
        <v>1</v>
      </c>
      <c r="AB147" s="13" t="str">
        <f ca="1">IF(AA75&gt;0,AI75&amp;Sprache!$E$108&amp;AH75,"")</f>
        <v>37 : 44</v>
      </c>
      <c r="AC147" s="594" t="str">
        <f ca="1">IF(AA75&gt;0,AK75&amp;Sprache!$E$108&amp;AJ75,"")</f>
        <v>1 : 1</v>
      </c>
      <c r="AD147" s="13"/>
    </row>
    <row r="148" spans="25:30" x14ac:dyDescent="0.2">
      <c r="Y148" s="65" t="s">
        <v>28</v>
      </c>
      <c r="Z148" s="34" t="str">
        <f t="shared" ca="1" si="46"/>
        <v>Maibach 1822 eVEintracht Frankfurt</v>
      </c>
      <c r="AA148" s="13">
        <f t="shared" ca="1" si="45"/>
        <v>1</v>
      </c>
      <c r="AB148" s="13" t="str">
        <f ca="1">IF(AA76&gt;0,AI76&amp;Sprache!$E$108&amp;AH76,"")</f>
        <v>50 : 31</v>
      </c>
      <c r="AC148" s="594" t="str">
        <f ca="1">IF(AA76&gt;0,AK76&amp;Sprache!$E$108&amp;AJ76,"")</f>
        <v>2 : 0</v>
      </c>
      <c r="AD148" s="13"/>
    </row>
    <row r="149" spans="25:30" x14ac:dyDescent="0.2">
      <c r="Y149" s="65" t="s">
        <v>29</v>
      </c>
      <c r="Z149" s="34" t="str">
        <f t="shared" ca="1" si="46"/>
        <v/>
      </c>
      <c r="AA149" s="13">
        <f t="shared" ca="1" si="45"/>
        <v>0</v>
      </c>
      <c r="AB149" s="13" t="str">
        <f ca="1">IF(AA77&gt;0,AI77&amp;Sprache!$E$108&amp;AH77,"")</f>
        <v/>
      </c>
      <c r="AC149" s="594" t="str">
        <f ca="1">IF(AA77&gt;0,AK77&amp;Sprache!$E$108&amp;AJ77,"")</f>
        <v/>
      </c>
      <c r="AD149" s="13"/>
    </row>
    <row r="150" spans="25:30" x14ac:dyDescent="0.2">
      <c r="Y150" s="65" t="s">
        <v>30</v>
      </c>
      <c r="Z150" s="34" t="str">
        <f t="shared" ca="1" si="46"/>
        <v>Inter Mailand</v>
      </c>
      <c r="AA150" s="13">
        <f t="shared" ca="1" si="45"/>
        <v>0</v>
      </c>
      <c r="AB150" s="13" t="str">
        <f ca="1">IF(AA78&gt;0,AI78&amp;Sprache!$E$108&amp;AH78,"")</f>
        <v/>
      </c>
      <c r="AC150" s="594" t="str">
        <f ca="1">IF(AA78&gt;0,AK78&amp;Sprache!$E$108&amp;AJ78,"")</f>
        <v/>
      </c>
      <c r="AD150" s="13"/>
    </row>
    <row r="151" spans="25:30" x14ac:dyDescent="0.2">
      <c r="Y151" s="65" t="s">
        <v>31</v>
      </c>
      <c r="Z151" s="34" t="str">
        <f t="shared" ca="1" si="46"/>
        <v>SSV WildbachFC Grönlingen</v>
      </c>
      <c r="AA151" s="13">
        <f t="shared" ca="1" si="45"/>
        <v>1</v>
      </c>
      <c r="AB151" s="13" t="str">
        <f ca="1">IF(AA79&gt;0,AI79&amp;Sprache!$E$108&amp;AH79,"")</f>
        <v>45 : 47</v>
      </c>
      <c r="AC151" s="594" t="str">
        <f ca="1">IF(AA79&gt;0,AK79&amp;Sprache!$E$108&amp;AJ79,"")</f>
        <v>1 : 1</v>
      </c>
      <c r="AD151" s="13"/>
    </row>
    <row r="152" spans="25:30" x14ac:dyDescent="0.2">
      <c r="Y152" s="65" t="s">
        <v>32</v>
      </c>
      <c r="Z152" s="34" t="str">
        <f t="shared" ca="1" si="46"/>
        <v>Manchester CityMainz 05</v>
      </c>
      <c r="AA152" s="13">
        <f t="shared" ca="1" si="45"/>
        <v>1</v>
      </c>
      <c r="AB152" s="13" t="str">
        <f ca="1">IF(AA80&gt;0,AI80&amp;Sprache!$E$108&amp;AH80,"")</f>
        <v>44 : 44</v>
      </c>
      <c r="AC152" s="594" t="str">
        <f ca="1">IF(AA80&gt;0,AK80&amp;Sprache!$E$108&amp;AJ80,"")</f>
        <v>1 : 1</v>
      </c>
      <c r="AD152" s="13"/>
    </row>
    <row r="153" spans="25:30" x14ac:dyDescent="0.2">
      <c r="Y153" s="65" t="s">
        <v>33</v>
      </c>
      <c r="Z153" s="34" t="str">
        <f t="shared" ca="1" si="46"/>
        <v/>
      </c>
      <c r="AA153" s="13">
        <f t="shared" ca="1" si="45"/>
        <v>0</v>
      </c>
      <c r="AB153" s="13" t="str">
        <f ca="1">IF(AA81&gt;0,AI81&amp;Sprache!$E$108&amp;AH81,"")</f>
        <v/>
      </c>
      <c r="AC153" s="594" t="str">
        <f ca="1">IF(AA81&gt;0,AK81&amp;Sprache!$E$108&amp;AJ81,"")</f>
        <v/>
      </c>
      <c r="AD153" s="13"/>
    </row>
    <row r="154" spans="25:30" x14ac:dyDescent="0.2">
      <c r="Y154" s="65" t="s">
        <v>34</v>
      </c>
      <c r="Z154" s="34" t="str">
        <f t="shared" ca="1" si="46"/>
        <v/>
      </c>
      <c r="AA154" s="13">
        <f t="shared" ca="1" si="45"/>
        <v>0</v>
      </c>
      <c r="AB154" s="13" t="str">
        <f ca="1">IF(AA82&gt;0,AI82&amp;Sprache!$E$108&amp;AH82,"")</f>
        <v/>
      </c>
      <c r="AC154" s="594" t="str">
        <f ca="1">IF(AA82&gt;0,AK82&amp;Sprache!$E$108&amp;AJ82,"")</f>
        <v/>
      </c>
      <c r="AD154" s="13"/>
    </row>
    <row r="155" spans="25:30" x14ac:dyDescent="0.2">
      <c r="Y155" s="65" t="s">
        <v>35</v>
      </c>
      <c r="Z155" s="34" t="str">
        <f t="shared" ca="1" si="46"/>
        <v>SSV Wildbach1. FC Riedwald</v>
      </c>
      <c r="AA155" s="13">
        <f t="shared" ca="1" si="45"/>
        <v>1</v>
      </c>
      <c r="AB155" s="13" t="str">
        <f ca="1">IF(AA83&gt;0,AI83&amp;Sprache!$E$108&amp;AH83,"")</f>
        <v>48 : 39</v>
      </c>
      <c r="AC155" s="594" t="str">
        <f ca="1">IF(AA83&gt;0,AK83&amp;Sprache!$E$108&amp;AJ83,"")</f>
        <v>1 : 1</v>
      </c>
      <c r="AD155" s="13"/>
    </row>
    <row r="156" spans="25:30" x14ac:dyDescent="0.2">
      <c r="Y156" s="65" t="s">
        <v>36</v>
      </c>
      <c r="Z156" s="34" t="str">
        <f t="shared" ca="1" si="46"/>
        <v>Manchester CityMaibach 1822 eV</v>
      </c>
      <c r="AA156" s="13">
        <f t="shared" ca="1" si="45"/>
        <v>1</v>
      </c>
      <c r="AB156" s="13" t="str">
        <f ca="1">IF(AA84&gt;0,AI84&amp;Sprache!$E$108&amp;AH84,"")</f>
        <v>42 : 46</v>
      </c>
      <c r="AC156" s="594" t="str">
        <f ca="1">IF(AA84&gt;0,AK84&amp;Sprache!$E$108&amp;AJ84,"")</f>
        <v>1 : 1</v>
      </c>
      <c r="AD156" s="13"/>
    </row>
    <row r="157" spans="25:30" x14ac:dyDescent="0.2">
      <c r="Y157" s="65" t="s">
        <v>37</v>
      </c>
      <c r="Z157" s="34" t="str">
        <f t="shared" ca="1" si="46"/>
        <v/>
      </c>
      <c r="AA157" s="13">
        <f t="shared" ca="1" si="45"/>
        <v>0</v>
      </c>
      <c r="AB157" s="13" t="str">
        <f ca="1">IF(AA85&gt;0,AI85&amp;Sprache!$E$108&amp;AH85,"")</f>
        <v/>
      </c>
      <c r="AC157" s="594" t="str">
        <f ca="1">IF(AA85&gt;0,AK85&amp;Sprache!$E$108&amp;AJ85,"")</f>
        <v/>
      </c>
      <c r="AD157" s="13"/>
    </row>
    <row r="158" spans="25:30" x14ac:dyDescent="0.2">
      <c r="Y158" s="65" t="s">
        <v>38</v>
      </c>
      <c r="Z158" s="34" t="str">
        <f t="shared" ca="1" si="46"/>
        <v>Inter MailandFC Barcelona</v>
      </c>
      <c r="AA158" s="13">
        <f t="shared" ca="1" si="45"/>
        <v>1</v>
      </c>
      <c r="AB158" s="13" t="str">
        <f ca="1">IF(AA86&gt;0,AI86&amp;Sprache!$E$108&amp;AH86,"")</f>
        <v>65 : 70</v>
      </c>
      <c r="AC158" s="594" t="str">
        <f ca="1">IF(AA86&gt;0,AK86&amp;Sprache!$E$108&amp;AJ86,"")</f>
        <v>1 : 2</v>
      </c>
      <c r="AD158" s="13"/>
    </row>
    <row r="159" spans="25:30" x14ac:dyDescent="0.2">
      <c r="Y159" s="65" t="s">
        <v>39</v>
      </c>
      <c r="Z159" s="34" t="str">
        <f t="shared" ca="1" si="46"/>
        <v>FC GrönlingenVFB Essenheim</v>
      </c>
      <c r="AA159" s="13">
        <f t="shared" ca="1" si="45"/>
        <v>1</v>
      </c>
      <c r="AB159" s="13" t="str">
        <f ca="1">IF(AA87&gt;0,AI87&amp;Sprache!$E$108&amp;AH87,"")</f>
        <v>39 : 50</v>
      </c>
      <c r="AC159" s="594" t="str">
        <f ca="1">IF(AA87&gt;0,AK87&amp;Sprache!$E$108&amp;AJ87,"")</f>
        <v>0 : 2</v>
      </c>
      <c r="AD159" s="13"/>
    </row>
    <row r="160" spans="25:30" ht="12.75" thickBot="1" x14ac:dyDescent="0.25">
      <c r="Y160" s="754" t="s">
        <v>40</v>
      </c>
      <c r="Z160" s="758" t="str">
        <f t="shared" ca="1" si="46"/>
        <v>Mainz 05Eintracht Frankfurt</v>
      </c>
      <c r="AA160" s="756">
        <f t="shared" ca="1" si="45"/>
        <v>1</v>
      </c>
      <c r="AB160" s="756" t="str">
        <f ca="1">IF(AA88&gt;0,AI88&amp;Sprache!$E$108&amp;AH88,"")</f>
        <v>33 : 50</v>
      </c>
      <c r="AC160" s="759" t="str">
        <f ca="1">IF(AA88&gt;0,AK88&amp;Sprache!$E$108&amp;AJ88,"")</f>
        <v>0 : 2</v>
      </c>
      <c r="AD160" s="13"/>
    </row>
    <row r="161" spans="25:30" ht="12.75" thickTop="1" x14ac:dyDescent="0.2">
      <c r="Y161" s="65" t="s">
        <v>41</v>
      </c>
      <c r="Z161" s="34" t="str">
        <f>""</f>
        <v/>
      </c>
      <c r="AA161" s="13">
        <v>0</v>
      </c>
      <c r="AB161" s="13" t="str">
        <f>""</f>
        <v/>
      </c>
      <c r="AC161" s="594" t="str">
        <f>""</f>
        <v/>
      </c>
      <c r="AD161" s="13"/>
    </row>
    <row r="162" spans="25:30" x14ac:dyDescent="0.2">
      <c r="Y162" s="65" t="s">
        <v>42</v>
      </c>
      <c r="Z162" s="34" t="str">
        <f>""</f>
        <v/>
      </c>
      <c r="AA162" s="13">
        <v>0</v>
      </c>
      <c r="AB162" s="13" t="str">
        <f>""</f>
        <v/>
      </c>
      <c r="AC162" s="594" t="str">
        <f>""</f>
        <v/>
      </c>
      <c r="AD162" s="13"/>
    </row>
    <row r="163" spans="25:30" x14ac:dyDescent="0.2">
      <c r="Y163" s="65" t="s">
        <v>43</v>
      </c>
      <c r="Z163" s="34" t="str">
        <f>""</f>
        <v/>
      </c>
      <c r="AA163" s="13">
        <v>0</v>
      </c>
      <c r="AB163" s="13" t="str">
        <f>""</f>
        <v/>
      </c>
      <c r="AC163" s="594" t="str">
        <f>""</f>
        <v/>
      </c>
      <c r="AD163" s="13"/>
    </row>
    <row r="164" spans="25:30" x14ac:dyDescent="0.2">
      <c r="Y164" s="65" t="s">
        <v>44</v>
      </c>
      <c r="Z164" s="34" t="str">
        <f>""</f>
        <v/>
      </c>
      <c r="AA164" s="13">
        <v>0</v>
      </c>
      <c r="AB164" s="13" t="str">
        <f>""</f>
        <v/>
      </c>
      <c r="AC164" s="594" t="str">
        <f>""</f>
        <v/>
      </c>
      <c r="AD164" s="13"/>
    </row>
    <row r="165" spans="25:30" x14ac:dyDescent="0.2">
      <c r="Y165" s="65" t="s">
        <v>45</v>
      </c>
      <c r="Z165" s="34" t="str">
        <f>""</f>
        <v/>
      </c>
      <c r="AA165" s="13">
        <v>0</v>
      </c>
      <c r="AB165" s="13" t="str">
        <f>""</f>
        <v/>
      </c>
      <c r="AC165" s="594" t="str">
        <f>""</f>
        <v/>
      </c>
      <c r="AD165" s="13"/>
    </row>
    <row r="166" spans="25:30" x14ac:dyDescent="0.2">
      <c r="Y166" s="65" t="s">
        <v>46</v>
      </c>
      <c r="Z166" s="34" t="str">
        <f>""</f>
        <v/>
      </c>
      <c r="AA166" s="13">
        <v>0</v>
      </c>
      <c r="AB166" s="13" t="str">
        <f>""</f>
        <v/>
      </c>
      <c r="AC166" s="594" t="str">
        <f>""</f>
        <v/>
      </c>
      <c r="AD166" s="13"/>
    </row>
    <row r="167" spans="25:30" x14ac:dyDescent="0.2">
      <c r="Y167" s="65" t="s">
        <v>47</v>
      </c>
      <c r="Z167" s="34" t="str">
        <f>""</f>
        <v/>
      </c>
      <c r="AA167" s="13">
        <v>0</v>
      </c>
      <c r="AB167" s="13" t="str">
        <f>""</f>
        <v/>
      </c>
      <c r="AC167" s="594" t="str">
        <f>""</f>
        <v/>
      </c>
      <c r="AD167" s="13"/>
    </row>
    <row r="168" spans="25:30" x14ac:dyDescent="0.2">
      <c r="Y168" s="65" t="s">
        <v>48</v>
      </c>
      <c r="Z168" s="34" t="str">
        <f>""</f>
        <v/>
      </c>
      <c r="AA168" s="13">
        <v>0</v>
      </c>
      <c r="AB168" s="13" t="str">
        <f>""</f>
        <v/>
      </c>
      <c r="AC168" s="594" t="str">
        <f>""</f>
        <v/>
      </c>
      <c r="AD168" s="13"/>
    </row>
    <row r="169" spans="25:30" x14ac:dyDescent="0.2">
      <c r="Y169" s="65" t="s">
        <v>49</v>
      </c>
      <c r="Z169" s="34" t="str">
        <f>""</f>
        <v/>
      </c>
      <c r="AA169" s="13">
        <v>0</v>
      </c>
      <c r="AB169" s="13" t="str">
        <f>""</f>
        <v/>
      </c>
      <c r="AC169" s="594" t="str">
        <f>""</f>
        <v/>
      </c>
      <c r="AD169" s="13"/>
    </row>
    <row r="170" spans="25:30" x14ac:dyDescent="0.2">
      <c r="Y170" s="65" t="s">
        <v>50</v>
      </c>
      <c r="Z170" s="34" t="str">
        <f>""</f>
        <v/>
      </c>
      <c r="AA170" s="13">
        <v>0</v>
      </c>
      <c r="AB170" s="13" t="str">
        <f>""</f>
        <v/>
      </c>
      <c r="AC170" s="594" t="str">
        <f>""</f>
        <v/>
      </c>
      <c r="AD170" s="13"/>
    </row>
    <row r="171" spans="25:30" x14ac:dyDescent="0.2">
      <c r="Y171" s="65" t="s">
        <v>51</v>
      </c>
      <c r="Z171" s="34" t="str">
        <f>""</f>
        <v/>
      </c>
      <c r="AA171" s="13">
        <v>0</v>
      </c>
      <c r="AB171" s="13" t="str">
        <f>""</f>
        <v/>
      </c>
      <c r="AC171" s="594" t="str">
        <f>""</f>
        <v/>
      </c>
      <c r="AD171" s="13"/>
    </row>
    <row r="172" spans="25:30" x14ac:dyDescent="0.2">
      <c r="Y172" s="65" t="s">
        <v>58</v>
      </c>
      <c r="Z172" s="34" t="str">
        <f>""</f>
        <v/>
      </c>
      <c r="AA172" s="13">
        <v>0</v>
      </c>
      <c r="AB172" s="13" t="str">
        <f>""</f>
        <v/>
      </c>
      <c r="AC172" s="594" t="str">
        <f>""</f>
        <v/>
      </c>
      <c r="AD172" s="13"/>
    </row>
    <row r="173" spans="25:30" x14ac:dyDescent="0.2">
      <c r="Y173" s="65" t="s">
        <v>59</v>
      </c>
      <c r="Z173" s="34" t="str">
        <f>""</f>
        <v/>
      </c>
      <c r="AA173" s="13">
        <v>0</v>
      </c>
      <c r="AB173" s="13" t="str">
        <f>""</f>
        <v/>
      </c>
      <c r="AC173" s="594" t="str">
        <f>""</f>
        <v/>
      </c>
      <c r="AD173" s="13"/>
    </row>
    <row r="174" spans="25:30" x14ac:dyDescent="0.2">
      <c r="Y174" s="65" t="s">
        <v>60</v>
      </c>
      <c r="Z174" s="34" t="str">
        <f>""</f>
        <v/>
      </c>
      <c r="AA174" s="13">
        <v>0</v>
      </c>
      <c r="AB174" s="13" t="str">
        <f>""</f>
        <v/>
      </c>
      <c r="AC174" s="594" t="str">
        <f>""</f>
        <v/>
      </c>
      <c r="AD174" s="13"/>
    </row>
    <row r="175" spans="25:30" x14ac:dyDescent="0.2">
      <c r="Y175" s="65" t="s">
        <v>61</v>
      </c>
      <c r="Z175" s="34" t="str">
        <f>""</f>
        <v/>
      </c>
      <c r="AA175" s="13">
        <v>0</v>
      </c>
      <c r="AB175" s="13" t="str">
        <f>""</f>
        <v/>
      </c>
      <c r="AC175" s="594" t="str">
        <f>""</f>
        <v/>
      </c>
      <c r="AD175" s="13"/>
    </row>
    <row r="176" spans="25:30" x14ac:dyDescent="0.2">
      <c r="Y176" s="65" t="s">
        <v>62</v>
      </c>
      <c r="Z176" s="34" t="str">
        <f>""</f>
        <v/>
      </c>
      <c r="AA176" s="13">
        <v>0</v>
      </c>
      <c r="AB176" s="13" t="str">
        <f>""</f>
        <v/>
      </c>
      <c r="AC176" s="594" t="str">
        <f>""</f>
        <v/>
      </c>
      <c r="AD176" s="13"/>
    </row>
    <row r="177" spans="25:30" x14ac:dyDescent="0.2">
      <c r="Y177" s="65" t="s">
        <v>63</v>
      </c>
      <c r="Z177" s="34" t="str">
        <f>""</f>
        <v/>
      </c>
      <c r="AA177" s="13">
        <v>0</v>
      </c>
      <c r="AB177" s="13" t="str">
        <f>""</f>
        <v/>
      </c>
      <c r="AC177" s="594" t="str">
        <f>""</f>
        <v/>
      </c>
      <c r="AD177" s="13"/>
    </row>
    <row r="178" spans="25:30" x14ac:dyDescent="0.2">
      <c r="Y178" s="65" t="s">
        <v>64</v>
      </c>
      <c r="Z178" s="34" t="str">
        <f>""</f>
        <v/>
      </c>
      <c r="AA178" s="13">
        <v>0</v>
      </c>
      <c r="AB178" s="13" t="str">
        <f>""</f>
        <v/>
      </c>
      <c r="AC178" s="594" t="str">
        <f>""</f>
        <v/>
      </c>
      <c r="AD178" s="13"/>
    </row>
    <row r="179" spans="25:30" x14ac:dyDescent="0.2">
      <c r="Y179" s="65" t="s">
        <v>65</v>
      </c>
      <c r="Z179" s="34" t="str">
        <f>""</f>
        <v/>
      </c>
      <c r="AA179" s="13">
        <v>0</v>
      </c>
      <c r="AB179" s="13" t="str">
        <f>""</f>
        <v/>
      </c>
      <c r="AC179" s="594" t="str">
        <f>""</f>
        <v/>
      </c>
      <c r="AD179" s="13"/>
    </row>
    <row r="180" spans="25:30" x14ac:dyDescent="0.2">
      <c r="Y180" s="65" t="s">
        <v>66</v>
      </c>
      <c r="Z180" s="34" t="str">
        <f>""</f>
        <v/>
      </c>
      <c r="AA180" s="13">
        <v>0</v>
      </c>
      <c r="AB180" s="13" t="str">
        <f>""</f>
        <v/>
      </c>
      <c r="AC180" s="594" t="str">
        <f>""</f>
        <v/>
      </c>
      <c r="AD180" s="13"/>
    </row>
    <row r="181" spans="25:30" x14ac:dyDescent="0.2">
      <c r="Y181" s="65" t="s">
        <v>67</v>
      </c>
      <c r="Z181" s="34" t="str">
        <f>""</f>
        <v/>
      </c>
      <c r="AA181" s="13">
        <v>0</v>
      </c>
      <c r="AB181" s="13" t="str">
        <f>""</f>
        <v/>
      </c>
      <c r="AC181" s="594" t="str">
        <f>""</f>
        <v/>
      </c>
      <c r="AD181" s="13"/>
    </row>
    <row r="182" spans="25:30" x14ac:dyDescent="0.2">
      <c r="Y182" s="65" t="s">
        <v>68</v>
      </c>
      <c r="Z182" s="34" t="str">
        <f>""</f>
        <v/>
      </c>
      <c r="AA182" s="13">
        <v>0</v>
      </c>
      <c r="AB182" s="13" t="str">
        <f>""</f>
        <v/>
      </c>
      <c r="AC182" s="594" t="str">
        <f>""</f>
        <v/>
      </c>
      <c r="AD182" s="13"/>
    </row>
    <row r="183" spans="25:30" x14ac:dyDescent="0.2">
      <c r="Y183" s="65" t="s">
        <v>69</v>
      </c>
      <c r="Z183" s="34" t="str">
        <f>""</f>
        <v/>
      </c>
      <c r="AA183" s="13">
        <v>0</v>
      </c>
      <c r="AB183" s="13" t="str">
        <f>""</f>
        <v/>
      </c>
      <c r="AC183" s="594" t="str">
        <f>""</f>
        <v/>
      </c>
      <c r="AD183" s="13"/>
    </row>
    <row r="184" spans="25:30" x14ac:dyDescent="0.2">
      <c r="Y184" s="65" t="s">
        <v>70</v>
      </c>
      <c r="Z184" s="34" t="str">
        <f>""</f>
        <v/>
      </c>
      <c r="AA184" s="13">
        <v>0</v>
      </c>
      <c r="AB184" s="13" t="str">
        <f>""</f>
        <v/>
      </c>
      <c r="AC184" s="594" t="str">
        <f>""</f>
        <v/>
      </c>
      <c r="AD184" s="13"/>
    </row>
    <row r="185" spans="25:30" x14ac:dyDescent="0.2">
      <c r="Y185" s="65" t="s">
        <v>71</v>
      </c>
      <c r="Z185" s="34" t="str">
        <f>""</f>
        <v/>
      </c>
      <c r="AA185" s="13">
        <v>0</v>
      </c>
      <c r="AB185" s="13" t="str">
        <f>""</f>
        <v/>
      </c>
      <c r="AC185" s="594" t="str">
        <f>""</f>
        <v/>
      </c>
      <c r="AD185" s="13"/>
    </row>
    <row r="186" spans="25:30" x14ac:dyDescent="0.2">
      <c r="Y186" s="65" t="s">
        <v>72</v>
      </c>
      <c r="Z186" s="34" t="str">
        <f>""</f>
        <v/>
      </c>
      <c r="AA186" s="13">
        <v>0</v>
      </c>
      <c r="AB186" s="13" t="str">
        <f>""</f>
        <v/>
      </c>
      <c r="AC186" s="594" t="str">
        <f>""</f>
        <v/>
      </c>
      <c r="AD186" s="13"/>
    </row>
    <row r="187" spans="25:30" x14ac:dyDescent="0.2">
      <c r="Y187" s="65" t="s">
        <v>73</v>
      </c>
      <c r="Z187" s="34" t="str">
        <f>""</f>
        <v/>
      </c>
      <c r="AA187" s="13">
        <v>0</v>
      </c>
      <c r="AB187" s="13" t="str">
        <f>""</f>
        <v/>
      </c>
      <c r="AC187" s="594" t="str">
        <f>""</f>
        <v/>
      </c>
      <c r="AD187" s="13"/>
    </row>
    <row r="188" spans="25:30" x14ac:dyDescent="0.2">
      <c r="Y188" s="65" t="s">
        <v>74</v>
      </c>
      <c r="Z188" s="34" t="str">
        <f>""</f>
        <v/>
      </c>
      <c r="AA188" s="13">
        <v>0</v>
      </c>
      <c r="AB188" s="13" t="str">
        <f>""</f>
        <v/>
      </c>
      <c r="AC188" s="594" t="str">
        <f>""</f>
        <v/>
      </c>
      <c r="AD188" s="13"/>
    </row>
    <row r="189" spans="25:30" x14ac:dyDescent="0.2">
      <c r="Y189" s="65" t="s">
        <v>75</v>
      </c>
      <c r="Z189" s="34" t="str">
        <f>""</f>
        <v/>
      </c>
      <c r="AA189" s="13">
        <v>0</v>
      </c>
      <c r="AB189" s="13" t="str">
        <f>""</f>
        <v/>
      </c>
      <c r="AC189" s="594" t="str">
        <f>""</f>
        <v/>
      </c>
      <c r="AD189" s="13"/>
    </row>
    <row r="190" spans="25:30" x14ac:dyDescent="0.2">
      <c r="Y190" s="65" t="s">
        <v>76</v>
      </c>
      <c r="Z190" s="34" t="str">
        <f>""</f>
        <v/>
      </c>
      <c r="AA190" s="13">
        <v>0</v>
      </c>
      <c r="AB190" s="13" t="str">
        <f>""</f>
        <v/>
      </c>
      <c r="AC190" s="594" t="str">
        <f>""</f>
        <v/>
      </c>
      <c r="AD190" s="13"/>
    </row>
    <row r="191" spans="25:30" x14ac:dyDescent="0.2">
      <c r="Y191" s="65" t="s">
        <v>77</v>
      </c>
      <c r="Z191" s="34" t="str">
        <f>""</f>
        <v/>
      </c>
      <c r="AA191" s="13">
        <v>0</v>
      </c>
      <c r="AB191" s="13" t="str">
        <f>""</f>
        <v/>
      </c>
      <c r="AC191" s="594" t="str">
        <f>""</f>
        <v/>
      </c>
      <c r="AD191" s="13"/>
    </row>
    <row r="192" spans="25:30" x14ac:dyDescent="0.2">
      <c r="Y192" s="65" t="s">
        <v>78</v>
      </c>
      <c r="Z192" s="34" t="str">
        <f>""</f>
        <v/>
      </c>
      <c r="AA192" s="13">
        <v>0</v>
      </c>
      <c r="AB192" s="13" t="str">
        <f>""</f>
        <v/>
      </c>
      <c r="AC192" s="594" t="str">
        <f>""</f>
        <v/>
      </c>
      <c r="AD192" s="13"/>
    </row>
    <row r="193" spans="25:30" x14ac:dyDescent="0.2">
      <c r="Y193" s="65" t="s">
        <v>79</v>
      </c>
      <c r="Z193" s="34" t="str">
        <f>""</f>
        <v/>
      </c>
      <c r="AA193" s="13">
        <v>0</v>
      </c>
      <c r="AB193" s="13" t="str">
        <f>""</f>
        <v/>
      </c>
      <c r="AC193" s="594" t="str">
        <f>""</f>
        <v/>
      </c>
      <c r="AD193" s="13"/>
    </row>
    <row r="194" spans="25:30" x14ac:dyDescent="0.2">
      <c r="Y194" s="65" t="s">
        <v>80</v>
      </c>
      <c r="Z194" s="34" t="str">
        <f>""</f>
        <v/>
      </c>
      <c r="AA194" s="13">
        <v>0</v>
      </c>
      <c r="AB194" s="13" t="str">
        <f>""</f>
        <v/>
      </c>
      <c r="AC194" s="594" t="str">
        <f>""</f>
        <v/>
      </c>
      <c r="AD194" s="13"/>
    </row>
    <row r="195" spans="25:30" x14ac:dyDescent="0.2">
      <c r="Y195" s="65" t="s">
        <v>81</v>
      </c>
      <c r="Z195" s="34" t="str">
        <f>""</f>
        <v/>
      </c>
      <c r="AA195" s="13">
        <v>0</v>
      </c>
      <c r="AB195" s="13" t="str">
        <f>""</f>
        <v/>
      </c>
      <c r="AC195" s="594" t="str">
        <f>""</f>
        <v/>
      </c>
      <c r="AD195" s="13"/>
    </row>
    <row r="196" spans="25:30" x14ac:dyDescent="0.2">
      <c r="Y196" s="65" t="s">
        <v>82</v>
      </c>
      <c r="Z196" s="34" t="str">
        <f>""</f>
        <v/>
      </c>
      <c r="AA196" s="13">
        <v>0</v>
      </c>
      <c r="AB196" s="13" t="str">
        <f>""</f>
        <v/>
      </c>
      <c r="AC196" s="594" t="str">
        <f>""</f>
        <v/>
      </c>
      <c r="AD196" s="13"/>
    </row>
    <row r="197" spans="25:30" x14ac:dyDescent="0.2">
      <c r="Y197" s="65" t="s">
        <v>83</v>
      </c>
      <c r="Z197" s="34" t="str">
        <f>""</f>
        <v/>
      </c>
      <c r="AA197" s="13">
        <v>0</v>
      </c>
      <c r="AB197" s="13" t="str">
        <f>""</f>
        <v/>
      </c>
      <c r="AC197" s="594" t="str">
        <f>""</f>
        <v/>
      </c>
      <c r="AD197" s="13"/>
    </row>
    <row r="198" spans="25:30" x14ac:dyDescent="0.2">
      <c r="Y198" s="65" t="s">
        <v>84</v>
      </c>
      <c r="Z198" s="34" t="str">
        <f>""</f>
        <v/>
      </c>
      <c r="AA198" s="13">
        <v>0</v>
      </c>
      <c r="AB198" s="13" t="str">
        <f>""</f>
        <v/>
      </c>
      <c r="AC198" s="594" t="str">
        <f>""</f>
        <v/>
      </c>
      <c r="AD198" s="13"/>
    </row>
    <row r="199" spans="25:30" x14ac:dyDescent="0.2">
      <c r="Y199" s="65" t="s">
        <v>85</v>
      </c>
      <c r="Z199" s="34" t="str">
        <f>""</f>
        <v/>
      </c>
      <c r="AA199" s="13">
        <v>0</v>
      </c>
      <c r="AB199" s="13" t="str">
        <f>""</f>
        <v/>
      </c>
      <c r="AC199" s="594" t="str">
        <f>""</f>
        <v/>
      </c>
      <c r="AD199" s="13"/>
    </row>
    <row r="200" spans="25:30" x14ac:dyDescent="0.2">
      <c r="Y200" s="65" t="s">
        <v>86</v>
      </c>
      <c r="Z200" s="34" t="str">
        <f>""</f>
        <v/>
      </c>
      <c r="AA200" s="13">
        <v>0</v>
      </c>
      <c r="AB200" s="13" t="str">
        <f>""</f>
        <v/>
      </c>
      <c r="AC200" s="594" t="str">
        <f>""</f>
        <v/>
      </c>
      <c r="AD200" s="13"/>
    </row>
    <row r="201" spans="25:30" x14ac:dyDescent="0.2">
      <c r="Y201" s="65" t="s">
        <v>87</v>
      </c>
      <c r="Z201" s="34" t="str">
        <f>""</f>
        <v/>
      </c>
      <c r="AA201" s="13">
        <v>0</v>
      </c>
      <c r="AB201" s="13" t="str">
        <f>""</f>
        <v/>
      </c>
      <c r="AC201" s="594" t="str">
        <f>""</f>
        <v/>
      </c>
      <c r="AD201" s="13"/>
    </row>
    <row r="202" spans="25:30" x14ac:dyDescent="0.2">
      <c r="Y202" s="65" t="s">
        <v>88</v>
      </c>
      <c r="Z202" s="34" t="str">
        <f>""</f>
        <v/>
      </c>
      <c r="AA202" s="13">
        <v>0</v>
      </c>
      <c r="AB202" s="13" t="str">
        <f>""</f>
        <v/>
      </c>
      <c r="AC202" s="594" t="str">
        <f>""</f>
        <v/>
      </c>
      <c r="AD202" s="13"/>
    </row>
    <row r="203" spans="25:30" x14ac:dyDescent="0.2">
      <c r="Y203" s="65" t="s">
        <v>89</v>
      </c>
      <c r="Z203" s="34" t="str">
        <f>""</f>
        <v/>
      </c>
      <c r="AA203" s="13">
        <v>0</v>
      </c>
      <c r="AB203" s="13" t="str">
        <f>""</f>
        <v/>
      </c>
      <c r="AC203" s="594" t="str">
        <f>""</f>
        <v/>
      </c>
      <c r="AD203" s="13"/>
    </row>
    <row r="204" spans="25:30" x14ac:dyDescent="0.2">
      <c r="Y204" s="65" t="s">
        <v>90</v>
      </c>
      <c r="Z204" s="34" t="str">
        <f>""</f>
        <v/>
      </c>
      <c r="AA204" s="13">
        <v>0</v>
      </c>
      <c r="AB204" s="13" t="str">
        <f>""</f>
        <v/>
      </c>
      <c r="AC204" s="594" t="str">
        <f>""</f>
        <v/>
      </c>
      <c r="AD204" s="13"/>
    </row>
    <row r="205" spans="25:30" x14ac:dyDescent="0.2">
      <c r="Y205" s="65" t="s">
        <v>91</v>
      </c>
      <c r="Z205" s="34" t="str">
        <f>""</f>
        <v/>
      </c>
      <c r="AA205" s="13">
        <v>0</v>
      </c>
      <c r="AB205" s="13" t="str">
        <f>""</f>
        <v/>
      </c>
      <c r="AC205" s="594" t="str">
        <f>""</f>
        <v/>
      </c>
      <c r="AD205" s="13"/>
    </row>
    <row r="206" spans="25:30" x14ac:dyDescent="0.2">
      <c r="Y206" s="65" t="s">
        <v>92</v>
      </c>
      <c r="Z206" s="34" t="str">
        <f>""</f>
        <v/>
      </c>
      <c r="AA206" s="13">
        <v>0</v>
      </c>
      <c r="AB206" s="13" t="str">
        <f>""</f>
        <v/>
      </c>
      <c r="AC206" s="594" t="str">
        <f>""</f>
        <v/>
      </c>
      <c r="AD206" s="13"/>
    </row>
    <row r="207" spans="25:30" ht="12.75" thickBot="1" x14ac:dyDescent="0.25">
      <c r="Y207" s="66" t="s">
        <v>93</v>
      </c>
      <c r="Z207" s="36" t="str">
        <f>""</f>
        <v/>
      </c>
      <c r="AA207" s="37">
        <v>0</v>
      </c>
      <c r="AB207" s="37" t="str">
        <f>""</f>
        <v/>
      </c>
      <c r="AC207" s="595" t="str">
        <f>""</f>
        <v/>
      </c>
      <c r="AD207" s="40"/>
    </row>
    <row r="208" spans="25:30" ht="12.75" thickTop="1" x14ac:dyDescent="0.2"/>
  </sheetData>
  <mergeCells count="18">
    <mergeCell ref="AL63:AM63"/>
    <mergeCell ref="X63:Y63"/>
    <mergeCell ref="AD63:AE63"/>
    <mergeCell ref="AF63:AG63"/>
    <mergeCell ref="AH63:AI63"/>
    <mergeCell ref="AJ63:AK63"/>
    <mergeCell ref="AS29:AZ29"/>
    <mergeCell ref="BA29:BH29"/>
    <mergeCell ref="BI29:BP29"/>
    <mergeCell ref="W3:AA3"/>
    <mergeCell ref="AB3:AF3"/>
    <mergeCell ref="AG3:AK3"/>
    <mergeCell ref="AL3:AP3"/>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CF7D7-0CED-43D5-90E4-57E956454223}">
  <sheetPr codeName="Tabelle8"/>
  <dimension ref="A1:AC72"/>
  <sheetViews>
    <sheetView topLeftCell="A31" workbookViewId="0">
      <selection activeCell="AD72" sqref="AD72"/>
    </sheetView>
  </sheetViews>
  <sheetFormatPr baseColWidth="10" defaultColWidth="11.42578125" defaultRowHeight="12.75" x14ac:dyDescent="0.2"/>
  <cols>
    <col min="2" max="2" width="3.7109375" customWidth="1"/>
    <col min="3" max="3" width="8.85546875" customWidth="1"/>
    <col min="4" max="5" width="5.7109375" customWidth="1"/>
    <col min="6" max="7" width="8.85546875" customWidth="1"/>
    <col min="8" max="9" width="5.7109375" customWidth="1"/>
    <col min="10" max="11" width="8.85546875" customWidth="1"/>
    <col min="12" max="13" width="5.7109375" customWidth="1"/>
    <col min="14" max="15" width="8.85546875" customWidth="1"/>
    <col min="16" max="17" width="5.7109375" customWidth="1"/>
    <col min="18" max="19" width="8.85546875" customWidth="1"/>
    <col min="20" max="21" width="5.7109375" customWidth="1"/>
    <col min="22" max="23" width="8.85546875" customWidth="1"/>
    <col min="24" max="25" width="5.7109375" customWidth="1"/>
    <col min="26" max="27" width="8.85546875" customWidth="1"/>
    <col min="28" max="29" width="5.7109375" customWidth="1"/>
  </cols>
  <sheetData>
    <row r="1" spans="1:29" x14ac:dyDescent="0.2">
      <c r="A1" s="827" t="str">
        <f>Sprache!$E$50</f>
        <v>Spielpaarungen</v>
      </c>
      <c r="C1" s="213" t="s">
        <v>177</v>
      </c>
      <c r="D1" s="217" t="s">
        <v>193</v>
      </c>
      <c r="E1" s="217" t="s">
        <v>197</v>
      </c>
      <c r="G1" s="213" t="s">
        <v>168</v>
      </c>
      <c r="H1" s="73" t="s">
        <v>195</v>
      </c>
      <c r="I1" s="73" t="s">
        <v>199</v>
      </c>
      <c r="K1" s="213" t="s">
        <v>169</v>
      </c>
      <c r="L1" s="73" t="s">
        <v>201</v>
      </c>
      <c r="M1" s="73" t="s">
        <v>197</v>
      </c>
      <c r="O1" s="213" t="s">
        <v>170</v>
      </c>
      <c r="P1" s="73" t="s">
        <v>195</v>
      </c>
      <c r="Q1" s="73" t="s">
        <v>203</v>
      </c>
      <c r="S1" s="213" t="s">
        <v>325</v>
      </c>
      <c r="T1" s="73" t="s">
        <v>319</v>
      </c>
      <c r="U1" s="73" t="s">
        <v>197</v>
      </c>
      <c r="W1" s="213" t="s">
        <v>326</v>
      </c>
      <c r="X1" s="73" t="s">
        <v>195</v>
      </c>
      <c r="Y1" s="73" t="s">
        <v>320</v>
      </c>
      <c r="AA1" s="213" t="s">
        <v>327</v>
      </c>
      <c r="AB1" s="73" t="s">
        <v>321</v>
      </c>
      <c r="AC1" s="73" t="s">
        <v>197</v>
      </c>
    </row>
    <row r="2" spans="1:29" x14ac:dyDescent="0.2">
      <c r="A2" s="827"/>
      <c r="C2" s="261"/>
      <c r="D2" s="217" t="s">
        <v>194</v>
      </c>
      <c r="E2" s="217" t="s">
        <v>198</v>
      </c>
      <c r="G2" s="261"/>
      <c r="H2" s="73" t="s">
        <v>196</v>
      </c>
      <c r="I2" s="73" t="s">
        <v>200</v>
      </c>
      <c r="J2" s="73"/>
      <c r="K2" s="261"/>
      <c r="L2" s="73" t="s">
        <v>202</v>
      </c>
      <c r="M2" s="73" t="s">
        <v>198</v>
      </c>
      <c r="O2" s="261"/>
      <c r="P2" s="73" t="s">
        <v>196</v>
      </c>
      <c r="Q2" s="73" t="s">
        <v>204</v>
      </c>
      <c r="S2" s="261"/>
      <c r="T2" s="73" t="s">
        <v>322</v>
      </c>
      <c r="U2" s="73" t="s">
        <v>198</v>
      </c>
      <c r="V2" s="73"/>
      <c r="W2" s="261"/>
      <c r="X2" s="73" t="s">
        <v>196</v>
      </c>
      <c r="Y2" s="73" t="s">
        <v>323</v>
      </c>
      <c r="AA2" s="261"/>
      <c r="AB2" s="73" t="s">
        <v>324</v>
      </c>
      <c r="AC2" s="73" t="s">
        <v>198</v>
      </c>
    </row>
    <row r="3" spans="1:29" ht="12.75" customHeight="1" x14ac:dyDescent="0.2">
      <c r="A3" s="827"/>
      <c r="C3" s="258"/>
      <c r="D3" s="217" t="s">
        <v>193</v>
      </c>
      <c r="E3" s="217" t="s">
        <v>195</v>
      </c>
      <c r="G3" s="258"/>
      <c r="H3" s="73" t="s">
        <v>193</v>
      </c>
      <c r="I3" s="73" t="s">
        <v>197</v>
      </c>
      <c r="K3" s="259"/>
      <c r="L3" s="73" t="s">
        <v>193</v>
      </c>
      <c r="M3" s="73" t="s">
        <v>199</v>
      </c>
      <c r="O3" s="150"/>
      <c r="P3" s="73" t="s">
        <v>201</v>
      </c>
      <c r="Q3" s="73" t="s">
        <v>197</v>
      </c>
      <c r="S3" s="258"/>
      <c r="T3" s="73" t="s">
        <v>193</v>
      </c>
      <c r="U3" s="73" t="s">
        <v>203</v>
      </c>
      <c r="W3" s="259"/>
      <c r="X3" s="73" t="s">
        <v>319</v>
      </c>
      <c r="Y3" s="73" t="s">
        <v>197</v>
      </c>
      <c r="AA3" s="150"/>
      <c r="AB3" s="73" t="s">
        <v>193</v>
      </c>
      <c r="AC3" s="73" t="s">
        <v>320</v>
      </c>
    </row>
    <row r="4" spans="1:29" ht="12.75" customHeight="1" x14ac:dyDescent="0.2">
      <c r="A4" s="827"/>
      <c r="C4" s="258"/>
      <c r="D4" s="217" t="s">
        <v>194</v>
      </c>
      <c r="E4" s="217" t="s">
        <v>196</v>
      </c>
      <c r="G4" s="258"/>
      <c r="H4" s="73" t="s">
        <v>194</v>
      </c>
      <c r="I4" s="73" t="s">
        <v>198</v>
      </c>
      <c r="K4" s="259"/>
      <c r="L4" s="73" t="s">
        <v>194</v>
      </c>
      <c r="M4" s="73" t="s">
        <v>200</v>
      </c>
      <c r="O4" s="150"/>
      <c r="P4" s="73" t="s">
        <v>202</v>
      </c>
      <c r="Q4" s="73" t="s">
        <v>198</v>
      </c>
      <c r="S4" s="258"/>
      <c r="T4" s="73" t="s">
        <v>194</v>
      </c>
      <c r="U4" s="73" t="s">
        <v>204</v>
      </c>
      <c r="W4" s="259"/>
      <c r="X4" s="73" t="s">
        <v>322</v>
      </c>
      <c r="Y4" s="73" t="s">
        <v>198</v>
      </c>
      <c r="AA4" s="150"/>
      <c r="AB4" s="73" t="s">
        <v>194</v>
      </c>
      <c r="AC4" s="73" t="s">
        <v>323</v>
      </c>
    </row>
    <row r="5" spans="1:29" x14ac:dyDescent="0.2">
      <c r="A5" s="827"/>
      <c r="C5" s="258"/>
      <c r="D5" s="217" t="s">
        <v>195</v>
      </c>
      <c r="E5" s="217" t="s">
        <v>197</v>
      </c>
      <c r="G5" s="258"/>
      <c r="H5" s="73" t="s">
        <v>193</v>
      </c>
      <c r="I5" s="73" t="s">
        <v>195</v>
      </c>
      <c r="K5" s="260"/>
      <c r="L5" s="73" t="s">
        <v>201</v>
      </c>
      <c r="M5" s="73" t="s">
        <v>195</v>
      </c>
      <c r="P5" s="73" t="s">
        <v>193</v>
      </c>
      <c r="Q5" s="73" t="s">
        <v>199</v>
      </c>
      <c r="S5" s="258"/>
      <c r="T5" s="73" t="s">
        <v>201</v>
      </c>
      <c r="U5" s="73" t="s">
        <v>199</v>
      </c>
      <c r="W5" s="260"/>
      <c r="X5" s="73" t="s">
        <v>193</v>
      </c>
      <c r="Y5" s="73" t="s">
        <v>203</v>
      </c>
      <c r="AB5" s="73" t="s">
        <v>319</v>
      </c>
      <c r="AC5" s="73" t="s">
        <v>199</v>
      </c>
    </row>
    <row r="6" spans="1:29" x14ac:dyDescent="0.2">
      <c r="A6" s="827"/>
      <c r="C6" s="258"/>
      <c r="D6" s="217" t="s">
        <v>196</v>
      </c>
      <c r="E6" s="217" t="s">
        <v>198</v>
      </c>
      <c r="G6" s="258"/>
      <c r="H6" s="73" t="s">
        <v>197</v>
      </c>
      <c r="I6" s="73" t="s">
        <v>199</v>
      </c>
      <c r="J6" s="394" t="s">
        <v>285</v>
      </c>
      <c r="K6" s="73"/>
      <c r="L6" s="73" t="s">
        <v>202</v>
      </c>
      <c r="M6" s="73" t="s">
        <v>196</v>
      </c>
      <c r="P6" s="73" t="s">
        <v>194</v>
      </c>
      <c r="Q6" s="73" t="s">
        <v>200</v>
      </c>
      <c r="S6" s="258"/>
      <c r="T6" s="73" t="s">
        <v>202</v>
      </c>
      <c r="U6" s="73" t="s">
        <v>200</v>
      </c>
      <c r="V6" s="394"/>
      <c r="W6" s="73"/>
      <c r="X6" s="73" t="s">
        <v>194</v>
      </c>
      <c r="Y6" s="73" t="s">
        <v>204</v>
      </c>
      <c r="AB6" s="73" t="s">
        <v>322</v>
      </c>
      <c r="AC6" s="73" t="s">
        <v>200</v>
      </c>
    </row>
    <row r="7" spans="1:29" ht="12.75" customHeight="1" x14ac:dyDescent="0.2">
      <c r="A7" s="827"/>
      <c r="C7" s="258"/>
      <c r="D7" s="217"/>
      <c r="E7" s="217"/>
      <c r="G7" s="258"/>
      <c r="H7" s="73" t="s">
        <v>194</v>
      </c>
      <c r="I7" s="73" t="s">
        <v>196</v>
      </c>
      <c r="J7" s="394" t="s">
        <v>285</v>
      </c>
      <c r="K7" s="73"/>
      <c r="L7" s="73" t="s">
        <v>197</v>
      </c>
      <c r="M7" s="73" t="s">
        <v>193</v>
      </c>
      <c r="P7" s="73" t="s">
        <v>201</v>
      </c>
      <c r="Q7" s="73" t="s">
        <v>195</v>
      </c>
      <c r="S7" s="258"/>
      <c r="T7" s="73" t="s">
        <v>319</v>
      </c>
      <c r="U7" s="73" t="s">
        <v>195</v>
      </c>
      <c r="V7" s="394"/>
      <c r="W7" s="73"/>
      <c r="X7" s="73" t="s">
        <v>201</v>
      </c>
      <c r="Y7" s="73" t="s">
        <v>199</v>
      </c>
      <c r="AB7" s="73" t="s">
        <v>201</v>
      </c>
      <c r="AC7" s="73" t="s">
        <v>203</v>
      </c>
    </row>
    <row r="8" spans="1:29" ht="12.75" customHeight="1" x14ac:dyDescent="0.2">
      <c r="A8" s="827"/>
      <c r="C8" s="258"/>
      <c r="D8" s="217"/>
      <c r="E8" s="217"/>
      <c r="G8" s="258"/>
      <c r="H8" s="73" t="s">
        <v>198</v>
      </c>
      <c r="I8" s="73" t="s">
        <v>200</v>
      </c>
      <c r="K8" s="260"/>
      <c r="L8" s="73" t="s">
        <v>198</v>
      </c>
      <c r="M8" s="73" t="s">
        <v>194</v>
      </c>
      <c r="P8" s="73" t="s">
        <v>202</v>
      </c>
      <c r="Q8" s="73" t="s">
        <v>196</v>
      </c>
      <c r="S8" s="258"/>
      <c r="T8" s="73" t="s">
        <v>322</v>
      </c>
      <c r="U8" s="73" t="s">
        <v>196</v>
      </c>
      <c r="W8" s="260"/>
      <c r="X8" s="73" t="s">
        <v>202</v>
      </c>
      <c r="Y8" s="73" t="s">
        <v>200</v>
      </c>
      <c r="AB8" s="73" t="s">
        <v>202</v>
      </c>
      <c r="AC8" s="73" t="s">
        <v>204</v>
      </c>
    </row>
    <row r="9" spans="1:29" x14ac:dyDescent="0.2">
      <c r="A9" s="827"/>
      <c r="C9" s="258"/>
      <c r="D9" s="217"/>
      <c r="E9" s="217"/>
      <c r="G9" s="258"/>
      <c r="H9" s="73" t="s">
        <v>195</v>
      </c>
      <c r="I9" s="73" t="s">
        <v>197</v>
      </c>
      <c r="K9" s="260"/>
      <c r="L9" s="73" t="s">
        <v>195</v>
      </c>
      <c r="M9" s="73" t="s">
        <v>199</v>
      </c>
      <c r="P9" s="73" t="s">
        <v>199</v>
      </c>
      <c r="Q9" s="73" t="s">
        <v>203</v>
      </c>
      <c r="S9" s="258"/>
      <c r="T9" s="73" t="s">
        <v>197</v>
      </c>
      <c r="U9" s="73" t="s">
        <v>201</v>
      </c>
      <c r="W9" s="260"/>
      <c r="X9" s="73" t="s">
        <v>319</v>
      </c>
      <c r="Y9" s="73" t="s">
        <v>195</v>
      </c>
      <c r="AB9" s="73" t="s">
        <v>321</v>
      </c>
      <c r="AC9" s="73" t="s">
        <v>195</v>
      </c>
    </row>
    <row r="10" spans="1:29" x14ac:dyDescent="0.2">
      <c r="A10" s="827"/>
      <c r="C10" s="258"/>
      <c r="D10" s="217"/>
      <c r="E10" s="217"/>
      <c r="G10" s="258"/>
      <c r="H10" s="73" t="s">
        <v>196</v>
      </c>
      <c r="I10" s="73" t="s">
        <v>198</v>
      </c>
      <c r="K10" s="260"/>
      <c r="L10" s="73" t="s">
        <v>196</v>
      </c>
      <c r="M10" s="73" t="s">
        <v>200</v>
      </c>
      <c r="P10" s="73" t="s">
        <v>200</v>
      </c>
      <c r="Q10" s="73" t="s">
        <v>204</v>
      </c>
      <c r="S10" s="258"/>
      <c r="T10" s="73" t="s">
        <v>198</v>
      </c>
      <c r="U10" s="73" t="s">
        <v>202</v>
      </c>
      <c r="W10" s="260"/>
      <c r="X10" s="73" t="s">
        <v>322</v>
      </c>
      <c r="Y10" s="73" t="s">
        <v>196</v>
      </c>
      <c r="AB10" s="73" t="s">
        <v>324</v>
      </c>
      <c r="AC10" s="73" t="s">
        <v>196</v>
      </c>
    </row>
    <row r="11" spans="1:29" ht="13.5" customHeight="1" x14ac:dyDescent="0.2">
      <c r="A11" s="827"/>
      <c r="C11" s="258"/>
      <c r="D11" s="217"/>
      <c r="E11" s="217"/>
      <c r="G11" s="258"/>
      <c r="H11" s="73" t="s">
        <v>199</v>
      </c>
      <c r="I11" s="73" t="s">
        <v>193</v>
      </c>
      <c r="K11" s="258"/>
      <c r="L11" s="73" t="s">
        <v>193</v>
      </c>
      <c r="M11" s="73" t="s">
        <v>201</v>
      </c>
      <c r="P11" s="73" t="s">
        <v>197</v>
      </c>
      <c r="Q11" s="73" t="s">
        <v>193</v>
      </c>
      <c r="S11" s="258"/>
      <c r="T11" s="73" t="s">
        <v>199</v>
      </c>
      <c r="U11" s="73" t="s">
        <v>193</v>
      </c>
      <c r="W11" s="258"/>
      <c r="X11" s="73" t="s">
        <v>203</v>
      </c>
      <c r="Y11" s="73" t="s">
        <v>320</v>
      </c>
      <c r="AB11" s="73" t="s">
        <v>197</v>
      </c>
      <c r="AC11" s="73" t="s">
        <v>319</v>
      </c>
    </row>
    <row r="12" spans="1:29" ht="13.5" customHeight="1" x14ac:dyDescent="0.2">
      <c r="A12" s="827"/>
      <c r="C12" s="258"/>
      <c r="D12" s="217"/>
      <c r="E12" s="217"/>
      <c r="G12" s="258"/>
      <c r="H12" s="73" t="s">
        <v>200</v>
      </c>
      <c r="I12" s="73" t="s">
        <v>194</v>
      </c>
      <c r="K12" s="258"/>
      <c r="L12" s="73" t="s">
        <v>194</v>
      </c>
      <c r="M12" s="73" t="s">
        <v>202</v>
      </c>
      <c r="P12" s="73" t="s">
        <v>198</v>
      </c>
      <c r="Q12" s="73" t="s">
        <v>194</v>
      </c>
      <c r="S12" s="258"/>
      <c r="T12" s="73" t="s">
        <v>200</v>
      </c>
      <c r="U12" s="73" t="s">
        <v>194</v>
      </c>
      <c r="W12" s="258"/>
      <c r="X12" s="73" t="s">
        <v>204</v>
      </c>
      <c r="Y12" s="73" t="s">
        <v>323</v>
      </c>
      <c r="AB12" s="73" t="s">
        <v>198</v>
      </c>
      <c r="AC12" s="73" t="s">
        <v>322</v>
      </c>
    </row>
    <row r="13" spans="1:29" ht="12.75" customHeight="1" x14ac:dyDescent="0.2">
      <c r="A13" s="827"/>
      <c r="D13" s="73"/>
      <c r="E13" s="73"/>
      <c r="G13" s="258"/>
      <c r="H13" s="73"/>
      <c r="I13" s="73"/>
      <c r="K13" s="258"/>
      <c r="L13" s="73" t="s">
        <v>197</v>
      </c>
      <c r="M13" s="73" t="s">
        <v>199</v>
      </c>
      <c r="P13" s="73" t="s">
        <v>195</v>
      </c>
      <c r="Q13" s="73" t="s">
        <v>199</v>
      </c>
      <c r="S13" s="258"/>
      <c r="T13" s="73" t="s">
        <v>195</v>
      </c>
      <c r="U13" s="73" t="s">
        <v>203</v>
      </c>
      <c r="W13" s="258"/>
      <c r="X13" s="73" t="s">
        <v>197</v>
      </c>
      <c r="Y13" s="73" t="s">
        <v>201</v>
      </c>
      <c r="AB13" s="73" t="s">
        <v>203</v>
      </c>
      <c r="AC13" s="73" t="s">
        <v>193</v>
      </c>
    </row>
    <row r="14" spans="1:29" ht="12.75" customHeight="1" x14ac:dyDescent="0.2">
      <c r="A14" s="827"/>
      <c r="D14" s="73"/>
      <c r="E14" s="73"/>
      <c r="G14" s="258"/>
      <c r="K14" s="258"/>
      <c r="L14" s="73" t="s">
        <v>198</v>
      </c>
      <c r="M14" s="73" t="s">
        <v>200</v>
      </c>
      <c r="P14" s="73" t="s">
        <v>196</v>
      </c>
      <c r="Q14" s="73" t="s">
        <v>200</v>
      </c>
      <c r="S14" s="258"/>
      <c r="T14" s="150" t="s">
        <v>196</v>
      </c>
      <c r="U14" s="150" t="s">
        <v>204</v>
      </c>
      <c r="W14" s="258"/>
      <c r="X14" s="73" t="s">
        <v>198</v>
      </c>
      <c r="Y14" s="73" t="s">
        <v>202</v>
      </c>
      <c r="AB14" s="73" t="s">
        <v>204</v>
      </c>
      <c r="AC14" s="73" t="s">
        <v>194</v>
      </c>
    </row>
    <row r="15" spans="1:29" x14ac:dyDescent="0.2">
      <c r="A15" s="827"/>
      <c r="C15" s="218"/>
      <c r="D15" s="73"/>
      <c r="E15" s="73"/>
      <c r="G15" s="258"/>
      <c r="H15" s="73"/>
      <c r="I15" s="395"/>
      <c r="J15" s="394" t="s">
        <v>292</v>
      </c>
      <c r="K15" s="258"/>
      <c r="L15" s="73" t="s">
        <v>193</v>
      </c>
      <c r="M15" s="73" t="s">
        <v>195</v>
      </c>
      <c r="P15" s="73" t="s">
        <v>193</v>
      </c>
      <c r="Q15" s="73" t="s">
        <v>201</v>
      </c>
      <c r="S15" s="258"/>
      <c r="T15" s="73" t="s">
        <v>201</v>
      </c>
      <c r="U15" s="73" t="s">
        <v>319</v>
      </c>
      <c r="V15" s="394"/>
      <c r="W15" s="258"/>
      <c r="X15" s="73" t="s">
        <v>199</v>
      </c>
      <c r="Y15" s="73" t="s">
        <v>193</v>
      </c>
      <c r="AB15" s="73" t="s">
        <v>199</v>
      </c>
      <c r="AC15" s="73" t="s">
        <v>201</v>
      </c>
    </row>
    <row r="16" spans="1:29" x14ac:dyDescent="0.2">
      <c r="A16" s="827"/>
      <c r="C16" s="218"/>
      <c r="D16" s="73"/>
      <c r="E16" s="73"/>
      <c r="G16" s="258"/>
      <c r="H16" s="73"/>
      <c r="I16" s="73"/>
      <c r="J16" s="347" t="s">
        <v>286</v>
      </c>
      <c r="K16" s="258"/>
      <c r="L16" s="73" t="s">
        <v>194</v>
      </c>
      <c r="M16" s="73" t="s">
        <v>196</v>
      </c>
      <c r="P16" s="73" t="s">
        <v>194</v>
      </c>
      <c r="Q16" s="73" t="s">
        <v>202</v>
      </c>
      <c r="S16" s="258"/>
      <c r="T16" s="73" t="s">
        <v>202</v>
      </c>
      <c r="U16" s="73" t="s">
        <v>322</v>
      </c>
      <c r="V16" s="347"/>
      <c r="W16" s="258"/>
      <c r="X16" s="73" t="s">
        <v>200</v>
      </c>
      <c r="Y16" s="73" t="s">
        <v>194</v>
      </c>
      <c r="AB16" s="73" t="s">
        <v>200</v>
      </c>
      <c r="AC16" s="73" t="s">
        <v>202</v>
      </c>
    </row>
    <row r="17" spans="1:29" x14ac:dyDescent="0.2">
      <c r="A17" s="827"/>
      <c r="C17" s="218"/>
      <c r="D17" s="73"/>
      <c r="E17" s="73"/>
      <c r="G17" s="258"/>
      <c r="H17" s="73"/>
      <c r="I17" s="73"/>
      <c r="J17" s="347" t="s">
        <v>158</v>
      </c>
      <c r="K17" s="258"/>
      <c r="L17" s="73" t="s">
        <v>199</v>
      </c>
      <c r="M17" s="73" t="s">
        <v>201</v>
      </c>
      <c r="P17" s="73" t="s">
        <v>203</v>
      </c>
      <c r="Q17" s="73" t="s">
        <v>197</v>
      </c>
      <c r="S17" s="258"/>
      <c r="T17" s="73" t="s">
        <v>193</v>
      </c>
      <c r="U17" s="73" t="s">
        <v>197</v>
      </c>
      <c r="V17" s="347"/>
      <c r="W17" s="258"/>
      <c r="X17" s="73" t="s">
        <v>195</v>
      </c>
      <c r="Y17" s="73" t="s">
        <v>203</v>
      </c>
      <c r="AB17" s="73" t="s">
        <v>195</v>
      </c>
      <c r="AC17" s="73" t="s">
        <v>320</v>
      </c>
    </row>
    <row r="18" spans="1:29" x14ac:dyDescent="0.2">
      <c r="A18" s="827"/>
      <c r="C18" s="218"/>
      <c r="D18" s="73"/>
      <c r="E18" s="73"/>
      <c r="G18" s="258"/>
      <c r="H18" s="73"/>
      <c r="I18" s="73"/>
      <c r="J18" s="347" t="s">
        <v>287</v>
      </c>
      <c r="K18" s="258"/>
      <c r="L18" s="73" t="s">
        <v>200</v>
      </c>
      <c r="M18" s="73" t="s">
        <v>202</v>
      </c>
      <c r="P18" s="73" t="s">
        <v>204</v>
      </c>
      <c r="Q18" s="73" t="s">
        <v>198</v>
      </c>
      <c r="S18" s="258"/>
      <c r="T18" s="73" t="s">
        <v>194</v>
      </c>
      <c r="U18" s="73" t="s">
        <v>198</v>
      </c>
      <c r="V18" s="347"/>
      <c r="W18" s="258"/>
      <c r="X18" s="73" t="s">
        <v>196</v>
      </c>
      <c r="Y18" s="73" t="s">
        <v>204</v>
      </c>
      <c r="AB18" s="73" t="s">
        <v>196</v>
      </c>
      <c r="AC18" s="73" t="s">
        <v>323</v>
      </c>
    </row>
    <row r="19" spans="1:29" x14ac:dyDescent="0.2">
      <c r="A19" s="827"/>
      <c r="C19" s="218"/>
      <c r="D19" s="73"/>
      <c r="E19" s="73"/>
      <c r="G19" s="258"/>
      <c r="H19" s="73"/>
      <c r="I19" s="73"/>
      <c r="J19" s="347" t="s">
        <v>288</v>
      </c>
      <c r="K19" s="258"/>
      <c r="L19" s="73" t="s">
        <v>195</v>
      </c>
      <c r="M19" s="73" t="s">
        <v>197</v>
      </c>
      <c r="P19" s="73" t="s">
        <v>193</v>
      </c>
      <c r="Q19" s="73" t="s">
        <v>195</v>
      </c>
      <c r="S19" s="258"/>
      <c r="T19" s="73" t="s">
        <v>201</v>
      </c>
      <c r="U19" s="73" t="s">
        <v>195</v>
      </c>
      <c r="V19" s="347"/>
      <c r="W19" s="258"/>
      <c r="X19" s="73" t="s">
        <v>201</v>
      </c>
      <c r="Y19" s="73" t="s">
        <v>319</v>
      </c>
      <c r="AB19" s="73" t="s">
        <v>319</v>
      </c>
      <c r="AC19" s="73" t="s">
        <v>321</v>
      </c>
    </row>
    <row r="20" spans="1:29" x14ac:dyDescent="0.2">
      <c r="A20" s="827"/>
      <c r="C20" s="218"/>
      <c r="D20" s="73"/>
      <c r="E20" s="73"/>
      <c r="G20" s="258"/>
      <c r="H20" s="73"/>
      <c r="I20" s="73"/>
      <c r="K20" s="258"/>
      <c r="L20" s="73" t="s">
        <v>196</v>
      </c>
      <c r="M20" s="73" t="s">
        <v>198</v>
      </c>
      <c r="P20" s="73" t="s">
        <v>194</v>
      </c>
      <c r="Q20" s="73" t="s">
        <v>196</v>
      </c>
      <c r="S20" s="258"/>
      <c r="T20" s="73" t="s">
        <v>202</v>
      </c>
      <c r="U20" s="73" t="s">
        <v>196</v>
      </c>
      <c r="W20" s="258"/>
      <c r="X20" s="73" t="s">
        <v>202</v>
      </c>
      <c r="Y20" s="73" t="s">
        <v>322</v>
      </c>
      <c r="AB20" s="73" t="s">
        <v>322</v>
      </c>
      <c r="AC20" s="73" t="s">
        <v>324</v>
      </c>
    </row>
    <row r="21" spans="1:29" x14ac:dyDescent="0.2">
      <c r="A21" s="827"/>
      <c r="C21" s="218"/>
      <c r="D21" s="73"/>
      <c r="E21" s="73"/>
      <c r="G21" s="258"/>
      <c r="H21" s="73"/>
      <c r="I21" s="395"/>
      <c r="J21" s="347" t="s">
        <v>293</v>
      </c>
      <c r="K21" s="258"/>
      <c r="L21" s="73"/>
      <c r="M21" s="73"/>
      <c r="O21" s="258"/>
      <c r="P21" s="73" t="s">
        <v>197</v>
      </c>
      <c r="Q21" s="73" t="s">
        <v>199</v>
      </c>
      <c r="S21" s="258"/>
      <c r="T21" s="73" t="s">
        <v>199</v>
      </c>
      <c r="U21" s="73" t="s">
        <v>203</v>
      </c>
      <c r="V21" s="347"/>
      <c r="W21" s="258"/>
      <c r="X21" s="73" t="s">
        <v>320</v>
      </c>
      <c r="Y21" s="73" t="s">
        <v>199</v>
      </c>
      <c r="AA21" s="258"/>
      <c r="AB21" s="73" t="s">
        <v>201</v>
      </c>
      <c r="AC21" s="73" t="s">
        <v>197</v>
      </c>
    </row>
    <row r="22" spans="1:29" x14ac:dyDescent="0.2">
      <c r="A22" s="827"/>
      <c r="C22" s="218"/>
      <c r="D22" s="73"/>
      <c r="E22" s="73"/>
      <c r="G22" s="258"/>
      <c r="H22" s="73"/>
      <c r="I22" s="73"/>
      <c r="J22" s="347" t="s">
        <v>289</v>
      </c>
      <c r="K22" s="258"/>
      <c r="L22" s="73"/>
      <c r="M22" s="73"/>
      <c r="O22" s="258"/>
      <c r="P22" s="73" t="s">
        <v>198</v>
      </c>
      <c r="Q22" s="73" t="s">
        <v>200</v>
      </c>
      <c r="S22" s="258"/>
      <c r="T22" s="73" t="s">
        <v>200</v>
      </c>
      <c r="U22" s="73" t="s">
        <v>204</v>
      </c>
      <c r="V22" s="347"/>
      <c r="W22" s="258"/>
      <c r="X22" s="73" t="s">
        <v>323</v>
      </c>
      <c r="Y22" s="73" t="s">
        <v>200</v>
      </c>
      <c r="AA22" s="258"/>
      <c r="AB22" s="73" t="s">
        <v>202</v>
      </c>
      <c r="AC22" s="73" t="s">
        <v>198</v>
      </c>
    </row>
    <row r="23" spans="1:29" x14ac:dyDescent="0.2">
      <c r="A23" s="827"/>
      <c r="D23" s="73"/>
      <c r="E23" s="73"/>
      <c r="H23" s="73"/>
      <c r="I23" s="73"/>
      <c r="J23" s="347" t="s">
        <v>290</v>
      </c>
      <c r="K23" s="258"/>
      <c r="L23" s="73"/>
      <c r="M23" s="73"/>
      <c r="O23" s="258"/>
      <c r="P23" s="73" t="s">
        <v>201</v>
      </c>
      <c r="Q23" s="73" t="s">
        <v>203</v>
      </c>
      <c r="T23" s="73" t="s">
        <v>319</v>
      </c>
      <c r="U23" s="73" t="s">
        <v>193</v>
      </c>
      <c r="V23" s="347"/>
      <c r="W23" s="258"/>
      <c r="X23" s="73" t="s">
        <v>193</v>
      </c>
      <c r="Y23" s="73" t="s">
        <v>197</v>
      </c>
      <c r="AA23" s="258"/>
      <c r="AB23" s="73" t="s">
        <v>193</v>
      </c>
      <c r="AC23" s="73" t="s">
        <v>199</v>
      </c>
    </row>
    <row r="24" spans="1:29" x14ac:dyDescent="0.2">
      <c r="A24" s="827"/>
      <c r="D24" s="73"/>
      <c r="E24" s="73"/>
      <c r="H24" s="73"/>
      <c r="I24" s="73"/>
      <c r="J24" s="347" t="s">
        <v>291</v>
      </c>
      <c r="K24" s="258"/>
      <c r="L24" s="73"/>
      <c r="M24" s="73"/>
      <c r="O24" s="258"/>
      <c r="P24" s="73" t="s">
        <v>202</v>
      </c>
      <c r="Q24" s="73" t="s">
        <v>204</v>
      </c>
      <c r="T24" s="73" t="s">
        <v>322</v>
      </c>
      <c r="U24" s="73" t="s">
        <v>194</v>
      </c>
      <c r="V24" s="347"/>
      <c r="W24" s="258"/>
      <c r="X24" s="73" t="s">
        <v>194</v>
      </c>
      <c r="Y24" s="73" t="s">
        <v>198</v>
      </c>
      <c r="AA24" s="258"/>
      <c r="AB24" s="73" t="s">
        <v>194</v>
      </c>
      <c r="AC24" s="73" t="s">
        <v>200</v>
      </c>
    </row>
    <row r="25" spans="1:29" x14ac:dyDescent="0.2">
      <c r="A25" s="827"/>
      <c r="J25" s="347"/>
      <c r="K25" s="258"/>
      <c r="L25" s="73"/>
      <c r="M25" s="73"/>
      <c r="O25" s="258"/>
      <c r="P25" s="73" t="s">
        <v>195</v>
      </c>
      <c r="Q25" s="73" t="s">
        <v>197</v>
      </c>
      <c r="T25" s="150" t="s">
        <v>195</v>
      </c>
      <c r="U25" s="150" t="s">
        <v>199</v>
      </c>
      <c r="V25" s="347"/>
      <c r="W25" s="258"/>
      <c r="X25" s="73" t="s">
        <v>201</v>
      </c>
      <c r="Y25" s="73" t="s">
        <v>195</v>
      </c>
      <c r="AA25" s="258"/>
      <c r="AB25" s="73" t="s">
        <v>319</v>
      </c>
      <c r="AC25" s="73" t="s">
        <v>195</v>
      </c>
    </row>
    <row r="26" spans="1:29" x14ac:dyDescent="0.2">
      <c r="A26" s="827"/>
      <c r="K26" s="258"/>
      <c r="L26" s="73"/>
      <c r="M26" s="73"/>
      <c r="O26" s="258"/>
      <c r="P26" s="73" t="s">
        <v>196</v>
      </c>
      <c r="Q26" s="73" t="s">
        <v>198</v>
      </c>
      <c r="T26" s="150" t="s">
        <v>196</v>
      </c>
      <c r="U26" s="150" t="s">
        <v>200</v>
      </c>
      <c r="W26" s="258"/>
      <c r="X26" s="73" t="s">
        <v>202</v>
      </c>
      <c r="Y26" s="73" t="s">
        <v>196</v>
      </c>
      <c r="AA26" s="258"/>
      <c r="AB26" s="73" t="s">
        <v>322</v>
      </c>
      <c r="AC26" s="73" t="s">
        <v>196</v>
      </c>
    </row>
    <row r="27" spans="1:29" x14ac:dyDescent="0.2">
      <c r="A27" s="827"/>
      <c r="K27" s="258"/>
      <c r="L27" s="73"/>
      <c r="M27" s="73"/>
      <c r="O27" s="258"/>
      <c r="P27" s="73" t="s">
        <v>203</v>
      </c>
      <c r="Q27" s="73" t="s">
        <v>193</v>
      </c>
      <c r="T27" s="150" t="s">
        <v>193</v>
      </c>
      <c r="U27" s="150" t="s">
        <v>201</v>
      </c>
      <c r="W27" s="258"/>
      <c r="X27" s="73" t="s">
        <v>199</v>
      </c>
      <c r="Y27" s="73" t="s">
        <v>203</v>
      </c>
      <c r="AA27" s="258"/>
      <c r="AB27" s="73" t="s">
        <v>203</v>
      </c>
      <c r="AC27" s="73" t="s">
        <v>320</v>
      </c>
    </row>
    <row r="28" spans="1:29" x14ac:dyDescent="0.2">
      <c r="A28" s="827"/>
      <c r="K28" s="258"/>
      <c r="L28" s="73"/>
      <c r="M28" s="73"/>
      <c r="O28" s="258"/>
      <c r="P28" s="73" t="s">
        <v>204</v>
      </c>
      <c r="Q28" s="73" t="s">
        <v>194</v>
      </c>
      <c r="T28" s="150" t="s">
        <v>194</v>
      </c>
      <c r="U28" s="150" t="s">
        <v>202</v>
      </c>
      <c r="W28" s="258"/>
      <c r="X28" s="73" t="s">
        <v>200</v>
      </c>
      <c r="Y28" s="73" t="s">
        <v>204</v>
      </c>
      <c r="AA28" s="258"/>
      <c r="AB28" s="73" t="s">
        <v>204</v>
      </c>
      <c r="AC28" s="73" t="s">
        <v>323</v>
      </c>
    </row>
    <row r="29" spans="1:29" x14ac:dyDescent="0.2">
      <c r="A29" s="827"/>
      <c r="K29" s="258"/>
      <c r="L29" s="73"/>
      <c r="M29" s="73"/>
      <c r="O29" s="258"/>
      <c r="P29" s="73" t="s">
        <v>199</v>
      </c>
      <c r="Q29" s="73" t="s">
        <v>201</v>
      </c>
      <c r="T29" s="150" t="s">
        <v>203</v>
      </c>
      <c r="U29" s="150" t="s">
        <v>197</v>
      </c>
      <c r="W29" s="258"/>
      <c r="X29" s="73" t="s">
        <v>319</v>
      </c>
      <c r="Y29" s="73" t="s">
        <v>193</v>
      </c>
      <c r="AA29" s="258"/>
      <c r="AB29" s="73" t="s">
        <v>321</v>
      </c>
      <c r="AC29" s="73" t="s">
        <v>201</v>
      </c>
    </row>
    <row r="30" spans="1:29" x14ac:dyDescent="0.2">
      <c r="A30" s="827"/>
      <c r="K30" s="260"/>
      <c r="L30" s="73"/>
      <c r="M30" s="73"/>
      <c r="O30" s="258"/>
      <c r="P30" s="73" t="s">
        <v>200</v>
      </c>
      <c r="Q30" s="73" t="s">
        <v>202</v>
      </c>
      <c r="T30" s="150" t="s">
        <v>204</v>
      </c>
      <c r="U30" s="150" t="s">
        <v>198</v>
      </c>
      <c r="W30" s="260"/>
      <c r="X30" s="73" t="s">
        <v>322</v>
      </c>
      <c r="Y30" s="73" t="s">
        <v>194</v>
      </c>
      <c r="AA30" s="258"/>
      <c r="AB30" s="73" t="s">
        <v>324</v>
      </c>
      <c r="AC30" s="73" t="s">
        <v>202</v>
      </c>
    </row>
    <row r="31" spans="1:29" x14ac:dyDescent="0.2">
      <c r="A31" s="827"/>
      <c r="L31" s="73"/>
      <c r="M31" s="73"/>
      <c r="O31" s="258"/>
      <c r="P31" s="73"/>
      <c r="Q31" s="73"/>
      <c r="T31" s="150" t="s">
        <v>193</v>
      </c>
      <c r="U31" s="150" t="s">
        <v>195</v>
      </c>
      <c r="X31" s="73" t="s">
        <v>197</v>
      </c>
      <c r="Y31" s="73" t="s">
        <v>320</v>
      </c>
      <c r="AA31" s="258"/>
      <c r="AB31" s="73" t="s">
        <v>197</v>
      </c>
      <c r="AC31" s="73" t="s">
        <v>193</v>
      </c>
    </row>
    <row r="32" spans="1:29" x14ac:dyDescent="0.2">
      <c r="A32" s="827"/>
      <c r="L32" s="73"/>
      <c r="M32" s="73"/>
      <c r="O32" s="258"/>
      <c r="P32" s="73"/>
      <c r="Q32" s="73"/>
      <c r="T32" s="150" t="s">
        <v>194</v>
      </c>
      <c r="U32" s="150" t="s">
        <v>196</v>
      </c>
      <c r="X32" s="73" t="s">
        <v>198</v>
      </c>
      <c r="Y32" s="73" t="s">
        <v>323</v>
      </c>
      <c r="AA32" s="258"/>
      <c r="AB32" s="73" t="s">
        <v>198</v>
      </c>
      <c r="AC32" s="73" t="s">
        <v>194</v>
      </c>
    </row>
    <row r="33" spans="12:29" x14ac:dyDescent="0.2">
      <c r="L33" s="73"/>
      <c r="M33" s="73"/>
      <c r="O33" s="258"/>
      <c r="P33" s="73"/>
      <c r="Q33" s="73"/>
      <c r="T33" s="150" t="s">
        <v>197</v>
      </c>
      <c r="U33" s="150" t="s">
        <v>199</v>
      </c>
      <c r="X33" s="73" t="s">
        <v>195</v>
      </c>
      <c r="Y33" s="73" t="s">
        <v>199</v>
      </c>
      <c r="AA33" s="258"/>
      <c r="AB33" s="73" t="s">
        <v>195</v>
      </c>
      <c r="AC33" s="73" t="s">
        <v>203</v>
      </c>
    </row>
    <row r="34" spans="12:29" x14ac:dyDescent="0.2">
      <c r="L34" s="73"/>
      <c r="M34" s="73"/>
      <c r="O34" s="258"/>
      <c r="P34" s="73"/>
      <c r="Q34" s="73"/>
      <c r="T34" s="150" t="s">
        <v>198</v>
      </c>
      <c r="U34" s="150" t="s">
        <v>200</v>
      </c>
      <c r="X34" s="73" t="s">
        <v>196</v>
      </c>
      <c r="Y34" s="73" t="s">
        <v>200</v>
      </c>
      <c r="AA34" s="258"/>
      <c r="AB34" s="73" t="s">
        <v>196</v>
      </c>
      <c r="AC34" s="73" t="s">
        <v>204</v>
      </c>
    </row>
    <row r="35" spans="12:29" x14ac:dyDescent="0.2">
      <c r="P35" s="73"/>
      <c r="Q35" s="73"/>
      <c r="T35" s="150" t="s">
        <v>319</v>
      </c>
      <c r="U35" s="150" t="s">
        <v>203</v>
      </c>
      <c r="X35" s="150" t="s">
        <v>193</v>
      </c>
      <c r="Y35" s="150" t="s">
        <v>201</v>
      </c>
      <c r="AB35" s="73" t="s">
        <v>201</v>
      </c>
      <c r="AC35" s="73" t="s">
        <v>319</v>
      </c>
    </row>
    <row r="36" spans="12:29" x14ac:dyDescent="0.2">
      <c r="P36" s="73"/>
      <c r="Q36" s="73"/>
      <c r="T36" s="150" t="s">
        <v>322</v>
      </c>
      <c r="U36" s="150" t="s">
        <v>204</v>
      </c>
      <c r="X36" s="150" t="s">
        <v>194</v>
      </c>
      <c r="Y36" s="150" t="s">
        <v>202</v>
      </c>
      <c r="AB36" s="73" t="s">
        <v>202</v>
      </c>
      <c r="AC36" s="73" t="s">
        <v>322</v>
      </c>
    </row>
    <row r="37" spans="12:29" x14ac:dyDescent="0.2">
      <c r="P37" s="73"/>
      <c r="Q37" s="73"/>
      <c r="T37" s="150" t="s">
        <v>195</v>
      </c>
      <c r="U37" s="150" t="s">
        <v>197</v>
      </c>
      <c r="X37" s="150" t="s">
        <v>203</v>
      </c>
      <c r="Y37" s="150" t="s">
        <v>197</v>
      </c>
      <c r="AB37" s="73" t="s">
        <v>320</v>
      </c>
      <c r="AC37" s="73" t="s">
        <v>199</v>
      </c>
    </row>
    <row r="38" spans="12:29" x14ac:dyDescent="0.2">
      <c r="P38" s="73"/>
      <c r="Q38" s="73"/>
      <c r="T38" s="150" t="s">
        <v>196</v>
      </c>
      <c r="U38" s="150" t="s">
        <v>198</v>
      </c>
      <c r="X38" s="150" t="s">
        <v>204</v>
      </c>
      <c r="Y38" s="150" t="s">
        <v>198</v>
      </c>
      <c r="AB38" s="73" t="s">
        <v>323</v>
      </c>
      <c r="AC38" s="73" t="s">
        <v>200</v>
      </c>
    </row>
    <row r="39" spans="12:29" x14ac:dyDescent="0.2">
      <c r="P39" s="73"/>
      <c r="Q39" s="73"/>
      <c r="T39" s="150" t="s">
        <v>199</v>
      </c>
      <c r="U39" s="150" t="s">
        <v>319</v>
      </c>
      <c r="X39" s="150" t="s">
        <v>320</v>
      </c>
      <c r="Y39" s="150" t="s">
        <v>319</v>
      </c>
      <c r="AB39" s="73" t="s">
        <v>193</v>
      </c>
      <c r="AC39" s="73" t="s">
        <v>321</v>
      </c>
    </row>
    <row r="40" spans="12:29" x14ac:dyDescent="0.2">
      <c r="P40" s="73"/>
      <c r="Q40" s="73"/>
      <c r="T40" s="150" t="s">
        <v>200</v>
      </c>
      <c r="U40" s="150" t="s">
        <v>322</v>
      </c>
      <c r="X40" s="150" t="s">
        <v>323</v>
      </c>
      <c r="Y40" s="150" t="s">
        <v>322</v>
      </c>
      <c r="AB40" s="73" t="s">
        <v>194</v>
      </c>
      <c r="AC40" s="73" t="s">
        <v>324</v>
      </c>
    </row>
    <row r="41" spans="12:29" x14ac:dyDescent="0.2">
      <c r="P41" s="73"/>
      <c r="Q41" s="73"/>
      <c r="T41" s="150" t="s">
        <v>203</v>
      </c>
      <c r="U41" s="150" t="s">
        <v>201</v>
      </c>
      <c r="X41" s="150" t="s">
        <v>193</v>
      </c>
      <c r="Y41" s="150" t="s">
        <v>195</v>
      </c>
      <c r="AB41" s="73" t="s">
        <v>201</v>
      </c>
      <c r="AC41" s="73" t="s">
        <v>195</v>
      </c>
    </row>
    <row r="42" spans="12:29" x14ac:dyDescent="0.2">
      <c r="P42" s="73"/>
      <c r="Q42" s="73"/>
      <c r="T42" s="150" t="s">
        <v>204</v>
      </c>
      <c r="U42" s="150" t="s">
        <v>202</v>
      </c>
      <c r="X42" s="150" t="s">
        <v>194</v>
      </c>
      <c r="Y42" s="150" t="s">
        <v>196</v>
      </c>
      <c r="AB42" s="73" t="s">
        <v>202</v>
      </c>
      <c r="AC42" s="73" t="s">
        <v>196</v>
      </c>
    </row>
    <row r="43" spans="12:29" x14ac:dyDescent="0.2">
      <c r="P43" s="73"/>
      <c r="Q43" s="73"/>
      <c r="X43" s="150" t="s">
        <v>197</v>
      </c>
      <c r="Y43" s="150" t="s">
        <v>199</v>
      </c>
      <c r="AB43" s="73" t="s">
        <v>199</v>
      </c>
      <c r="AC43" s="73" t="s">
        <v>203</v>
      </c>
    </row>
    <row r="44" spans="12:29" x14ac:dyDescent="0.2">
      <c r="P44" s="73"/>
      <c r="Q44" s="73"/>
      <c r="X44" s="150" t="s">
        <v>198</v>
      </c>
      <c r="Y44" s="150" t="s">
        <v>200</v>
      </c>
      <c r="AB44" s="73" t="s">
        <v>200</v>
      </c>
      <c r="AC44" s="73" t="s">
        <v>204</v>
      </c>
    </row>
    <row r="45" spans="12:29" x14ac:dyDescent="0.2">
      <c r="X45" s="150" t="s">
        <v>201</v>
      </c>
      <c r="Y45" s="150" t="s">
        <v>320</v>
      </c>
      <c r="AB45" s="150" t="s">
        <v>319</v>
      </c>
      <c r="AC45" s="150" t="s">
        <v>193</v>
      </c>
    </row>
    <row r="46" spans="12:29" x14ac:dyDescent="0.2">
      <c r="X46" s="150" t="s">
        <v>202</v>
      </c>
      <c r="Y46" s="150" t="s">
        <v>323</v>
      </c>
      <c r="AB46" s="150" t="s">
        <v>322</v>
      </c>
      <c r="AC46" s="150" t="s">
        <v>194</v>
      </c>
    </row>
    <row r="47" spans="12:29" x14ac:dyDescent="0.2">
      <c r="X47" s="150" t="s">
        <v>319</v>
      </c>
      <c r="Y47" s="150" t="s">
        <v>203</v>
      </c>
      <c r="AB47" s="150" t="s">
        <v>197</v>
      </c>
      <c r="AC47" s="150" t="s">
        <v>320</v>
      </c>
    </row>
    <row r="48" spans="12:29" x14ac:dyDescent="0.2">
      <c r="X48" s="150" t="s">
        <v>322</v>
      </c>
      <c r="Y48" s="150" t="s">
        <v>204</v>
      </c>
      <c r="AB48" s="150" t="s">
        <v>198</v>
      </c>
      <c r="AC48" s="150" t="s">
        <v>323</v>
      </c>
    </row>
    <row r="49" spans="24:29" x14ac:dyDescent="0.2">
      <c r="X49" s="150" t="s">
        <v>195</v>
      </c>
      <c r="Y49" s="150" t="s">
        <v>197</v>
      </c>
      <c r="AB49" s="150" t="s">
        <v>195</v>
      </c>
      <c r="AC49" s="150" t="s">
        <v>199</v>
      </c>
    </row>
    <row r="50" spans="24:29" x14ac:dyDescent="0.2">
      <c r="X50" s="150" t="s">
        <v>196</v>
      </c>
      <c r="Y50" s="150" t="s">
        <v>198</v>
      </c>
      <c r="AB50" s="150" t="s">
        <v>196</v>
      </c>
      <c r="AC50" s="150" t="s">
        <v>200</v>
      </c>
    </row>
    <row r="51" spans="24:29" x14ac:dyDescent="0.2">
      <c r="X51" s="150" t="s">
        <v>320</v>
      </c>
      <c r="Y51" s="150" t="s">
        <v>193</v>
      </c>
      <c r="AB51" s="150" t="s">
        <v>193</v>
      </c>
      <c r="AC51" s="150" t="s">
        <v>201</v>
      </c>
    </row>
    <row r="52" spans="24:29" x14ac:dyDescent="0.2">
      <c r="X52" s="150" t="s">
        <v>323</v>
      </c>
      <c r="Y52" s="150" t="s">
        <v>194</v>
      </c>
      <c r="AB52" s="150" t="s">
        <v>194</v>
      </c>
      <c r="AC52" s="150" t="s">
        <v>202</v>
      </c>
    </row>
    <row r="53" spans="24:29" x14ac:dyDescent="0.2">
      <c r="X53" s="150" t="s">
        <v>199</v>
      </c>
      <c r="Y53" s="150" t="s">
        <v>319</v>
      </c>
      <c r="AB53" s="150" t="s">
        <v>203</v>
      </c>
      <c r="AC53" s="150" t="s">
        <v>197</v>
      </c>
    </row>
    <row r="54" spans="24:29" x14ac:dyDescent="0.2">
      <c r="X54" s="150" t="s">
        <v>200</v>
      </c>
      <c r="Y54" s="150" t="s">
        <v>322</v>
      </c>
      <c r="AB54" s="150" t="s">
        <v>204</v>
      </c>
      <c r="AC54" s="150" t="s">
        <v>198</v>
      </c>
    </row>
    <row r="55" spans="24:29" x14ac:dyDescent="0.2">
      <c r="X55" s="150" t="s">
        <v>203</v>
      </c>
      <c r="Y55" s="150" t="s">
        <v>201</v>
      </c>
      <c r="AB55" s="150" t="s">
        <v>320</v>
      </c>
      <c r="AC55" s="150" t="s">
        <v>321</v>
      </c>
    </row>
    <row r="56" spans="24:29" x14ac:dyDescent="0.2">
      <c r="X56" s="150" t="s">
        <v>204</v>
      </c>
      <c r="Y56" s="150" t="s">
        <v>202</v>
      </c>
      <c r="AB56" s="150" t="s">
        <v>323</v>
      </c>
      <c r="AC56" s="150" t="s">
        <v>324</v>
      </c>
    </row>
    <row r="57" spans="24:29" x14ac:dyDescent="0.2">
      <c r="AB57" s="150" t="s">
        <v>193</v>
      </c>
      <c r="AC57" s="150" t="s">
        <v>195</v>
      </c>
    </row>
    <row r="58" spans="24:29" x14ac:dyDescent="0.2">
      <c r="AB58" s="150" t="s">
        <v>194</v>
      </c>
      <c r="AC58" s="150" t="s">
        <v>196</v>
      </c>
    </row>
    <row r="59" spans="24:29" x14ac:dyDescent="0.2">
      <c r="AB59" s="150" t="s">
        <v>197</v>
      </c>
      <c r="AC59" s="150" t="s">
        <v>199</v>
      </c>
    </row>
    <row r="60" spans="24:29" x14ac:dyDescent="0.2">
      <c r="AB60" s="150" t="s">
        <v>198</v>
      </c>
      <c r="AC60" s="150" t="s">
        <v>200</v>
      </c>
    </row>
    <row r="61" spans="24:29" x14ac:dyDescent="0.2">
      <c r="AB61" s="150" t="s">
        <v>321</v>
      </c>
      <c r="AC61" s="150" t="s">
        <v>203</v>
      </c>
    </row>
    <row r="62" spans="24:29" x14ac:dyDescent="0.2">
      <c r="AB62" s="150" t="s">
        <v>324</v>
      </c>
      <c r="AC62" s="150" t="s">
        <v>204</v>
      </c>
    </row>
    <row r="63" spans="24:29" x14ac:dyDescent="0.2">
      <c r="AB63" s="150" t="s">
        <v>319</v>
      </c>
      <c r="AC63" s="150" t="s">
        <v>320</v>
      </c>
    </row>
    <row r="64" spans="24:29" x14ac:dyDescent="0.2">
      <c r="AB64" s="150" t="s">
        <v>322</v>
      </c>
      <c r="AC64" s="150" t="s">
        <v>323</v>
      </c>
    </row>
    <row r="65" spans="28:29" x14ac:dyDescent="0.2">
      <c r="AB65" s="150" t="s">
        <v>195</v>
      </c>
      <c r="AC65" s="150" t="s">
        <v>197</v>
      </c>
    </row>
    <row r="66" spans="28:29" x14ac:dyDescent="0.2">
      <c r="AB66" s="150" t="s">
        <v>196</v>
      </c>
      <c r="AC66" s="150" t="s">
        <v>198</v>
      </c>
    </row>
    <row r="67" spans="28:29" x14ac:dyDescent="0.2">
      <c r="AB67" s="150" t="s">
        <v>199</v>
      </c>
      <c r="AC67" s="150" t="s">
        <v>321</v>
      </c>
    </row>
    <row r="68" spans="28:29" x14ac:dyDescent="0.2">
      <c r="AB68" s="150" t="s">
        <v>200</v>
      </c>
      <c r="AC68" s="150" t="s">
        <v>324</v>
      </c>
    </row>
    <row r="69" spans="28:29" x14ac:dyDescent="0.2">
      <c r="AB69" s="150" t="s">
        <v>320</v>
      </c>
      <c r="AC69" s="150" t="s">
        <v>201</v>
      </c>
    </row>
    <row r="70" spans="28:29" x14ac:dyDescent="0.2">
      <c r="AB70" s="150" t="s">
        <v>323</v>
      </c>
      <c r="AC70" s="150" t="s">
        <v>202</v>
      </c>
    </row>
    <row r="71" spans="28:29" x14ac:dyDescent="0.2">
      <c r="AB71" s="150" t="s">
        <v>203</v>
      </c>
      <c r="AC71" s="150" t="s">
        <v>319</v>
      </c>
    </row>
    <row r="72" spans="28:29" x14ac:dyDescent="0.2">
      <c r="AB72" s="150" t="s">
        <v>204</v>
      </c>
      <c r="AC72" s="150" t="s">
        <v>322</v>
      </c>
    </row>
  </sheetData>
  <mergeCells count="1">
    <mergeCell ref="A1:A32"/>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61664-B8BD-4046-90C9-57BD56E2F6FD}">
  <sheetPr codeName="Tabelle5"/>
  <dimension ref="A1:BI84"/>
  <sheetViews>
    <sheetView showGridLines="0" showRowColHeaders="0" tabSelected="1" zoomScaleNormal="100" workbookViewId="0">
      <selection activeCell="I12" sqref="I12"/>
    </sheetView>
  </sheetViews>
  <sheetFormatPr baseColWidth="10" defaultColWidth="0" defaultRowHeight="12.75" zeroHeight="1" x14ac:dyDescent="0.2"/>
  <cols>
    <col min="1" max="1" width="2.85546875" style="42" customWidth="1"/>
    <col min="2" max="2" width="6.7109375" style="42" customWidth="1"/>
    <col min="3" max="3" width="8.42578125" style="42" customWidth="1"/>
    <col min="4" max="5" width="6.5703125" style="42" customWidth="1"/>
    <col min="6" max="6" width="24.7109375" style="42" customWidth="1"/>
    <col min="7" max="7" width="3" style="42" customWidth="1"/>
    <col min="8" max="8" width="24.7109375" style="42" customWidth="1"/>
    <col min="9" max="9" width="4.7109375" style="42" customWidth="1"/>
    <col min="10" max="10" width="2" style="42" customWidth="1"/>
    <col min="11" max="12" width="4.7109375" style="42" customWidth="1"/>
    <col min="13" max="13" width="2" style="42" customWidth="1"/>
    <col min="14" max="15" width="4.7109375" style="42" customWidth="1"/>
    <col min="16" max="16" width="2" style="42" customWidth="1"/>
    <col min="17" max="18" width="4.7109375" style="42" customWidth="1"/>
    <col min="19" max="19" width="2" style="42" customWidth="1"/>
    <col min="20" max="20" width="4.7109375" style="42" customWidth="1"/>
    <col min="21" max="21" width="15.85546875" style="42" customWidth="1"/>
    <col min="22" max="22" width="5.5703125" style="42" customWidth="1"/>
    <col min="23" max="23" width="4.140625" style="42" customWidth="1"/>
    <col min="24" max="24" width="24.7109375" style="42" customWidth="1"/>
    <col min="25" max="28" width="5.7109375" style="42" customWidth="1"/>
    <col min="29" max="29" width="4.7109375" style="42" customWidth="1"/>
    <col min="30" max="30" width="2" style="42" customWidth="1"/>
    <col min="31" max="31" width="4.7109375" style="42" customWidth="1"/>
    <col min="32" max="33" width="5.7109375" style="42" customWidth="1"/>
    <col min="34" max="34" width="2.140625" style="42" customWidth="1"/>
    <col min="35" max="35" width="5.7109375" style="42" customWidth="1"/>
    <col min="36" max="36" width="6.7109375" style="42" customWidth="1"/>
    <col min="37" max="37" width="9.85546875" style="42" customWidth="1"/>
    <col min="38" max="46" width="7.85546875" style="42" customWidth="1"/>
    <col min="47" max="47" width="24.7109375" style="42" customWidth="1"/>
    <col min="48" max="48" width="4.140625" style="42" customWidth="1"/>
    <col min="49" max="49" width="11.42578125" style="42" customWidth="1"/>
    <col min="50" max="50" width="8" style="42" customWidth="1"/>
    <col min="51" max="51" width="30.7109375" style="42" customWidth="1"/>
    <col min="52" max="52" width="11.42578125" style="42" customWidth="1"/>
    <col min="53" max="53" width="7.7109375" style="42" customWidth="1"/>
    <col min="54" max="16384" width="11.42578125" style="42" hidden="1"/>
  </cols>
  <sheetData>
    <row r="1" spans="1:61" ht="13.5" thickBot="1" x14ac:dyDescent="0.25">
      <c r="B1" s="270"/>
      <c r="C1" s="270"/>
      <c r="D1" s="241"/>
      <c r="E1" s="241"/>
      <c r="F1" s="241"/>
      <c r="G1" s="241"/>
      <c r="H1" s="241"/>
      <c r="I1" s="241"/>
      <c r="J1" s="241"/>
      <c r="K1" s="241"/>
      <c r="L1" s="241"/>
      <c r="M1" s="241"/>
      <c r="N1" s="241"/>
      <c r="O1" s="241"/>
      <c r="P1" s="241"/>
      <c r="Q1" s="241"/>
      <c r="R1" s="241"/>
      <c r="S1" s="241"/>
      <c r="T1" s="241"/>
      <c r="U1" s="241"/>
      <c r="W1" s="829"/>
      <c r="X1" s="829"/>
      <c r="AP1" s="270"/>
      <c r="AQ1" s="270"/>
      <c r="AR1" s="270"/>
      <c r="AS1" s="270"/>
      <c r="AT1" s="270"/>
    </row>
    <row r="2" spans="1:61" ht="36" customHeight="1" thickTop="1" x14ac:dyDescent="0.2">
      <c r="B2" s="240"/>
      <c r="C2" s="240"/>
      <c r="H2" s="846" t="s">
        <v>473</v>
      </c>
      <c r="I2" s="847"/>
      <c r="J2" s="847"/>
      <c r="K2" s="847"/>
      <c r="L2" s="847"/>
      <c r="M2" s="847"/>
      <c r="N2" s="847"/>
      <c r="O2" s="847"/>
      <c r="P2" s="847"/>
      <c r="Q2" s="847"/>
      <c r="R2" s="847"/>
      <c r="S2" s="847"/>
      <c r="T2" s="847"/>
      <c r="U2" s="847"/>
      <c r="V2" s="847"/>
      <c r="W2" s="847"/>
      <c r="X2" s="847"/>
      <c r="Y2" s="847"/>
      <c r="Z2" s="847"/>
      <c r="AA2" s="847"/>
      <c r="AB2" s="848"/>
      <c r="AC2" s="587"/>
      <c r="AD2" s="587"/>
      <c r="AE2" s="587"/>
      <c r="AF2" s="587"/>
      <c r="AG2" s="587"/>
      <c r="AH2" s="587"/>
      <c r="AI2" s="587"/>
      <c r="AJ2" s="587"/>
      <c r="AK2" s="587"/>
      <c r="AL2" s="828" t="s">
        <v>472</v>
      </c>
      <c r="AM2" s="828"/>
      <c r="AN2" s="587"/>
      <c r="AO2" s="587"/>
      <c r="AT2" s="272"/>
    </row>
    <row r="3" spans="1:61" ht="30" customHeight="1" x14ac:dyDescent="0.2">
      <c r="H3" s="849" t="s">
        <v>250</v>
      </c>
      <c r="I3" s="850"/>
      <c r="J3" s="850"/>
      <c r="K3" s="850"/>
      <c r="L3" s="850"/>
      <c r="M3" s="850"/>
      <c r="N3" s="850"/>
      <c r="O3" s="850"/>
      <c r="P3" s="850"/>
      <c r="Q3" s="850"/>
      <c r="R3" s="850"/>
      <c r="S3" s="850"/>
      <c r="T3" s="850"/>
      <c r="U3" s="850"/>
      <c r="V3" s="850"/>
      <c r="W3" s="850"/>
      <c r="X3" s="850"/>
      <c r="Y3" s="850"/>
      <c r="Z3" s="850"/>
      <c r="AA3" s="850"/>
      <c r="AB3" s="851"/>
      <c r="AC3" s="588"/>
      <c r="AD3" s="588"/>
      <c r="AE3" s="588"/>
      <c r="AF3" s="588"/>
      <c r="AG3" s="588"/>
      <c r="AH3" s="588"/>
      <c r="AI3" s="588"/>
      <c r="AJ3" s="588"/>
      <c r="AK3" s="588"/>
      <c r="AL3" s="588"/>
      <c r="AM3" s="588"/>
      <c r="AN3" s="588"/>
      <c r="AO3" s="588"/>
    </row>
    <row r="4" spans="1:61" ht="30" customHeight="1" x14ac:dyDescent="0.2">
      <c r="H4" s="852" t="s">
        <v>262</v>
      </c>
      <c r="I4" s="853"/>
      <c r="J4" s="853"/>
      <c r="K4" s="853"/>
      <c r="L4" s="853"/>
      <c r="M4" s="853"/>
      <c r="N4" s="853"/>
      <c r="O4" s="853"/>
      <c r="P4" s="853"/>
      <c r="Q4" s="853"/>
      <c r="R4" s="853"/>
      <c r="S4" s="853"/>
      <c r="T4" s="853"/>
      <c r="U4" s="853"/>
      <c r="V4" s="853"/>
      <c r="W4" s="853"/>
      <c r="X4" s="853"/>
      <c r="Y4" s="853"/>
      <c r="Z4" s="853"/>
      <c r="AA4" s="853"/>
      <c r="AB4" s="854"/>
      <c r="AC4" s="589"/>
      <c r="AD4" s="589"/>
      <c r="AE4" s="589"/>
      <c r="AF4" s="589"/>
      <c r="AG4" s="589"/>
      <c r="AH4" s="589"/>
      <c r="AI4" s="589"/>
      <c r="AJ4" s="589"/>
      <c r="AK4" s="589"/>
      <c r="AL4" s="589"/>
      <c r="AM4" s="589"/>
      <c r="AN4" s="589"/>
      <c r="AO4" s="589"/>
    </row>
    <row r="5" spans="1:61" ht="30" customHeight="1" thickBot="1" x14ac:dyDescent="0.25">
      <c r="H5" s="855" t="s">
        <v>249</v>
      </c>
      <c r="I5" s="856"/>
      <c r="J5" s="856"/>
      <c r="K5" s="856"/>
      <c r="L5" s="856"/>
      <c r="M5" s="856"/>
      <c r="N5" s="856"/>
      <c r="O5" s="856"/>
      <c r="P5" s="856"/>
      <c r="Q5" s="856"/>
      <c r="R5" s="856"/>
      <c r="S5" s="856"/>
      <c r="T5" s="856"/>
      <c r="U5" s="856"/>
      <c r="V5" s="856"/>
      <c r="W5" s="856"/>
      <c r="X5" s="856"/>
      <c r="Y5" s="856"/>
      <c r="Z5" s="856"/>
      <c r="AA5" s="856"/>
      <c r="AB5" s="857"/>
      <c r="AC5" s="589"/>
      <c r="AD5" s="589"/>
      <c r="AE5" s="589"/>
      <c r="AF5" s="589"/>
      <c r="AG5" s="589"/>
      <c r="AH5" s="589"/>
      <c r="AI5" s="589"/>
      <c r="AJ5" s="589"/>
      <c r="AK5" s="589"/>
      <c r="AL5" s="589"/>
      <c r="AM5" s="589"/>
      <c r="AN5" s="589"/>
      <c r="AO5" s="589"/>
      <c r="AX5" s="362"/>
      <c r="AY5" s="362"/>
      <c r="AZ5" s="362"/>
      <c r="BA5" s="362"/>
      <c r="BB5" s="362"/>
    </row>
    <row r="6" spans="1:61" ht="9" customHeight="1" thickTop="1" thickBot="1" x14ac:dyDescent="0.25">
      <c r="B6" s="271"/>
      <c r="C6" s="271"/>
      <c r="D6" s="271"/>
      <c r="E6" s="271"/>
      <c r="F6" s="271"/>
      <c r="G6" s="271"/>
      <c r="H6" s="271"/>
      <c r="I6" s="271"/>
      <c r="J6" s="271"/>
      <c r="K6" s="271"/>
      <c r="L6" s="271"/>
      <c r="M6" s="271"/>
      <c r="N6" s="271"/>
      <c r="O6" s="271"/>
      <c r="P6" s="271"/>
      <c r="Q6" s="271"/>
      <c r="R6" s="271"/>
      <c r="S6" s="271"/>
      <c r="T6" s="271"/>
      <c r="U6" s="271"/>
      <c r="AX6" s="362"/>
      <c r="AY6" s="362"/>
      <c r="AZ6" s="362"/>
      <c r="BA6" s="362"/>
      <c r="BB6" s="362"/>
    </row>
    <row r="7" spans="1:61" ht="30" customHeight="1" thickTop="1" x14ac:dyDescent="0.9">
      <c r="B7" s="271"/>
      <c r="C7" s="271"/>
      <c r="D7" s="271"/>
      <c r="E7" s="271"/>
      <c r="F7" s="271"/>
      <c r="G7" s="271"/>
      <c r="H7" s="271"/>
      <c r="I7" s="861" t="str">
        <f>Sprache!$E$18</f>
        <v>Vorrunde</v>
      </c>
      <c r="J7" s="862"/>
      <c r="K7" s="862"/>
      <c r="L7" s="862"/>
      <c r="M7" s="862"/>
      <c r="N7" s="862"/>
      <c r="O7" s="862"/>
      <c r="P7" s="862"/>
      <c r="Q7" s="862"/>
      <c r="R7" s="862"/>
      <c r="S7" s="862"/>
      <c r="T7" s="862"/>
      <c r="U7" s="862"/>
      <c r="V7" s="862"/>
      <c r="W7" s="862"/>
      <c r="X7" s="863"/>
      <c r="AB7" s="590"/>
      <c r="AC7" s="591"/>
      <c r="AD7" s="591"/>
      <c r="AE7" s="591"/>
      <c r="AF7" s="591"/>
      <c r="AG7" s="591"/>
      <c r="AH7" s="591"/>
      <c r="AI7" s="591"/>
      <c r="AU7" s="493" t="str">
        <f>Sprache!$E$49&amp;"      --&gt;"</f>
        <v>Tie-Break      --&gt;</v>
      </c>
      <c r="AX7" s="860" t="str">
        <f>Sprache!$E$100</f>
        <v>Sind zwei oder mehr Mannschaften nicht unterscheidbar und wird eine Entscheidung z.B. durch Elfmeterschießen oder Los getroffen, genügt es, für die bevorzugte Mannschaft einen Bonuspunkt einzutragen.</v>
      </c>
      <c r="AY7" s="860"/>
      <c r="AZ7" s="860"/>
      <c r="BA7" s="560"/>
      <c r="BB7" s="560"/>
    </row>
    <row r="8" spans="1:61" ht="30" customHeight="1" thickBot="1" x14ac:dyDescent="0.95">
      <c r="B8" s="271"/>
      <c r="C8" s="271"/>
      <c r="D8" s="271"/>
      <c r="E8" s="271"/>
      <c r="F8" s="271"/>
      <c r="G8" s="271"/>
      <c r="H8" s="271"/>
      <c r="I8" s="864"/>
      <c r="J8" s="865"/>
      <c r="K8" s="865"/>
      <c r="L8" s="865"/>
      <c r="M8" s="865"/>
      <c r="N8" s="865"/>
      <c r="O8" s="865"/>
      <c r="P8" s="865"/>
      <c r="Q8" s="865"/>
      <c r="R8" s="865"/>
      <c r="S8" s="865"/>
      <c r="T8" s="865"/>
      <c r="U8" s="865"/>
      <c r="V8" s="865"/>
      <c r="W8" s="865"/>
      <c r="X8" s="866"/>
      <c r="AB8" s="591"/>
      <c r="AC8" s="591"/>
      <c r="AD8" s="591"/>
      <c r="AE8" s="591"/>
      <c r="AF8" s="591"/>
      <c r="AG8" s="591"/>
      <c r="AH8" s="591"/>
      <c r="AI8" s="591"/>
      <c r="AX8" s="860"/>
      <c r="AY8" s="860"/>
      <c r="AZ8" s="860"/>
      <c r="BA8" s="560"/>
      <c r="BB8" s="560"/>
    </row>
    <row r="9" spans="1:61" ht="13.5" customHeight="1" thickTop="1" thickBot="1" x14ac:dyDescent="0.35">
      <c r="C9" s="43"/>
      <c r="D9" s="43"/>
      <c r="E9" s="43"/>
      <c r="F9" s="269"/>
      <c r="G9" s="269"/>
      <c r="H9" s="269"/>
      <c r="I9" s="269"/>
      <c r="J9" s="269"/>
      <c r="K9" s="269"/>
      <c r="L9" s="269"/>
      <c r="M9" s="269"/>
      <c r="N9" s="269"/>
      <c r="O9" s="269"/>
      <c r="P9" s="269"/>
      <c r="Q9" s="269"/>
      <c r="R9" s="269"/>
      <c r="S9" s="269"/>
      <c r="T9" s="269"/>
      <c r="U9" s="269"/>
      <c r="AL9" s="255"/>
      <c r="AM9" s="255"/>
      <c r="AN9" s="255"/>
      <c r="AO9" s="255"/>
      <c r="AP9" s="255"/>
      <c r="AQ9" s="255"/>
      <c r="AR9" s="255"/>
      <c r="AS9" s="255"/>
      <c r="AT9" s="255"/>
      <c r="BC9" s="773" t="s">
        <v>462</v>
      </c>
    </row>
    <row r="10" spans="1:61" ht="24" customHeight="1" thickBot="1" x14ac:dyDescent="0.45">
      <c r="A10" s="263"/>
      <c r="B10" s="267" t="str">
        <f>Sprache!$E$11</f>
        <v>Ergebnisse</v>
      </c>
      <c r="C10" s="264"/>
      <c r="D10" s="264"/>
      <c r="E10" s="264"/>
      <c r="F10" s="268"/>
      <c r="G10" s="268"/>
      <c r="H10" s="268"/>
      <c r="I10" s="268"/>
      <c r="J10" s="268"/>
      <c r="K10" s="268"/>
      <c r="L10" s="268"/>
      <c r="M10" s="268"/>
      <c r="N10" s="268"/>
      <c r="O10" s="268"/>
      <c r="P10" s="268"/>
      <c r="Q10" s="268"/>
      <c r="R10" s="268"/>
      <c r="S10" s="268"/>
      <c r="T10" s="268"/>
      <c r="U10" s="269"/>
      <c r="W10" s="836" t="str">
        <f>Sprache!$E$16&amp;" A"</f>
        <v>Gruppe A</v>
      </c>
      <c r="X10" s="836"/>
      <c r="Y10" s="175"/>
      <c r="Z10" s="175"/>
      <c r="AA10" s="175"/>
      <c r="AB10" s="175"/>
      <c r="AC10" s="175"/>
      <c r="AD10" s="175"/>
      <c r="AE10" s="175"/>
      <c r="AF10" s="175"/>
      <c r="AG10" s="175"/>
      <c r="AH10" s="175"/>
      <c r="AI10" s="175"/>
      <c r="AJ10" s="175"/>
      <c r="AK10" s="175"/>
      <c r="AL10" s="252" t="str">
        <f ca="1">IF(LEN(X12)&gt;Einstellungen!$C$33,LEFT(X12,Einstellungen!$C$33)&amp;".",X12)</f>
        <v>Eintrac.</v>
      </c>
      <c r="AM10" s="253" t="str">
        <f ca="1">IF(LEN(X13)&gt;Einstellungen!$C$33,LEFT(X13,Einstellungen!$C$33)&amp;".",X13)</f>
        <v>Maibach.</v>
      </c>
      <c r="AN10" s="253" t="str">
        <f ca="1">IF(LEN(X14)&gt;Einstellungen!$C$33,LEFT(X14,Einstellungen!$C$33)&amp;".",X14)</f>
        <v>VFB Ess.</v>
      </c>
      <c r="AO10" s="253" t="str">
        <f ca="1">IF(LEN(X15)&gt;Einstellungen!$C$33,LEFT(X15,Einstellungen!$C$33)&amp;".",X15)</f>
        <v>1. FC R.</v>
      </c>
      <c r="AP10" s="253" t="str">
        <f ca="1">IF(LEN(X16)&gt;Einstellungen!$C$33,LEFT(X16,Einstellungen!$C$33)&amp;".",X16)</f>
        <v>FC Barc.</v>
      </c>
      <c r="AQ10" s="480" t="str">
        <f ca="1">IF(LEN(X17)&gt;Einstellungen!$C$33,LEFT(X17,Einstellungen!$C$33)&amp;".",X17)</f>
        <v/>
      </c>
      <c r="AR10" s="480" t="str">
        <f ca="1">IF(LEN(X18)&gt;Einstellungen!$C$33,LEFT(X18,Einstellungen!$C$33)&amp;".",X18)</f>
        <v/>
      </c>
      <c r="AS10" s="480" t="str">
        <f ca="1">IF(LEN(X19)&gt;Einstellungen!$C$33,LEFT(X19,Einstellungen!$C$33)&amp;".",X19)</f>
        <v/>
      </c>
      <c r="AT10" s="254" t="str">
        <f ca="1">IF(LEN(X20)&gt;Einstellungen!$C$33,LEFT(X20,Einstellungen!$C$33)&amp;".",X20)</f>
        <v/>
      </c>
      <c r="AU10" s="176"/>
      <c r="AX10" s="836" t="str">
        <f>Sprache!$E$16&amp;" A"</f>
        <v>Gruppe A</v>
      </c>
      <c r="AY10" s="836"/>
      <c r="BC10" s="42" t="b">
        <f>Einstellungen!$B$38=Sprache!$E$79</f>
        <v>1</v>
      </c>
    </row>
    <row r="11" spans="1:61" ht="24" customHeight="1" thickTop="1" thickBot="1" x14ac:dyDescent="0.25">
      <c r="B11" s="339" t="str">
        <f>Sprache!$E$9</f>
        <v>Nr.</v>
      </c>
      <c r="C11" s="558" t="str">
        <f>Sprache!$E$39</f>
        <v>Beginn</v>
      </c>
      <c r="D11" s="558" t="str">
        <f>Sprache!$E$48</f>
        <v>Feld</v>
      </c>
      <c r="E11" s="558" t="str">
        <f>Sprache!$E$17</f>
        <v>Grp</v>
      </c>
      <c r="F11" s="830" t="str">
        <f>Sprache!$E$14</f>
        <v>Spielpaarung</v>
      </c>
      <c r="G11" s="830"/>
      <c r="H11" s="830"/>
      <c r="I11" s="837" t="str">
        <f>Sprache!$E$91</f>
        <v>1. Satz</v>
      </c>
      <c r="J11" s="838"/>
      <c r="K11" s="839"/>
      <c r="L11" s="837" t="str">
        <f>Sprache!$E$92</f>
        <v>2. Satz</v>
      </c>
      <c r="M11" s="838"/>
      <c r="N11" s="839"/>
      <c r="O11" s="837" t="str">
        <f>Sprache!$E$93</f>
        <v>3. Satz</v>
      </c>
      <c r="P11" s="838"/>
      <c r="Q11" s="840"/>
      <c r="R11" s="841" t="str">
        <f>Sprache!$E$89</f>
        <v>Sätze</v>
      </c>
      <c r="S11" s="838"/>
      <c r="T11" s="842"/>
      <c r="U11" s="574" t="str">
        <f>Sprache!$E$59</f>
        <v>Schiedsrichter</v>
      </c>
      <c r="W11" s="834"/>
      <c r="X11" s="835"/>
      <c r="Y11" s="177" t="str">
        <f>Sprache!$E$21</f>
        <v>SP</v>
      </c>
      <c r="Z11" s="178" t="str">
        <f>Sprache!$E$22</f>
        <v>G</v>
      </c>
      <c r="AA11" s="178" t="str">
        <f>Sprache!$E$23</f>
        <v>U</v>
      </c>
      <c r="AB11" s="179" t="str">
        <f>Sprache!$E$24</f>
        <v>V</v>
      </c>
      <c r="AC11" s="843" t="str">
        <f>Sprache!$E$89</f>
        <v>Sätze</v>
      </c>
      <c r="AD11" s="844"/>
      <c r="AE11" s="845"/>
      <c r="AF11" s="559" t="str">
        <f>Sprache!$E$26</f>
        <v>Diff.</v>
      </c>
      <c r="AG11" s="831" t="str">
        <f>Sprache!$E$90</f>
        <v>Bälle</v>
      </c>
      <c r="AH11" s="832"/>
      <c r="AI11" s="833"/>
      <c r="AJ11" s="178" t="str">
        <f>IF(Einstellungen!$G$24,Sprache!$E$26,Sprache!$E$97)</f>
        <v>Diff.</v>
      </c>
      <c r="AK11" s="180" t="str">
        <f>IF(Einstellungen!$G$9,Sprache!$E$27,Sprache!$E$80)</f>
        <v>Pkt</v>
      </c>
      <c r="AL11" s="181" t="str">
        <f ca="1">X12</f>
        <v>Eintracht Frankfurt</v>
      </c>
      <c r="AM11" s="182" t="str">
        <f ca="1">X13</f>
        <v>Maibach 1822 eV</v>
      </c>
      <c r="AN11" s="182" t="str">
        <f ca="1">X14</f>
        <v>VFB Essenheim</v>
      </c>
      <c r="AO11" s="182" t="str">
        <f ca="1">X15</f>
        <v>1. FC Riedwald</v>
      </c>
      <c r="AP11" s="182" t="str">
        <f ca="1">X16</f>
        <v>FC Barcelona</v>
      </c>
      <c r="AQ11" s="481" t="str">
        <f ca="1">X17</f>
        <v/>
      </c>
      <c r="AR11" s="481" t="str">
        <f ca="1">X18</f>
        <v/>
      </c>
      <c r="AS11" s="481" t="str">
        <f ca="1">X19</f>
        <v/>
      </c>
      <c r="AT11" s="451" t="str">
        <f ca="1">X20</f>
        <v/>
      </c>
      <c r="AU11" s="176"/>
      <c r="AX11" s="359" t="str">
        <f>Sprache!$E$9</f>
        <v>Nr.</v>
      </c>
      <c r="AY11" s="360" t="str">
        <f>Sprache!$E$10</f>
        <v>Teilnehmer bzw. Mannschaft</v>
      </c>
      <c r="AZ11" s="361" t="str">
        <f>Sprache!$E$49</f>
        <v>Tie-Break</v>
      </c>
      <c r="BA11" s="584"/>
      <c r="BB11" s="584"/>
    </row>
    <row r="12" spans="1:61" ht="24" customHeight="1" x14ac:dyDescent="0.2">
      <c r="B12" s="373">
        <f>Planung!$E6</f>
        <v>1</v>
      </c>
      <c r="C12" s="511">
        <f>Planung!$F6</f>
        <v>0.375</v>
      </c>
      <c r="D12" s="512" t="str">
        <f>Planung!$G6</f>
        <v>1</v>
      </c>
      <c r="E12" s="512" t="str">
        <f ca="1">Planung!$H6</f>
        <v>A</v>
      </c>
      <c r="F12" s="379" t="str">
        <f ca="1">Planung!$L6</f>
        <v>VFB Essenheim</v>
      </c>
      <c r="G12" s="372" t="s">
        <v>5</v>
      </c>
      <c r="H12" s="382" t="str">
        <f ca="1">Planung!$N6</f>
        <v>FC Barcelona</v>
      </c>
      <c r="I12" s="376">
        <v>13</v>
      </c>
      <c r="J12" s="568" t="str">
        <f>Sprache!$E$108</f>
        <v xml:space="preserve"> : </v>
      </c>
      <c r="K12" s="575">
        <v>25</v>
      </c>
      <c r="L12" s="376">
        <v>25</v>
      </c>
      <c r="M12" s="568" t="str">
        <f>Sprache!$E$108</f>
        <v xml:space="preserve"> : </v>
      </c>
      <c r="N12" s="575">
        <v>19</v>
      </c>
      <c r="O12" s="376">
        <v>25</v>
      </c>
      <c r="P12" s="568" t="str">
        <f>Sprache!$E$108</f>
        <v xml:space="preserve"> : </v>
      </c>
      <c r="Q12" s="578">
        <v>21</v>
      </c>
      <c r="R12" s="571">
        <f ca="1">IF(BC12,"",(I12&lt;&gt;"")*(K12&lt;&gt;"")*NOT(BD12)*((I12&gt;K12)+(I12=K12)*0.5)+(L12&lt;&gt;"")*(N12&lt;&gt;"")*NOT(BE12)*((L12&gt;N12)+(L12=N12)*0.5)+(O12&lt;&gt;"")*(Q12&lt;&gt;"")*NOT(BF12)*((O12&gt;Q12)+(O12=Q12)*0.5))</f>
        <v>2</v>
      </c>
      <c r="S12" s="774" t="str">
        <f>Sprache!$E$108</f>
        <v xml:space="preserve"> : </v>
      </c>
      <c r="T12" s="581">
        <f ca="1">IF(BC12,"",(I12&lt;&gt;"")*(K12&lt;&gt;"")*NOT(BD12)*((I12&lt;K12)+(I12=K12)*0.5)+(L12&lt;&gt;"")*(N12&lt;&gt;"")*NOT(BE12)*((L12&lt;N12)+(L12=N12)*0.5)+(O12&lt;&gt;"")*(Q12&lt;&gt;"")*NOT(BF12)*((O12&lt;Q12)+(O12=Q12)*0.5))</f>
        <v>1</v>
      </c>
      <c r="U12" s="684" t="str">
        <f>IF(Planung!$O6="","",Planung!$O6)</f>
        <v/>
      </c>
      <c r="W12" s="324">
        <f ca="1">IF(Calc1!$K$13=0,"",1)</f>
        <v>1</v>
      </c>
      <c r="X12" s="325" t="str">
        <f ca="1">IF(Calc1!$F$14&lt;3,"",IF(Calc1!$K$13=0,Calc1!$Q64,VLOOKUP(Calc1!B4,Calc1!$C$4:$N$12,4,0)))</f>
        <v>Eintracht Frankfurt</v>
      </c>
      <c r="Y12" s="183">
        <f ca="1">IF(Calc1!$K$13=0,"",VLOOKUP(Calc1!B4,Calc1!$C$4:$N$12,9,0))</f>
        <v>4</v>
      </c>
      <c r="Z12" s="184">
        <f ca="1">IF(Calc1!$K$13=0,"",VLOOKUP(Calc1!B4,Calc1!$C$4:$N$12,10,0))</f>
        <v>1</v>
      </c>
      <c r="AA12" s="184">
        <f ca="1">IF(Calc1!$K$13=0,"",VLOOKUP(Calc1!B4,Calc1!$C$4:$N$12,11,0))</f>
        <v>3</v>
      </c>
      <c r="AB12" s="185">
        <f ca="1">IF(Calc1!$K$13=0,"",VLOOKUP(Calc1!B4,Calc1!$C$4:$N$12,12,0))</f>
        <v>0</v>
      </c>
      <c r="AC12" s="186">
        <f ca="1">IF(Calc1!$K$13=0,"",VLOOKUP(Calc1!B4,Calc1!$C$4:$AT$12,44,0))</f>
        <v>5</v>
      </c>
      <c r="AD12" s="421" t="str">
        <f>Sprache!$E$108</f>
        <v xml:space="preserve"> : </v>
      </c>
      <c r="AE12" s="188">
        <f ca="1">IF(Calc1!$K$13=0,"",VLOOKUP(Calc1!B4,Calc1!$C$4:$AS$12,43,0))</f>
        <v>3</v>
      </c>
      <c r="AF12" s="185">
        <f ca="1">IF(Calc1!$K$13=0,"",AC12-AE12)</f>
        <v>2</v>
      </c>
      <c r="AG12" s="186">
        <f ca="1">IF(Calc1!$K$13=0,"",VLOOKUP(Calc1!B4,Calc1!$C$4:$N$12,5,0))</f>
        <v>191</v>
      </c>
      <c r="AH12" s="187" t="str">
        <f>Sprache!$E$108</f>
        <v xml:space="preserve"> : </v>
      </c>
      <c r="AI12" s="188">
        <f ca="1">IF(Calc1!$K$13=0,"",VLOOKUP(Calc1!B4,Calc1!$C$4:$N$12,6,0))</f>
        <v>171</v>
      </c>
      <c r="AJ12" s="183">
        <f ca="1">IF(Calc1!$K$13=0,"",IF(VLOOKUP(Calc1!B4,Calc1!$C$4:$AV$12,46,0)=Einstellungen!$F$24,"max",VLOOKUP(Calc1!B4,Calc1!$C$4:$AV$12,46,0)))</f>
        <v>20</v>
      </c>
      <c r="AK12" s="189">
        <f ca="1">IF(Calc1!$K$13=0,"",VLOOKUP(Calc1!B4,Calc1!$C$4:$AT$12,Einstellungen!$H$9,0))</f>
        <v>5</v>
      </c>
      <c r="AL12" s="190"/>
      <c r="AM12" s="184" t="str">
        <f ca="1">IFERROR(VLOOKUP($X12&amp;AM$11,Calc1!$Z$64:$AC$207,Einstellungen!$G$29,0),"")</f>
        <v>50 : 36</v>
      </c>
      <c r="AN12" s="184" t="str">
        <f ca="1">IFERROR(VLOOKUP($X12&amp;AN$11,Calc1!$Z$64:$AC$207,Einstellungen!$G$29,0),"")</f>
        <v>47 : 45</v>
      </c>
      <c r="AO12" s="184" t="str">
        <f ca="1">IFERROR(VLOOKUP($X12&amp;AO$11,Calc1!$Z$64:$AC$207,Einstellungen!$G$29,0),"")</f>
        <v>46 : 42</v>
      </c>
      <c r="AP12" s="184" t="str">
        <f ca="1">IFERROR(VLOOKUP($X12&amp;AP$11,Calc1!$Z$64:$AC$207,Einstellungen!$G$29,0),"")</f>
        <v>48 : 48</v>
      </c>
      <c r="AQ12" s="185" t="str">
        <f ca="1">IFERROR(VLOOKUP($X12&amp;AQ$11,Calc1!$Z$64:$AC$207,Einstellungen!$G$29,0),"")</f>
        <v/>
      </c>
      <c r="AR12" s="185" t="str">
        <f ca="1">IFERROR(VLOOKUP($X12&amp;AR$11,Calc1!$Z$64:$AC$207,Einstellungen!$G$29,0),"")</f>
        <v/>
      </c>
      <c r="AS12" s="185" t="str">
        <f ca="1">IFERROR(VLOOKUP($X12&amp;AS$11,Calc1!$Z$64:$AC$207,Einstellungen!$G$29,0),"")</f>
        <v/>
      </c>
      <c r="AT12" s="191" t="str">
        <f ca="1">IFERROR(VLOOKUP($X12&amp;AT$11,Calc1!$Z$64:$AC$207,Einstellungen!$G$29,0),"")</f>
        <v/>
      </c>
      <c r="AU12" s="192" t="str">
        <f t="shared" ref="AU12:AU16" ca="1" si="0">X12</f>
        <v>Eintracht Frankfurt</v>
      </c>
      <c r="AX12" s="357" t="s">
        <v>195</v>
      </c>
      <c r="AY12" s="358" t="str">
        <f>IF(Planung!$C7="","",Planung!$C7)</f>
        <v>1. FC Riedwald</v>
      </c>
      <c r="AZ12" s="363"/>
      <c r="BA12" s="585"/>
      <c r="BB12" s="585"/>
      <c r="BC12" s="42" t="b">
        <f t="shared" ref="BC12" ca="1" si="1">OR(F12="",H12="",AND(OR(I12="",K12="",BD12),OR(L12="",N12="",BE12),OR(O12="",Q12="",BF12)))</f>
        <v>0</v>
      </c>
      <c r="BD12" s="42" t="b">
        <f>ABS(I12-K12)&lt;2*$BC$10</f>
        <v>0</v>
      </c>
      <c r="BE12" s="42" t="b">
        <f>ABS(L12-N12)&lt;2*$BC$10</f>
        <v>0</v>
      </c>
      <c r="BF12" s="42" t="b">
        <f>ABS(O12-Q12)&lt;2*$BC$10</f>
        <v>0</v>
      </c>
      <c r="BG12" s="42" t="b">
        <f t="shared" ref="BG12" si="2">AND(BD12,I12&lt;&gt;"",K12&lt;&gt;"")</f>
        <v>0</v>
      </c>
      <c r="BH12" s="42" t="b">
        <f t="shared" ref="BH12" si="3">AND(BE12,L12&lt;&gt;"",N12&lt;&gt;"")</f>
        <v>0</v>
      </c>
      <c r="BI12" s="42" t="b">
        <f t="shared" ref="BI12" si="4">AND(BF12,O12&lt;&gt;"",Q12&lt;&gt;"")</f>
        <v>0</v>
      </c>
    </row>
    <row r="13" spans="1:61" ht="24" customHeight="1" x14ac:dyDescent="0.2">
      <c r="B13" s="374">
        <f ca="1">Planung!$E7</f>
        <v>2</v>
      </c>
      <c r="C13" s="513">
        <f ca="1">Planung!$F7</f>
        <v>0.375</v>
      </c>
      <c r="D13" s="514">
        <f ca="1">Planung!$G7</f>
        <v>2</v>
      </c>
      <c r="E13" s="514" t="str">
        <f ca="1">Planung!$H7</f>
        <v>B</v>
      </c>
      <c r="F13" s="380" t="str">
        <f ca="1">Planung!$L7</f>
        <v>FC Grönlingen</v>
      </c>
      <c r="G13" s="196" t="s">
        <v>5</v>
      </c>
      <c r="H13" s="383" t="str">
        <f ca="1">Planung!$N7</f>
        <v>Inter Mailand</v>
      </c>
      <c r="I13" s="377">
        <v>25</v>
      </c>
      <c r="J13" s="569" t="str">
        <f>Sprache!$E$108</f>
        <v xml:space="preserve"> : </v>
      </c>
      <c r="K13" s="576">
        <v>20</v>
      </c>
      <c r="L13" s="377">
        <v>23</v>
      </c>
      <c r="M13" s="569" t="str">
        <f>Sprache!$E$108</f>
        <v xml:space="preserve"> : </v>
      </c>
      <c r="N13" s="576">
        <v>25</v>
      </c>
      <c r="O13" s="377"/>
      <c r="P13" s="569" t="str">
        <f>Sprache!$E$108</f>
        <v xml:space="preserve"> : </v>
      </c>
      <c r="Q13" s="579"/>
      <c r="R13" s="572">
        <f t="shared" ref="R13:R76" ca="1" si="5">IF(BC13,"",(I13&lt;&gt;"")*(K13&lt;&gt;"")*NOT(BD13)*((I13&gt;K13)+(I13=K13)*0.5)+(L13&lt;&gt;"")*(N13&lt;&gt;"")*NOT(BE13)*((L13&gt;N13)+(L13=N13)*0.5)+(O13&lt;&gt;"")*(Q13&lt;&gt;"")*NOT(BF13)*((O13&gt;Q13)+(O13=Q13)*0.5))</f>
        <v>1</v>
      </c>
      <c r="S13" s="775" t="str">
        <f>Sprache!$E$108</f>
        <v xml:space="preserve"> : </v>
      </c>
      <c r="T13" s="582">
        <f t="shared" ref="T13:T76" ca="1" si="6">IF(BC13,"",(I13&lt;&gt;"")*(K13&lt;&gt;"")*NOT(BD13)*((I13&lt;K13)+(I13=K13)*0.5)+(L13&lt;&gt;"")*(N13&lt;&gt;"")*NOT(BE13)*((L13&lt;N13)+(L13=N13)*0.5)+(O13&lt;&gt;"")*(Q13&lt;&gt;"")*NOT(BF13)*((O13&lt;Q13)+(O13=Q13)*0.5))</f>
        <v>1</v>
      </c>
      <c r="U13" s="682" t="str">
        <f>IF(Planung!$O7="","",Planung!$O7)</f>
        <v/>
      </c>
      <c r="W13" s="326">
        <f ca="1">IF(Calc1!$K$13=0,"",IF(VLOOKUP(Calc1!B5,Calc1!$C$4:$E$12,3,0)=MAX(W$12:W12),VLOOKUP(Calc1!B5,Calc1!$C$4:$E$12,3,0),Calc1!B5))</f>
        <v>2</v>
      </c>
      <c r="X13" s="327" t="str">
        <f ca="1">IF(Calc1!$F$14&lt;3,"",IF(Calc1!$K$13=0,Calc1!$Q65,VLOOKUP(Calc1!B5,Calc1!$C$4:$N$12,4,0)))</f>
        <v>Maibach 1822 eV</v>
      </c>
      <c r="Y13" s="193">
        <f ca="1">IF(Calc1!$K$13=0,"",VLOOKUP(Calc1!B5,Calc1!$C$4:$N$12,9,0))</f>
        <v>4</v>
      </c>
      <c r="Z13" s="174">
        <f ca="1">IF(Calc1!$K$13=0,"",VLOOKUP(Calc1!B5,Calc1!$C$4:$N$12,10,0))</f>
        <v>2</v>
      </c>
      <c r="AA13" s="174">
        <f ca="1">IF(Calc1!$K$13=0,"",VLOOKUP(Calc1!B5,Calc1!$C$4:$N$12,11,0))</f>
        <v>1</v>
      </c>
      <c r="AB13" s="194">
        <f ca="1">IF(Calc1!$K$13=0,"",VLOOKUP(Calc1!B5,Calc1!$C$4:$N$12,12,0))</f>
        <v>1</v>
      </c>
      <c r="AC13" s="195">
        <f ca="1">IF(Calc1!$K$13=0,"",VLOOKUP(Calc1!B5,Calc1!$C$4:$AT$12,44,0))</f>
        <v>5</v>
      </c>
      <c r="AD13" s="424" t="str">
        <f>Sprache!$E$108</f>
        <v xml:space="preserve"> : </v>
      </c>
      <c r="AE13" s="197">
        <f ca="1">IF(Calc1!$K$13=0,"",VLOOKUP(Calc1!B5,Calc1!$C$4:$AS$12,43,0))</f>
        <v>3</v>
      </c>
      <c r="AF13" s="194">
        <f ca="1">IF(Calc1!$K$13=0,"",AC13-AE13)</f>
        <v>2</v>
      </c>
      <c r="AG13" s="195">
        <f ca="1">IF(Calc1!$K$13=0,"",VLOOKUP(Calc1!B5,Calc1!$C$4:$N$12,5,0))</f>
        <v>179</v>
      </c>
      <c r="AH13" s="196" t="str">
        <f>Sprache!$E$108</f>
        <v xml:space="preserve"> : </v>
      </c>
      <c r="AI13" s="197">
        <f ca="1">IF(Calc1!$K$13=0,"",VLOOKUP(Calc1!B5,Calc1!$C$4:$N$12,6,0))</f>
        <v>160</v>
      </c>
      <c r="AJ13" s="193">
        <f ca="1">IF(Calc1!$K$13=0,"",IF(VLOOKUP(Calc1!B5,Calc1!$C$4:$AV$12,46,0)=Einstellungen!$F$24,"max",VLOOKUP(Calc1!B5,Calc1!$C$4:$AV$12,46,0)))</f>
        <v>19</v>
      </c>
      <c r="AK13" s="198">
        <f ca="1">IF(Calc1!$K$13=0,"",VLOOKUP(Calc1!B5,Calc1!$C$4:$AT$12,Einstellungen!$H$9,0))</f>
        <v>5</v>
      </c>
      <c r="AL13" s="199" t="str">
        <f ca="1">IFERROR(VLOOKUP($X13&amp;AL$11,Calc1!$Z$64:$AC$207,Einstellungen!$G$29,0),"")</f>
        <v>36 : 50</v>
      </c>
      <c r="AM13" s="200"/>
      <c r="AN13" s="174" t="str">
        <f ca="1">IFERROR(VLOOKUP($X13&amp;AN$11,Calc1!$Z$64:$AC$207,Einstellungen!$G$29,0),"")</f>
        <v>50 : 40</v>
      </c>
      <c r="AO13" s="174" t="str">
        <f ca="1">IFERROR(VLOOKUP($X13&amp;AO$11,Calc1!$Z$64:$AC$207,Einstellungen!$G$29,0),"")</f>
        <v>43 : 41</v>
      </c>
      <c r="AP13" s="174" t="str">
        <f ca="1">IFERROR(VLOOKUP($X13&amp;AP$11,Calc1!$Z$64:$AC$207,Einstellungen!$G$29,0),"")</f>
        <v>50 : 29</v>
      </c>
      <c r="AQ13" s="194" t="str">
        <f ca="1">IFERROR(VLOOKUP($X13&amp;AQ$11,Calc1!$Z$64:$AC$207,Einstellungen!$G$29,0),"")</f>
        <v/>
      </c>
      <c r="AR13" s="194" t="str">
        <f ca="1">IFERROR(VLOOKUP($X13&amp;AR$11,Calc1!$Z$64:$AC$207,Einstellungen!$G$29,0),"")</f>
        <v/>
      </c>
      <c r="AS13" s="194" t="str">
        <f ca="1">IFERROR(VLOOKUP($X13&amp;AS$11,Calc1!$Z$64:$AC$207,Einstellungen!$G$29,0),"")</f>
        <v/>
      </c>
      <c r="AT13" s="201" t="str">
        <f ca="1">IFERROR(VLOOKUP($X13&amp;AT$11,Calc1!$Z$64:$AC$207,Einstellungen!$G$29,0),"")</f>
        <v/>
      </c>
      <c r="AU13" s="202" t="str">
        <f t="shared" ca="1" si="0"/>
        <v>Maibach 1822 eV</v>
      </c>
      <c r="AX13" s="353" t="s">
        <v>197</v>
      </c>
      <c r="AY13" s="355" t="str">
        <f>IF(Planung!$C9="","",Planung!$C9)</f>
        <v>FC Barcelona</v>
      </c>
      <c r="AZ13" s="364"/>
      <c r="BA13" s="585"/>
      <c r="BB13" s="585"/>
      <c r="BC13" s="42" t="b">
        <f t="shared" ref="BC13:BC76" ca="1" si="7">OR(F13="",H13="",AND(OR(I13="",K13="",BD13),OR(L13="",N13="",BE13),OR(O13="",Q13="",BF13)))</f>
        <v>0</v>
      </c>
      <c r="BD13" s="42" t="b">
        <f t="shared" ref="BD13:BD76" si="8">ABS(I13-K13)&lt;2*$BC$10</f>
        <v>0</v>
      </c>
      <c r="BE13" s="42" t="b">
        <f t="shared" ref="BE13:BE76" si="9">ABS(L13-N13)&lt;2*$BC$10</f>
        <v>0</v>
      </c>
      <c r="BF13" s="42" t="b">
        <f t="shared" ref="BF13:BF76" si="10">ABS(O13-Q13)&lt;2*$BC$10</f>
        <v>1</v>
      </c>
      <c r="BG13" s="42" t="b">
        <f t="shared" ref="BG13:BG76" si="11">AND(BD13,I13&lt;&gt;"",K13&lt;&gt;"")</f>
        <v>0</v>
      </c>
      <c r="BH13" s="42" t="b">
        <f t="shared" ref="BH13:BH76" si="12">AND(BE13,L13&lt;&gt;"",N13&lt;&gt;"")</f>
        <v>0</v>
      </c>
      <c r="BI13" s="42" t="b">
        <f t="shared" ref="BI13:BI76" si="13">AND(BF13,O13&lt;&gt;"",Q13&lt;&gt;"")</f>
        <v>0</v>
      </c>
    </row>
    <row r="14" spans="1:61" ht="24" customHeight="1" x14ac:dyDescent="0.2">
      <c r="B14" s="374">
        <f ca="1">Planung!$E8</f>
        <v>3</v>
      </c>
      <c r="C14" s="513">
        <f ca="1">Planung!$F8</f>
        <v>0.375</v>
      </c>
      <c r="D14" s="514">
        <f ca="1">Planung!$G8</f>
        <v>3</v>
      </c>
      <c r="E14" s="514" t="str">
        <f ca="1">Planung!$H8</f>
        <v>A</v>
      </c>
      <c r="F14" s="380" t="str">
        <f ca="1">Planung!$L8</f>
        <v>Eintracht Frankfurt</v>
      </c>
      <c r="G14" s="196" t="s">
        <v>5</v>
      </c>
      <c r="H14" s="383" t="str">
        <f ca="1">Planung!$N8</f>
        <v>Maibach 1822 eV</v>
      </c>
      <c r="I14" s="377">
        <v>25</v>
      </c>
      <c r="J14" s="569" t="str">
        <f>Sprache!$E$108</f>
        <v xml:space="preserve"> : </v>
      </c>
      <c r="K14" s="576">
        <v>17</v>
      </c>
      <c r="L14" s="377">
        <v>25</v>
      </c>
      <c r="M14" s="569" t="str">
        <f>Sprache!$E$108</f>
        <v xml:space="preserve"> : </v>
      </c>
      <c r="N14" s="576">
        <v>19</v>
      </c>
      <c r="O14" s="377"/>
      <c r="P14" s="569" t="str">
        <f>Sprache!$E$108</f>
        <v xml:space="preserve"> : </v>
      </c>
      <c r="Q14" s="579"/>
      <c r="R14" s="572">
        <f t="shared" ca="1" si="5"/>
        <v>2</v>
      </c>
      <c r="S14" s="775" t="str">
        <f>Sprache!$E$108</f>
        <v xml:space="preserve"> : </v>
      </c>
      <c r="T14" s="582">
        <f t="shared" ca="1" si="6"/>
        <v>0</v>
      </c>
      <c r="U14" s="682" t="str">
        <f>IF(Planung!$O8="","",Planung!$O8)</f>
        <v/>
      </c>
      <c r="W14" s="326">
        <f ca="1">IF(Calc1!$K$13=0,"",IF(VLOOKUP(Calc1!B6,Calc1!$C$4:$E$12,3,0)=MAX(W$12:W13),VLOOKUP(Calc1!B6,Calc1!$C$4:$E$12,3,0),Calc1!B6))</f>
        <v>3</v>
      </c>
      <c r="X14" s="327" t="str">
        <f ca="1">IF(Calc1!$F$14&lt;3,"",IF(Calc1!$K$13=0,Calc1!$Q66,VLOOKUP(Calc1!B6,Calc1!$C$4:$N$12,4,0)))</f>
        <v>VFB Essenheim</v>
      </c>
      <c r="Y14" s="193">
        <f ca="1">IF(Calc1!$K$13=0,"",VLOOKUP(Calc1!B6,Calc1!$C$4:$N$12,9,0))</f>
        <v>4</v>
      </c>
      <c r="Z14" s="174">
        <f ca="1">IF(Calc1!$K$13=0,"",VLOOKUP(Calc1!B6,Calc1!$C$4:$N$12,10,0))</f>
        <v>2</v>
      </c>
      <c r="AA14" s="174">
        <f ca="1">IF(Calc1!$K$13=0,"",VLOOKUP(Calc1!B6,Calc1!$C$4:$N$12,11,0))</f>
        <v>1</v>
      </c>
      <c r="AB14" s="194">
        <f ca="1">IF(Calc1!$K$13=0,"",VLOOKUP(Calc1!B6,Calc1!$C$4:$N$12,12,0))</f>
        <v>1</v>
      </c>
      <c r="AC14" s="195">
        <f ca="1">IF(Calc1!$K$13=0,"",VLOOKUP(Calc1!B6,Calc1!$C$4:$AT$12,44,0))</f>
        <v>5</v>
      </c>
      <c r="AD14" s="424" t="str">
        <f>Sprache!$E$108</f>
        <v xml:space="preserve"> : </v>
      </c>
      <c r="AE14" s="197">
        <f ca="1">IF(Calc1!$K$13=0,"",VLOOKUP(Calc1!B6,Calc1!$C$4:$AS$12,43,0))</f>
        <v>4</v>
      </c>
      <c r="AF14" s="194">
        <f ca="1">IF(Calc1!$K$13=0,"",AC14-AE14)</f>
        <v>1</v>
      </c>
      <c r="AG14" s="195">
        <f ca="1">IF(Calc1!$K$13=0,"",VLOOKUP(Calc1!B6,Calc1!$C$4:$N$12,5,0))</f>
        <v>198</v>
      </c>
      <c r="AH14" s="196" t="str">
        <f>Sprache!$E$108</f>
        <v xml:space="preserve"> : </v>
      </c>
      <c r="AI14" s="197">
        <f ca="1">IF(Calc1!$K$13=0,"",VLOOKUP(Calc1!B6,Calc1!$C$4:$N$12,6,0))</f>
        <v>206</v>
      </c>
      <c r="AJ14" s="193">
        <f ca="1">IF(Calc1!$K$13=0,"",IF(VLOOKUP(Calc1!B6,Calc1!$C$4:$AV$12,46,0)=Einstellungen!$F$24,"max",VLOOKUP(Calc1!B6,Calc1!$C$4:$AV$12,46,0)))</f>
        <v>-8</v>
      </c>
      <c r="AK14" s="198">
        <f ca="1">IF(Calc1!$K$13=0,"",VLOOKUP(Calc1!B6,Calc1!$C$4:$AT$12,Einstellungen!$H$9,0))</f>
        <v>5</v>
      </c>
      <c r="AL14" s="199" t="str">
        <f ca="1">IFERROR(VLOOKUP($X14&amp;AL$11,Calc1!$Z$64:$AC$207,Einstellungen!$G$29,0),"")</f>
        <v>45 : 47</v>
      </c>
      <c r="AM14" s="350" t="str">
        <f ca="1">IFERROR(VLOOKUP($X14&amp;AM$11,Calc1!$Z$64:$AC$207,Einstellungen!$G$29,0),"")</f>
        <v>40 : 50</v>
      </c>
      <c r="AN14" s="200"/>
      <c r="AO14" s="174" t="str">
        <f ca="1">IFERROR(VLOOKUP($X14&amp;AO$11,Calc1!$Z$64:$AC$207,Einstellungen!$G$29,0),"")</f>
        <v>50 : 44</v>
      </c>
      <c r="AP14" s="174" t="str">
        <f ca="1">IFERROR(VLOOKUP($X14&amp;AP$11,Calc1!$Z$64:$AC$207,Einstellungen!$G$29,0),"")</f>
        <v>63 : 65</v>
      </c>
      <c r="AQ14" s="194" t="str">
        <f ca="1">IFERROR(VLOOKUP($X14&amp;AQ$11,Calc1!$Z$64:$AC$207,Einstellungen!$G$29,0),"")</f>
        <v/>
      </c>
      <c r="AR14" s="194" t="str">
        <f ca="1">IFERROR(VLOOKUP($X14&amp;AR$11,Calc1!$Z$64:$AC$207,Einstellungen!$G$29,0),"")</f>
        <v/>
      </c>
      <c r="AS14" s="194" t="str">
        <f ca="1">IFERROR(VLOOKUP($X14&amp;AS$11,Calc1!$Z$64:$AC$207,Einstellungen!$G$29,0),"")</f>
        <v/>
      </c>
      <c r="AT14" s="201" t="str">
        <f ca="1">IFERROR(VLOOKUP($X14&amp;AT$11,Calc1!$Z$64:$AC$207,Einstellungen!$G$29,0),"")</f>
        <v/>
      </c>
      <c r="AU14" s="202" t="str">
        <f t="shared" ca="1" si="0"/>
        <v>VFB Essenheim</v>
      </c>
      <c r="AX14" s="353" t="s">
        <v>193</v>
      </c>
      <c r="AY14" s="355" t="str">
        <f>IF(Planung!$C11="","",Planung!$C11)</f>
        <v>Eintracht Frankfurt</v>
      </c>
      <c r="AZ14" s="364"/>
      <c r="BA14" s="585"/>
      <c r="BB14" s="585"/>
      <c r="BC14" s="42" t="b">
        <f t="shared" ca="1" si="7"/>
        <v>0</v>
      </c>
      <c r="BD14" s="42" t="b">
        <f t="shared" si="8"/>
        <v>0</v>
      </c>
      <c r="BE14" s="42" t="b">
        <f t="shared" si="9"/>
        <v>0</v>
      </c>
      <c r="BF14" s="42" t="b">
        <f t="shared" si="10"/>
        <v>1</v>
      </c>
      <c r="BG14" s="42" t="b">
        <f t="shared" si="11"/>
        <v>0</v>
      </c>
      <c r="BH14" s="42" t="b">
        <f t="shared" si="12"/>
        <v>0</v>
      </c>
      <c r="BI14" s="42" t="b">
        <f t="shared" si="13"/>
        <v>0</v>
      </c>
    </row>
    <row r="15" spans="1:61" ht="24" customHeight="1" x14ac:dyDescent="0.2">
      <c r="B15" s="374">
        <f ca="1">Planung!$E9</f>
        <v>4</v>
      </c>
      <c r="C15" s="513">
        <f ca="1">Planung!$F9</f>
        <v>0.375</v>
      </c>
      <c r="D15" s="514">
        <f ca="1">Planung!$G9</f>
        <v>4</v>
      </c>
      <c r="E15" s="514" t="str">
        <f ca="1">Planung!$H9</f>
        <v>B</v>
      </c>
      <c r="F15" s="380" t="str">
        <f ca="1">Planung!$L9</f>
        <v>SSV Wildbach</v>
      </c>
      <c r="G15" s="196" t="s">
        <v>5</v>
      </c>
      <c r="H15" s="383" t="str">
        <f ca="1">Planung!$N9</f>
        <v>Manchester City</v>
      </c>
      <c r="I15" s="377">
        <v>25</v>
      </c>
      <c r="J15" s="569" t="str">
        <f>Sprache!$E$108</f>
        <v xml:space="preserve"> : </v>
      </c>
      <c r="K15" s="576">
        <v>22</v>
      </c>
      <c r="L15" s="377">
        <v>25</v>
      </c>
      <c r="M15" s="569" t="str">
        <f>Sprache!$E$108</f>
        <v xml:space="preserve"> : </v>
      </c>
      <c r="N15" s="576">
        <v>20</v>
      </c>
      <c r="O15" s="377"/>
      <c r="P15" s="569" t="str">
        <f>Sprache!$E$108</f>
        <v xml:space="preserve"> : </v>
      </c>
      <c r="Q15" s="579"/>
      <c r="R15" s="572">
        <f t="shared" ca="1" si="5"/>
        <v>2</v>
      </c>
      <c r="S15" s="775" t="str">
        <f>Sprache!$E$108</f>
        <v xml:space="preserve"> : </v>
      </c>
      <c r="T15" s="582">
        <f t="shared" ca="1" si="6"/>
        <v>0</v>
      </c>
      <c r="U15" s="682" t="str">
        <f>IF(Planung!$O9="","",Planung!$O9)</f>
        <v/>
      </c>
      <c r="W15" s="326">
        <f ca="1">IF(Calc1!$K$13=0,"",IF(VLOOKUP(Calc1!B7,Calc1!$C$4:$E$12,3,0)=MAX(W$12:W14),VLOOKUP(Calc1!B7,Calc1!$C$4:$E$12,3,0),Calc1!B7))</f>
        <v>4</v>
      </c>
      <c r="X15" s="327" t="str">
        <f ca="1">IF(Calc1!$F$14&lt;3,"",IF(Calc1!$K$13=0,Calc1!$Q67,VLOOKUP(Calc1!B7,Calc1!$C$4:$N$12,4,0)))</f>
        <v>1. FC Riedwald</v>
      </c>
      <c r="Y15" s="193">
        <f ca="1">IF(Calc1!$K$13=0,"",VLOOKUP(Calc1!B7,Calc1!$C$4:$N$12,9,0))</f>
        <v>4</v>
      </c>
      <c r="Z15" s="174">
        <f ca="1">IF(Calc1!$K$13=0,"",VLOOKUP(Calc1!B7,Calc1!$C$4:$N$12,10,0))</f>
        <v>1</v>
      </c>
      <c r="AA15" s="174">
        <f ca="1">IF(Calc1!$K$13=0,"",VLOOKUP(Calc1!B7,Calc1!$C$4:$N$12,11,0))</f>
        <v>2</v>
      </c>
      <c r="AB15" s="194">
        <f ca="1">IF(Calc1!$K$13=0,"",VLOOKUP(Calc1!B7,Calc1!$C$4:$N$12,12,0))</f>
        <v>1</v>
      </c>
      <c r="AC15" s="195">
        <f ca="1">IF(Calc1!$K$13=0,"",VLOOKUP(Calc1!B7,Calc1!$C$4:$AT$12,44,0))</f>
        <v>4</v>
      </c>
      <c r="AD15" s="424" t="str">
        <f>Sprache!$E$108</f>
        <v xml:space="preserve"> : </v>
      </c>
      <c r="AE15" s="197">
        <f ca="1">IF(Calc1!$K$13=0,"",VLOOKUP(Calc1!B7,Calc1!$C$4:$AS$12,43,0))</f>
        <v>4</v>
      </c>
      <c r="AF15" s="194">
        <f ca="1">IF(Calc1!$K$13=0,"",AC15-AE15)</f>
        <v>0</v>
      </c>
      <c r="AG15" s="195">
        <f ca="1">IF(Calc1!$K$13=0,"",VLOOKUP(Calc1!B7,Calc1!$C$4:$N$12,5,0))</f>
        <v>177</v>
      </c>
      <c r="AH15" s="196" t="str">
        <f>Sprache!$E$108</f>
        <v xml:space="preserve"> : </v>
      </c>
      <c r="AI15" s="197">
        <f ca="1">IF(Calc1!$K$13=0,"",VLOOKUP(Calc1!B7,Calc1!$C$4:$N$12,6,0))</f>
        <v>176</v>
      </c>
      <c r="AJ15" s="193">
        <f ca="1">IF(Calc1!$K$13=0,"",IF(VLOOKUP(Calc1!B7,Calc1!$C$4:$AV$12,46,0)=Einstellungen!$F$24,"max",VLOOKUP(Calc1!B7,Calc1!$C$4:$AV$12,46,0)))</f>
        <v>1</v>
      </c>
      <c r="AK15" s="198">
        <f ca="1">IF(Calc1!$K$13=0,"",VLOOKUP(Calc1!B7,Calc1!$C$4:$AT$12,Einstellungen!$H$9,0))</f>
        <v>4</v>
      </c>
      <c r="AL15" s="199" t="str">
        <f ca="1">IFERROR(VLOOKUP($X15&amp;AL$11,Calc1!$Z$64:$AC$207,Einstellungen!$G$29,0),"")</f>
        <v>42 : 46</v>
      </c>
      <c r="AM15" s="350" t="str">
        <f ca="1">IFERROR(VLOOKUP($X15&amp;AM$11,Calc1!$Z$64:$AC$207,Einstellungen!$G$29,0),"")</f>
        <v>41 : 43</v>
      </c>
      <c r="AN15" s="174" t="str">
        <f ca="1">IFERROR(VLOOKUP($X15&amp;AN$11,Calc1!$Z$64:$AC$207,Einstellungen!$G$29,0),"")</f>
        <v>44 : 50</v>
      </c>
      <c r="AO15" s="200"/>
      <c r="AP15" s="174" t="str">
        <f ca="1">IFERROR(VLOOKUP($X15&amp;AP$11,Calc1!$Z$64:$AC$207,Einstellungen!$G$29,0),"")</f>
        <v>50 : 37</v>
      </c>
      <c r="AQ15" s="194" t="str">
        <f ca="1">IFERROR(VLOOKUP($X15&amp;AQ$11,Calc1!$Z$64:$AC$207,Einstellungen!$G$29,0),"")</f>
        <v/>
      </c>
      <c r="AR15" s="194" t="str">
        <f ca="1">IFERROR(VLOOKUP($X15&amp;AR$11,Calc1!$Z$64:$AC$207,Einstellungen!$G$29,0),"")</f>
        <v/>
      </c>
      <c r="AS15" s="194" t="str">
        <f ca="1">IFERROR(VLOOKUP($X15&amp;AS$11,Calc1!$Z$64:$AC$207,Einstellungen!$G$29,0),"")</f>
        <v/>
      </c>
      <c r="AT15" s="201" t="str">
        <f ca="1">IFERROR(VLOOKUP($X15&amp;AT$11,Calc1!$Z$64:$AC$207,Einstellungen!$G$29,0),"")</f>
        <v/>
      </c>
      <c r="AU15" s="202" t="str">
        <f t="shared" ca="1" si="0"/>
        <v>1. FC Riedwald</v>
      </c>
      <c r="AX15" s="353" t="s">
        <v>199</v>
      </c>
      <c r="AY15" s="355" t="str">
        <f>IF(Planung!$C13="","",Planung!$C13)</f>
        <v>Maibach 1822 eV</v>
      </c>
      <c r="AZ15" s="364"/>
      <c r="BA15" s="585"/>
      <c r="BB15" s="585"/>
      <c r="BC15" s="42" t="b">
        <f t="shared" ca="1" si="7"/>
        <v>0</v>
      </c>
      <c r="BD15" s="42" t="b">
        <f t="shared" si="8"/>
        <v>0</v>
      </c>
      <c r="BE15" s="42" t="b">
        <f t="shared" si="9"/>
        <v>0</v>
      </c>
      <c r="BF15" s="42" t="b">
        <f t="shared" si="10"/>
        <v>1</v>
      </c>
      <c r="BG15" s="42" t="b">
        <f t="shared" si="11"/>
        <v>0</v>
      </c>
      <c r="BH15" s="42" t="b">
        <f t="shared" si="12"/>
        <v>0</v>
      </c>
      <c r="BI15" s="42" t="b">
        <f t="shared" si="13"/>
        <v>0</v>
      </c>
    </row>
    <row r="16" spans="1:61" ht="24" customHeight="1" x14ac:dyDescent="0.2">
      <c r="B16" s="374">
        <f ca="1">Planung!$E10</f>
        <v>5</v>
      </c>
      <c r="C16" s="513">
        <f ca="1">Planung!$F10</f>
        <v>0.39930555555555558</v>
      </c>
      <c r="D16" s="514">
        <f ca="1">Planung!$G10</f>
        <v>1</v>
      </c>
      <c r="E16" s="514" t="str">
        <f ca="1">Planung!$H10</f>
        <v>A</v>
      </c>
      <c r="F16" s="380" t="str">
        <f ca="1">Planung!$L10</f>
        <v>VFB Essenheim</v>
      </c>
      <c r="G16" s="196" t="s">
        <v>5</v>
      </c>
      <c r="H16" s="383" t="str">
        <f ca="1">Planung!$N10</f>
        <v>1. FC Riedwald</v>
      </c>
      <c r="I16" s="377">
        <v>25</v>
      </c>
      <c r="J16" s="569" t="str">
        <f>Sprache!$E$108</f>
        <v xml:space="preserve"> : </v>
      </c>
      <c r="K16" s="576">
        <v>23</v>
      </c>
      <c r="L16" s="377">
        <v>25</v>
      </c>
      <c r="M16" s="569" t="str">
        <f>Sprache!$E$108</f>
        <v xml:space="preserve"> : </v>
      </c>
      <c r="N16" s="576">
        <v>21</v>
      </c>
      <c r="O16" s="377"/>
      <c r="P16" s="569" t="str">
        <f>Sprache!$E$108</f>
        <v xml:space="preserve"> : </v>
      </c>
      <c r="Q16" s="579"/>
      <c r="R16" s="572">
        <f t="shared" ca="1" si="5"/>
        <v>2</v>
      </c>
      <c r="S16" s="775" t="str">
        <f>Sprache!$E$108</f>
        <v xml:space="preserve"> : </v>
      </c>
      <c r="T16" s="582">
        <f t="shared" ca="1" si="6"/>
        <v>0</v>
      </c>
      <c r="U16" s="682" t="str">
        <f>IF(Planung!$O10="","",Planung!$O10)</f>
        <v/>
      </c>
      <c r="W16" s="326">
        <f ca="1">IF(Calc1!$K$13=0,"",IF(VLOOKUP(Calc1!B8,Calc1!$C$4:$E$12,3,0)=MAX(W$12:W15),VLOOKUP(Calc1!B8,Calc1!$C$4:$E$12,3,0),Calc1!B8))</f>
        <v>5</v>
      </c>
      <c r="X16" s="327" t="str">
        <f ca="1">IF(Calc1!$F$14&lt;3,"",IF(Calc1!$K$13=0,Calc1!$Q68,VLOOKUP(Calc1!B8,Calc1!$C$4:$N$12,4,0)))</f>
        <v>FC Barcelona</v>
      </c>
      <c r="Y16" s="193">
        <f ca="1">IF(Calc1!$K$13=0,"",VLOOKUP(Calc1!B8,Calc1!$C$4:$N$12,9,0))</f>
        <v>4</v>
      </c>
      <c r="Z16" s="174">
        <f ca="1">IF(Calc1!$K$13=0,"",VLOOKUP(Calc1!B8,Calc1!$C$4:$N$12,10,0))</f>
        <v>0</v>
      </c>
      <c r="AA16" s="174">
        <f ca="1">IF(Calc1!$K$13=0,"",VLOOKUP(Calc1!B8,Calc1!$C$4:$N$12,11,0))</f>
        <v>1</v>
      </c>
      <c r="AB16" s="194">
        <f ca="1">IF(Calc1!$K$13=0,"",VLOOKUP(Calc1!B8,Calc1!$C$4:$N$12,12,0))</f>
        <v>3</v>
      </c>
      <c r="AC16" s="195">
        <f ca="1">IF(Calc1!$K$13=0,"",VLOOKUP(Calc1!B8,Calc1!$C$4:$AT$12,44,0))</f>
        <v>2</v>
      </c>
      <c r="AD16" s="424" t="str">
        <f>Sprache!$E$108</f>
        <v xml:space="preserve"> : </v>
      </c>
      <c r="AE16" s="197">
        <f ca="1">IF(Calc1!$K$13=0,"",VLOOKUP(Calc1!B8,Calc1!$C$4:$AS$12,43,0))</f>
        <v>7</v>
      </c>
      <c r="AF16" s="194">
        <f ca="1">IF(Calc1!$K$13=0,"",AC16-AE16)</f>
        <v>-5</v>
      </c>
      <c r="AG16" s="195">
        <f ca="1">IF(Calc1!$K$13=0,"",VLOOKUP(Calc1!B8,Calc1!$C$4:$N$12,5,0))</f>
        <v>179</v>
      </c>
      <c r="AH16" s="196" t="str">
        <f>Sprache!$E$108</f>
        <v xml:space="preserve"> : </v>
      </c>
      <c r="AI16" s="197">
        <f ca="1">IF(Calc1!$K$13=0,"",VLOOKUP(Calc1!B8,Calc1!$C$4:$N$12,6,0))</f>
        <v>211</v>
      </c>
      <c r="AJ16" s="193">
        <f ca="1">IF(Calc1!$K$13=0,"",IF(VLOOKUP(Calc1!B8,Calc1!$C$4:$AV$12,46,0)=Einstellungen!$F$24,"max",VLOOKUP(Calc1!B8,Calc1!$C$4:$AV$12,46,0)))</f>
        <v>-32</v>
      </c>
      <c r="AK16" s="198">
        <f ca="1">IF(Calc1!$K$13=0,"",VLOOKUP(Calc1!B8,Calc1!$C$4:$AT$12,Einstellungen!$H$9,0))</f>
        <v>1</v>
      </c>
      <c r="AL16" s="199" t="str">
        <f ca="1">IFERROR(VLOOKUP($X16&amp;AL$11,Calc1!$Z$64:$AC$207,Einstellungen!$G$29,0),"")</f>
        <v>48 : 48</v>
      </c>
      <c r="AM16" s="350" t="str">
        <f ca="1">IFERROR(VLOOKUP($X16&amp;AM$11,Calc1!$Z$64:$AC$207,Einstellungen!$G$29,0),"")</f>
        <v>29 : 50</v>
      </c>
      <c r="AN16" s="174" t="str">
        <f ca="1">IFERROR(VLOOKUP($X16&amp;AN$11,Calc1!$Z$64:$AC$207,Einstellungen!$G$29,0),"")</f>
        <v>65 : 63</v>
      </c>
      <c r="AO16" s="174" t="str">
        <f ca="1">IFERROR(VLOOKUP($X16&amp;AO$11,Calc1!$Z$64:$AC$207,Einstellungen!$G$29,0),"")</f>
        <v>37 : 50</v>
      </c>
      <c r="AP16" s="200"/>
      <c r="AQ16" s="194" t="str">
        <f ca="1">IFERROR(VLOOKUP($X16&amp;AQ$11,Calc1!$Z$64:$AC$207,Einstellungen!$G$29,0),"")</f>
        <v/>
      </c>
      <c r="AR16" s="194" t="str">
        <f ca="1">IFERROR(VLOOKUP($X16&amp;AR$11,Calc1!$Z$64:$AC$207,Einstellungen!$G$29,0),"")</f>
        <v/>
      </c>
      <c r="AS16" s="194" t="str">
        <f ca="1">IFERROR(VLOOKUP($X16&amp;AS$11,Calc1!$Z$64:$AC$207,Einstellungen!$G$29,0),"")</f>
        <v/>
      </c>
      <c r="AT16" s="201" t="str">
        <f ca="1">IFERROR(VLOOKUP($X16&amp;AT$11,Calc1!$Z$64:$AC$207,Einstellungen!$G$29,0),"")</f>
        <v/>
      </c>
      <c r="AU16" s="202" t="str">
        <f t="shared" ca="1" si="0"/>
        <v>FC Barcelona</v>
      </c>
      <c r="AX16" s="353" t="s">
        <v>201</v>
      </c>
      <c r="AY16" s="355" t="str">
        <f>IF(Planung!$C15="","",Planung!$C15)</f>
        <v>VFB Essenheim</v>
      </c>
      <c r="AZ16" s="364"/>
      <c r="BA16" s="585"/>
      <c r="BB16" s="585"/>
      <c r="BC16" s="42" t="b">
        <f t="shared" ca="1" si="7"/>
        <v>0</v>
      </c>
      <c r="BD16" s="42" t="b">
        <f t="shared" si="8"/>
        <v>0</v>
      </c>
      <c r="BE16" s="42" t="b">
        <f t="shared" si="9"/>
        <v>0</v>
      </c>
      <c r="BF16" s="42" t="b">
        <f t="shared" si="10"/>
        <v>1</v>
      </c>
      <c r="BG16" s="42" t="b">
        <f t="shared" si="11"/>
        <v>0</v>
      </c>
      <c r="BH16" s="42" t="b">
        <f t="shared" si="12"/>
        <v>0</v>
      </c>
      <c r="BI16" s="42" t="b">
        <f t="shared" si="13"/>
        <v>0</v>
      </c>
    </row>
    <row r="17" spans="2:61" ht="24" customHeight="1" x14ac:dyDescent="0.2">
      <c r="B17" s="374">
        <f ca="1">Planung!$E11</f>
        <v>6</v>
      </c>
      <c r="C17" s="513">
        <f ca="1">Planung!$F11</f>
        <v>0.39930555555555558</v>
      </c>
      <c r="D17" s="514">
        <f ca="1">Planung!$G11</f>
        <v>2</v>
      </c>
      <c r="E17" s="514" t="str">
        <f ca="1">Planung!$H11</f>
        <v>B</v>
      </c>
      <c r="F17" s="380" t="str">
        <f ca="1">Planung!$L11</f>
        <v>FC Grönlingen</v>
      </c>
      <c r="G17" s="196" t="s">
        <v>5</v>
      </c>
      <c r="H17" s="383" t="str">
        <f ca="1">Planung!$N11</f>
        <v>Mainz 05</v>
      </c>
      <c r="I17" s="377">
        <v>25</v>
      </c>
      <c r="J17" s="569" t="str">
        <f>Sprache!$E$108</f>
        <v xml:space="preserve"> : </v>
      </c>
      <c r="K17" s="576">
        <v>17</v>
      </c>
      <c r="L17" s="377">
        <v>25</v>
      </c>
      <c r="M17" s="569" t="str">
        <f>Sprache!$E$108</f>
        <v xml:space="preserve"> : </v>
      </c>
      <c r="N17" s="576">
        <v>22</v>
      </c>
      <c r="O17" s="377"/>
      <c r="P17" s="569" t="str">
        <f>Sprache!$E$108</f>
        <v xml:space="preserve"> : </v>
      </c>
      <c r="Q17" s="579"/>
      <c r="R17" s="572">
        <f t="shared" ca="1" si="5"/>
        <v>2</v>
      </c>
      <c r="S17" s="775" t="str">
        <f>Sprache!$E$108</f>
        <v xml:space="preserve"> : </v>
      </c>
      <c r="T17" s="582">
        <f t="shared" ca="1" si="6"/>
        <v>0</v>
      </c>
      <c r="U17" s="682" t="str">
        <f>IF(Planung!$O11="","",Planung!$O11)</f>
        <v/>
      </c>
      <c r="W17" s="326">
        <f ca="1">IF(Calc1!$K$13=0,"",IF(VLOOKUP(Calc1!B9,Calc1!$C$4:$E$12,3,0)=MAX(W$12:W16),VLOOKUP(Calc1!B9,Calc1!$C$4:$E$12,3,0),Calc1!B9))</f>
        <v>6</v>
      </c>
      <c r="X17" s="327" t="str">
        <f ca="1">IF(Calc1!$F$14&lt;3,"",IF(Calc1!$K$13=0,Calc1!$Q69,VLOOKUP(Calc1!B9,Calc1!$C$4:$N$12,4,0)))</f>
        <v/>
      </c>
      <c r="Y17" s="193">
        <f ca="1">IF(Calc1!$K$13=0,"",VLOOKUP(Calc1!B9,Calc1!$C$4:$N$12,9,0))</f>
        <v>0</v>
      </c>
      <c r="Z17" s="174">
        <f ca="1">IF(Calc1!$K$13=0,"",VLOOKUP(Calc1!B9,Calc1!$C$4:$N$12,10,0))</f>
        <v>0</v>
      </c>
      <c r="AA17" s="174">
        <f ca="1">IF(Calc1!$K$13=0,"",VLOOKUP(Calc1!B9,Calc1!$C$4:$N$12,11,0))</f>
        <v>0</v>
      </c>
      <c r="AB17" s="194">
        <f ca="1">IF(Calc1!$K$13=0,"",VLOOKUP(Calc1!B9,Calc1!$C$4:$N$12,12,0))</f>
        <v>0</v>
      </c>
      <c r="AC17" s="195">
        <f ca="1">IF(Calc1!$K$13=0,"",VLOOKUP(Calc1!B9,Calc1!$C$4:$AT$12,44,0))</f>
        <v>0</v>
      </c>
      <c r="AD17" s="424" t="str">
        <f>Sprache!$E$108</f>
        <v xml:space="preserve"> : </v>
      </c>
      <c r="AE17" s="197">
        <f ca="1">IF(Calc1!$K$13=0,"",VLOOKUP(Calc1!B9,Calc1!$C$4:$AS$12,43,0))</f>
        <v>0</v>
      </c>
      <c r="AF17" s="194">
        <f ca="1">IF(Calc1!$K$13=0,"",AC17-AE17)</f>
        <v>0</v>
      </c>
      <c r="AG17" s="195">
        <f ca="1">IF(Calc1!$K$13=0,"",VLOOKUP(Calc1!B9,Calc1!$C$4:$N$12,5,0))</f>
        <v>0</v>
      </c>
      <c r="AH17" s="196" t="str">
        <f>Sprache!$E$108</f>
        <v xml:space="preserve"> : </v>
      </c>
      <c r="AI17" s="197">
        <f ca="1">IF(Calc1!$K$13=0,"",VLOOKUP(Calc1!B9,Calc1!$C$4:$N$12,6,0))</f>
        <v>0</v>
      </c>
      <c r="AJ17" s="193">
        <f ca="1">IF(Calc1!$K$13=0,"",IF(VLOOKUP(Calc1!B9,Calc1!$C$4:$AV$12,46,0)=Einstellungen!$F$24,"max",VLOOKUP(Calc1!B9,Calc1!$C$4:$AV$12,46,0)))</f>
        <v>0</v>
      </c>
      <c r="AK17" s="198">
        <f ca="1">IF(Calc1!$K$13=0,"",VLOOKUP(Calc1!B9,Calc1!$C$4:$AT$12,Einstellungen!$H$9,0))</f>
        <v>0</v>
      </c>
      <c r="AL17" s="199" t="str">
        <f ca="1">IFERROR(VLOOKUP($X17&amp;AL$11,Calc1!$Z$64:$AC$207,Einstellungen!$G$29,0),"")</f>
        <v/>
      </c>
      <c r="AM17" s="350" t="str">
        <f ca="1">IFERROR(VLOOKUP($X17&amp;AM$11,Calc1!$Z$64:$AC$207,Einstellungen!$G$29,0),"")</f>
        <v/>
      </c>
      <c r="AN17" s="174" t="str">
        <f ca="1">IFERROR(VLOOKUP($X17&amp;AN$11,Calc1!$Z$64:$AC$207,Einstellungen!$G$29,0),"")</f>
        <v/>
      </c>
      <c r="AO17" s="174" t="str">
        <f ca="1">IFERROR(VLOOKUP($X17&amp;AO$11,Calc1!$Z$64:$AC$207,Einstellungen!$G$29,0),"")</f>
        <v/>
      </c>
      <c r="AP17" s="174" t="str">
        <f ca="1">IFERROR(VLOOKUP($X17&amp;AP$11,Calc1!$Z$64:$AC$207,Einstellungen!$G$29,0),"")</f>
        <v/>
      </c>
      <c r="AQ17" s="482"/>
      <c r="AR17" s="194" t="str">
        <f ca="1">IFERROR(VLOOKUP($X17&amp;AR$11,Calc1!$Z$64:$AC$207,Einstellungen!$G$29,0),"")</f>
        <v/>
      </c>
      <c r="AS17" s="194" t="str">
        <f ca="1">IFERROR(VLOOKUP($X17&amp;AS$11,Calc1!$Z$64:$AC$207,Einstellungen!$G$29,0),"")</f>
        <v/>
      </c>
      <c r="AT17" s="201" t="str">
        <f ca="1">IFERROR(VLOOKUP($X17&amp;AT$11,Calc1!$Z$64:$AC$207,Einstellungen!$G$29,0),"")</f>
        <v/>
      </c>
      <c r="AU17" s="202" t="str">
        <f t="shared" ref="AU17:AU19" ca="1" si="14">X17</f>
        <v/>
      </c>
      <c r="AX17" s="353" t="s">
        <v>203</v>
      </c>
      <c r="AY17" s="355" t="str">
        <f>IF(Planung!$C17="","",Planung!$C17)</f>
        <v/>
      </c>
      <c r="AZ17" s="364"/>
      <c r="BA17" s="585"/>
      <c r="BB17" s="585"/>
      <c r="BC17" s="42" t="b">
        <f t="shared" ca="1" si="7"/>
        <v>0</v>
      </c>
      <c r="BD17" s="42" t="b">
        <f t="shared" si="8"/>
        <v>0</v>
      </c>
      <c r="BE17" s="42" t="b">
        <f t="shared" si="9"/>
        <v>0</v>
      </c>
      <c r="BF17" s="42" t="b">
        <f t="shared" si="10"/>
        <v>1</v>
      </c>
      <c r="BG17" s="42" t="b">
        <f t="shared" si="11"/>
        <v>0</v>
      </c>
      <c r="BH17" s="42" t="b">
        <f t="shared" si="12"/>
        <v>0</v>
      </c>
      <c r="BI17" s="42" t="b">
        <f t="shared" si="13"/>
        <v>0</v>
      </c>
    </row>
    <row r="18" spans="2:61" ht="24" customHeight="1" x14ac:dyDescent="0.2">
      <c r="B18" s="374">
        <f ca="1">Planung!$E12</f>
        <v>7</v>
      </c>
      <c r="C18" s="513">
        <f ca="1">Planung!$F12</f>
        <v>0.39930555555555558</v>
      </c>
      <c r="D18" s="514">
        <f ca="1">Planung!$G12</f>
        <v>3</v>
      </c>
      <c r="E18" s="514" t="str">
        <f ca="1">Planung!$H12</f>
        <v>A</v>
      </c>
      <c r="F18" s="380" t="str">
        <f ca="1">Planung!$L12</f>
        <v>FC Barcelona</v>
      </c>
      <c r="G18" s="196" t="s">
        <v>5</v>
      </c>
      <c r="H18" s="383" t="str">
        <f ca="1">Planung!$N12</f>
        <v>Eintracht Frankfurt</v>
      </c>
      <c r="I18" s="377">
        <v>23</v>
      </c>
      <c r="J18" s="569" t="str">
        <f>Sprache!$E$108</f>
        <v xml:space="preserve"> : </v>
      </c>
      <c r="K18" s="576">
        <v>25</v>
      </c>
      <c r="L18" s="377">
        <v>25</v>
      </c>
      <c r="M18" s="569" t="str">
        <f>Sprache!$E$108</f>
        <v xml:space="preserve"> : </v>
      </c>
      <c r="N18" s="576">
        <v>23</v>
      </c>
      <c r="O18" s="377"/>
      <c r="P18" s="569" t="str">
        <f>Sprache!$E$108</f>
        <v xml:space="preserve"> : </v>
      </c>
      <c r="Q18" s="579"/>
      <c r="R18" s="572">
        <f t="shared" ca="1" si="5"/>
        <v>1</v>
      </c>
      <c r="S18" s="775" t="str">
        <f>Sprache!$E$108</f>
        <v xml:space="preserve"> : </v>
      </c>
      <c r="T18" s="582">
        <f t="shared" ca="1" si="6"/>
        <v>1</v>
      </c>
      <c r="U18" s="682" t="str">
        <f>IF(Planung!$O12="","",Planung!$O12)</f>
        <v/>
      </c>
      <c r="W18" s="326">
        <f ca="1">IF(Calc1!$K$13=0,"",IF(VLOOKUP(Calc1!B10,Calc1!$C$4:$E$12,3,0)=MAX(W$12:W17),VLOOKUP(Calc1!B10,Calc1!$C$4:$E$12,3,0),Calc1!B10))</f>
        <v>6</v>
      </c>
      <c r="X18" s="327" t="str">
        <f ca="1">IF(Calc1!$F$14&lt;3,"",IF(Calc1!$K$13=0,Calc1!$Q70,VLOOKUP(Calc1!B10,Calc1!$C$4:$N$12,4,0)))</f>
        <v/>
      </c>
      <c r="Y18" s="193">
        <f ca="1">IF(Calc1!$K$13=0,"",VLOOKUP(Calc1!B10,Calc1!$C$4:$N$12,9,0))</f>
        <v>0</v>
      </c>
      <c r="Z18" s="174">
        <f ca="1">IF(Calc1!$K$13=0,"",VLOOKUP(Calc1!B10,Calc1!$C$4:$N$12,10,0))</f>
        <v>0</v>
      </c>
      <c r="AA18" s="174">
        <f ca="1">IF(Calc1!$K$13=0,"",VLOOKUP(Calc1!B10,Calc1!$C$4:$N$12,11,0))</f>
        <v>0</v>
      </c>
      <c r="AB18" s="194">
        <f ca="1">IF(Calc1!$K$13=0,"",VLOOKUP(Calc1!B10,Calc1!$C$4:$N$12,12,0))</f>
        <v>0</v>
      </c>
      <c r="AC18" s="195">
        <f ca="1">IF(Calc1!$K$13=0,"",VLOOKUP(Calc1!B10,Calc1!$C$4:$AT$12,44,0))</f>
        <v>0</v>
      </c>
      <c r="AD18" s="424" t="str">
        <f>Sprache!$E$108</f>
        <v xml:space="preserve"> : </v>
      </c>
      <c r="AE18" s="197">
        <f ca="1">IF(Calc1!$K$13=0,"",VLOOKUP(Calc1!B10,Calc1!$C$4:$AS$12,43,0))</f>
        <v>0</v>
      </c>
      <c r="AF18" s="194">
        <f ca="1">IF(Calc1!$K$13=0,"",AC18-AE18)</f>
        <v>0</v>
      </c>
      <c r="AG18" s="195">
        <f ca="1">IF(Calc1!$K$13=0,"",VLOOKUP(Calc1!B10,Calc1!$C$4:$N$12,5,0))</f>
        <v>0</v>
      </c>
      <c r="AH18" s="196" t="str">
        <f>Sprache!$E$108</f>
        <v xml:space="preserve"> : </v>
      </c>
      <c r="AI18" s="197">
        <f ca="1">IF(Calc1!$K$13=0,"",VLOOKUP(Calc1!B10,Calc1!$C$4:$N$12,6,0))</f>
        <v>0</v>
      </c>
      <c r="AJ18" s="193">
        <f ca="1">IF(Calc1!$K$13=0,"",IF(VLOOKUP(Calc1!B10,Calc1!$C$4:$AV$12,46,0)=Einstellungen!$F$24,"max",VLOOKUP(Calc1!B10,Calc1!$C$4:$AV$12,46,0)))</f>
        <v>0</v>
      </c>
      <c r="AK18" s="198">
        <f ca="1">IF(Calc1!$K$13=0,"",VLOOKUP(Calc1!B10,Calc1!$C$4:$AT$12,Einstellungen!$H$9,0))</f>
        <v>0</v>
      </c>
      <c r="AL18" s="199" t="str">
        <f ca="1">IFERROR(VLOOKUP($X18&amp;AL$11,Calc1!$Z$64:$AC$207,Einstellungen!$G$29,0),"")</f>
        <v/>
      </c>
      <c r="AM18" s="350" t="str">
        <f ca="1">IFERROR(VLOOKUP($X18&amp;AM$11,Calc1!$Z$64:$AC$207,Einstellungen!$G$29,0),"")</f>
        <v/>
      </c>
      <c r="AN18" s="174" t="str">
        <f ca="1">IFERROR(VLOOKUP($X18&amp;AN$11,Calc1!$Z$64:$AC$207,Einstellungen!$G$29,0),"")</f>
        <v/>
      </c>
      <c r="AO18" s="174" t="str">
        <f ca="1">IFERROR(VLOOKUP($X18&amp;AO$11,Calc1!$Z$64:$AC$207,Einstellungen!$G$29,0),"")</f>
        <v/>
      </c>
      <c r="AP18" s="174" t="str">
        <f ca="1">IFERROR(VLOOKUP($X18&amp;AP$11,Calc1!$Z$64:$AC$207,Einstellungen!$G$29,0),"")</f>
        <v/>
      </c>
      <c r="AQ18" s="194" t="str">
        <f ca="1">IFERROR(VLOOKUP($X18&amp;AQ$11,Calc1!$Z$64:$AC$207,Einstellungen!$G$29,0),"")</f>
        <v/>
      </c>
      <c r="AR18" s="482"/>
      <c r="AS18" s="194" t="str">
        <f ca="1">IFERROR(VLOOKUP($X18&amp;AS$11,Calc1!$Z$64:$AC$207,Einstellungen!$G$29,0),"")</f>
        <v/>
      </c>
      <c r="AT18" s="201" t="str">
        <f ca="1">IFERROR(VLOOKUP($X18&amp;AT$11,Calc1!$Z$64:$AC$207,Einstellungen!$G$29,0),"")</f>
        <v/>
      </c>
      <c r="AU18" s="202" t="str">
        <f t="shared" ca="1" si="14"/>
        <v/>
      </c>
      <c r="AX18" s="353" t="s">
        <v>319</v>
      </c>
      <c r="AY18" s="355" t="str">
        <f>IF(Planung!$C19="","",Planung!$C19)</f>
        <v/>
      </c>
      <c r="AZ18" s="364"/>
      <c r="BA18" s="585"/>
      <c r="BB18" s="585"/>
      <c r="BC18" s="42" t="b">
        <f t="shared" ca="1" si="7"/>
        <v>0</v>
      </c>
      <c r="BD18" s="42" t="b">
        <f t="shared" si="8"/>
        <v>0</v>
      </c>
      <c r="BE18" s="42" t="b">
        <f t="shared" si="9"/>
        <v>0</v>
      </c>
      <c r="BF18" s="42" t="b">
        <f t="shared" si="10"/>
        <v>1</v>
      </c>
      <c r="BG18" s="42" t="b">
        <f t="shared" si="11"/>
        <v>0</v>
      </c>
      <c r="BH18" s="42" t="b">
        <f t="shared" si="12"/>
        <v>0</v>
      </c>
      <c r="BI18" s="42" t="b">
        <f t="shared" si="13"/>
        <v>0</v>
      </c>
    </row>
    <row r="19" spans="2:61" ht="24" customHeight="1" x14ac:dyDescent="0.2">
      <c r="B19" s="374">
        <f ca="1">Planung!$E13</f>
        <v>8</v>
      </c>
      <c r="C19" s="513">
        <f ca="1">Planung!$F13</f>
        <v>0.39930555555555558</v>
      </c>
      <c r="D19" s="514">
        <f ca="1">Planung!$G13</f>
        <v>4</v>
      </c>
      <c r="E19" s="514" t="str">
        <f ca="1">Planung!$H13</f>
        <v>B</v>
      </c>
      <c r="F19" s="380" t="str">
        <f ca="1">Planung!$L13</f>
        <v>Inter Mailand</v>
      </c>
      <c r="G19" s="196" t="s">
        <v>5</v>
      </c>
      <c r="H19" s="383" t="str">
        <f ca="1">Planung!$N13</f>
        <v>SSV Wildbach</v>
      </c>
      <c r="I19" s="377">
        <v>19</v>
      </c>
      <c r="J19" s="569" t="str">
        <f>Sprache!$E$108</f>
        <v xml:space="preserve"> : </v>
      </c>
      <c r="K19" s="576">
        <v>25</v>
      </c>
      <c r="L19" s="377">
        <v>25</v>
      </c>
      <c r="M19" s="569" t="str">
        <f>Sprache!$E$108</f>
        <v xml:space="preserve"> : </v>
      </c>
      <c r="N19" s="576">
        <v>12</v>
      </c>
      <c r="O19" s="377"/>
      <c r="P19" s="569" t="str">
        <f>Sprache!$E$108</f>
        <v xml:space="preserve"> : </v>
      </c>
      <c r="Q19" s="579"/>
      <c r="R19" s="572">
        <f t="shared" ca="1" si="5"/>
        <v>1</v>
      </c>
      <c r="S19" s="775" t="str">
        <f>Sprache!$E$108</f>
        <v xml:space="preserve"> : </v>
      </c>
      <c r="T19" s="582">
        <f t="shared" ca="1" si="6"/>
        <v>1</v>
      </c>
      <c r="U19" s="682" t="str">
        <f>IF(Planung!$O13="","",Planung!$O13)</f>
        <v/>
      </c>
      <c r="W19" s="326">
        <f ca="1">IF(Calc1!$K$13=0,"",IF(VLOOKUP(Calc1!B11,Calc1!$C$4:$E$12,3,0)=MAX(W$12:W18),VLOOKUP(Calc1!B11,Calc1!$C$4:$E$12,3,0),Calc1!B11))</f>
        <v>6</v>
      </c>
      <c r="X19" s="327" t="str">
        <f ca="1">IF(Calc1!$F$14&lt;3,"",IF(Calc1!$K$13=0,Calc1!$Q71,VLOOKUP(Calc1!B11,Calc1!$C$4:$N$12,4,0)))</f>
        <v/>
      </c>
      <c r="Y19" s="193">
        <f ca="1">IF(Calc1!$K$13=0,"",VLOOKUP(Calc1!B11,Calc1!$C$4:$N$12,9,0))</f>
        <v>0</v>
      </c>
      <c r="Z19" s="174">
        <f ca="1">IF(Calc1!$K$13=0,"",VLOOKUP(Calc1!B11,Calc1!$C$4:$N$12,10,0))</f>
        <v>0</v>
      </c>
      <c r="AA19" s="174">
        <f ca="1">IF(Calc1!$K$13=0,"",VLOOKUP(Calc1!B11,Calc1!$C$4:$N$12,11,0))</f>
        <v>0</v>
      </c>
      <c r="AB19" s="194">
        <f ca="1">IF(Calc1!$K$13=0,"",VLOOKUP(Calc1!B11,Calc1!$C$4:$N$12,12,0))</f>
        <v>0</v>
      </c>
      <c r="AC19" s="195">
        <f ca="1">IF(Calc1!$K$13=0,"",VLOOKUP(Calc1!B11,Calc1!$C$4:$AT$12,44,0))</f>
        <v>0</v>
      </c>
      <c r="AD19" s="424" t="str">
        <f>Sprache!$E$108</f>
        <v xml:space="preserve"> : </v>
      </c>
      <c r="AE19" s="197">
        <f ca="1">IF(Calc1!$K$13=0,"",VLOOKUP(Calc1!B11,Calc1!$C$4:$AS$12,43,0))</f>
        <v>0</v>
      </c>
      <c r="AF19" s="194">
        <f ca="1">IF(Calc1!$K$13=0,"",AC19-AE19)</f>
        <v>0</v>
      </c>
      <c r="AG19" s="195">
        <f ca="1">IF(Calc1!$K$13=0,"",VLOOKUP(Calc1!B11,Calc1!$C$4:$N$12,5,0))</f>
        <v>0</v>
      </c>
      <c r="AH19" s="196" t="str">
        <f>Sprache!$E$108</f>
        <v xml:space="preserve"> : </v>
      </c>
      <c r="AI19" s="197">
        <f ca="1">IF(Calc1!$K$13=0,"",VLOOKUP(Calc1!B11,Calc1!$C$4:$N$12,6,0))</f>
        <v>0</v>
      </c>
      <c r="AJ19" s="193">
        <f ca="1">IF(Calc1!$K$13=0,"",IF(VLOOKUP(Calc1!B11,Calc1!$C$4:$AV$12,46,0)=Einstellungen!$F$24,"max",VLOOKUP(Calc1!B11,Calc1!$C$4:$AV$12,46,0)))</f>
        <v>0</v>
      </c>
      <c r="AK19" s="198">
        <f ca="1">IF(Calc1!$K$13=0,"",VLOOKUP(Calc1!B11,Calc1!$C$4:$AT$12,Einstellungen!$H$9,0))</f>
        <v>0</v>
      </c>
      <c r="AL19" s="199" t="str">
        <f ca="1">IFERROR(VLOOKUP($X19&amp;AL$11,Calc1!$Z$64:$AC$207,Einstellungen!$G$29,0),"")</f>
        <v/>
      </c>
      <c r="AM19" s="350" t="str">
        <f ca="1">IFERROR(VLOOKUP($X19&amp;AM$11,Calc1!$Z$64:$AC$207,Einstellungen!$G$29,0),"")</f>
        <v/>
      </c>
      <c r="AN19" s="174" t="str">
        <f ca="1">IFERROR(VLOOKUP($X19&amp;AN$11,Calc1!$Z$64:$AC$207,Einstellungen!$G$29,0),"")</f>
        <v/>
      </c>
      <c r="AO19" s="174" t="str">
        <f ca="1">IFERROR(VLOOKUP($X19&amp;AO$11,Calc1!$Z$64:$AC$207,Einstellungen!$G$29,0),"")</f>
        <v/>
      </c>
      <c r="AP19" s="174" t="str">
        <f ca="1">IFERROR(VLOOKUP($X19&amp;AP$11,Calc1!$Z$64:$AC$207,Einstellungen!$G$29,0),"")</f>
        <v/>
      </c>
      <c r="AQ19" s="194" t="str">
        <f ca="1">IFERROR(VLOOKUP($X19&amp;AQ$11,Calc1!$Z$64:$AC$207,Einstellungen!$G$29,0),"")</f>
        <v/>
      </c>
      <c r="AR19" s="194" t="str">
        <f ca="1">IFERROR(VLOOKUP($X19&amp;AR$11,Calc1!$Z$64:$AC$207,Einstellungen!$G$29,0),"")</f>
        <v/>
      </c>
      <c r="AS19" s="482"/>
      <c r="AT19" s="201" t="str">
        <f ca="1">IFERROR(VLOOKUP($X19&amp;AT$11,Calc1!$Z$64:$AC$207,Einstellungen!$G$29,0),"")</f>
        <v/>
      </c>
      <c r="AU19" s="202" t="str">
        <f t="shared" ca="1" si="14"/>
        <v/>
      </c>
      <c r="AX19" s="353" t="s">
        <v>320</v>
      </c>
      <c r="AY19" s="355" t="str">
        <f>IF(Planung!$C21="","",Planung!$C21)</f>
        <v/>
      </c>
      <c r="AZ19" s="364"/>
      <c r="BA19" s="585"/>
      <c r="BB19" s="585"/>
      <c r="BC19" s="42" t="b">
        <f t="shared" ca="1" si="7"/>
        <v>0</v>
      </c>
      <c r="BD19" s="42" t="b">
        <f t="shared" si="8"/>
        <v>0</v>
      </c>
      <c r="BE19" s="42" t="b">
        <f t="shared" si="9"/>
        <v>0</v>
      </c>
      <c r="BF19" s="42" t="b">
        <f t="shared" si="10"/>
        <v>1</v>
      </c>
      <c r="BG19" s="42" t="b">
        <f t="shared" si="11"/>
        <v>0</v>
      </c>
      <c r="BH19" s="42" t="b">
        <f t="shared" si="12"/>
        <v>0</v>
      </c>
      <c r="BI19" s="42" t="b">
        <f t="shared" si="13"/>
        <v>0</v>
      </c>
    </row>
    <row r="20" spans="2:61" ht="24" customHeight="1" thickBot="1" x14ac:dyDescent="0.25">
      <c r="B20" s="374">
        <f ca="1">Planung!$E14</f>
        <v>9</v>
      </c>
      <c r="C20" s="513">
        <f ca="1">Planung!$F14</f>
        <v>0.4236111111111111</v>
      </c>
      <c r="D20" s="514">
        <f ca="1">Planung!$G14</f>
        <v>1</v>
      </c>
      <c r="E20" s="514" t="str">
        <f ca="1">Planung!$H14</f>
        <v>A</v>
      </c>
      <c r="F20" s="380" t="str">
        <f ca="1">Planung!$L14</f>
        <v>1. FC Riedwald</v>
      </c>
      <c r="G20" s="196" t="s">
        <v>5</v>
      </c>
      <c r="H20" s="383" t="str">
        <f ca="1">Planung!$N14</f>
        <v>Maibach 1822 eV</v>
      </c>
      <c r="I20" s="377">
        <v>16</v>
      </c>
      <c r="J20" s="569" t="str">
        <f>Sprache!$E$108</f>
        <v xml:space="preserve"> : </v>
      </c>
      <c r="K20" s="576">
        <v>25</v>
      </c>
      <c r="L20" s="377">
        <v>25</v>
      </c>
      <c r="M20" s="569" t="str">
        <f>Sprache!$E$108</f>
        <v xml:space="preserve"> : </v>
      </c>
      <c r="N20" s="576">
        <v>18</v>
      </c>
      <c r="O20" s="377"/>
      <c r="P20" s="569" t="str">
        <f>Sprache!$E$108</f>
        <v xml:space="preserve"> : </v>
      </c>
      <c r="Q20" s="579"/>
      <c r="R20" s="572">
        <f t="shared" ca="1" si="5"/>
        <v>1</v>
      </c>
      <c r="S20" s="775" t="str">
        <f>Sprache!$E$108</f>
        <v xml:space="preserve"> : </v>
      </c>
      <c r="T20" s="582">
        <f t="shared" ca="1" si="6"/>
        <v>1</v>
      </c>
      <c r="U20" s="682" t="str">
        <f>IF(Planung!$O14="","",Planung!$O14)</f>
        <v/>
      </c>
      <c r="W20" s="328">
        <f ca="1">IF(Calc1!$K$13=0,"",IF(VLOOKUP(Calc1!B12,Calc1!$C$4:$E$12,3,0)=MAX(W$12:W19),VLOOKUP(Calc1!B12,Calc1!$C$4:$E$12,3,0),Calc1!B12))</f>
        <v>6</v>
      </c>
      <c r="X20" s="329" t="str">
        <f ca="1">IF(Calc1!$F$14&lt;3,"",IF(Calc1!$K$13=0,Calc1!$Q72,VLOOKUP(Calc1!B12,Calc1!$C$4:$N$12,4,0)))</f>
        <v/>
      </c>
      <c r="Y20" s="203">
        <f ca="1">IF(Calc1!$K$13=0,"",VLOOKUP(Calc1!B12,Calc1!$C$4:$N$12,9,0))</f>
        <v>0</v>
      </c>
      <c r="Z20" s="204">
        <f ca="1">IF(Calc1!$K$13=0,"",VLOOKUP(Calc1!B12,Calc1!$C$4:$N$12,10,0))</f>
        <v>0</v>
      </c>
      <c r="AA20" s="204">
        <f ca="1">IF(Calc1!$K$13=0,"",VLOOKUP(Calc1!B12,Calc1!$C$4:$N$12,11,0))</f>
        <v>0</v>
      </c>
      <c r="AB20" s="205">
        <f ca="1">IF(Calc1!$K$13=0,"",VLOOKUP(Calc1!B12,Calc1!$C$4:$N$12,12,0))</f>
        <v>0</v>
      </c>
      <c r="AC20" s="206">
        <f ca="1">IF(Calc1!$K$13=0,"",VLOOKUP(Calc1!B12,Calc1!$C$4:$AT$12,44,0))</f>
        <v>0</v>
      </c>
      <c r="AD20" s="428" t="str">
        <f>Sprache!$E$108</f>
        <v xml:space="preserve"> : </v>
      </c>
      <c r="AE20" s="208">
        <f ca="1">IF(Calc1!$K$13=0,"",VLOOKUP(Calc1!B12,Calc1!$C$4:$AS$12,43,0))</f>
        <v>0</v>
      </c>
      <c r="AF20" s="205">
        <f ca="1">IF(Calc1!$K$13=0,"",AC20-AE20)</f>
        <v>0</v>
      </c>
      <c r="AG20" s="206">
        <f ca="1">IF(Calc1!$K$13=0,"",VLOOKUP(Calc1!B12,Calc1!$C$4:$N$12,5,0))</f>
        <v>0</v>
      </c>
      <c r="AH20" s="207" t="str">
        <f>Sprache!$E$108</f>
        <v xml:space="preserve"> : </v>
      </c>
      <c r="AI20" s="208">
        <f ca="1">IF(Calc1!$K$13=0,"",VLOOKUP(Calc1!B12,Calc1!$C$4:$N$12,6,0))</f>
        <v>0</v>
      </c>
      <c r="AJ20" s="203">
        <f ca="1">IF(Calc1!$K$13=0,"",IF(VLOOKUP(Calc1!B12,Calc1!$C$4:$AV$12,46,0)=Einstellungen!$F$24,"max",VLOOKUP(Calc1!B12,Calc1!$C$4:$AV$12,46,0)))</f>
        <v>0</v>
      </c>
      <c r="AK20" s="209">
        <f ca="1">IF(Calc1!$K$13=0,"",VLOOKUP(Calc1!B12,Calc1!$C$4:$AT$12,Einstellungen!$H$9,0))</f>
        <v>0</v>
      </c>
      <c r="AL20" s="210" t="str">
        <f ca="1">IFERROR(VLOOKUP($X20&amp;AL$11,Calc1!$Z$64:$AC$207,Einstellungen!$G$29,0),"")</f>
        <v/>
      </c>
      <c r="AM20" s="204" t="str">
        <f ca="1">IFERROR(VLOOKUP($X20&amp;AM$11,Calc1!$Z$64:$AC$207,Einstellungen!$G$29,0),"")</f>
        <v/>
      </c>
      <c r="AN20" s="204" t="str">
        <f ca="1">IFERROR(VLOOKUP($X20&amp;AN$11,Calc1!$Z$64:$AC$207,Einstellungen!$G$29,0),"")</f>
        <v/>
      </c>
      <c r="AO20" s="204" t="str">
        <f ca="1">IFERROR(VLOOKUP($X20&amp;AO$11,Calc1!$Z$64:$AC$207,Einstellungen!$G$29,0),"")</f>
        <v/>
      </c>
      <c r="AP20" s="204" t="str">
        <f ca="1">IFERROR(VLOOKUP($X20&amp;AP$11,Calc1!$Z$64:$AC$207,Einstellungen!$G$29,0),"")</f>
        <v/>
      </c>
      <c r="AQ20" s="205" t="str">
        <f ca="1">IFERROR(VLOOKUP($X20&amp;AQ$11,Calc1!$Z$64:$AC$207,Einstellungen!$G$29,0),"")</f>
        <v/>
      </c>
      <c r="AR20" s="205" t="str">
        <f ca="1">IFERROR(VLOOKUP($X20&amp;AR$11,Calc1!$Z$64:$AC$207,Einstellungen!$G$29,0),"")</f>
        <v/>
      </c>
      <c r="AS20" s="205" t="str">
        <f ca="1">IFERROR(VLOOKUP($X20&amp;AS$11,Calc1!$Z$64:$AC$207,Einstellungen!$G$29,0),"")</f>
        <v/>
      </c>
      <c r="AT20" s="211"/>
      <c r="AU20" s="262" t="str">
        <f t="shared" ref="AU20" ca="1" si="15">X20</f>
        <v/>
      </c>
      <c r="AX20" s="354" t="s">
        <v>321</v>
      </c>
      <c r="AY20" s="356" t="str">
        <f>IF(Planung!$C23="","",Planung!$C23)</f>
        <v/>
      </c>
      <c r="AZ20" s="365"/>
      <c r="BA20" s="585"/>
      <c r="BB20" s="585"/>
      <c r="BC20" s="42" t="b">
        <f t="shared" ca="1" si="7"/>
        <v>0</v>
      </c>
      <c r="BD20" s="42" t="b">
        <f t="shared" si="8"/>
        <v>0</v>
      </c>
      <c r="BE20" s="42" t="b">
        <f t="shared" si="9"/>
        <v>0</v>
      </c>
      <c r="BF20" s="42" t="b">
        <f t="shared" si="10"/>
        <v>1</v>
      </c>
      <c r="BG20" s="42" t="b">
        <f t="shared" si="11"/>
        <v>0</v>
      </c>
      <c r="BH20" s="42" t="b">
        <f t="shared" si="12"/>
        <v>0</v>
      </c>
      <c r="BI20" s="42" t="b">
        <f t="shared" si="13"/>
        <v>0</v>
      </c>
    </row>
    <row r="21" spans="2:61" ht="24" customHeight="1" thickTop="1" x14ac:dyDescent="0.2">
      <c r="B21" s="374">
        <f ca="1">Planung!$E15</f>
        <v>10</v>
      </c>
      <c r="C21" s="513">
        <f ca="1">Planung!$F15</f>
        <v>0.4236111111111111</v>
      </c>
      <c r="D21" s="514">
        <f ca="1">Planung!$G15</f>
        <v>2</v>
      </c>
      <c r="E21" s="514" t="str">
        <f ca="1">Planung!$H15</f>
        <v>B</v>
      </c>
      <c r="F21" s="380" t="str">
        <f ca="1">Planung!$L15</f>
        <v>Mainz 05</v>
      </c>
      <c r="G21" s="196" t="s">
        <v>5</v>
      </c>
      <c r="H21" s="383" t="str">
        <f ca="1">Planung!$N15</f>
        <v>Manchester City</v>
      </c>
      <c r="I21" s="377">
        <v>14</v>
      </c>
      <c r="J21" s="569" t="str">
        <f>Sprache!$E$108</f>
        <v xml:space="preserve"> : </v>
      </c>
      <c r="K21" s="576">
        <v>25</v>
      </c>
      <c r="L21" s="377">
        <v>25</v>
      </c>
      <c r="M21" s="569" t="str">
        <f>Sprache!$E$108</f>
        <v xml:space="preserve"> : </v>
      </c>
      <c r="N21" s="576">
        <v>19</v>
      </c>
      <c r="O21" s="377"/>
      <c r="P21" s="569" t="str">
        <f>Sprache!$E$108</f>
        <v xml:space="preserve"> : </v>
      </c>
      <c r="Q21" s="579"/>
      <c r="R21" s="572">
        <f t="shared" ca="1" si="5"/>
        <v>1</v>
      </c>
      <c r="S21" s="775" t="str">
        <f>Sprache!$E$108</f>
        <v xml:space="preserve"> : </v>
      </c>
      <c r="T21" s="582">
        <f t="shared" ca="1" si="6"/>
        <v>1</v>
      </c>
      <c r="U21" s="682" t="str">
        <f>IF(Planung!$O15="","",Planung!$O15)</f>
        <v/>
      </c>
      <c r="BA21" s="586"/>
      <c r="BB21" s="586"/>
      <c r="BC21" s="42" t="b">
        <f t="shared" ca="1" si="7"/>
        <v>0</v>
      </c>
      <c r="BD21" s="42" t="b">
        <f t="shared" si="8"/>
        <v>0</v>
      </c>
      <c r="BE21" s="42" t="b">
        <f t="shared" si="9"/>
        <v>0</v>
      </c>
      <c r="BF21" s="42" t="b">
        <f t="shared" si="10"/>
        <v>1</v>
      </c>
      <c r="BG21" s="42" t="b">
        <f t="shared" si="11"/>
        <v>0</v>
      </c>
      <c r="BH21" s="42" t="b">
        <f t="shared" si="12"/>
        <v>0</v>
      </c>
      <c r="BI21" s="42" t="b">
        <f t="shared" si="13"/>
        <v>0</v>
      </c>
    </row>
    <row r="22" spans="2:61" ht="24" customHeight="1" thickBot="1" x14ac:dyDescent="0.25">
      <c r="B22" s="374">
        <f ca="1">Planung!$E16</f>
        <v>11</v>
      </c>
      <c r="C22" s="513">
        <f ca="1">Planung!$F16</f>
        <v>0.4236111111111111</v>
      </c>
      <c r="D22" s="514">
        <f ca="1">Planung!$G16</f>
        <v>3</v>
      </c>
      <c r="E22" s="514" t="str">
        <f ca="1">Planung!$H16</f>
        <v>A</v>
      </c>
      <c r="F22" s="380" t="str">
        <f ca="1">Planung!$L16</f>
        <v>Eintracht Frankfurt</v>
      </c>
      <c r="G22" s="196" t="s">
        <v>5</v>
      </c>
      <c r="H22" s="383" t="str">
        <f ca="1">Planung!$N16</f>
        <v>VFB Essenheim</v>
      </c>
      <c r="I22" s="377">
        <v>22</v>
      </c>
      <c r="J22" s="569" t="str">
        <f>Sprache!$E$108</f>
        <v xml:space="preserve"> : </v>
      </c>
      <c r="K22" s="576">
        <v>25</v>
      </c>
      <c r="L22" s="377">
        <v>25</v>
      </c>
      <c r="M22" s="569" t="str">
        <f>Sprache!$E$108</f>
        <v xml:space="preserve"> : </v>
      </c>
      <c r="N22" s="576">
        <v>20</v>
      </c>
      <c r="O22" s="377"/>
      <c r="P22" s="569" t="str">
        <f>Sprache!$E$108</f>
        <v xml:space="preserve"> : </v>
      </c>
      <c r="Q22" s="579"/>
      <c r="R22" s="572">
        <f t="shared" ca="1" si="5"/>
        <v>1</v>
      </c>
      <c r="S22" s="775" t="str">
        <f>Sprache!$E$108</f>
        <v xml:space="preserve"> : </v>
      </c>
      <c r="T22" s="582">
        <f t="shared" ca="1" si="6"/>
        <v>1</v>
      </c>
      <c r="U22" s="682" t="str">
        <f>IF(Planung!$O16="","",Planung!$O16)</f>
        <v/>
      </c>
      <c r="BA22" s="586"/>
      <c r="BB22" s="586"/>
      <c r="BC22" s="42" t="b">
        <f t="shared" ca="1" si="7"/>
        <v>0</v>
      </c>
      <c r="BD22" s="42" t="b">
        <f t="shared" si="8"/>
        <v>0</v>
      </c>
      <c r="BE22" s="42" t="b">
        <f t="shared" si="9"/>
        <v>0</v>
      </c>
      <c r="BF22" s="42" t="b">
        <f t="shared" si="10"/>
        <v>1</v>
      </c>
      <c r="BG22" s="42" t="b">
        <f t="shared" si="11"/>
        <v>0</v>
      </c>
      <c r="BH22" s="42" t="b">
        <f t="shared" si="12"/>
        <v>0</v>
      </c>
      <c r="BI22" s="42" t="b">
        <f t="shared" si="13"/>
        <v>0</v>
      </c>
    </row>
    <row r="23" spans="2:61" ht="24" customHeight="1" thickBot="1" x14ac:dyDescent="0.45">
      <c r="B23" s="374">
        <f ca="1">Planung!$E17</f>
        <v>12</v>
      </c>
      <c r="C23" s="513">
        <f ca="1">Planung!$F17</f>
        <v>0.4236111111111111</v>
      </c>
      <c r="D23" s="514">
        <f ca="1">Planung!$G17</f>
        <v>4</v>
      </c>
      <c r="E23" s="514" t="str">
        <f ca="1">Planung!$H17</f>
        <v>B</v>
      </c>
      <c r="F23" s="380" t="str">
        <f ca="1">Planung!$L17</f>
        <v>SSV Wildbach</v>
      </c>
      <c r="G23" s="196" t="s">
        <v>5</v>
      </c>
      <c r="H23" s="383" t="str">
        <f ca="1">Planung!$N17</f>
        <v>FC Grönlingen</v>
      </c>
      <c r="I23" s="377">
        <v>19</v>
      </c>
      <c r="J23" s="569" t="str">
        <f>Sprache!$E$108</f>
        <v xml:space="preserve"> : </v>
      </c>
      <c r="K23" s="576">
        <v>25</v>
      </c>
      <c r="L23" s="377">
        <v>25</v>
      </c>
      <c r="M23" s="569" t="str">
        <f>Sprache!$E$108</f>
        <v xml:space="preserve"> : </v>
      </c>
      <c r="N23" s="576">
        <v>19</v>
      </c>
      <c r="O23" s="377"/>
      <c r="P23" s="569" t="str">
        <f>Sprache!$E$108</f>
        <v xml:space="preserve"> : </v>
      </c>
      <c r="Q23" s="579"/>
      <c r="R23" s="572">
        <f t="shared" ca="1" si="5"/>
        <v>1</v>
      </c>
      <c r="S23" s="775" t="str">
        <f>Sprache!$E$108</f>
        <v xml:space="preserve"> : </v>
      </c>
      <c r="T23" s="582">
        <f t="shared" ca="1" si="6"/>
        <v>1</v>
      </c>
      <c r="U23" s="682" t="str">
        <f>IF(Planung!$O17="","",Planung!$O17)</f>
        <v/>
      </c>
      <c r="W23" s="836" t="str">
        <f>Sprache!$E$16&amp;" B"</f>
        <v>Gruppe B</v>
      </c>
      <c r="X23" s="836"/>
      <c r="Y23" s="175"/>
      <c r="Z23" s="175"/>
      <c r="AA23" s="175"/>
      <c r="AB23" s="175"/>
      <c r="AC23" s="175"/>
      <c r="AD23" s="175"/>
      <c r="AE23" s="175"/>
      <c r="AF23" s="175"/>
      <c r="AG23" s="175"/>
      <c r="AH23" s="175"/>
      <c r="AI23" s="175"/>
      <c r="AJ23" s="175"/>
      <c r="AK23" s="175"/>
      <c r="AL23" s="252" t="str">
        <f ca="1">IF(LEN(X25)&gt;Einstellungen!$C$33,LEFT(X25,Einstellungen!$C$33)&amp;".",X25)</f>
        <v>Mainz 0.</v>
      </c>
      <c r="AM23" s="253" t="str">
        <f ca="1">IF(LEN(X26)&gt;Einstellungen!$C$33,LEFT(X26,Einstellungen!$C$33)&amp;".",X26)</f>
        <v>Manches.</v>
      </c>
      <c r="AN23" s="253" t="str">
        <f ca="1">IF(LEN(X27)&gt;Einstellungen!$C$33,LEFT(X27,Einstellungen!$C$33)&amp;".",X27)</f>
        <v>FC Grön.</v>
      </c>
      <c r="AO23" s="253" t="str">
        <f ca="1">IF(LEN(X28)&gt;Einstellungen!$C$33,LEFT(X28,Einstellungen!$C$33)&amp;".",X28)</f>
        <v>SSV Wil.</v>
      </c>
      <c r="AP23" s="253" t="str">
        <f ca="1">IF(LEN(X29)&gt;Einstellungen!$C$33,LEFT(X29,Einstellungen!$C$33)&amp;".",X29)</f>
        <v>Inter M.</v>
      </c>
      <c r="AQ23" s="480" t="str">
        <f ca="1">IF(LEN(X30)&gt;Einstellungen!$C$33,LEFT(X30,Einstellungen!$C$33)&amp;".",X30)</f>
        <v/>
      </c>
      <c r="AR23" s="480" t="str">
        <f ca="1">IF(LEN(X31)&gt;Einstellungen!$C$33,LEFT(X31,Einstellungen!$C$33)&amp;".",X31)</f>
        <v/>
      </c>
      <c r="AS23" s="480" t="str">
        <f ca="1">IF(LEN(X32)&gt;Einstellungen!$C$33,LEFT(X32,Einstellungen!$C$33)&amp;".",X32)</f>
        <v/>
      </c>
      <c r="AT23" s="254" t="str">
        <f ca="1">IF(LEN(X33)&gt;Einstellungen!$C$33,LEFT(X33,Einstellungen!$C$33)&amp;".",X33)</f>
        <v/>
      </c>
      <c r="AU23" s="176"/>
      <c r="AX23" s="836" t="str">
        <f>Sprache!$E$16&amp;" B"</f>
        <v>Gruppe B</v>
      </c>
      <c r="AY23" s="836"/>
      <c r="BA23" s="586"/>
      <c r="BB23" s="586"/>
      <c r="BC23" s="42" t="b">
        <f t="shared" ca="1" si="7"/>
        <v>0</v>
      </c>
      <c r="BD23" s="42" t="b">
        <f t="shared" si="8"/>
        <v>0</v>
      </c>
      <c r="BE23" s="42" t="b">
        <f t="shared" si="9"/>
        <v>0</v>
      </c>
      <c r="BF23" s="42" t="b">
        <f t="shared" si="10"/>
        <v>1</v>
      </c>
      <c r="BG23" s="42" t="b">
        <f t="shared" si="11"/>
        <v>0</v>
      </c>
      <c r="BH23" s="42" t="b">
        <f t="shared" si="12"/>
        <v>0</v>
      </c>
      <c r="BI23" s="42" t="b">
        <f t="shared" si="13"/>
        <v>0</v>
      </c>
    </row>
    <row r="24" spans="2:61" ht="24" customHeight="1" thickTop="1" thickBot="1" x14ac:dyDescent="0.25">
      <c r="B24" s="374">
        <f ca="1">Planung!$E18</f>
        <v>13</v>
      </c>
      <c r="C24" s="513">
        <f ca="1">Planung!$F18</f>
        <v>0.44791666666666669</v>
      </c>
      <c r="D24" s="514">
        <f ca="1">Planung!$G18</f>
        <v>1</v>
      </c>
      <c r="E24" s="514" t="str">
        <f ca="1">Planung!$H18</f>
        <v>A</v>
      </c>
      <c r="F24" s="380" t="str">
        <f ca="1">Planung!$L18</f>
        <v>FC Barcelona</v>
      </c>
      <c r="G24" s="196" t="s">
        <v>5</v>
      </c>
      <c r="H24" s="383" t="str">
        <f ca="1">Planung!$N18</f>
        <v>Maibach 1822 eV</v>
      </c>
      <c r="I24" s="377">
        <v>17</v>
      </c>
      <c r="J24" s="569" t="str">
        <f>Sprache!$E$108</f>
        <v xml:space="preserve"> : </v>
      </c>
      <c r="K24" s="576">
        <v>25</v>
      </c>
      <c r="L24" s="377">
        <v>12</v>
      </c>
      <c r="M24" s="569" t="str">
        <f>Sprache!$E$108</f>
        <v xml:space="preserve"> : </v>
      </c>
      <c r="N24" s="576">
        <v>25</v>
      </c>
      <c r="O24" s="377"/>
      <c r="P24" s="569" t="str">
        <f>Sprache!$E$108</f>
        <v xml:space="preserve"> : </v>
      </c>
      <c r="Q24" s="579"/>
      <c r="R24" s="572">
        <f t="shared" ca="1" si="5"/>
        <v>0</v>
      </c>
      <c r="S24" s="775" t="str">
        <f>Sprache!$E$108</f>
        <v xml:space="preserve"> : </v>
      </c>
      <c r="T24" s="582">
        <f t="shared" ca="1" si="6"/>
        <v>2</v>
      </c>
      <c r="U24" s="682" t="str">
        <f>IF(Planung!$O18="","",Planung!$O18)</f>
        <v/>
      </c>
      <c r="W24" s="834"/>
      <c r="X24" s="835"/>
      <c r="Y24" s="177" t="str">
        <f>Sprache!$E$21</f>
        <v>SP</v>
      </c>
      <c r="Z24" s="178" t="str">
        <f>Sprache!$E$22</f>
        <v>G</v>
      </c>
      <c r="AA24" s="178" t="str">
        <f>Sprache!$E$23</f>
        <v>U</v>
      </c>
      <c r="AB24" s="239" t="str">
        <f>Sprache!$E$24</f>
        <v>V</v>
      </c>
      <c r="AC24" s="843" t="str">
        <f>Sprache!$E$89</f>
        <v>Sätze</v>
      </c>
      <c r="AD24" s="844"/>
      <c r="AE24" s="845"/>
      <c r="AF24" s="601" t="str">
        <f>Sprache!$E$26</f>
        <v>Diff.</v>
      </c>
      <c r="AG24" s="831" t="str">
        <f>Sprache!$E$90</f>
        <v>Bälle</v>
      </c>
      <c r="AH24" s="832"/>
      <c r="AI24" s="833"/>
      <c r="AJ24" s="178" t="str">
        <f>IF(Einstellungen!$G$24,Sprache!$E$26,Sprache!$E$97)</f>
        <v>Diff.</v>
      </c>
      <c r="AK24" s="180" t="str">
        <f>IF(Einstellungen!$G$9,Sprache!$E$27,Sprache!$E$80)</f>
        <v>Pkt</v>
      </c>
      <c r="AL24" s="181" t="str">
        <f ca="1">X25</f>
        <v>Mainz 05</v>
      </c>
      <c r="AM24" s="182" t="str">
        <f ca="1">X26</f>
        <v>Manchester City</v>
      </c>
      <c r="AN24" s="182" t="str">
        <f ca="1">X27</f>
        <v>FC Grönlingen</v>
      </c>
      <c r="AO24" s="182" t="str">
        <f ca="1">X28</f>
        <v>SSV Wildbach</v>
      </c>
      <c r="AP24" s="182" t="str">
        <f ca="1">X29</f>
        <v>Inter Mailand</v>
      </c>
      <c r="AQ24" s="481" t="str">
        <f ca="1">X30</f>
        <v/>
      </c>
      <c r="AR24" s="481" t="str">
        <f ca="1">X31</f>
        <v/>
      </c>
      <c r="AS24" s="481" t="str">
        <f ca="1">X32</f>
        <v/>
      </c>
      <c r="AT24" s="451" t="str">
        <f ca="1">X33</f>
        <v/>
      </c>
      <c r="AU24" s="176"/>
      <c r="AX24" s="359" t="str">
        <f>Sprache!$E$9</f>
        <v>Nr.</v>
      </c>
      <c r="AY24" s="360" t="str">
        <f>Sprache!$E$10</f>
        <v>Teilnehmer bzw. Mannschaft</v>
      </c>
      <c r="AZ24" s="361" t="str">
        <f>Sprache!$E$49</f>
        <v>Tie-Break</v>
      </c>
      <c r="BA24" s="584"/>
      <c r="BB24" s="584"/>
      <c r="BC24" s="42" t="b">
        <f t="shared" ca="1" si="7"/>
        <v>0</v>
      </c>
      <c r="BD24" s="42" t="b">
        <f t="shared" si="8"/>
        <v>0</v>
      </c>
      <c r="BE24" s="42" t="b">
        <f t="shared" si="9"/>
        <v>0</v>
      </c>
      <c r="BF24" s="42" t="b">
        <f t="shared" si="10"/>
        <v>1</v>
      </c>
      <c r="BG24" s="42" t="b">
        <f t="shared" si="11"/>
        <v>0</v>
      </c>
      <c r="BH24" s="42" t="b">
        <f t="shared" si="12"/>
        <v>0</v>
      </c>
      <c r="BI24" s="42" t="b">
        <f t="shared" si="13"/>
        <v>0</v>
      </c>
    </row>
    <row r="25" spans="2:61" ht="24" customHeight="1" x14ac:dyDescent="0.2">
      <c r="B25" s="374">
        <f ca="1">Planung!$E19</f>
        <v>14</v>
      </c>
      <c r="C25" s="513">
        <f ca="1">Planung!$F19</f>
        <v>0.44791666666666669</v>
      </c>
      <c r="D25" s="514">
        <f ca="1">Planung!$G19</f>
        <v>2</v>
      </c>
      <c r="E25" s="514" t="str">
        <f ca="1">Planung!$H19</f>
        <v>B</v>
      </c>
      <c r="F25" s="380" t="str">
        <f ca="1">Planung!$L19</f>
        <v>Inter Mailand</v>
      </c>
      <c r="G25" s="196" t="s">
        <v>5</v>
      </c>
      <c r="H25" s="383" t="str">
        <f ca="1">Planung!$N19</f>
        <v>Manchester City</v>
      </c>
      <c r="I25" s="377">
        <v>14</v>
      </c>
      <c r="J25" s="569" t="str">
        <f>Sprache!$E$108</f>
        <v xml:space="preserve"> : </v>
      </c>
      <c r="K25" s="576">
        <v>25</v>
      </c>
      <c r="L25" s="377">
        <v>25</v>
      </c>
      <c r="M25" s="569" t="str">
        <f>Sprache!$E$108</f>
        <v xml:space="preserve"> : </v>
      </c>
      <c r="N25" s="576">
        <v>23</v>
      </c>
      <c r="O25" s="377"/>
      <c r="P25" s="569" t="str">
        <f>Sprache!$E$108</f>
        <v xml:space="preserve"> : </v>
      </c>
      <c r="Q25" s="579"/>
      <c r="R25" s="572">
        <f t="shared" ca="1" si="5"/>
        <v>1</v>
      </c>
      <c r="S25" s="775" t="str">
        <f>Sprache!$E$108</f>
        <v xml:space="preserve"> : </v>
      </c>
      <c r="T25" s="582">
        <f t="shared" ca="1" si="6"/>
        <v>1</v>
      </c>
      <c r="U25" s="682" t="str">
        <f>IF(Planung!$O19="","",Planung!$O19)</f>
        <v/>
      </c>
      <c r="W25" s="324">
        <f ca="1">IF(Calc2!$K$13=0,"",1)</f>
        <v>1</v>
      </c>
      <c r="X25" s="325" t="str">
        <f ca="1">IF(Calc1!$F$14&lt;3,"",IF(Calc2!$K$13=0,Calc2!$Q64,VLOOKUP(Calc2!B4,Calc2!$C$4:$N$12,4,0)))</f>
        <v>Mainz 05</v>
      </c>
      <c r="Y25" s="183">
        <f ca="1">IF(Calc2!$K$13=0,"",VLOOKUP(Calc2!B4,Calc2!$C$4:$N$12,9,0))</f>
        <v>4</v>
      </c>
      <c r="Z25" s="184">
        <f ca="1">IF(Calc2!$K$13=0,"",VLOOKUP(Calc2!B4,Calc2!$C$4:$N$12,10,0))</f>
        <v>2</v>
      </c>
      <c r="AA25" s="184">
        <f ca="1">IF(Calc2!$K$13=0,"",VLOOKUP(Calc2!B4,Calc2!$C$4:$N$12,11,0))</f>
        <v>1</v>
      </c>
      <c r="AB25" s="185">
        <f ca="1">IF(Calc2!$K$13=0,"",VLOOKUP(Calc2!B4,Calc2!$C$4:$N$12,12,0))</f>
        <v>1</v>
      </c>
      <c r="AC25" s="186">
        <f ca="1">IF(Calc2!$K$13=0,"",VLOOKUP(Calc2!B4,Calc2!$C$4:$AT$12,44,0))</f>
        <v>5</v>
      </c>
      <c r="AD25" s="421" t="str">
        <f>Sprache!$E$108</f>
        <v xml:space="preserve"> : </v>
      </c>
      <c r="AE25" s="188">
        <f ca="1">IF(Calc2!$K$13=0,"",VLOOKUP(Calc2!B4,Calc2!$C$4:$AS$12,43,0))</f>
        <v>3</v>
      </c>
      <c r="AF25" s="185">
        <f ca="1">IF(Calc2!$K$13=0,"",AC25-AE25)</f>
        <v>2</v>
      </c>
      <c r="AG25" s="186">
        <f ca="1">IF(Calc2!$K$13=0,"",VLOOKUP(Calc2!B4,Calc2!$C$4:$N$12,5,0))</f>
        <v>178</v>
      </c>
      <c r="AH25" s="187" t="str">
        <f>Sprache!$E$108</f>
        <v xml:space="preserve"> : </v>
      </c>
      <c r="AI25" s="188">
        <f ca="1">IF(Calc2!$K$13=0,"",VLOOKUP(Calc2!B4,Calc2!$C$4:$N$12,6,0))</f>
        <v>156</v>
      </c>
      <c r="AJ25" s="183">
        <f ca="1">IF(Calc2!$K$13=0,"",IF(VLOOKUP(Calc2!B4,Calc2!$C$4:$AV$12,46,0)=Einstellungen!$F$24,"max",VLOOKUP(Calc2!B4,Calc2!$C$4:$AV$12,46,0)))</f>
        <v>22</v>
      </c>
      <c r="AK25" s="189">
        <f ca="1">IF(Calc2!$K$13=0,"",VLOOKUP(Calc2!B4,Calc2!$C$4:$AT$12,Einstellungen!$H$9,0))</f>
        <v>5</v>
      </c>
      <c r="AL25" s="190"/>
      <c r="AM25" s="184" t="str">
        <f ca="1">IFERROR(VLOOKUP($X25&amp;AM$24,Calc2!$Z$64:$AC$207,Einstellungen!$G$29,0),"")</f>
        <v>39 : 44</v>
      </c>
      <c r="AN25" s="184" t="str">
        <f ca="1">IFERROR(VLOOKUP($X25&amp;AN$24,Calc2!$Z$64:$AC$207,Einstellungen!$G$29,0),"")</f>
        <v>39 : 50</v>
      </c>
      <c r="AO25" s="184" t="str">
        <f ca="1">IFERROR(VLOOKUP($X25&amp;AO$24,Calc2!$Z$64:$AC$207,Einstellungen!$G$29,0),"")</f>
        <v>50 : 38</v>
      </c>
      <c r="AP25" s="184" t="str">
        <f ca="1">IFERROR(VLOOKUP($X25&amp;AP$24,Calc2!$Z$64:$AC$207,Einstellungen!$G$29,0),"")</f>
        <v>50 : 24</v>
      </c>
      <c r="AQ25" s="185" t="str">
        <f ca="1">IFERROR(VLOOKUP($X25&amp;AQ$24,Calc2!$Z$64:$AC$207,Einstellungen!$G$29,0),"")</f>
        <v/>
      </c>
      <c r="AR25" s="185" t="str">
        <f ca="1">IFERROR(VLOOKUP($X25&amp;AR$24,Calc2!$Z$64:$AC$207,Einstellungen!$G$29,0),"")</f>
        <v/>
      </c>
      <c r="AS25" s="185" t="str">
        <f ca="1">IFERROR(VLOOKUP($X25&amp;AS$24,Calc2!$Z$64:$AC$207,Einstellungen!$G$29,0),"")</f>
        <v/>
      </c>
      <c r="AT25" s="191" t="str">
        <f ca="1">IFERROR(VLOOKUP($X25&amp;AT$24,Calc2!$Z$64:$AC$207,Einstellungen!$G$29,0),"")</f>
        <v/>
      </c>
      <c r="AU25" s="192" t="str">
        <f t="shared" ref="AU25:AU29" ca="1" si="16">X25</f>
        <v>Mainz 05</v>
      </c>
      <c r="AX25" s="357" t="s">
        <v>196</v>
      </c>
      <c r="AY25" s="358" t="str">
        <f>IF(Planung!$C31="","",Planung!$C31)</f>
        <v>Mainz 05</v>
      </c>
      <c r="AZ25" s="363"/>
      <c r="BA25" s="585"/>
      <c r="BB25" s="585"/>
      <c r="BC25" s="42" t="b">
        <f t="shared" ca="1" si="7"/>
        <v>0</v>
      </c>
      <c r="BD25" s="42" t="b">
        <f t="shared" si="8"/>
        <v>0</v>
      </c>
      <c r="BE25" s="42" t="b">
        <f t="shared" si="9"/>
        <v>0</v>
      </c>
      <c r="BF25" s="42" t="b">
        <f t="shared" si="10"/>
        <v>1</v>
      </c>
      <c r="BG25" s="42" t="b">
        <f t="shared" si="11"/>
        <v>0</v>
      </c>
      <c r="BH25" s="42" t="b">
        <f t="shared" si="12"/>
        <v>0</v>
      </c>
      <c r="BI25" s="42" t="b">
        <f t="shared" si="13"/>
        <v>0</v>
      </c>
    </row>
    <row r="26" spans="2:61" ht="24" customHeight="1" x14ac:dyDescent="0.2">
      <c r="B26" s="374">
        <f ca="1">Planung!$E20</f>
        <v>15</v>
      </c>
      <c r="C26" s="513">
        <f ca="1">Planung!$F20</f>
        <v>0.44791666666666669</v>
      </c>
      <c r="D26" s="514">
        <f ca="1">Planung!$G20</f>
        <v>3</v>
      </c>
      <c r="E26" s="514" t="str">
        <f ca="1">Planung!$H20</f>
        <v>A</v>
      </c>
      <c r="F26" s="380" t="str">
        <f ca="1">Planung!$L20</f>
        <v>Eintracht Frankfurt</v>
      </c>
      <c r="G26" s="196" t="s">
        <v>5</v>
      </c>
      <c r="H26" s="383" t="str">
        <f ca="1">Planung!$N20</f>
        <v>1. FC Riedwald</v>
      </c>
      <c r="I26" s="377">
        <v>21</v>
      </c>
      <c r="J26" s="569" t="str">
        <f>Sprache!$E$108</f>
        <v xml:space="preserve"> : </v>
      </c>
      <c r="K26" s="576">
        <v>25</v>
      </c>
      <c r="L26" s="377">
        <v>25</v>
      </c>
      <c r="M26" s="569" t="str">
        <f>Sprache!$E$108</f>
        <v xml:space="preserve"> : </v>
      </c>
      <c r="N26" s="576">
        <v>17</v>
      </c>
      <c r="O26" s="377"/>
      <c r="P26" s="569" t="str">
        <f>Sprache!$E$108</f>
        <v xml:space="preserve"> : </v>
      </c>
      <c r="Q26" s="579"/>
      <c r="R26" s="572">
        <f t="shared" ca="1" si="5"/>
        <v>1</v>
      </c>
      <c r="S26" s="775" t="str">
        <f>Sprache!$E$108</f>
        <v xml:space="preserve"> : </v>
      </c>
      <c r="T26" s="582">
        <f t="shared" ca="1" si="6"/>
        <v>1</v>
      </c>
      <c r="U26" s="682" t="str">
        <f>IF(Planung!$O20="","",Planung!$O20)</f>
        <v/>
      </c>
      <c r="W26" s="326">
        <f ca="1">IF(Calc2!$K$13=0,"",IF(VLOOKUP(Calc2!B5,Calc2!$C$4:$E$12,3,0)=MAX(W$25:W25),VLOOKUP(Calc2!B5,Calc2!$C$4:$E$12,3,0),Calc2!B5))</f>
        <v>2</v>
      </c>
      <c r="X26" s="327" t="str">
        <f ca="1">IF(Calc1!$F$14&lt;3,"",IF(Calc2!$K$13=0,Calc2!$Q65,VLOOKUP(Calc2!B5,Calc2!$C$4:$N$12,4,0)))</f>
        <v>Manchester City</v>
      </c>
      <c r="Y26" s="193">
        <f ca="1">IF(Calc2!$K$13=0,"",VLOOKUP(Calc2!B5,Calc2!$C$4:$N$12,9,0))</f>
        <v>4</v>
      </c>
      <c r="Z26" s="174">
        <f ca="1">IF(Calc2!$K$13=0,"",VLOOKUP(Calc2!B5,Calc2!$C$4:$N$12,10,0))</f>
        <v>1</v>
      </c>
      <c r="AA26" s="174">
        <f ca="1">IF(Calc2!$K$13=0,"",VLOOKUP(Calc2!B5,Calc2!$C$4:$N$12,11,0))</f>
        <v>2</v>
      </c>
      <c r="AB26" s="194">
        <f ca="1">IF(Calc2!$K$13=0,"",VLOOKUP(Calc2!B5,Calc2!$C$4:$N$12,12,0))</f>
        <v>1</v>
      </c>
      <c r="AC26" s="195">
        <f ca="1">IF(Calc2!$K$13=0,"",VLOOKUP(Calc2!B5,Calc2!$C$4:$AT$12,44,0))</f>
        <v>4</v>
      </c>
      <c r="AD26" s="424" t="str">
        <f>Sprache!$E$108</f>
        <v xml:space="preserve"> : </v>
      </c>
      <c r="AE26" s="197">
        <f ca="1">IF(Calc2!$K$13=0,"",VLOOKUP(Calc2!B5,Calc2!$C$4:$AS$12,43,0))</f>
        <v>4</v>
      </c>
      <c r="AF26" s="194">
        <f ca="1">IF(Calc2!$K$13=0,"",AC26-AE26)</f>
        <v>0</v>
      </c>
      <c r="AG26" s="195">
        <f ca="1">IF(Calc2!$K$13=0,"",VLOOKUP(Calc2!B5,Calc2!$C$4:$N$12,5,0))</f>
        <v>184</v>
      </c>
      <c r="AH26" s="196" t="str">
        <f>Sprache!$E$108</f>
        <v xml:space="preserve"> : </v>
      </c>
      <c r="AI26" s="197">
        <f ca="1">IF(Calc2!$K$13=0,"",VLOOKUP(Calc2!B5,Calc2!$C$4:$N$12,6,0))</f>
        <v>160</v>
      </c>
      <c r="AJ26" s="193">
        <f ca="1">IF(Calc2!$K$13=0,"",IF(VLOOKUP(Calc2!B5,Calc2!$C$4:$AV$12,46,0)=Einstellungen!$F$24,"max",VLOOKUP(Calc2!B5,Calc2!$C$4:$AV$12,46,0)))</f>
        <v>24</v>
      </c>
      <c r="AK26" s="198">
        <f ca="1">IF(Calc2!$K$13=0,"",VLOOKUP(Calc2!B5,Calc2!$C$4:$AT$12,Einstellungen!$H$9,0))</f>
        <v>4</v>
      </c>
      <c r="AL26" s="199" t="str">
        <f ca="1">IFERROR(VLOOKUP($X26&amp;AL$24,Calc2!$Z$64:$AC$207,Einstellungen!$G$29,0),"")</f>
        <v>44 : 39</v>
      </c>
      <c r="AM26" s="200"/>
      <c r="AN26" s="174" t="str">
        <f ca="1">IFERROR(VLOOKUP($X26&amp;AN$24,Calc2!$Z$64:$AC$207,Einstellungen!$G$29,0),"")</f>
        <v>50 : 32</v>
      </c>
      <c r="AO26" s="174" t="str">
        <f ca="1">IFERROR(VLOOKUP($X26&amp;AO$24,Calc2!$Z$64:$AC$207,Einstellungen!$G$29,0),"")</f>
        <v>42 : 50</v>
      </c>
      <c r="AP26" s="174" t="str">
        <f ca="1">IFERROR(VLOOKUP($X26&amp;AP$24,Calc2!$Z$64:$AC$207,Einstellungen!$G$29,0),"")</f>
        <v>48 : 39</v>
      </c>
      <c r="AQ26" s="194" t="str">
        <f ca="1">IFERROR(VLOOKUP($X26&amp;AQ$24,Calc2!$Z$64:$AC$207,Einstellungen!$G$29,0),"")</f>
        <v/>
      </c>
      <c r="AR26" s="194" t="str">
        <f ca="1">IFERROR(VLOOKUP($X26&amp;AR$24,Calc2!$Z$64:$AC$207,Einstellungen!$G$29,0),"")</f>
        <v/>
      </c>
      <c r="AS26" s="194" t="str">
        <f ca="1">IFERROR(VLOOKUP($X26&amp;AS$24,Calc2!$Z$64:$AC$207,Einstellungen!$G$29,0),"")</f>
        <v/>
      </c>
      <c r="AT26" s="201" t="str">
        <f ca="1">IFERROR(VLOOKUP($X26&amp;AT$24,Calc2!$Z$64:$AC$207,Einstellungen!$G$29,0),"")</f>
        <v/>
      </c>
      <c r="AU26" s="202" t="str">
        <f t="shared" ca="1" si="16"/>
        <v>Manchester City</v>
      </c>
      <c r="AX26" s="353" t="s">
        <v>198</v>
      </c>
      <c r="AY26" s="355" t="str">
        <f>IF(Planung!$C33="","",Planung!$C33)</f>
        <v>Inter Mailand</v>
      </c>
      <c r="AZ26" s="364"/>
      <c r="BA26" s="585"/>
      <c r="BB26" s="585"/>
      <c r="BC26" s="42" t="b">
        <f t="shared" ca="1" si="7"/>
        <v>0</v>
      </c>
      <c r="BD26" s="42" t="b">
        <f t="shared" si="8"/>
        <v>0</v>
      </c>
      <c r="BE26" s="42" t="b">
        <f t="shared" si="9"/>
        <v>0</v>
      </c>
      <c r="BF26" s="42" t="b">
        <f t="shared" si="10"/>
        <v>1</v>
      </c>
      <c r="BG26" s="42" t="b">
        <f t="shared" si="11"/>
        <v>0</v>
      </c>
      <c r="BH26" s="42" t="b">
        <f t="shared" si="12"/>
        <v>0</v>
      </c>
      <c r="BI26" s="42" t="b">
        <f t="shared" si="13"/>
        <v>0</v>
      </c>
    </row>
    <row r="27" spans="2:61" ht="24" customHeight="1" x14ac:dyDescent="0.2">
      <c r="B27" s="374">
        <f ca="1">Planung!$E21</f>
        <v>16</v>
      </c>
      <c r="C27" s="513">
        <f ca="1">Planung!$F21</f>
        <v>0.44791666666666669</v>
      </c>
      <c r="D27" s="514">
        <f ca="1">Planung!$G21</f>
        <v>4</v>
      </c>
      <c r="E27" s="514" t="str">
        <f ca="1">Planung!$H21</f>
        <v>B</v>
      </c>
      <c r="F27" s="380" t="str">
        <f ca="1">Planung!$L21</f>
        <v>SSV Wildbach</v>
      </c>
      <c r="G27" s="196" t="s">
        <v>5</v>
      </c>
      <c r="H27" s="383" t="str">
        <f ca="1">Planung!$N21</f>
        <v>Mainz 05</v>
      </c>
      <c r="I27" s="377">
        <v>20</v>
      </c>
      <c r="J27" s="569" t="str">
        <f>Sprache!$E$108</f>
        <v xml:space="preserve"> : </v>
      </c>
      <c r="K27" s="576">
        <v>25</v>
      </c>
      <c r="L27" s="377">
        <v>18</v>
      </c>
      <c r="M27" s="569" t="str">
        <f>Sprache!$E$108</f>
        <v xml:space="preserve"> : </v>
      </c>
      <c r="N27" s="576">
        <v>25</v>
      </c>
      <c r="O27" s="377"/>
      <c r="P27" s="569" t="str">
        <f>Sprache!$E$108</f>
        <v xml:space="preserve"> : </v>
      </c>
      <c r="Q27" s="579"/>
      <c r="R27" s="572">
        <f t="shared" ca="1" si="5"/>
        <v>0</v>
      </c>
      <c r="S27" s="775" t="str">
        <f>Sprache!$E$108</f>
        <v xml:space="preserve"> : </v>
      </c>
      <c r="T27" s="582">
        <f t="shared" ca="1" si="6"/>
        <v>2</v>
      </c>
      <c r="U27" s="682" t="str">
        <f>IF(Planung!$O21="","",Planung!$O21)</f>
        <v/>
      </c>
      <c r="W27" s="326">
        <f ca="1">IF(Calc2!$K$13=0,"",IF(VLOOKUP(Calc2!B6,Calc2!$C$4:$E$12,3,0)=MAX(W$25:W26),VLOOKUP(Calc2!B6,Calc2!$C$4:$E$12,3,0),Calc2!B6))</f>
        <v>3</v>
      </c>
      <c r="X27" s="327" t="str">
        <f ca="1">IF(Calc1!$F$14&lt;3,"",IF(Calc2!$K$13=0,Calc2!$Q66,VLOOKUP(Calc2!B6,Calc2!$C$4:$N$12,4,0)))</f>
        <v>FC Grönlingen</v>
      </c>
      <c r="Y27" s="193">
        <f ca="1">IF(Calc2!$K$13=0,"",VLOOKUP(Calc2!B6,Calc2!$C$4:$N$12,9,0))</f>
        <v>4</v>
      </c>
      <c r="Z27" s="174">
        <f ca="1">IF(Calc2!$K$13=0,"",VLOOKUP(Calc2!B6,Calc2!$C$4:$N$12,10,0))</f>
        <v>1</v>
      </c>
      <c r="AA27" s="174">
        <f ca="1">IF(Calc2!$K$13=0,"",VLOOKUP(Calc2!B6,Calc2!$C$4:$N$12,11,0))</f>
        <v>2</v>
      </c>
      <c r="AB27" s="194">
        <f ca="1">IF(Calc2!$K$13=0,"",VLOOKUP(Calc2!B6,Calc2!$C$4:$N$12,12,0))</f>
        <v>1</v>
      </c>
      <c r="AC27" s="195">
        <f ca="1">IF(Calc2!$K$13=0,"",VLOOKUP(Calc2!B6,Calc2!$C$4:$AT$12,44,0))</f>
        <v>4</v>
      </c>
      <c r="AD27" s="424" t="str">
        <f>Sprache!$E$108</f>
        <v xml:space="preserve"> : </v>
      </c>
      <c r="AE27" s="197">
        <f ca="1">IF(Calc2!$K$13=0,"",VLOOKUP(Calc2!B6,Calc2!$C$4:$AS$12,43,0))</f>
        <v>4</v>
      </c>
      <c r="AF27" s="194">
        <f ca="1">IF(Calc2!$K$13=0,"",AC27-AE27)</f>
        <v>0</v>
      </c>
      <c r="AG27" s="195">
        <f ca="1">IF(Calc2!$K$13=0,"",VLOOKUP(Calc2!B6,Calc2!$C$4:$N$12,5,0))</f>
        <v>174</v>
      </c>
      <c r="AH27" s="196" t="str">
        <f>Sprache!$E$108</f>
        <v xml:space="preserve"> : </v>
      </c>
      <c r="AI27" s="197">
        <f ca="1">IF(Calc2!$K$13=0,"",VLOOKUP(Calc2!B6,Calc2!$C$4:$N$12,6,0))</f>
        <v>178</v>
      </c>
      <c r="AJ27" s="193">
        <f ca="1">IF(Calc2!$K$13=0,"",IF(VLOOKUP(Calc2!B6,Calc2!$C$4:$AV$12,46,0)=Einstellungen!$F$24,"max",VLOOKUP(Calc2!B6,Calc2!$C$4:$AV$12,46,0)))</f>
        <v>-4</v>
      </c>
      <c r="AK27" s="198">
        <f ca="1">IF(Calc2!$K$13=0,"",VLOOKUP(Calc2!B6,Calc2!$C$4:$AT$12,Einstellungen!$H$9,0))</f>
        <v>4</v>
      </c>
      <c r="AL27" s="199" t="str">
        <f ca="1">IFERROR(VLOOKUP($X27&amp;AL$24,Calc2!$Z$64:$AC$207,Einstellungen!$G$29,0),"")</f>
        <v>50 : 39</v>
      </c>
      <c r="AM27" s="350" t="str">
        <f ca="1">IFERROR(VLOOKUP($X27&amp;AM$24,Calc2!$Z$64:$AC$207,Einstellungen!$G$29,0),"")</f>
        <v>32 : 50</v>
      </c>
      <c r="AN27" s="200"/>
      <c r="AO27" s="174" t="str">
        <f ca="1">IFERROR(VLOOKUP($X27&amp;AO$24,Calc2!$Z$64:$AC$207,Einstellungen!$G$29,0),"")</f>
        <v>44 : 44</v>
      </c>
      <c r="AP27" s="174" t="str">
        <f ca="1">IFERROR(VLOOKUP($X27&amp;AP$24,Calc2!$Z$64:$AC$207,Einstellungen!$G$29,0),"")</f>
        <v>48 : 45</v>
      </c>
      <c r="AQ27" s="194" t="str">
        <f ca="1">IFERROR(VLOOKUP($X27&amp;AQ$24,Calc2!$Z$64:$AC$207,Einstellungen!$G$29,0),"")</f>
        <v/>
      </c>
      <c r="AR27" s="194" t="str">
        <f ca="1">IFERROR(VLOOKUP($X27&amp;AR$24,Calc2!$Z$64:$AC$207,Einstellungen!$G$29,0),"")</f>
        <v/>
      </c>
      <c r="AS27" s="194" t="str">
        <f ca="1">IFERROR(VLOOKUP($X27&amp;AS$24,Calc2!$Z$64:$AC$207,Einstellungen!$G$29,0),"")</f>
        <v/>
      </c>
      <c r="AT27" s="201" t="str">
        <f ca="1">IFERROR(VLOOKUP($X27&amp;AT$24,Calc2!$Z$64:$AC$207,Einstellungen!$G$29,0),"")</f>
        <v/>
      </c>
      <c r="AU27" s="202" t="str">
        <f t="shared" ca="1" si="16"/>
        <v>FC Grönlingen</v>
      </c>
      <c r="AX27" s="353" t="s">
        <v>194</v>
      </c>
      <c r="AY27" s="355" t="str">
        <f>IF(Planung!$C35="","",Planung!$C35)</f>
        <v>SSV Wildbach</v>
      </c>
      <c r="AZ27" s="364"/>
      <c r="BA27" s="585"/>
      <c r="BB27" s="585"/>
      <c r="BC27" s="42" t="b">
        <f t="shared" ca="1" si="7"/>
        <v>0</v>
      </c>
      <c r="BD27" s="42" t="b">
        <f t="shared" si="8"/>
        <v>0</v>
      </c>
      <c r="BE27" s="42" t="b">
        <f t="shared" si="9"/>
        <v>0</v>
      </c>
      <c r="BF27" s="42" t="b">
        <f t="shared" si="10"/>
        <v>1</v>
      </c>
      <c r="BG27" s="42" t="b">
        <f t="shared" si="11"/>
        <v>0</v>
      </c>
      <c r="BH27" s="42" t="b">
        <f t="shared" si="12"/>
        <v>0</v>
      </c>
      <c r="BI27" s="42" t="b">
        <f t="shared" si="13"/>
        <v>0</v>
      </c>
    </row>
    <row r="28" spans="2:61" ht="24" customHeight="1" x14ac:dyDescent="0.2">
      <c r="B28" s="374">
        <f ca="1">Planung!$E22</f>
        <v>17</v>
      </c>
      <c r="C28" s="513">
        <f ca="1">Planung!$F22</f>
        <v>0.47222222222222221</v>
      </c>
      <c r="D28" s="514">
        <f ca="1">Planung!$G22</f>
        <v>1</v>
      </c>
      <c r="E28" s="514" t="str">
        <f ca="1">Planung!$H22</f>
        <v>A</v>
      </c>
      <c r="F28" s="380" t="str">
        <f ca="1">Planung!$L22</f>
        <v>Maibach 1822 eV</v>
      </c>
      <c r="G28" s="196" t="s">
        <v>5</v>
      </c>
      <c r="H28" s="383" t="str">
        <f ca="1">Planung!$N22</f>
        <v>VFB Essenheim</v>
      </c>
      <c r="I28" s="377">
        <v>25</v>
      </c>
      <c r="J28" s="569" t="str">
        <f>Sprache!$E$108</f>
        <v xml:space="preserve"> : </v>
      </c>
      <c r="K28" s="576">
        <v>21</v>
      </c>
      <c r="L28" s="377">
        <v>25</v>
      </c>
      <c r="M28" s="569" t="str">
        <f>Sprache!$E$108</f>
        <v xml:space="preserve"> : </v>
      </c>
      <c r="N28" s="576">
        <v>19</v>
      </c>
      <c r="O28" s="377"/>
      <c r="P28" s="569" t="str">
        <f>Sprache!$E$108</f>
        <v xml:space="preserve"> : </v>
      </c>
      <c r="Q28" s="579"/>
      <c r="R28" s="572">
        <f t="shared" ca="1" si="5"/>
        <v>2</v>
      </c>
      <c r="S28" s="775" t="str">
        <f>Sprache!$E$108</f>
        <v xml:space="preserve"> : </v>
      </c>
      <c r="T28" s="582">
        <f t="shared" ca="1" si="6"/>
        <v>0</v>
      </c>
      <c r="U28" s="682" t="str">
        <f>IF(Planung!$O22="","",Planung!$O22)</f>
        <v/>
      </c>
      <c r="W28" s="326">
        <f ca="1">IF(Calc2!$K$13=0,"",IF(VLOOKUP(Calc2!B7,Calc2!$C$4:$E$12,3,0)=MAX(W$25:W27),VLOOKUP(Calc2!B7,Calc2!$C$4:$E$12,3,0),Calc2!B7))</f>
        <v>4</v>
      </c>
      <c r="X28" s="327" t="str">
        <f ca="1">IF(Calc1!$F$14&lt;3,"",IF(Calc2!$K$13=0,Calc2!$Q67,VLOOKUP(Calc2!B7,Calc2!$C$4:$N$12,4,0)))</f>
        <v>SSV Wildbach</v>
      </c>
      <c r="Y28" s="193">
        <f ca="1">IF(Calc2!$K$13=0,"",VLOOKUP(Calc2!B7,Calc2!$C$4:$N$12,9,0))</f>
        <v>4</v>
      </c>
      <c r="Z28" s="174">
        <f ca="1">IF(Calc2!$K$13=0,"",VLOOKUP(Calc2!B7,Calc2!$C$4:$N$12,10,0))</f>
        <v>1</v>
      </c>
      <c r="AA28" s="174">
        <f ca="1">IF(Calc2!$K$13=0,"",VLOOKUP(Calc2!B7,Calc2!$C$4:$N$12,11,0))</f>
        <v>2</v>
      </c>
      <c r="AB28" s="194">
        <f ca="1">IF(Calc2!$K$13=0,"",VLOOKUP(Calc2!B7,Calc2!$C$4:$N$12,12,0))</f>
        <v>1</v>
      </c>
      <c r="AC28" s="195">
        <f ca="1">IF(Calc2!$K$13=0,"",VLOOKUP(Calc2!B7,Calc2!$C$4:$AT$12,44,0))</f>
        <v>4</v>
      </c>
      <c r="AD28" s="424" t="str">
        <f>Sprache!$E$108</f>
        <v xml:space="preserve"> : </v>
      </c>
      <c r="AE28" s="197">
        <f ca="1">IF(Calc2!$K$13=0,"",VLOOKUP(Calc2!B7,Calc2!$C$4:$AS$12,43,0))</f>
        <v>4</v>
      </c>
      <c r="AF28" s="194">
        <f ca="1">IF(Calc2!$K$13=0,"",AC28-AE28)</f>
        <v>0</v>
      </c>
      <c r="AG28" s="195">
        <f ca="1">IF(Calc2!$K$13=0,"",VLOOKUP(Calc2!B7,Calc2!$C$4:$N$12,5,0))</f>
        <v>169</v>
      </c>
      <c r="AH28" s="196" t="str">
        <f>Sprache!$E$108</f>
        <v xml:space="preserve"> : </v>
      </c>
      <c r="AI28" s="197">
        <f ca="1">IF(Calc2!$K$13=0,"",VLOOKUP(Calc2!B7,Calc2!$C$4:$N$12,6,0))</f>
        <v>180</v>
      </c>
      <c r="AJ28" s="193">
        <f ca="1">IF(Calc2!$K$13=0,"",IF(VLOOKUP(Calc2!B7,Calc2!$C$4:$AV$12,46,0)=Einstellungen!$F$24,"max",VLOOKUP(Calc2!B7,Calc2!$C$4:$AV$12,46,0)))</f>
        <v>-11</v>
      </c>
      <c r="AK28" s="198">
        <f ca="1">IF(Calc2!$K$13=0,"",VLOOKUP(Calc2!B7,Calc2!$C$4:$AT$12,Einstellungen!$H$9,0))</f>
        <v>4</v>
      </c>
      <c r="AL28" s="199" t="str">
        <f ca="1">IFERROR(VLOOKUP($X28&amp;AL$24,Calc2!$Z$64:$AC$207,Einstellungen!$G$29,0),"")</f>
        <v>38 : 50</v>
      </c>
      <c r="AM28" s="350" t="str">
        <f ca="1">IFERROR(VLOOKUP($X28&amp;AM$24,Calc2!$Z$64:$AC$207,Einstellungen!$G$29,0),"")</f>
        <v>50 : 42</v>
      </c>
      <c r="AN28" s="174" t="str">
        <f ca="1">IFERROR(VLOOKUP($X28&amp;AN$24,Calc2!$Z$64:$AC$207,Einstellungen!$G$29,0),"")</f>
        <v>44 : 44</v>
      </c>
      <c r="AO28" s="200"/>
      <c r="AP28" s="174" t="str">
        <f ca="1">IFERROR(VLOOKUP($X28&amp;AP$24,Calc2!$Z$64:$AC$207,Einstellungen!$G$29,0),"")</f>
        <v>37 : 44</v>
      </c>
      <c r="AQ28" s="194" t="str">
        <f ca="1">IFERROR(VLOOKUP($X28&amp;AQ$24,Calc2!$Z$64:$AC$207,Einstellungen!$G$29,0),"")</f>
        <v/>
      </c>
      <c r="AR28" s="194" t="str">
        <f ca="1">IFERROR(VLOOKUP($X28&amp;AR$24,Calc2!$Z$64:$AC$207,Einstellungen!$G$29,0),"")</f>
        <v/>
      </c>
      <c r="AS28" s="194" t="str">
        <f ca="1">IFERROR(VLOOKUP($X28&amp;AS$24,Calc2!$Z$64:$AC$207,Einstellungen!$G$29,0),"")</f>
        <v/>
      </c>
      <c r="AT28" s="201" t="str">
        <f ca="1">IFERROR(VLOOKUP($X28&amp;AT$24,Calc2!$Z$64:$AC$207,Einstellungen!$G$29,0),"")</f>
        <v/>
      </c>
      <c r="AU28" s="202" t="str">
        <f t="shared" ca="1" si="16"/>
        <v>SSV Wildbach</v>
      </c>
      <c r="AX28" s="353" t="s">
        <v>200</v>
      </c>
      <c r="AY28" s="355" t="str">
        <f>IF(Planung!$C37="","",Planung!$C37)</f>
        <v>Manchester City</v>
      </c>
      <c r="AZ28" s="364"/>
      <c r="BA28" s="585"/>
      <c r="BB28" s="585"/>
      <c r="BC28" s="42" t="b">
        <f t="shared" ca="1" si="7"/>
        <v>0</v>
      </c>
      <c r="BD28" s="42" t="b">
        <f t="shared" si="8"/>
        <v>0</v>
      </c>
      <c r="BE28" s="42" t="b">
        <f t="shared" si="9"/>
        <v>0</v>
      </c>
      <c r="BF28" s="42" t="b">
        <f t="shared" si="10"/>
        <v>1</v>
      </c>
      <c r="BG28" s="42" t="b">
        <f t="shared" si="11"/>
        <v>0</v>
      </c>
      <c r="BH28" s="42" t="b">
        <f t="shared" si="12"/>
        <v>0</v>
      </c>
      <c r="BI28" s="42" t="b">
        <f t="shared" si="13"/>
        <v>0</v>
      </c>
    </row>
    <row r="29" spans="2:61" ht="24" customHeight="1" x14ac:dyDescent="0.2">
      <c r="B29" s="374">
        <f ca="1">Planung!$E23</f>
        <v>18</v>
      </c>
      <c r="C29" s="513">
        <f ca="1">Planung!$F23</f>
        <v>0.47222222222222221</v>
      </c>
      <c r="D29" s="514">
        <f ca="1">Planung!$G23</f>
        <v>2</v>
      </c>
      <c r="E29" s="514" t="str">
        <f ca="1">Planung!$H23</f>
        <v>B</v>
      </c>
      <c r="F29" s="380" t="str">
        <f ca="1">Planung!$L23</f>
        <v>Manchester City</v>
      </c>
      <c r="G29" s="196" t="s">
        <v>5</v>
      </c>
      <c r="H29" s="383" t="str">
        <f ca="1">Planung!$N23</f>
        <v>FC Grönlingen</v>
      </c>
      <c r="I29" s="377">
        <v>25</v>
      </c>
      <c r="J29" s="569" t="str">
        <f>Sprache!$E$108</f>
        <v xml:space="preserve"> : </v>
      </c>
      <c r="K29" s="576">
        <v>12</v>
      </c>
      <c r="L29" s="377">
        <v>25</v>
      </c>
      <c r="M29" s="569" t="str">
        <f>Sprache!$E$108</f>
        <v xml:space="preserve"> : </v>
      </c>
      <c r="N29" s="576">
        <v>20</v>
      </c>
      <c r="O29" s="377"/>
      <c r="P29" s="569" t="str">
        <f>Sprache!$E$108</f>
        <v xml:space="preserve"> : </v>
      </c>
      <c r="Q29" s="579"/>
      <c r="R29" s="572">
        <f t="shared" ca="1" si="5"/>
        <v>2</v>
      </c>
      <c r="S29" s="775" t="str">
        <f>Sprache!$E$108</f>
        <v xml:space="preserve"> : </v>
      </c>
      <c r="T29" s="582">
        <f t="shared" ca="1" si="6"/>
        <v>0</v>
      </c>
      <c r="U29" s="682" t="str">
        <f>IF(Planung!$O23="","",Planung!$O23)</f>
        <v/>
      </c>
      <c r="W29" s="326">
        <f ca="1">IF(Calc2!$K$13=0,"",IF(VLOOKUP(Calc2!B8,Calc2!$C$4:$E$12,3,0)=MAX(W$25:W28),VLOOKUP(Calc2!B8,Calc2!$C$4:$E$12,3,0),Calc2!B8))</f>
        <v>5</v>
      </c>
      <c r="X29" s="327" t="str">
        <f ca="1">IF(Calc1!$F$14&lt;3,"",IF(Calc2!$K$13=0,Calc2!$Q68,VLOOKUP(Calc2!B8,Calc2!$C$4:$N$12,4,0)))</f>
        <v>Inter Mailand</v>
      </c>
      <c r="Y29" s="193">
        <f ca="1">IF(Calc2!$K$13=0,"",VLOOKUP(Calc2!B8,Calc2!$C$4:$N$12,9,0))</f>
        <v>4</v>
      </c>
      <c r="Z29" s="174">
        <f ca="1">IF(Calc2!$K$13=0,"",VLOOKUP(Calc2!B8,Calc2!$C$4:$N$12,10,0))</f>
        <v>0</v>
      </c>
      <c r="AA29" s="174">
        <f ca="1">IF(Calc2!$K$13=0,"",VLOOKUP(Calc2!B8,Calc2!$C$4:$N$12,11,0))</f>
        <v>3</v>
      </c>
      <c r="AB29" s="194">
        <f ca="1">IF(Calc2!$K$13=0,"",VLOOKUP(Calc2!B8,Calc2!$C$4:$N$12,12,0))</f>
        <v>1</v>
      </c>
      <c r="AC29" s="195">
        <f ca="1">IF(Calc2!$K$13=0,"",VLOOKUP(Calc2!B8,Calc2!$C$4:$AT$12,44,0))</f>
        <v>3</v>
      </c>
      <c r="AD29" s="424" t="str">
        <f>Sprache!$E$108</f>
        <v xml:space="preserve"> : </v>
      </c>
      <c r="AE29" s="197">
        <f ca="1">IF(Calc2!$K$13=0,"",VLOOKUP(Calc2!B8,Calc2!$C$4:$AS$12,43,0))</f>
        <v>5</v>
      </c>
      <c r="AF29" s="194">
        <f ca="1">IF(Calc2!$K$13=0,"",AC29-AE29)</f>
        <v>-2</v>
      </c>
      <c r="AG29" s="195">
        <f ca="1">IF(Calc2!$K$13=0,"",VLOOKUP(Calc2!B8,Calc2!$C$4:$N$12,5,0))</f>
        <v>152</v>
      </c>
      <c r="AH29" s="196" t="str">
        <f>Sprache!$E$108</f>
        <v xml:space="preserve"> : </v>
      </c>
      <c r="AI29" s="197">
        <f ca="1">IF(Calc2!$K$13=0,"",VLOOKUP(Calc2!B8,Calc2!$C$4:$N$12,6,0))</f>
        <v>183</v>
      </c>
      <c r="AJ29" s="193">
        <f ca="1">IF(Calc2!$K$13=0,"",IF(VLOOKUP(Calc2!B8,Calc2!$C$4:$AV$12,46,0)=Einstellungen!$F$24,"max",VLOOKUP(Calc2!B8,Calc2!$C$4:$AV$12,46,0)))</f>
        <v>-31</v>
      </c>
      <c r="AK29" s="198">
        <f ca="1">IF(Calc2!$K$13=0,"",VLOOKUP(Calc2!B8,Calc2!$C$4:$AT$12,Einstellungen!$H$9,0))</f>
        <v>3</v>
      </c>
      <c r="AL29" s="199" t="str">
        <f ca="1">IFERROR(VLOOKUP($X29&amp;AL$24,Calc2!$Z$64:$AC$207,Einstellungen!$G$29,0),"")</f>
        <v>24 : 50</v>
      </c>
      <c r="AM29" s="350" t="str">
        <f ca="1">IFERROR(VLOOKUP($X29&amp;AM$24,Calc2!$Z$64:$AC$207,Einstellungen!$G$29,0),"")</f>
        <v>39 : 48</v>
      </c>
      <c r="AN29" s="174" t="str">
        <f ca="1">IFERROR(VLOOKUP($X29&amp;AN$24,Calc2!$Z$64:$AC$207,Einstellungen!$G$29,0),"")</f>
        <v>45 : 48</v>
      </c>
      <c r="AO29" s="174" t="str">
        <f ca="1">IFERROR(VLOOKUP($X29&amp;AO$24,Calc2!$Z$64:$AC$207,Einstellungen!$G$29,0),"")</f>
        <v>44 : 37</v>
      </c>
      <c r="AP29" s="200"/>
      <c r="AQ29" s="194" t="str">
        <f ca="1">IFERROR(VLOOKUP($X29&amp;AQ$24,Calc2!$Z$64:$AC$207,Einstellungen!$G$29,0),"")</f>
        <v/>
      </c>
      <c r="AR29" s="194" t="str">
        <f ca="1">IFERROR(VLOOKUP($X29&amp;AR$24,Calc2!$Z$64:$AC$207,Einstellungen!$G$29,0),"")</f>
        <v/>
      </c>
      <c r="AS29" s="194" t="str">
        <f ca="1">IFERROR(VLOOKUP($X29&amp;AS$24,Calc2!$Z$64:$AC$207,Einstellungen!$G$29,0),"")</f>
        <v/>
      </c>
      <c r="AT29" s="201" t="str">
        <f ca="1">IFERROR(VLOOKUP($X29&amp;AT$24,Calc2!$Z$64:$AC$207,Einstellungen!$G$29,0),"")</f>
        <v/>
      </c>
      <c r="AU29" s="202" t="str">
        <f t="shared" ca="1" si="16"/>
        <v>Inter Mailand</v>
      </c>
      <c r="AX29" s="353" t="s">
        <v>202</v>
      </c>
      <c r="AY29" s="355" t="str">
        <f>IF(Planung!$C39="","",Planung!$C39)</f>
        <v>FC Grönlingen</v>
      </c>
      <c r="AZ29" s="364"/>
      <c r="BA29" s="585"/>
      <c r="BB29" s="585"/>
      <c r="BC29" s="42" t="b">
        <f t="shared" ca="1" si="7"/>
        <v>0</v>
      </c>
      <c r="BD29" s="42" t="b">
        <f t="shared" si="8"/>
        <v>0</v>
      </c>
      <c r="BE29" s="42" t="b">
        <f t="shared" si="9"/>
        <v>0</v>
      </c>
      <c r="BF29" s="42" t="b">
        <f t="shared" si="10"/>
        <v>1</v>
      </c>
      <c r="BG29" s="42" t="b">
        <f t="shared" si="11"/>
        <v>0</v>
      </c>
      <c r="BH29" s="42" t="b">
        <f t="shared" si="12"/>
        <v>0</v>
      </c>
      <c r="BI29" s="42" t="b">
        <f t="shared" si="13"/>
        <v>0</v>
      </c>
    </row>
    <row r="30" spans="2:61" ht="24" customHeight="1" x14ac:dyDescent="0.2">
      <c r="B30" s="374">
        <f ca="1">Planung!$E24</f>
        <v>19</v>
      </c>
      <c r="C30" s="513">
        <f ca="1">Planung!$F24</f>
        <v>0.47222222222222221</v>
      </c>
      <c r="D30" s="514">
        <f ca="1">Planung!$G24</f>
        <v>3</v>
      </c>
      <c r="E30" s="514" t="str">
        <f ca="1">Planung!$H24</f>
        <v>A</v>
      </c>
      <c r="F30" s="380" t="str">
        <f ca="1">Planung!$L24</f>
        <v>1. FC Riedwald</v>
      </c>
      <c r="G30" s="196" t="s">
        <v>5</v>
      </c>
      <c r="H30" s="383" t="str">
        <f ca="1">Planung!$N24</f>
        <v>FC Barcelona</v>
      </c>
      <c r="I30" s="377">
        <v>25</v>
      </c>
      <c r="J30" s="569" t="str">
        <f>Sprache!$E$108</f>
        <v xml:space="preserve"> : </v>
      </c>
      <c r="K30" s="576">
        <v>16</v>
      </c>
      <c r="L30" s="377">
        <v>25</v>
      </c>
      <c r="M30" s="569" t="str">
        <f>Sprache!$E$108</f>
        <v xml:space="preserve"> : </v>
      </c>
      <c r="N30" s="576">
        <v>21</v>
      </c>
      <c r="O30" s="377"/>
      <c r="P30" s="569" t="str">
        <f>Sprache!$E$108</f>
        <v xml:space="preserve"> : </v>
      </c>
      <c r="Q30" s="579"/>
      <c r="R30" s="572">
        <f t="shared" ca="1" si="5"/>
        <v>2</v>
      </c>
      <c r="S30" s="775" t="str">
        <f>Sprache!$E$108</f>
        <v xml:space="preserve"> : </v>
      </c>
      <c r="T30" s="582">
        <f t="shared" ca="1" si="6"/>
        <v>0</v>
      </c>
      <c r="U30" s="682" t="str">
        <f>IF(Planung!$O24="","",Planung!$O24)</f>
        <v/>
      </c>
      <c r="W30" s="326">
        <f ca="1">IF(Calc2!$K$13=0,"",IF(VLOOKUP(Calc2!B9,Calc2!$C$4:$E$12,3,0)=MAX(W$25:W29),VLOOKUP(Calc2!B9,Calc2!$C$4:$E$12,3,0),Calc2!B9))</f>
        <v>6</v>
      </c>
      <c r="X30" s="327" t="str">
        <f ca="1">IF(Calc1!$F$14&lt;3,"",IF(Calc2!$K$13=0,Calc2!$Q69,VLOOKUP(Calc2!B9,Calc2!$C$4:$N$12,4,0)))</f>
        <v/>
      </c>
      <c r="Y30" s="193">
        <f ca="1">IF(Calc2!$K$13=0,"",VLOOKUP(Calc2!B9,Calc2!$C$4:$N$12,9,0))</f>
        <v>0</v>
      </c>
      <c r="Z30" s="174">
        <f ca="1">IF(Calc2!$K$13=0,"",VLOOKUP(Calc2!B9,Calc2!$C$4:$N$12,10,0))</f>
        <v>0</v>
      </c>
      <c r="AA30" s="174">
        <f ca="1">IF(Calc2!$K$13=0,"",VLOOKUP(Calc2!B9,Calc2!$C$4:$N$12,11,0))</f>
        <v>0</v>
      </c>
      <c r="AB30" s="194">
        <f ca="1">IF(Calc2!$K$13=0,"",VLOOKUP(Calc2!B9,Calc2!$C$4:$N$12,12,0))</f>
        <v>0</v>
      </c>
      <c r="AC30" s="195">
        <f ca="1">IF(Calc2!$K$13=0,"",VLOOKUP(Calc2!B9,Calc2!$C$4:$AT$12,44,0))</f>
        <v>0</v>
      </c>
      <c r="AD30" s="424" t="str">
        <f>Sprache!$E$108</f>
        <v xml:space="preserve"> : </v>
      </c>
      <c r="AE30" s="197">
        <f ca="1">IF(Calc2!$K$13=0,"",VLOOKUP(Calc2!B9,Calc2!$C$4:$AS$12,43,0))</f>
        <v>0</v>
      </c>
      <c r="AF30" s="194">
        <f ca="1">IF(Calc2!$K$13=0,"",AC30-AE30)</f>
        <v>0</v>
      </c>
      <c r="AG30" s="195">
        <f ca="1">IF(Calc2!$K$13=0,"",VLOOKUP(Calc2!B9,Calc2!$C$4:$N$12,5,0))</f>
        <v>0</v>
      </c>
      <c r="AH30" s="196" t="str">
        <f>Sprache!$E$108</f>
        <v xml:space="preserve"> : </v>
      </c>
      <c r="AI30" s="197">
        <f ca="1">IF(Calc2!$K$13=0,"",VLOOKUP(Calc2!B9,Calc2!$C$4:$N$12,6,0))</f>
        <v>0</v>
      </c>
      <c r="AJ30" s="193">
        <f ca="1">IF(Calc2!$K$13=0,"",IF(VLOOKUP(Calc2!B9,Calc2!$C$4:$AV$12,46,0)=Einstellungen!$F$24,"max",VLOOKUP(Calc2!B9,Calc2!$C$4:$AV$12,46,0)))</f>
        <v>0</v>
      </c>
      <c r="AK30" s="198">
        <f ca="1">IF(Calc2!$K$13=0,"",VLOOKUP(Calc2!B9,Calc2!$C$4:$AT$12,Einstellungen!$H$9,0))</f>
        <v>0</v>
      </c>
      <c r="AL30" s="199" t="str">
        <f ca="1">IFERROR(VLOOKUP($X30&amp;AL$24,Calc2!$Z$64:$AC$207,Einstellungen!$G$29,0),"")</f>
        <v/>
      </c>
      <c r="AM30" s="350" t="str">
        <f ca="1">IFERROR(VLOOKUP($X30&amp;AM$24,Calc2!$Z$64:$AC$207,Einstellungen!$G$29,0),"")</f>
        <v/>
      </c>
      <c r="AN30" s="174" t="str">
        <f ca="1">IFERROR(VLOOKUP($X30&amp;AN$24,Calc2!$Z$64:$AC$207,Einstellungen!$G$29,0),"")</f>
        <v/>
      </c>
      <c r="AO30" s="174" t="str">
        <f ca="1">IFERROR(VLOOKUP($X30&amp;AO$24,Calc2!$Z$64:$AC$207,Einstellungen!$G$29,0),"")</f>
        <v/>
      </c>
      <c r="AP30" s="194" t="str">
        <f ca="1">IFERROR(VLOOKUP($X30&amp;AP$24,Calc2!$Z$64:$AC$207,Einstellungen!$G$29,0),"")</f>
        <v/>
      </c>
      <c r="AQ30" s="482"/>
      <c r="AR30" s="194" t="str">
        <f ca="1">IFERROR(VLOOKUP($X30&amp;AR$24,Calc2!$Z$64:$AC$207,Einstellungen!$G$29,0),"")</f>
        <v/>
      </c>
      <c r="AS30" s="194" t="str">
        <f ca="1">IFERROR(VLOOKUP($X30&amp;AS$24,Calc2!$Z$64:$AC$207,Einstellungen!$G$29,0),"")</f>
        <v/>
      </c>
      <c r="AT30" s="201" t="str">
        <f ca="1">IFERROR(VLOOKUP($X30&amp;AT$24,Calc2!$Z$64:$AC$207,Einstellungen!$G$29,0),"")</f>
        <v/>
      </c>
      <c r="AU30" s="202" t="str">
        <f t="shared" ref="AU30:AU32" ca="1" si="17">X30</f>
        <v/>
      </c>
      <c r="AX30" s="353" t="s">
        <v>204</v>
      </c>
      <c r="AY30" s="355" t="str">
        <f>IF(Planung!$C41="","",Planung!$C41)</f>
        <v/>
      </c>
      <c r="AZ30" s="364"/>
      <c r="BA30" s="585"/>
      <c r="BB30" s="585"/>
      <c r="BC30" s="42" t="b">
        <f t="shared" ca="1" si="7"/>
        <v>0</v>
      </c>
      <c r="BD30" s="42" t="b">
        <f t="shared" si="8"/>
        <v>0</v>
      </c>
      <c r="BE30" s="42" t="b">
        <f t="shared" si="9"/>
        <v>0</v>
      </c>
      <c r="BF30" s="42" t="b">
        <f t="shared" si="10"/>
        <v>1</v>
      </c>
      <c r="BG30" s="42" t="b">
        <f t="shared" si="11"/>
        <v>0</v>
      </c>
      <c r="BH30" s="42" t="b">
        <f t="shared" si="12"/>
        <v>0</v>
      </c>
      <c r="BI30" s="42" t="b">
        <f t="shared" si="13"/>
        <v>0</v>
      </c>
    </row>
    <row r="31" spans="2:61" ht="24" customHeight="1" x14ac:dyDescent="0.2">
      <c r="B31" s="374">
        <f ca="1">Planung!$E25</f>
        <v>20</v>
      </c>
      <c r="C31" s="513">
        <f ca="1">Planung!$F25</f>
        <v>0.47222222222222221</v>
      </c>
      <c r="D31" s="514">
        <f ca="1">Planung!$G25</f>
        <v>4</v>
      </c>
      <c r="E31" s="514" t="str">
        <f ca="1">Planung!$H25</f>
        <v>B</v>
      </c>
      <c r="F31" s="380" t="str">
        <f ca="1">Planung!$L25</f>
        <v>Mainz 05</v>
      </c>
      <c r="G31" s="196" t="s">
        <v>5</v>
      </c>
      <c r="H31" s="383" t="str">
        <f ca="1">Planung!$N25</f>
        <v>Inter Mailand</v>
      </c>
      <c r="I31" s="377">
        <v>25</v>
      </c>
      <c r="J31" s="569" t="str">
        <f>Sprache!$E$108</f>
        <v xml:space="preserve"> : </v>
      </c>
      <c r="K31" s="576">
        <v>2</v>
      </c>
      <c r="L31" s="377">
        <v>25</v>
      </c>
      <c r="M31" s="569" t="str">
        <f>Sprache!$E$108</f>
        <v xml:space="preserve"> : </v>
      </c>
      <c r="N31" s="576">
        <v>22</v>
      </c>
      <c r="O31" s="377"/>
      <c r="P31" s="569" t="str">
        <f>Sprache!$E$108</f>
        <v xml:space="preserve"> : </v>
      </c>
      <c r="Q31" s="579"/>
      <c r="R31" s="572">
        <f t="shared" ca="1" si="5"/>
        <v>2</v>
      </c>
      <c r="S31" s="775" t="str">
        <f>Sprache!$E$108</f>
        <v xml:space="preserve"> : </v>
      </c>
      <c r="T31" s="582">
        <f t="shared" ca="1" si="6"/>
        <v>0</v>
      </c>
      <c r="U31" s="682" t="str">
        <f>IF(Planung!$O25="","",Planung!$O25)</f>
        <v/>
      </c>
      <c r="W31" s="326">
        <f ca="1">IF(Calc2!$K$13=0,"",IF(VLOOKUP(Calc2!B10,Calc2!$C$4:$E$12,3,0)=MAX(W$25:W30),VLOOKUP(Calc2!B10,Calc2!$C$4:$E$12,3,0),Calc2!B10))</f>
        <v>6</v>
      </c>
      <c r="X31" s="327" t="str">
        <f ca="1">IF(Calc1!$F$14&lt;3,"",IF(Calc2!$K$13=0,Calc2!$Q70,VLOOKUP(Calc2!B10,Calc2!$C$4:$N$12,4,0)))</f>
        <v/>
      </c>
      <c r="Y31" s="193">
        <f ca="1">IF(Calc2!$K$13=0,"",VLOOKUP(Calc2!B10,Calc2!$C$4:$N$12,9,0))</f>
        <v>0</v>
      </c>
      <c r="Z31" s="174">
        <f ca="1">IF(Calc2!$K$13=0,"",VLOOKUP(Calc2!B10,Calc2!$C$4:$N$12,10,0))</f>
        <v>0</v>
      </c>
      <c r="AA31" s="174">
        <f ca="1">IF(Calc2!$K$13=0,"",VLOOKUP(Calc2!B10,Calc2!$C$4:$N$12,11,0))</f>
        <v>0</v>
      </c>
      <c r="AB31" s="194">
        <f ca="1">IF(Calc2!$K$13=0,"",VLOOKUP(Calc2!B10,Calc2!$C$4:$N$12,12,0))</f>
        <v>0</v>
      </c>
      <c r="AC31" s="195">
        <f ca="1">IF(Calc2!$K$13=0,"",VLOOKUP(Calc2!B10,Calc2!$C$4:$AT$12,44,0))</f>
        <v>0</v>
      </c>
      <c r="AD31" s="424" t="str">
        <f>Sprache!$E$108</f>
        <v xml:space="preserve"> : </v>
      </c>
      <c r="AE31" s="197">
        <f ca="1">IF(Calc2!$K$13=0,"",VLOOKUP(Calc2!B10,Calc2!$C$4:$AS$12,43,0))</f>
        <v>0</v>
      </c>
      <c r="AF31" s="194">
        <f ca="1">IF(Calc2!$K$13=0,"",AC31-AE31)</f>
        <v>0</v>
      </c>
      <c r="AG31" s="195">
        <f ca="1">IF(Calc2!$K$13=0,"",VLOOKUP(Calc2!B10,Calc2!$C$4:$N$12,5,0))</f>
        <v>0</v>
      </c>
      <c r="AH31" s="196" t="str">
        <f>Sprache!$E$108</f>
        <v xml:space="preserve"> : </v>
      </c>
      <c r="AI31" s="197">
        <f ca="1">IF(Calc2!$K$13=0,"",VLOOKUP(Calc2!B10,Calc2!$C$4:$N$12,6,0))</f>
        <v>0</v>
      </c>
      <c r="AJ31" s="193">
        <f ca="1">IF(Calc2!$K$13=0,"",IF(VLOOKUP(Calc2!B10,Calc2!$C$4:$AV$12,46,0)=Einstellungen!$F$24,"max",VLOOKUP(Calc2!B10,Calc2!$C$4:$AV$12,46,0)))</f>
        <v>0</v>
      </c>
      <c r="AK31" s="198">
        <f ca="1">IF(Calc2!$K$13=0,"",VLOOKUP(Calc2!B10,Calc2!$C$4:$AT$12,Einstellungen!$H$9,0))</f>
        <v>0</v>
      </c>
      <c r="AL31" s="199" t="str">
        <f ca="1">IFERROR(VLOOKUP($X31&amp;AL$24,Calc2!$Z$64:$AC$207,Einstellungen!$G$29,0),"")</f>
        <v/>
      </c>
      <c r="AM31" s="350" t="str">
        <f ca="1">IFERROR(VLOOKUP($X31&amp;AM$24,Calc2!$Z$64:$AC$207,Einstellungen!$G$29,0),"")</f>
        <v/>
      </c>
      <c r="AN31" s="174" t="str">
        <f ca="1">IFERROR(VLOOKUP($X31&amp;AN$24,Calc2!$Z$64:$AC$207,Einstellungen!$G$29,0),"")</f>
        <v/>
      </c>
      <c r="AO31" s="174" t="str">
        <f ca="1">IFERROR(VLOOKUP($X31&amp;AO$24,Calc2!$Z$64:$AC$207,Einstellungen!$G$29,0),"")</f>
        <v/>
      </c>
      <c r="AP31" s="194" t="str">
        <f ca="1">IFERROR(VLOOKUP($X31&amp;AP$24,Calc2!$Z$64:$AC$207,Einstellungen!$G$29,0),"")</f>
        <v/>
      </c>
      <c r="AQ31" s="194" t="str">
        <f ca="1">IFERROR(VLOOKUP($X31&amp;AQ$24,Calc2!$Z$64:$AC$207,Einstellungen!$G$29,0),"")</f>
        <v/>
      </c>
      <c r="AR31" s="482"/>
      <c r="AS31" s="194" t="str">
        <f ca="1">IFERROR(VLOOKUP($X31&amp;AS$24,Calc2!$Z$64:$AC$207,Einstellungen!$G$29,0),"")</f>
        <v/>
      </c>
      <c r="AT31" s="201" t="str">
        <f ca="1">IFERROR(VLOOKUP($X31&amp;AT$24,Calc2!$Z$64:$AC$207,Einstellungen!$G$29,0),"")</f>
        <v/>
      </c>
      <c r="AU31" s="202" t="str">
        <f t="shared" ca="1" si="17"/>
        <v/>
      </c>
      <c r="AX31" s="353" t="s">
        <v>322</v>
      </c>
      <c r="AY31" s="355" t="str">
        <f>IF(Planung!$C43="","",Planung!$C43)</f>
        <v/>
      </c>
      <c r="AZ31" s="364"/>
      <c r="BA31" s="585"/>
      <c r="BB31" s="585"/>
      <c r="BC31" s="42" t="b">
        <f t="shared" ca="1" si="7"/>
        <v>0</v>
      </c>
      <c r="BD31" s="42" t="b">
        <f t="shared" si="8"/>
        <v>0</v>
      </c>
      <c r="BE31" s="42" t="b">
        <f t="shared" si="9"/>
        <v>0</v>
      </c>
      <c r="BF31" s="42" t="b">
        <f t="shared" si="10"/>
        <v>1</v>
      </c>
      <c r="BG31" s="42" t="b">
        <f t="shared" si="11"/>
        <v>0</v>
      </c>
      <c r="BH31" s="42" t="b">
        <f t="shared" si="12"/>
        <v>0</v>
      </c>
      <c r="BI31" s="42" t="b">
        <f t="shared" si="13"/>
        <v>0</v>
      </c>
    </row>
    <row r="32" spans="2:61" ht="24" customHeight="1" x14ac:dyDescent="0.2">
      <c r="B32" s="374" t="str">
        <f>Planung!$E26</f>
        <v/>
      </c>
      <c r="C32" s="513" t="str">
        <f>Planung!$F26</f>
        <v/>
      </c>
      <c r="D32" s="514" t="str">
        <f>Planung!$G26</f>
        <v/>
      </c>
      <c r="E32" s="514" t="str">
        <f ca="1">Planung!$H26</f>
        <v/>
      </c>
      <c r="F32" s="380" t="str">
        <f ca="1">Planung!$L26</f>
        <v/>
      </c>
      <c r="G32" s="196" t="s">
        <v>5</v>
      </c>
      <c r="H32" s="383" t="str">
        <f ca="1">Planung!$N26</f>
        <v/>
      </c>
      <c r="I32" s="377"/>
      <c r="J32" s="569" t="str">
        <f>Sprache!$E$108</f>
        <v xml:space="preserve"> : </v>
      </c>
      <c r="K32" s="576"/>
      <c r="L32" s="377"/>
      <c r="M32" s="569" t="str">
        <f>Sprache!$E$108</f>
        <v xml:space="preserve"> : </v>
      </c>
      <c r="N32" s="576"/>
      <c r="O32" s="377"/>
      <c r="P32" s="569" t="str">
        <f>Sprache!$E$108</f>
        <v xml:space="preserve"> : </v>
      </c>
      <c r="Q32" s="579"/>
      <c r="R32" s="572" t="str">
        <f t="shared" ca="1" si="5"/>
        <v/>
      </c>
      <c r="S32" s="775" t="str">
        <f>Sprache!$E$108</f>
        <v xml:space="preserve"> : </v>
      </c>
      <c r="T32" s="582" t="str">
        <f t="shared" ca="1" si="6"/>
        <v/>
      </c>
      <c r="U32" s="682" t="str">
        <f>IF(Planung!$O26="","",Planung!$O26)</f>
        <v/>
      </c>
      <c r="W32" s="326">
        <f ca="1">IF(Calc2!$K$13=0,"",IF(VLOOKUP(Calc2!B11,Calc2!$C$4:$E$12,3,0)=MAX(W$25:W31),VLOOKUP(Calc2!B11,Calc2!$C$4:$E$12,3,0),Calc2!B11))</f>
        <v>6</v>
      </c>
      <c r="X32" s="327" t="str">
        <f ca="1">IF(Calc1!$F$14&lt;3,"",IF(Calc2!$K$13=0,Calc2!$Q71,VLOOKUP(Calc2!B11,Calc2!$C$4:$N$12,4,0)))</f>
        <v/>
      </c>
      <c r="Y32" s="193">
        <f ca="1">IF(Calc2!$K$13=0,"",VLOOKUP(Calc2!B11,Calc2!$C$4:$N$12,9,0))</f>
        <v>0</v>
      </c>
      <c r="Z32" s="174">
        <f ca="1">IF(Calc2!$K$13=0,"",VLOOKUP(Calc2!B11,Calc2!$C$4:$N$12,10,0))</f>
        <v>0</v>
      </c>
      <c r="AA32" s="174">
        <f ca="1">IF(Calc2!$K$13=0,"",VLOOKUP(Calc2!B11,Calc2!$C$4:$N$12,11,0))</f>
        <v>0</v>
      </c>
      <c r="AB32" s="194">
        <f ca="1">IF(Calc2!$K$13=0,"",VLOOKUP(Calc2!B11,Calc2!$C$4:$N$12,12,0))</f>
        <v>0</v>
      </c>
      <c r="AC32" s="195">
        <f ca="1">IF(Calc2!$K$13=0,"",VLOOKUP(Calc2!B11,Calc2!$C$4:$AT$12,44,0))</f>
        <v>0</v>
      </c>
      <c r="AD32" s="424" t="str">
        <f>Sprache!$E$108</f>
        <v xml:space="preserve"> : </v>
      </c>
      <c r="AE32" s="197">
        <f ca="1">IF(Calc2!$K$13=0,"",VLOOKUP(Calc2!B11,Calc2!$C$4:$AS$12,43,0))</f>
        <v>0</v>
      </c>
      <c r="AF32" s="194">
        <f ca="1">IF(Calc2!$K$13=0,"",AC32-AE32)</f>
        <v>0</v>
      </c>
      <c r="AG32" s="195">
        <f ca="1">IF(Calc2!$K$13=0,"",VLOOKUP(Calc2!B11,Calc2!$C$4:$N$12,5,0))</f>
        <v>0</v>
      </c>
      <c r="AH32" s="196" t="str">
        <f>Sprache!$E$108</f>
        <v xml:space="preserve"> : </v>
      </c>
      <c r="AI32" s="197">
        <f ca="1">IF(Calc2!$K$13=0,"",VLOOKUP(Calc2!B11,Calc2!$C$4:$N$12,6,0))</f>
        <v>0</v>
      </c>
      <c r="AJ32" s="193">
        <f ca="1">IF(Calc2!$K$13=0,"",IF(VLOOKUP(Calc2!B11,Calc2!$C$4:$AV$12,46,0)=Einstellungen!$F$24,"max",VLOOKUP(Calc2!B11,Calc2!$C$4:$AV$12,46,0)))</f>
        <v>0</v>
      </c>
      <c r="AK32" s="198">
        <f ca="1">IF(Calc2!$K$13=0,"",VLOOKUP(Calc2!B11,Calc2!$C$4:$AT$12,Einstellungen!$H$9,0))</f>
        <v>0</v>
      </c>
      <c r="AL32" s="199" t="str">
        <f ca="1">IFERROR(VLOOKUP($X32&amp;AL$24,Calc2!$Z$64:$AC$207,Einstellungen!$G$29,0),"")</f>
        <v/>
      </c>
      <c r="AM32" s="350" t="str">
        <f ca="1">IFERROR(VLOOKUP($X32&amp;AM$24,Calc2!$Z$64:$AC$207,Einstellungen!$G$29,0),"")</f>
        <v/>
      </c>
      <c r="AN32" s="174" t="str">
        <f ca="1">IFERROR(VLOOKUP($X32&amp;AN$24,Calc2!$Z$64:$AC$207,Einstellungen!$G$29,0),"")</f>
        <v/>
      </c>
      <c r="AO32" s="174" t="str">
        <f ca="1">IFERROR(VLOOKUP($X32&amp;AO$24,Calc2!$Z$64:$AC$207,Einstellungen!$G$29,0),"")</f>
        <v/>
      </c>
      <c r="AP32" s="194" t="str">
        <f ca="1">IFERROR(VLOOKUP($X32&amp;AP$24,Calc2!$Z$64:$AC$207,Einstellungen!$G$29,0),"")</f>
        <v/>
      </c>
      <c r="AQ32" s="194" t="str">
        <f ca="1">IFERROR(VLOOKUP($X32&amp;AQ$24,Calc2!$Z$64:$AC$207,Einstellungen!$G$29,0),"")</f>
        <v/>
      </c>
      <c r="AR32" s="194" t="str">
        <f ca="1">IFERROR(VLOOKUP($X32&amp;AR$24,Calc2!$Z$64:$AC$207,Einstellungen!$G$29,0),"")</f>
        <v/>
      </c>
      <c r="AS32" s="482"/>
      <c r="AT32" s="201" t="str">
        <f ca="1">IFERROR(VLOOKUP($X32&amp;AT$24,Calc2!$Z$64:$AC$207,Einstellungen!$G$29,0),"")</f>
        <v/>
      </c>
      <c r="AU32" s="202" t="str">
        <f t="shared" ca="1" si="17"/>
        <v/>
      </c>
      <c r="AX32" s="353" t="s">
        <v>323</v>
      </c>
      <c r="AY32" s="355" t="str">
        <f>IF(Planung!$C45="","",Planung!$C45)</f>
        <v/>
      </c>
      <c r="AZ32" s="364"/>
      <c r="BA32" s="585"/>
      <c r="BB32" s="585"/>
      <c r="BC32" s="42" t="b">
        <f t="shared" ca="1" si="7"/>
        <v>1</v>
      </c>
      <c r="BD32" s="42" t="b">
        <f t="shared" si="8"/>
        <v>1</v>
      </c>
      <c r="BE32" s="42" t="b">
        <f t="shared" si="9"/>
        <v>1</v>
      </c>
      <c r="BF32" s="42" t="b">
        <f t="shared" si="10"/>
        <v>1</v>
      </c>
      <c r="BG32" s="42" t="b">
        <f t="shared" si="11"/>
        <v>0</v>
      </c>
      <c r="BH32" s="42" t="b">
        <f t="shared" si="12"/>
        <v>0</v>
      </c>
      <c r="BI32" s="42" t="b">
        <f t="shared" si="13"/>
        <v>0</v>
      </c>
    </row>
    <row r="33" spans="2:61" ht="24" customHeight="1" thickBot="1" x14ac:dyDescent="0.25">
      <c r="B33" s="374" t="str">
        <f>Planung!$E27</f>
        <v/>
      </c>
      <c r="C33" s="513" t="str">
        <f>Planung!$F27</f>
        <v/>
      </c>
      <c r="D33" s="514" t="str">
        <f>Planung!$G27</f>
        <v/>
      </c>
      <c r="E33" s="514" t="str">
        <f ca="1">Planung!$H27</f>
        <v/>
      </c>
      <c r="F33" s="380" t="str">
        <f ca="1">Planung!$L27</f>
        <v/>
      </c>
      <c r="G33" s="196" t="s">
        <v>5</v>
      </c>
      <c r="H33" s="383" t="str">
        <f ca="1">Planung!$N27</f>
        <v/>
      </c>
      <c r="I33" s="377"/>
      <c r="J33" s="569" t="str">
        <f>Sprache!$E$108</f>
        <v xml:space="preserve"> : </v>
      </c>
      <c r="K33" s="576"/>
      <c r="L33" s="377"/>
      <c r="M33" s="569" t="str">
        <f>Sprache!$E$108</f>
        <v xml:space="preserve"> : </v>
      </c>
      <c r="N33" s="576"/>
      <c r="O33" s="377"/>
      <c r="P33" s="569" t="str">
        <f>Sprache!$E$108</f>
        <v xml:space="preserve"> : </v>
      </c>
      <c r="Q33" s="579"/>
      <c r="R33" s="572" t="str">
        <f t="shared" ca="1" si="5"/>
        <v/>
      </c>
      <c r="S33" s="775" t="str">
        <f>Sprache!$E$108</f>
        <v xml:space="preserve"> : </v>
      </c>
      <c r="T33" s="582" t="str">
        <f t="shared" ca="1" si="6"/>
        <v/>
      </c>
      <c r="U33" s="682" t="str">
        <f>IF(Planung!$O27="","",Planung!$O27)</f>
        <v/>
      </c>
      <c r="W33" s="328">
        <f ca="1">IF(Calc2!$K$13=0,"",IF(VLOOKUP(Calc2!B12,Calc2!$C$4:$E$12,3,0)=MAX(W$25:W32),VLOOKUP(Calc2!B12,Calc2!$C$4:$E$12,3,0),Calc2!B12))</f>
        <v>6</v>
      </c>
      <c r="X33" s="329" t="str">
        <f ca="1">IF(Calc1!$F$14&lt;3,"",IF(Calc2!$K$13=0,Calc2!$Q72,VLOOKUP(Calc2!B12,Calc2!$C$4:$N$12,4,0)))</f>
        <v/>
      </c>
      <c r="Y33" s="203">
        <f ca="1">IF(Calc2!$K$13=0,"",VLOOKUP(Calc2!B12,Calc2!$C$4:$N$12,9,0))</f>
        <v>0</v>
      </c>
      <c r="Z33" s="204">
        <f ca="1">IF(Calc2!$K$13=0,"",VLOOKUP(Calc2!B12,Calc2!$C$4:$N$12,10,0))</f>
        <v>0</v>
      </c>
      <c r="AA33" s="204">
        <f ca="1">IF(Calc2!$K$13=0,"",VLOOKUP(Calc2!B12,Calc2!$C$4:$N$12,11,0))</f>
        <v>0</v>
      </c>
      <c r="AB33" s="205">
        <f ca="1">IF(Calc2!$K$13=0,"",VLOOKUP(Calc2!B12,Calc2!$C$4:$N$12,12,0))</f>
        <v>0</v>
      </c>
      <c r="AC33" s="206">
        <f ca="1">IF(Calc2!$K$13=0,"",VLOOKUP(Calc2!B12,Calc2!$C$4:$AT$12,44,0))</f>
        <v>0</v>
      </c>
      <c r="AD33" s="428" t="str">
        <f>Sprache!$E$108</f>
        <v xml:space="preserve"> : </v>
      </c>
      <c r="AE33" s="208">
        <f ca="1">IF(Calc2!$K$13=0,"",VLOOKUP(Calc2!B12,Calc2!$C$4:$AS$12,43,0))</f>
        <v>0</v>
      </c>
      <c r="AF33" s="205">
        <f ca="1">IF(Calc2!$K$13=0,"",AC33-AE33)</f>
        <v>0</v>
      </c>
      <c r="AG33" s="206">
        <f ca="1">IF(Calc2!$K$13=0,"",VLOOKUP(Calc2!B12,Calc2!$C$4:$N$12,5,0))</f>
        <v>0</v>
      </c>
      <c r="AH33" s="207" t="str">
        <f>Sprache!$E$108</f>
        <v xml:space="preserve"> : </v>
      </c>
      <c r="AI33" s="208">
        <f ca="1">IF(Calc2!$K$13=0,"",VLOOKUP(Calc2!B12,Calc2!$C$4:$N$12,6,0))</f>
        <v>0</v>
      </c>
      <c r="AJ33" s="203">
        <f ca="1">IF(Calc2!$K$13=0,"",IF(VLOOKUP(Calc2!B12,Calc2!$C$4:$AV$12,46,0)=Einstellungen!$F$24,"max",VLOOKUP(Calc2!B12,Calc2!$C$4:$AV$12,46,0)))</f>
        <v>0</v>
      </c>
      <c r="AK33" s="209">
        <f ca="1">IF(Calc2!$K$13=0,"",VLOOKUP(Calc2!B12,Calc2!$C$4:$AT$12,Einstellungen!$H$9,0))</f>
        <v>0</v>
      </c>
      <c r="AL33" s="210" t="str">
        <f ca="1">IFERROR(VLOOKUP($X33&amp;AL$24,Calc2!$Z$64:$AC$207,Einstellungen!$G$29,0),"")</f>
        <v/>
      </c>
      <c r="AM33" s="204" t="str">
        <f ca="1">IFERROR(VLOOKUP($X33&amp;AM$24,Calc2!$Z$64:$AC$207,Einstellungen!$G$29,0),"")</f>
        <v/>
      </c>
      <c r="AN33" s="204" t="str">
        <f ca="1">IFERROR(VLOOKUP($X33&amp;AN$24,Calc2!$Z$64:$AC$207,Einstellungen!$G$29,0),"")</f>
        <v/>
      </c>
      <c r="AO33" s="204" t="str">
        <f ca="1">IFERROR(VLOOKUP($X33&amp;AO$24,Calc2!$Z$64:$AC$207,Einstellungen!$G$29,0),"")</f>
        <v/>
      </c>
      <c r="AP33" s="204" t="str">
        <f ca="1">IFERROR(VLOOKUP($X33&amp;AP$24,Calc2!$Z$64:$AC$207,Einstellungen!$G$29,0),"")</f>
        <v/>
      </c>
      <c r="AQ33" s="205" t="str">
        <f ca="1">IFERROR(VLOOKUP($X33&amp;AQ$24,Calc2!$Z$64:$AC$207,Einstellungen!$G$29,0),"")</f>
        <v/>
      </c>
      <c r="AR33" s="205" t="str">
        <f ca="1">IFERROR(VLOOKUP($X33&amp;AR$24,Calc2!$Z$64:$AC$207,Einstellungen!$G$29,0),"")</f>
        <v/>
      </c>
      <c r="AS33" s="205" t="str">
        <f ca="1">IFERROR(VLOOKUP($X33&amp;AS$24,Calc2!$Z$64:$AC$207,Einstellungen!$G$29,0),"")</f>
        <v/>
      </c>
      <c r="AT33" s="211"/>
      <c r="AU33" s="262" t="str">
        <f t="shared" ref="AU33" ca="1" si="18">X33</f>
        <v/>
      </c>
      <c r="AX33" s="354" t="s">
        <v>324</v>
      </c>
      <c r="AY33" s="356" t="str">
        <f>IF(Planung!$C47="","",Planung!$C47)</f>
        <v/>
      </c>
      <c r="AZ33" s="365"/>
      <c r="BA33" s="585"/>
      <c r="BB33" s="585"/>
      <c r="BC33" s="42" t="b">
        <f t="shared" ca="1" si="7"/>
        <v>1</v>
      </c>
      <c r="BD33" s="42" t="b">
        <f t="shared" si="8"/>
        <v>1</v>
      </c>
      <c r="BE33" s="42" t="b">
        <f t="shared" si="9"/>
        <v>1</v>
      </c>
      <c r="BF33" s="42" t="b">
        <f t="shared" si="10"/>
        <v>1</v>
      </c>
      <c r="BG33" s="42" t="b">
        <f t="shared" si="11"/>
        <v>0</v>
      </c>
      <c r="BH33" s="42" t="b">
        <f t="shared" si="12"/>
        <v>0</v>
      </c>
      <c r="BI33" s="42" t="b">
        <f t="shared" si="13"/>
        <v>0</v>
      </c>
    </row>
    <row r="34" spans="2:61" ht="24" customHeight="1" thickTop="1" x14ac:dyDescent="0.2">
      <c r="B34" s="374" t="str">
        <f>Planung!$E28</f>
        <v/>
      </c>
      <c r="C34" s="513" t="str">
        <f>Planung!$F28</f>
        <v/>
      </c>
      <c r="D34" s="514" t="str">
        <f>Planung!$G28</f>
        <v/>
      </c>
      <c r="E34" s="514" t="str">
        <f ca="1">Planung!$H28</f>
        <v/>
      </c>
      <c r="F34" s="380" t="str">
        <f ca="1">Planung!$L28</f>
        <v/>
      </c>
      <c r="G34" s="196" t="s">
        <v>5</v>
      </c>
      <c r="H34" s="383" t="str">
        <f ca="1">Planung!$N28</f>
        <v/>
      </c>
      <c r="I34" s="377"/>
      <c r="J34" s="569" t="str">
        <f>Sprache!$E$108</f>
        <v xml:space="preserve"> : </v>
      </c>
      <c r="K34" s="576"/>
      <c r="L34" s="377"/>
      <c r="M34" s="569" t="str">
        <f>Sprache!$E$108</f>
        <v xml:space="preserve"> : </v>
      </c>
      <c r="N34" s="576"/>
      <c r="O34" s="377"/>
      <c r="P34" s="569" t="str">
        <f>Sprache!$E$108</f>
        <v xml:space="preserve"> : </v>
      </c>
      <c r="Q34" s="579"/>
      <c r="R34" s="572" t="str">
        <f t="shared" ca="1" si="5"/>
        <v/>
      </c>
      <c r="S34" s="775" t="str">
        <f>Sprache!$E$108</f>
        <v xml:space="preserve"> : </v>
      </c>
      <c r="T34" s="582" t="str">
        <f t="shared" ca="1" si="6"/>
        <v/>
      </c>
      <c r="U34" s="682" t="str">
        <f>IF(Planung!$O28="","",Planung!$O28)</f>
        <v/>
      </c>
      <c r="W34" s="242"/>
      <c r="X34" s="242"/>
      <c r="Y34" s="242"/>
      <c r="Z34" s="242"/>
      <c r="AA34" s="242"/>
      <c r="AB34" s="242"/>
      <c r="AC34" s="242"/>
      <c r="AD34" s="242"/>
      <c r="AE34" s="242"/>
      <c r="AF34" s="242"/>
      <c r="AG34" s="242"/>
      <c r="AH34" s="242"/>
      <c r="AI34" s="242"/>
      <c r="AJ34" s="242"/>
      <c r="AK34" s="242"/>
      <c r="AL34" s="243"/>
      <c r="AM34" s="243"/>
      <c r="AN34" s="243"/>
      <c r="AO34" s="243"/>
      <c r="AP34" s="243"/>
      <c r="AQ34" s="243"/>
      <c r="AR34" s="243"/>
      <c r="AS34" s="243"/>
      <c r="AT34" s="243"/>
      <c r="AU34" s="244"/>
      <c r="BC34" s="42" t="b">
        <f t="shared" ca="1" si="7"/>
        <v>1</v>
      </c>
      <c r="BD34" s="42" t="b">
        <f t="shared" si="8"/>
        <v>1</v>
      </c>
      <c r="BE34" s="42" t="b">
        <f t="shared" si="9"/>
        <v>1</v>
      </c>
      <c r="BF34" s="42" t="b">
        <f t="shared" si="10"/>
        <v>1</v>
      </c>
      <c r="BG34" s="42" t="b">
        <f t="shared" si="11"/>
        <v>0</v>
      </c>
      <c r="BH34" s="42" t="b">
        <f t="shared" si="12"/>
        <v>0</v>
      </c>
      <c r="BI34" s="42" t="b">
        <f t="shared" si="13"/>
        <v>0</v>
      </c>
    </row>
    <row r="35" spans="2:61" ht="24" customHeight="1" x14ac:dyDescent="0.2">
      <c r="B35" s="374" t="str">
        <f>Planung!$E29</f>
        <v/>
      </c>
      <c r="C35" s="513" t="str">
        <f>Planung!$F29</f>
        <v/>
      </c>
      <c r="D35" s="514" t="str">
        <f>Planung!$G29</f>
        <v/>
      </c>
      <c r="E35" s="514" t="str">
        <f ca="1">Planung!$H29</f>
        <v/>
      </c>
      <c r="F35" s="380" t="str">
        <f ca="1">Planung!$L29</f>
        <v/>
      </c>
      <c r="G35" s="196" t="s">
        <v>5</v>
      </c>
      <c r="H35" s="383" t="str">
        <f ca="1">Planung!$N29</f>
        <v/>
      </c>
      <c r="I35" s="377"/>
      <c r="J35" s="569" t="str">
        <f>Sprache!$E$108</f>
        <v xml:space="preserve"> : </v>
      </c>
      <c r="K35" s="576"/>
      <c r="L35" s="377"/>
      <c r="M35" s="569" t="str">
        <f>Sprache!$E$108</f>
        <v xml:space="preserve"> : </v>
      </c>
      <c r="N35" s="576"/>
      <c r="O35" s="377"/>
      <c r="P35" s="569" t="str">
        <f>Sprache!$E$108</f>
        <v xml:space="preserve"> : </v>
      </c>
      <c r="Q35" s="579"/>
      <c r="R35" s="572" t="str">
        <f t="shared" ca="1" si="5"/>
        <v/>
      </c>
      <c r="S35" s="775" t="str">
        <f>Sprache!$E$108</f>
        <v xml:space="preserve"> : </v>
      </c>
      <c r="T35" s="582" t="str">
        <f t="shared" ca="1" si="6"/>
        <v/>
      </c>
      <c r="U35" s="682" t="str">
        <f>IF(Planung!$O29="","",Planung!$O29)</f>
        <v/>
      </c>
      <c r="W35" s="266"/>
      <c r="X35" s="266"/>
      <c r="Y35" s="245"/>
      <c r="Z35" s="245"/>
      <c r="AA35" s="245"/>
      <c r="AB35" s="245"/>
      <c r="AC35" s="245"/>
      <c r="AD35" s="245"/>
      <c r="AE35" s="245"/>
      <c r="AF35" s="245"/>
      <c r="AG35" s="265"/>
      <c r="AH35" s="265"/>
      <c r="AI35" s="265"/>
      <c r="AJ35" s="245"/>
      <c r="AK35" s="245"/>
      <c r="AL35" s="246"/>
      <c r="AM35" s="246"/>
      <c r="AN35" s="246"/>
      <c r="AO35" s="246"/>
      <c r="AP35" s="246"/>
      <c r="AQ35" s="246"/>
      <c r="AR35" s="246"/>
      <c r="AS35" s="246"/>
      <c r="AT35" s="246"/>
      <c r="AU35" s="244"/>
      <c r="BC35" s="42" t="b">
        <f t="shared" ca="1" si="7"/>
        <v>1</v>
      </c>
      <c r="BD35" s="42" t="b">
        <f t="shared" si="8"/>
        <v>1</v>
      </c>
      <c r="BE35" s="42" t="b">
        <f t="shared" si="9"/>
        <v>1</v>
      </c>
      <c r="BF35" s="42" t="b">
        <f t="shared" si="10"/>
        <v>1</v>
      </c>
      <c r="BG35" s="42" t="b">
        <f t="shared" si="11"/>
        <v>0</v>
      </c>
      <c r="BH35" s="42" t="b">
        <f t="shared" si="12"/>
        <v>0</v>
      </c>
      <c r="BI35" s="42" t="b">
        <f t="shared" si="13"/>
        <v>0</v>
      </c>
    </row>
    <row r="36" spans="2:61" ht="24" customHeight="1" x14ac:dyDescent="0.2">
      <c r="B36" s="374" t="str">
        <f>Planung!$E30</f>
        <v/>
      </c>
      <c r="C36" s="513" t="str">
        <f>Planung!$F30</f>
        <v/>
      </c>
      <c r="D36" s="514" t="str">
        <f>Planung!$G30</f>
        <v/>
      </c>
      <c r="E36" s="514" t="str">
        <f ca="1">Planung!$H30</f>
        <v/>
      </c>
      <c r="F36" s="380" t="str">
        <f ca="1">Planung!$L30</f>
        <v/>
      </c>
      <c r="G36" s="196" t="s">
        <v>5</v>
      </c>
      <c r="H36" s="383" t="str">
        <f ca="1">Planung!$N30</f>
        <v/>
      </c>
      <c r="I36" s="377"/>
      <c r="J36" s="569" t="str">
        <f>Sprache!$E$108</f>
        <v xml:space="preserve"> : </v>
      </c>
      <c r="K36" s="576"/>
      <c r="L36" s="377"/>
      <c r="M36" s="569" t="str">
        <f>Sprache!$E$108</f>
        <v xml:space="preserve"> : </v>
      </c>
      <c r="N36" s="576"/>
      <c r="O36" s="377"/>
      <c r="P36" s="569" t="str">
        <f>Sprache!$E$108</f>
        <v xml:space="preserve"> : </v>
      </c>
      <c r="Q36" s="579"/>
      <c r="R36" s="572" t="str">
        <f t="shared" ca="1" si="5"/>
        <v/>
      </c>
      <c r="S36" s="775" t="str">
        <f>Sprache!$E$108</f>
        <v xml:space="preserve"> : </v>
      </c>
      <c r="T36" s="582" t="str">
        <f t="shared" ca="1" si="6"/>
        <v/>
      </c>
      <c r="U36" s="682" t="str">
        <f>IF(Planung!$O30="","",Planung!$O30)</f>
        <v/>
      </c>
      <c r="W36" s="859" t="str">
        <f>Sprache!$E$40</f>
        <v>Ende der Vorrunde:</v>
      </c>
      <c r="X36" s="859"/>
      <c r="Y36" s="859"/>
      <c r="Z36" s="859"/>
      <c r="AA36" s="859"/>
      <c r="AB36" s="859"/>
      <c r="AC36" s="859"/>
      <c r="AD36" s="859"/>
      <c r="AE36" s="859"/>
      <c r="AF36" s="859"/>
      <c r="AG36" s="859"/>
      <c r="AH36" s="859"/>
      <c r="AI36" s="859"/>
      <c r="AJ36" s="859"/>
      <c r="AK36" s="858">
        <f ca="1">Planung!$S$13</f>
        <v>0.49305555555555558</v>
      </c>
      <c r="AL36" s="858"/>
      <c r="AM36" s="858"/>
      <c r="AN36" s="858"/>
      <c r="AO36" s="858"/>
      <c r="AP36" s="858"/>
      <c r="AQ36" s="858"/>
      <c r="AR36" s="858"/>
      <c r="AS36" s="858"/>
      <c r="AT36" s="858"/>
      <c r="AU36" s="858"/>
      <c r="BC36" s="42" t="b">
        <f t="shared" ca="1" si="7"/>
        <v>1</v>
      </c>
      <c r="BD36" s="42" t="b">
        <f t="shared" si="8"/>
        <v>1</v>
      </c>
      <c r="BE36" s="42" t="b">
        <f t="shared" si="9"/>
        <v>1</v>
      </c>
      <c r="BF36" s="42" t="b">
        <f t="shared" si="10"/>
        <v>1</v>
      </c>
      <c r="BG36" s="42" t="b">
        <f t="shared" si="11"/>
        <v>0</v>
      </c>
      <c r="BH36" s="42" t="b">
        <f t="shared" si="12"/>
        <v>0</v>
      </c>
      <c r="BI36" s="42" t="b">
        <f t="shared" si="13"/>
        <v>0</v>
      </c>
    </row>
    <row r="37" spans="2:61" ht="24" customHeight="1" x14ac:dyDescent="0.2">
      <c r="B37" s="374" t="str">
        <f>Planung!$E31</f>
        <v/>
      </c>
      <c r="C37" s="513" t="str">
        <f>Planung!$F31</f>
        <v/>
      </c>
      <c r="D37" s="514" t="str">
        <f>Planung!$G31</f>
        <v/>
      </c>
      <c r="E37" s="514" t="str">
        <f ca="1">Planung!$H31</f>
        <v/>
      </c>
      <c r="F37" s="380" t="str">
        <f ca="1">Planung!$L31</f>
        <v/>
      </c>
      <c r="G37" s="196" t="s">
        <v>5</v>
      </c>
      <c r="H37" s="383" t="str">
        <f ca="1">Planung!$N31</f>
        <v/>
      </c>
      <c r="I37" s="377"/>
      <c r="J37" s="569" t="str">
        <f>Sprache!$E$108</f>
        <v xml:space="preserve"> : </v>
      </c>
      <c r="K37" s="576"/>
      <c r="L37" s="377"/>
      <c r="M37" s="569" t="str">
        <f>Sprache!$E$108</f>
        <v xml:space="preserve"> : </v>
      </c>
      <c r="N37" s="576"/>
      <c r="O37" s="377"/>
      <c r="P37" s="569" t="str">
        <f>Sprache!$E$108</f>
        <v xml:space="preserve"> : </v>
      </c>
      <c r="Q37" s="579"/>
      <c r="R37" s="572" t="str">
        <f t="shared" ca="1" si="5"/>
        <v/>
      </c>
      <c r="S37" s="775" t="str">
        <f>Sprache!$E$108</f>
        <v xml:space="preserve"> : </v>
      </c>
      <c r="T37" s="582" t="str">
        <f t="shared" ca="1" si="6"/>
        <v/>
      </c>
      <c r="U37" s="682" t="str">
        <f>IF(Planung!$O31="","",Planung!$O31)</f>
        <v/>
      </c>
      <c r="W37" s="242"/>
      <c r="X37" s="247"/>
      <c r="Y37" s="248"/>
      <c r="Z37" s="248"/>
      <c r="AA37" s="248"/>
      <c r="AB37" s="248"/>
      <c r="AC37" s="248"/>
      <c r="AD37" s="248"/>
      <c r="AE37" s="248"/>
      <c r="AF37" s="248"/>
      <c r="AG37" s="249"/>
      <c r="AH37" s="248"/>
      <c r="AI37" s="247"/>
      <c r="AJ37" s="248"/>
      <c r="AK37" s="250"/>
      <c r="AL37" s="248"/>
      <c r="AM37" s="248"/>
      <c r="AN37" s="248"/>
      <c r="AO37" s="248"/>
      <c r="AP37" s="248"/>
      <c r="AQ37" s="248"/>
      <c r="AR37" s="248"/>
      <c r="AS37" s="248"/>
      <c r="AT37" s="248"/>
      <c r="AU37" s="247"/>
      <c r="BC37" s="42" t="b">
        <f t="shared" ca="1" si="7"/>
        <v>1</v>
      </c>
      <c r="BD37" s="42" t="b">
        <f t="shared" si="8"/>
        <v>1</v>
      </c>
      <c r="BE37" s="42" t="b">
        <f t="shared" si="9"/>
        <v>1</v>
      </c>
      <c r="BF37" s="42" t="b">
        <f t="shared" si="10"/>
        <v>1</v>
      </c>
      <c r="BG37" s="42" t="b">
        <f t="shared" si="11"/>
        <v>0</v>
      </c>
      <c r="BH37" s="42" t="b">
        <f t="shared" si="12"/>
        <v>0</v>
      </c>
      <c r="BI37" s="42" t="b">
        <f t="shared" si="13"/>
        <v>0</v>
      </c>
    </row>
    <row r="38" spans="2:61" ht="24" customHeight="1" x14ac:dyDescent="0.2">
      <c r="B38" s="374" t="str">
        <f>Planung!$E32</f>
        <v/>
      </c>
      <c r="C38" s="513" t="str">
        <f>Planung!$F32</f>
        <v/>
      </c>
      <c r="D38" s="514" t="str">
        <f>Planung!$G32</f>
        <v/>
      </c>
      <c r="E38" s="514" t="str">
        <f ca="1">Planung!$H32</f>
        <v/>
      </c>
      <c r="F38" s="380" t="str">
        <f ca="1">Planung!$L32</f>
        <v/>
      </c>
      <c r="G38" s="196" t="s">
        <v>5</v>
      </c>
      <c r="H38" s="383" t="str">
        <f ca="1">Planung!$N32</f>
        <v/>
      </c>
      <c r="I38" s="377"/>
      <c r="J38" s="569" t="str">
        <f>Sprache!$E$108</f>
        <v xml:space="preserve"> : </v>
      </c>
      <c r="K38" s="576"/>
      <c r="L38" s="377"/>
      <c r="M38" s="569" t="str">
        <f>Sprache!$E$108</f>
        <v xml:space="preserve"> : </v>
      </c>
      <c r="N38" s="576"/>
      <c r="O38" s="377"/>
      <c r="P38" s="569" t="str">
        <f>Sprache!$E$108</f>
        <v xml:space="preserve"> : </v>
      </c>
      <c r="Q38" s="579"/>
      <c r="R38" s="572" t="str">
        <f t="shared" ca="1" si="5"/>
        <v/>
      </c>
      <c r="S38" s="775" t="str">
        <f>Sprache!$E$108</f>
        <v xml:space="preserve"> : </v>
      </c>
      <c r="T38" s="582" t="str">
        <f t="shared" ca="1" si="6"/>
        <v/>
      </c>
      <c r="U38" s="682" t="str">
        <f>IF(Planung!$O32="","",Planung!$O32)</f>
        <v/>
      </c>
      <c r="W38" s="242"/>
      <c r="X38" s="247"/>
      <c r="Y38" s="248"/>
      <c r="Z38" s="248"/>
      <c r="AA38" s="248"/>
      <c r="AB38" s="248"/>
      <c r="AC38" s="248"/>
      <c r="AD38" s="248"/>
      <c r="AE38" s="248"/>
      <c r="AF38" s="248"/>
      <c r="AG38" s="249"/>
      <c r="AH38" s="248"/>
      <c r="AI38" s="247"/>
      <c r="AJ38" s="248"/>
      <c r="AK38" s="250"/>
      <c r="AL38" s="248"/>
      <c r="AM38" s="248"/>
      <c r="AN38" s="248"/>
      <c r="AO38" s="248"/>
      <c r="AP38" s="248"/>
      <c r="AQ38" s="248"/>
      <c r="AR38" s="248"/>
      <c r="AS38" s="248"/>
      <c r="AT38" s="248"/>
      <c r="AU38" s="247"/>
      <c r="BC38" s="42" t="b">
        <f t="shared" ca="1" si="7"/>
        <v>1</v>
      </c>
      <c r="BD38" s="42" t="b">
        <f t="shared" si="8"/>
        <v>1</v>
      </c>
      <c r="BE38" s="42" t="b">
        <f t="shared" si="9"/>
        <v>1</v>
      </c>
      <c r="BF38" s="42" t="b">
        <f t="shared" si="10"/>
        <v>1</v>
      </c>
      <c r="BG38" s="42" t="b">
        <f t="shared" si="11"/>
        <v>0</v>
      </c>
      <c r="BH38" s="42" t="b">
        <f t="shared" si="12"/>
        <v>0</v>
      </c>
      <c r="BI38" s="42" t="b">
        <f t="shared" si="13"/>
        <v>0</v>
      </c>
    </row>
    <row r="39" spans="2:61" ht="24" customHeight="1" x14ac:dyDescent="0.2">
      <c r="B39" s="374" t="str">
        <f>Planung!$E33</f>
        <v/>
      </c>
      <c r="C39" s="513" t="str">
        <f>Planung!$F33</f>
        <v/>
      </c>
      <c r="D39" s="514" t="str">
        <f>Planung!$G33</f>
        <v/>
      </c>
      <c r="E39" s="514" t="str">
        <f ca="1">Planung!$H33</f>
        <v/>
      </c>
      <c r="F39" s="380" t="str">
        <f ca="1">Planung!$L33</f>
        <v/>
      </c>
      <c r="G39" s="196" t="s">
        <v>5</v>
      </c>
      <c r="H39" s="383" t="str">
        <f ca="1">Planung!$N33</f>
        <v/>
      </c>
      <c r="I39" s="377"/>
      <c r="J39" s="569" t="str">
        <f>Sprache!$E$108</f>
        <v xml:space="preserve"> : </v>
      </c>
      <c r="K39" s="576"/>
      <c r="L39" s="377"/>
      <c r="M39" s="569" t="str">
        <f>Sprache!$E$108</f>
        <v xml:space="preserve"> : </v>
      </c>
      <c r="N39" s="576"/>
      <c r="O39" s="377"/>
      <c r="P39" s="569" t="str">
        <f>Sprache!$E$108</f>
        <v xml:space="preserve"> : </v>
      </c>
      <c r="Q39" s="579"/>
      <c r="R39" s="572" t="str">
        <f t="shared" ca="1" si="5"/>
        <v/>
      </c>
      <c r="S39" s="775" t="str">
        <f>Sprache!$E$108</f>
        <v xml:space="preserve"> : </v>
      </c>
      <c r="T39" s="582" t="str">
        <f t="shared" ca="1" si="6"/>
        <v/>
      </c>
      <c r="U39" s="682" t="str">
        <f>IF(Planung!$O33="","",Planung!$O33)</f>
        <v/>
      </c>
      <c r="W39" s="242"/>
      <c r="X39" s="247"/>
      <c r="Y39" s="248"/>
      <c r="Z39" s="248"/>
      <c r="AA39" s="248"/>
      <c r="AB39" s="248"/>
      <c r="AC39" s="248"/>
      <c r="AD39" s="248"/>
      <c r="AE39" s="248"/>
      <c r="AF39" s="248"/>
      <c r="AG39" s="249"/>
      <c r="AH39" s="248"/>
      <c r="AI39" s="247"/>
      <c r="AJ39" s="248"/>
      <c r="AK39" s="250"/>
      <c r="AL39" s="248"/>
      <c r="AM39" s="248"/>
      <c r="AN39" s="248"/>
      <c r="AO39" s="248"/>
      <c r="AP39" s="248"/>
      <c r="AQ39" s="248"/>
      <c r="AR39" s="248"/>
      <c r="AS39" s="248"/>
      <c r="AT39" s="248"/>
      <c r="AU39" s="247"/>
      <c r="BC39" s="42" t="b">
        <f t="shared" ca="1" si="7"/>
        <v>1</v>
      </c>
      <c r="BD39" s="42" t="b">
        <f t="shared" si="8"/>
        <v>1</v>
      </c>
      <c r="BE39" s="42" t="b">
        <f t="shared" si="9"/>
        <v>1</v>
      </c>
      <c r="BF39" s="42" t="b">
        <f t="shared" si="10"/>
        <v>1</v>
      </c>
      <c r="BG39" s="42" t="b">
        <f t="shared" si="11"/>
        <v>0</v>
      </c>
      <c r="BH39" s="42" t="b">
        <f t="shared" si="12"/>
        <v>0</v>
      </c>
      <c r="BI39" s="42" t="b">
        <f t="shared" si="13"/>
        <v>0</v>
      </c>
    </row>
    <row r="40" spans="2:61" ht="24" customHeight="1" x14ac:dyDescent="0.2">
      <c r="B40" s="374" t="str">
        <f>Planung!$E34</f>
        <v/>
      </c>
      <c r="C40" s="513" t="str">
        <f>Planung!$F34</f>
        <v/>
      </c>
      <c r="D40" s="514" t="str">
        <f>Planung!$G34</f>
        <v/>
      </c>
      <c r="E40" s="514" t="str">
        <f ca="1">Planung!$H34</f>
        <v/>
      </c>
      <c r="F40" s="380" t="str">
        <f ca="1">Planung!$L34</f>
        <v/>
      </c>
      <c r="G40" s="196" t="s">
        <v>5</v>
      </c>
      <c r="H40" s="383" t="str">
        <f ca="1">Planung!$N34</f>
        <v/>
      </c>
      <c r="I40" s="377"/>
      <c r="J40" s="569" t="str">
        <f>Sprache!$E$108</f>
        <v xml:space="preserve"> : </v>
      </c>
      <c r="K40" s="576"/>
      <c r="L40" s="377"/>
      <c r="M40" s="569" t="str">
        <f>Sprache!$E$108</f>
        <v xml:space="preserve"> : </v>
      </c>
      <c r="N40" s="576"/>
      <c r="O40" s="377"/>
      <c r="P40" s="569" t="str">
        <f>Sprache!$E$108</f>
        <v xml:space="preserve"> : </v>
      </c>
      <c r="Q40" s="579"/>
      <c r="R40" s="572" t="str">
        <f t="shared" ca="1" si="5"/>
        <v/>
      </c>
      <c r="S40" s="775" t="str">
        <f>Sprache!$E$108</f>
        <v xml:space="preserve"> : </v>
      </c>
      <c r="T40" s="582" t="str">
        <f t="shared" ca="1" si="6"/>
        <v/>
      </c>
      <c r="U40" s="682" t="str">
        <f>IF(Planung!$O34="","",Planung!$O34)</f>
        <v/>
      </c>
      <c r="W40" s="242"/>
      <c r="X40" s="247"/>
      <c r="Y40" s="248"/>
      <c r="Z40" s="248"/>
      <c r="AA40" s="248"/>
      <c r="AB40" s="248"/>
      <c r="AC40" s="248"/>
      <c r="AD40" s="248"/>
      <c r="AE40" s="248"/>
      <c r="AF40" s="248"/>
      <c r="AG40" s="249"/>
      <c r="AH40" s="248"/>
      <c r="AI40" s="247"/>
      <c r="AJ40" s="248"/>
      <c r="AK40" s="250"/>
      <c r="AL40" s="248"/>
      <c r="AM40" s="248"/>
      <c r="AN40" s="248"/>
      <c r="AO40" s="248"/>
      <c r="AP40" s="248"/>
      <c r="AQ40" s="248"/>
      <c r="AR40" s="248"/>
      <c r="AS40" s="248"/>
      <c r="AT40" s="248"/>
      <c r="AU40" s="247"/>
      <c r="BC40" s="42" t="b">
        <f t="shared" ca="1" si="7"/>
        <v>1</v>
      </c>
      <c r="BD40" s="42" t="b">
        <f t="shared" si="8"/>
        <v>1</v>
      </c>
      <c r="BE40" s="42" t="b">
        <f t="shared" si="9"/>
        <v>1</v>
      </c>
      <c r="BF40" s="42" t="b">
        <f t="shared" si="10"/>
        <v>1</v>
      </c>
      <c r="BG40" s="42" t="b">
        <f t="shared" si="11"/>
        <v>0</v>
      </c>
      <c r="BH40" s="42" t="b">
        <f t="shared" si="12"/>
        <v>0</v>
      </c>
      <c r="BI40" s="42" t="b">
        <f t="shared" si="13"/>
        <v>0</v>
      </c>
    </row>
    <row r="41" spans="2:61" ht="24" customHeight="1" x14ac:dyDescent="0.2">
      <c r="B41" s="374" t="str">
        <f>Planung!$E35</f>
        <v/>
      </c>
      <c r="C41" s="513" t="str">
        <f>Planung!$F35</f>
        <v/>
      </c>
      <c r="D41" s="514" t="str">
        <f>Planung!$G35</f>
        <v/>
      </c>
      <c r="E41" s="514" t="str">
        <f ca="1">Planung!$H35</f>
        <v/>
      </c>
      <c r="F41" s="380" t="str">
        <f ca="1">Planung!$L35</f>
        <v/>
      </c>
      <c r="G41" s="196" t="s">
        <v>5</v>
      </c>
      <c r="H41" s="383" t="str">
        <f ca="1">Planung!$N35</f>
        <v/>
      </c>
      <c r="I41" s="377"/>
      <c r="J41" s="569" t="str">
        <f>Sprache!$E$108</f>
        <v xml:space="preserve"> : </v>
      </c>
      <c r="K41" s="576"/>
      <c r="L41" s="377"/>
      <c r="M41" s="569" t="str">
        <f>Sprache!$E$108</f>
        <v xml:space="preserve"> : </v>
      </c>
      <c r="N41" s="576"/>
      <c r="O41" s="377"/>
      <c r="P41" s="569" t="str">
        <f>Sprache!$E$108</f>
        <v xml:space="preserve"> : </v>
      </c>
      <c r="Q41" s="579"/>
      <c r="R41" s="572" t="str">
        <f t="shared" ca="1" si="5"/>
        <v/>
      </c>
      <c r="S41" s="775" t="str">
        <f>Sprache!$E$108</f>
        <v xml:space="preserve"> : </v>
      </c>
      <c r="T41" s="582" t="str">
        <f t="shared" ca="1" si="6"/>
        <v/>
      </c>
      <c r="U41" s="682" t="str">
        <f>IF(Planung!$O35="","",Planung!$O35)</f>
        <v/>
      </c>
      <c r="W41" s="242"/>
      <c r="X41" s="247"/>
      <c r="Y41" s="248"/>
      <c r="Z41" s="248"/>
      <c r="AA41" s="248"/>
      <c r="AB41" s="248"/>
      <c r="AC41" s="248"/>
      <c r="AD41" s="248"/>
      <c r="AE41" s="248"/>
      <c r="AF41" s="248"/>
      <c r="AG41" s="249"/>
      <c r="AH41" s="248"/>
      <c r="AI41" s="247"/>
      <c r="AJ41" s="248"/>
      <c r="AK41" s="250"/>
      <c r="AL41" s="248"/>
      <c r="AM41" s="248"/>
      <c r="AN41" s="248"/>
      <c r="AO41" s="248"/>
      <c r="AP41" s="248"/>
      <c r="AQ41" s="248"/>
      <c r="AR41" s="248"/>
      <c r="AS41" s="248"/>
      <c r="AT41" s="248"/>
      <c r="AU41" s="247"/>
      <c r="BC41" s="42" t="b">
        <f t="shared" ca="1" si="7"/>
        <v>1</v>
      </c>
      <c r="BD41" s="42" t="b">
        <f t="shared" si="8"/>
        <v>1</v>
      </c>
      <c r="BE41" s="42" t="b">
        <f t="shared" si="9"/>
        <v>1</v>
      </c>
      <c r="BF41" s="42" t="b">
        <f t="shared" si="10"/>
        <v>1</v>
      </c>
      <c r="BG41" s="42" t="b">
        <f t="shared" si="11"/>
        <v>0</v>
      </c>
      <c r="BH41" s="42" t="b">
        <f t="shared" si="12"/>
        <v>0</v>
      </c>
      <c r="BI41" s="42" t="b">
        <f t="shared" si="13"/>
        <v>0</v>
      </c>
    </row>
    <row r="42" spans="2:61" ht="24" customHeight="1" x14ac:dyDescent="0.2">
      <c r="B42" s="374" t="str">
        <f>Planung!$E36</f>
        <v/>
      </c>
      <c r="C42" s="513" t="str">
        <f>Planung!$F36</f>
        <v/>
      </c>
      <c r="D42" s="514" t="str">
        <f>Planung!$G36</f>
        <v/>
      </c>
      <c r="E42" s="514" t="str">
        <f ca="1">Planung!$H36</f>
        <v/>
      </c>
      <c r="F42" s="380" t="str">
        <f ca="1">Planung!$L36</f>
        <v/>
      </c>
      <c r="G42" s="196" t="s">
        <v>5</v>
      </c>
      <c r="H42" s="383" t="str">
        <f ca="1">Planung!$N36</f>
        <v/>
      </c>
      <c r="I42" s="377"/>
      <c r="J42" s="569" t="str">
        <f>Sprache!$E$108</f>
        <v xml:space="preserve"> : </v>
      </c>
      <c r="K42" s="576"/>
      <c r="L42" s="377"/>
      <c r="M42" s="569" t="str">
        <f>Sprache!$E$108</f>
        <v xml:space="preserve"> : </v>
      </c>
      <c r="N42" s="576"/>
      <c r="O42" s="377"/>
      <c r="P42" s="569" t="str">
        <f>Sprache!$E$108</f>
        <v xml:space="preserve"> : </v>
      </c>
      <c r="Q42" s="579"/>
      <c r="R42" s="572" t="str">
        <f t="shared" ca="1" si="5"/>
        <v/>
      </c>
      <c r="S42" s="775" t="str">
        <f>Sprache!$E$108</f>
        <v xml:space="preserve"> : </v>
      </c>
      <c r="T42" s="582" t="str">
        <f t="shared" ca="1" si="6"/>
        <v/>
      </c>
      <c r="U42" s="682" t="str">
        <f>IF(Planung!$O36="","",Planung!$O36)</f>
        <v/>
      </c>
      <c r="W42" s="242"/>
      <c r="X42" s="247"/>
      <c r="Y42" s="248"/>
      <c r="Z42" s="248"/>
      <c r="AA42" s="248"/>
      <c r="AB42" s="248"/>
      <c r="AC42" s="248"/>
      <c r="AD42" s="248"/>
      <c r="AE42" s="248"/>
      <c r="AF42" s="248"/>
      <c r="AG42" s="249"/>
      <c r="AH42" s="248"/>
      <c r="AI42" s="247"/>
      <c r="AJ42" s="248"/>
      <c r="AK42" s="250"/>
      <c r="AL42" s="248"/>
      <c r="AM42" s="248"/>
      <c r="AN42" s="248"/>
      <c r="AO42" s="248"/>
      <c r="AP42" s="248"/>
      <c r="AQ42" s="248"/>
      <c r="AR42" s="248"/>
      <c r="AS42" s="248"/>
      <c r="AT42" s="248"/>
      <c r="AU42" s="247"/>
      <c r="BC42" s="42" t="b">
        <f t="shared" ca="1" si="7"/>
        <v>1</v>
      </c>
      <c r="BD42" s="42" t="b">
        <f t="shared" si="8"/>
        <v>1</v>
      </c>
      <c r="BE42" s="42" t="b">
        <f t="shared" si="9"/>
        <v>1</v>
      </c>
      <c r="BF42" s="42" t="b">
        <f t="shared" si="10"/>
        <v>1</v>
      </c>
      <c r="BG42" s="42" t="b">
        <f t="shared" si="11"/>
        <v>0</v>
      </c>
      <c r="BH42" s="42" t="b">
        <f t="shared" si="12"/>
        <v>0</v>
      </c>
      <c r="BI42" s="42" t="b">
        <f t="shared" si="13"/>
        <v>0</v>
      </c>
    </row>
    <row r="43" spans="2:61" ht="24" customHeight="1" x14ac:dyDescent="0.2">
      <c r="B43" s="374" t="str">
        <f>Planung!$E37</f>
        <v/>
      </c>
      <c r="C43" s="513" t="str">
        <f>Planung!$F37</f>
        <v/>
      </c>
      <c r="D43" s="514" t="str">
        <f>Planung!$G37</f>
        <v/>
      </c>
      <c r="E43" s="514" t="str">
        <f ca="1">Planung!$H37</f>
        <v/>
      </c>
      <c r="F43" s="380" t="str">
        <f ca="1">Planung!$L37</f>
        <v/>
      </c>
      <c r="G43" s="196" t="s">
        <v>5</v>
      </c>
      <c r="H43" s="383" t="str">
        <f ca="1">Planung!$N37</f>
        <v/>
      </c>
      <c r="I43" s="377"/>
      <c r="J43" s="569" t="str">
        <f>Sprache!$E$108</f>
        <v xml:space="preserve"> : </v>
      </c>
      <c r="K43" s="576"/>
      <c r="L43" s="377"/>
      <c r="M43" s="569" t="str">
        <f>Sprache!$E$108</f>
        <v xml:space="preserve"> : </v>
      </c>
      <c r="N43" s="576"/>
      <c r="O43" s="377"/>
      <c r="P43" s="569" t="str">
        <f>Sprache!$E$108</f>
        <v xml:space="preserve"> : </v>
      </c>
      <c r="Q43" s="579"/>
      <c r="R43" s="572" t="str">
        <f t="shared" ca="1" si="5"/>
        <v/>
      </c>
      <c r="S43" s="775" t="str">
        <f>Sprache!$E$108</f>
        <v xml:space="preserve"> : </v>
      </c>
      <c r="T43" s="582" t="str">
        <f t="shared" ca="1" si="6"/>
        <v/>
      </c>
      <c r="U43" s="682" t="str">
        <f>IF(Planung!$O37="","",Planung!$O37)</f>
        <v/>
      </c>
      <c r="BC43" s="42" t="b">
        <f t="shared" ca="1" si="7"/>
        <v>1</v>
      </c>
      <c r="BD43" s="42" t="b">
        <f t="shared" si="8"/>
        <v>1</v>
      </c>
      <c r="BE43" s="42" t="b">
        <f t="shared" si="9"/>
        <v>1</v>
      </c>
      <c r="BF43" s="42" t="b">
        <f t="shared" si="10"/>
        <v>1</v>
      </c>
      <c r="BG43" s="42" t="b">
        <f t="shared" si="11"/>
        <v>0</v>
      </c>
      <c r="BH43" s="42" t="b">
        <f t="shared" si="12"/>
        <v>0</v>
      </c>
      <c r="BI43" s="42" t="b">
        <f t="shared" si="13"/>
        <v>0</v>
      </c>
    </row>
    <row r="44" spans="2:61" ht="24" customHeight="1" x14ac:dyDescent="0.2">
      <c r="B44" s="374" t="str">
        <f>Planung!$E38</f>
        <v/>
      </c>
      <c r="C44" s="513" t="str">
        <f>Planung!$F38</f>
        <v/>
      </c>
      <c r="D44" s="514" t="str">
        <f>Planung!$G38</f>
        <v/>
      </c>
      <c r="E44" s="514" t="str">
        <f ca="1">Planung!$H38</f>
        <v/>
      </c>
      <c r="F44" s="380" t="str">
        <f ca="1">Planung!$L38</f>
        <v/>
      </c>
      <c r="G44" s="196" t="s">
        <v>5</v>
      </c>
      <c r="H44" s="383" t="str">
        <f ca="1">Planung!$N38</f>
        <v/>
      </c>
      <c r="I44" s="377"/>
      <c r="J44" s="569" t="str">
        <f>Sprache!$E$108</f>
        <v xml:space="preserve"> : </v>
      </c>
      <c r="K44" s="576"/>
      <c r="L44" s="377"/>
      <c r="M44" s="569" t="str">
        <f>Sprache!$E$108</f>
        <v xml:space="preserve"> : </v>
      </c>
      <c r="N44" s="576"/>
      <c r="O44" s="377"/>
      <c r="P44" s="569" t="str">
        <f>Sprache!$E$108</f>
        <v xml:space="preserve"> : </v>
      </c>
      <c r="Q44" s="579"/>
      <c r="R44" s="572" t="str">
        <f t="shared" ca="1" si="5"/>
        <v/>
      </c>
      <c r="S44" s="775" t="str">
        <f>Sprache!$E$108</f>
        <v xml:space="preserve"> : </v>
      </c>
      <c r="T44" s="582" t="str">
        <f t="shared" ca="1" si="6"/>
        <v/>
      </c>
      <c r="U44" s="682" t="str">
        <f>IF(Planung!$O38="","",Planung!$O38)</f>
        <v/>
      </c>
      <c r="BC44" s="42" t="b">
        <f t="shared" ca="1" si="7"/>
        <v>1</v>
      </c>
      <c r="BD44" s="42" t="b">
        <f t="shared" si="8"/>
        <v>1</v>
      </c>
      <c r="BE44" s="42" t="b">
        <f t="shared" si="9"/>
        <v>1</v>
      </c>
      <c r="BF44" s="42" t="b">
        <f t="shared" si="10"/>
        <v>1</v>
      </c>
      <c r="BG44" s="42" t="b">
        <f t="shared" si="11"/>
        <v>0</v>
      </c>
      <c r="BH44" s="42" t="b">
        <f t="shared" si="12"/>
        <v>0</v>
      </c>
      <c r="BI44" s="42" t="b">
        <f t="shared" si="13"/>
        <v>0</v>
      </c>
    </row>
    <row r="45" spans="2:61" ht="24" customHeight="1" x14ac:dyDescent="0.2">
      <c r="B45" s="374" t="str">
        <f>Planung!$E39</f>
        <v/>
      </c>
      <c r="C45" s="513" t="str">
        <f>Planung!$F39</f>
        <v/>
      </c>
      <c r="D45" s="514" t="str">
        <f>Planung!$G39</f>
        <v/>
      </c>
      <c r="E45" s="514" t="str">
        <f ca="1">Planung!$H39</f>
        <v/>
      </c>
      <c r="F45" s="380" t="str">
        <f ca="1">Planung!$L39</f>
        <v/>
      </c>
      <c r="G45" s="196" t="s">
        <v>5</v>
      </c>
      <c r="H45" s="383" t="str">
        <f ca="1">Planung!$N39</f>
        <v/>
      </c>
      <c r="I45" s="377"/>
      <c r="J45" s="569" t="str">
        <f>Sprache!$E$108</f>
        <v xml:space="preserve"> : </v>
      </c>
      <c r="K45" s="576"/>
      <c r="L45" s="377"/>
      <c r="M45" s="569" t="str">
        <f>Sprache!$E$108</f>
        <v xml:space="preserve"> : </v>
      </c>
      <c r="N45" s="576"/>
      <c r="O45" s="377"/>
      <c r="P45" s="569" t="str">
        <f>Sprache!$E$108</f>
        <v xml:space="preserve"> : </v>
      </c>
      <c r="Q45" s="579"/>
      <c r="R45" s="572" t="str">
        <f t="shared" ca="1" si="5"/>
        <v/>
      </c>
      <c r="S45" s="775" t="str">
        <f>Sprache!$E$108</f>
        <v xml:space="preserve"> : </v>
      </c>
      <c r="T45" s="582" t="str">
        <f t="shared" ca="1" si="6"/>
        <v/>
      </c>
      <c r="U45" s="682" t="str">
        <f>IF(Planung!$O39="","",Planung!$O39)</f>
        <v/>
      </c>
      <c r="BC45" s="42" t="b">
        <f t="shared" ca="1" si="7"/>
        <v>1</v>
      </c>
      <c r="BD45" s="42" t="b">
        <f t="shared" si="8"/>
        <v>1</v>
      </c>
      <c r="BE45" s="42" t="b">
        <f t="shared" si="9"/>
        <v>1</v>
      </c>
      <c r="BF45" s="42" t="b">
        <f t="shared" si="10"/>
        <v>1</v>
      </c>
      <c r="BG45" s="42" t="b">
        <f t="shared" si="11"/>
        <v>0</v>
      </c>
      <c r="BH45" s="42" t="b">
        <f t="shared" si="12"/>
        <v>0</v>
      </c>
      <c r="BI45" s="42" t="b">
        <f t="shared" si="13"/>
        <v>0</v>
      </c>
    </row>
    <row r="46" spans="2:61" ht="24" customHeight="1" x14ac:dyDescent="0.2">
      <c r="B46" s="374" t="str">
        <f>Planung!$E40</f>
        <v/>
      </c>
      <c r="C46" s="513" t="str">
        <f>Planung!$F40</f>
        <v/>
      </c>
      <c r="D46" s="514" t="str">
        <f>Planung!$G40</f>
        <v/>
      </c>
      <c r="E46" s="514" t="str">
        <f ca="1">Planung!$H40</f>
        <v/>
      </c>
      <c r="F46" s="380" t="str">
        <f ca="1">Planung!$L40</f>
        <v/>
      </c>
      <c r="G46" s="196" t="s">
        <v>5</v>
      </c>
      <c r="H46" s="383" t="str">
        <f ca="1">Planung!$N40</f>
        <v/>
      </c>
      <c r="I46" s="377"/>
      <c r="J46" s="569" t="str">
        <f>Sprache!$E$108</f>
        <v xml:space="preserve"> : </v>
      </c>
      <c r="K46" s="576"/>
      <c r="L46" s="377"/>
      <c r="M46" s="569" t="str">
        <f>Sprache!$E$108</f>
        <v xml:space="preserve"> : </v>
      </c>
      <c r="N46" s="576"/>
      <c r="O46" s="377"/>
      <c r="P46" s="569" t="str">
        <f>Sprache!$E$108</f>
        <v xml:space="preserve"> : </v>
      </c>
      <c r="Q46" s="579"/>
      <c r="R46" s="572" t="str">
        <f t="shared" ca="1" si="5"/>
        <v/>
      </c>
      <c r="S46" s="775" t="str">
        <f>Sprache!$E$108</f>
        <v xml:space="preserve"> : </v>
      </c>
      <c r="T46" s="582" t="str">
        <f t="shared" ca="1" si="6"/>
        <v/>
      </c>
      <c r="U46" s="682" t="str">
        <f>IF(Planung!$O40="","",Planung!$O40)</f>
        <v/>
      </c>
      <c r="BC46" s="42" t="b">
        <f t="shared" ca="1" si="7"/>
        <v>1</v>
      </c>
      <c r="BD46" s="42" t="b">
        <f t="shared" si="8"/>
        <v>1</v>
      </c>
      <c r="BE46" s="42" t="b">
        <f t="shared" si="9"/>
        <v>1</v>
      </c>
      <c r="BF46" s="42" t="b">
        <f t="shared" si="10"/>
        <v>1</v>
      </c>
      <c r="BG46" s="42" t="b">
        <f t="shared" si="11"/>
        <v>0</v>
      </c>
      <c r="BH46" s="42" t="b">
        <f t="shared" si="12"/>
        <v>0</v>
      </c>
      <c r="BI46" s="42" t="b">
        <f t="shared" si="13"/>
        <v>0</v>
      </c>
    </row>
    <row r="47" spans="2:61" ht="24" customHeight="1" x14ac:dyDescent="0.2">
      <c r="B47" s="374" t="str">
        <f>Planung!$E41</f>
        <v/>
      </c>
      <c r="C47" s="513" t="str">
        <f>Planung!$F41</f>
        <v/>
      </c>
      <c r="D47" s="514" t="str">
        <f>Planung!$G41</f>
        <v/>
      </c>
      <c r="E47" s="514" t="str">
        <f ca="1">Planung!$H41</f>
        <v/>
      </c>
      <c r="F47" s="380" t="str">
        <f ca="1">Planung!$L41</f>
        <v/>
      </c>
      <c r="G47" s="196" t="s">
        <v>5</v>
      </c>
      <c r="H47" s="383" t="str">
        <f ca="1">Planung!$N41</f>
        <v/>
      </c>
      <c r="I47" s="377"/>
      <c r="J47" s="569" t="str">
        <f>Sprache!$E$108</f>
        <v xml:space="preserve"> : </v>
      </c>
      <c r="K47" s="576"/>
      <c r="L47" s="377"/>
      <c r="M47" s="569" t="str">
        <f>Sprache!$E$108</f>
        <v xml:space="preserve"> : </v>
      </c>
      <c r="N47" s="576"/>
      <c r="O47" s="377"/>
      <c r="P47" s="569" t="str">
        <f>Sprache!$E$108</f>
        <v xml:space="preserve"> : </v>
      </c>
      <c r="Q47" s="579"/>
      <c r="R47" s="572" t="str">
        <f t="shared" ca="1" si="5"/>
        <v/>
      </c>
      <c r="S47" s="775" t="str">
        <f>Sprache!$E$108</f>
        <v xml:space="preserve"> : </v>
      </c>
      <c r="T47" s="582" t="str">
        <f t="shared" ca="1" si="6"/>
        <v/>
      </c>
      <c r="U47" s="682" t="str">
        <f>IF(Planung!$O41="","",Planung!$O41)</f>
        <v/>
      </c>
      <c r="BC47" s="42" t="b">
        <f t="shared" ca="1" si="7"/>
        <v>1</v>
      </c>
      <c r="BD47" s="42" t="b">
        <f t="shared" si="8"/>
        <v>1</v>
      </c>
      <c r="BE47" s="42" t="b">
        <f t="shared" si="9"/>
        <v>1</v>
      </c>
      <c r="BF47" s="42" t="b">
        <f t="shared" si="10"/>
        <v>1</v>
      </c>
      <c r="BG47" s="42" t="b">
        <f t="shared" si="11"/>
        <v>0</v>
      </c>
      <c r="BH47" s="42" t="b">
        <f t="shared" si="12"/>
        <v>0</v>
      </c>
      <c r="BI47" s="42" t="b">
        <f t="shared" si="13"/>
        <v>0</v>
      </c>
    </row>
    <row r="48" spans="2:61" ht="24" customHeight="1" x14ac:dyDescent="0.2">
      <c r="B48" s="374" t="str">
        <f>Planung!$E42</f>
        <v/>
      </c>
      <c r="C48" s="513" t="str">
        <f>Planung!$F42</f>
        <v/>
      </c>
      <c r="D48" s="514" t="str">
        <f>Planung!$G42</f>
        <v/>
      </c>
      <c r="E48" s="514" t="str">
        <f ca="1">Planung!$H42</f>
        <v/>
      </c>
      <c r="F48" s="380" t="str">
        <f ca="1">Planung!$L42</f>
        <v/>
      </c>
      <c r="G48" s="196" t="s">
        <v>5</v>
      </c>
      <c r="H48" s="383" t="str">
        <f ca="1">Planung!$N42</f>
        <v/>
      </c>
      <c r="I48" s="377"/>
      <c r="J48" s="569" t="str">
        <f>Sprache!$E$108</f>
        <v xml:space="preserve"> : </v>
      </c>
      <c r="K48" s="576"/>
      <c r="L48" s="377"/>
      <c r="M48" s="569" t="str">
        <f>Sprache!$E$108</f>
        <v xml:space="preserve"> : </v>
      </c>
      <c r="N48" s="576"/>
      <c r="O48" s="377"/>
      <c r="P48" s="569" t="str">
        <f>Sprache!$E$108</f>
        <v xml:space="preserve"> : </v>
      </c>
      <c r="Q48" s="579"/>
      <c r="R48" s="572" t="str">
        <f t="shared" ca="1" si="5"/>
        <v/>
      </c>
      <c r="S48" s="775" t="str">
        <f>Sprache!$E$108</f>
        <v xml:space="preserve"> : </v>
      </c>
      <c r="T48" s="582" t="str">
        <f t="shared" ca="1" si="6"/>
        <v/>
      </c>
      <c r="U48" s="682" t="str">
        <f>IF(Planung!$O42="","",Planung!$O42)</f>
        <v/>
      </c>
      <c r="BC48" s="42" t="b">
        <f t="shared" ca="1" si="7"/>
        <v>1</v>
      </c>
      <c r="BD48" s="42" t="b">
        <f t="shared" si="8"/>
        <v>1</v>
      </c>
      <c r="BE48" s="42" t="b">
        <f t="shared" si="9"/>
        <v>1</v>
      </c>
      <c r="BF48" s="42" t="b">
        <f t="shared" si="10"/>
        <v>1</v>
      </c>
      <c r="BG48" s="42" t="b">
        <f t="shared" si="11"/>
        <v>0</v>
      </c>
      <c r="BH48" s="42" t="b">
        <f t="shared" si="12"/>
        <v>0</v>
      </c>
      <c r="BI48" s="42" t="b">
        <f t="shared" si="13"/>
        <v>0</v>
      </c>
    </row>
    <row r="49" spans="2:61" ht="24" customHeight="1" x14ac:dyDescent="0.2">
      <c r="B49" s="374" t="str">
        <f>Planung!$E43</f>
        <v/>
      </c>
      <c r="C49" s="513" t="str">
        <f>Planung!$F43</f>
        <v/>
      </c>
      <c r="D49" s="514" t="str">
        <f>Planung!$G43</f>
        <v/>
      </c>
      <c r="E49" s="514" t="str">
        <f ca="1">Planung!$H43</f>
        <v/>
      </c>
      <c r="F49" s="380" t="str">
        <f ca="1">Planung!$L43</f>
        <v/>
      </c>
      <c r="G49" s="196" t="s">
        <v>5</v>
      </c>
      <c r="H49" s="383" t="str">
        <f ca="1">Planung!$N43</f>
        <v/>
      </c>
      <c r="I49" s="377"/>
      <c r="J49" s="569" t="str">
        <f>Sprache!$E$108</f>
        <v xml:space="preserve"> : </v>
      </c>
      <c r="K49" s="576"/>
      <c r="L49" s="377"/>
      <c r="M49" s="569" t="str">
        <f>Sprache!$E$108</f>
        <v xml:space="preserve"> : </v>
      </c>
      <c r="N49" s="576"/>
      <c r="O49" s="377"/>
      <c r="P49" s="569" t="str">
        <f>Sprache!$E$108</f>
        <v xml:space="preserve"> : </v>
      </c>
      <c r="Q49" s="579"/>
      <c r="R49" s="572" t="str">
        <f t="shared" ca="1" si="5"/>
        <v/>
      </c>
      <c r="S49" s="775" t="str">
        <f>Sprache!$E$108</f>
        <v xml:space="preserve"> : </v>
      </c>
      <c r="T49" s="582" t="str">
        <f t="shared" ca="1" si="6"/>
        <v/>
      </c>
      <c r="U49" s="682" t="str">
        <f>IF(Planung!$O43="","",Planung!$O43)</f>
        <v/>
      </c>
      <c r="BC49" s="42" t="b">
        <f t="shared" ca="1" si="7"/>
        <v>1</v>
      </c>
      <c r="BD49" s="42" t="b">
        <f t="shared" si="8"/>
        <v>1</v>
      </c>
      <c r="BE49" s="42" t="b">
        <f t="shared" si="9"/>
        <v>1</v>
      </c>
      <c r="BF49" s="42" t="b">
        <f t="shared" si="10"/>
        <v>1</v>
      </c>
      <c r="BG49" s="42" t="b">
        <f t="shared" si="11"/>
        <v>0</v>
      </c>
      <c r="BH49" s="42" t="b">
        <f t="shared" si="12"/>
        <v>0</v>
      </c>
      <c r="BI49" s="42" t="b">
        <f t="shared" si="13"/>
        <v>0</v>
      </c>
    </row>
    <row r="50" spans="2:61" ht="24" customHeight="1" x14ac:dyDescent="0.2">
      <c r="B50" s="374" t="str">
        <f>Planung!$E44</f>
        <v/>
      </c>
      <c r="C50" s="513" t="str">
        <f>Planung!$F44</f>
        <v/>
      </c>
      <c r="D50" s="514" t="str">
        <f>Planung!$G44</f>
        <v/>
      </c>
      <c r="E50" s="514" t="str">
        <f ca="1">Planung!$H44</f>
        <v/>
      </c>
      <c r="F50" s="380" t="str">
        <f ca="1">Planung!$L44</f>
        <v/>
      </c>
      <c r="G50" s="196" t="s">
        <v>5</v>
      </c>
      <c r="H50" s="383" t="str">
        <f ca="1">Planung!$N44</f>
        <v/>
      </c>
      <c r="I50" s="377"/>
      <c r="J50" s="569" t="str">
        <f>Sprache!$E$108</f>
        <v xml:space="preserve"> : </v>
      </c>
      <c r="K50" s="576"/>
      <c r="L50" s="377"/>
      <c r="M50" s="569" t="str">
        <f>Sprache!$E$108</f>
        <v xml:space="preserve"> : </v>
      </c>
      <c r="N50" s="576"/>
      <c r="O50" s="377"/>
      <c r="P50" s="569" t="str">
        <f>Sprache!$E$108</f>
        <v xml:space="preserve"> : </v>
      </c>
      <c r="Q50" s="579"/>
      <c r="R50" s="572" t="str">
        <f t="shared" ca="1" si="5"/>
        <v/>
      </c>
      <c r="S50" s="775" t="str">
        <f>Sprache!$E$108</f>
        <v xml:space="preserve"> : </v>
      </c>
      <c r="T50" s="582" t="str">
        <f t="shared" ca="1" si="6"/>
        <v/>
      </c>
      <c r="U50" s="682" t="str">
        <f>IF(Planung!$O44="","",Planung!$O44)</f>
        <v/>
      </c>
      <c r="BC50" s="42" t="b">
        <f t="shared" ca="1" si="7"/>
        <v>1</v>
      </c>
      <c r="BD50" s="42" t="b">
        <f t="shared" si="8"/>
        <v>1</v>
      </c>
      <c r="BE50" s="42" t="b">
        <f t="shared" si="9"/>
        <v>1</v>
      </c>
      <c r="BF50" s="42" t="b">
        <f t="shared" si="10"/>
        <v>1</v>
      </c>
      <c r="BG50" s="42" t="b">
        <f t="shared" si="11"/>
        <v>0</v>
      </c>
      <c r="BH50" s="42" t="b">
        <f t="shared" si="12"/>
        <v>0</v>
      </c>
      <c r="BI50" s="42" t="b">
        <f t="shared" si="13"/>
        <v>0</v>
      </c>
    </row>
    <row r="51" spans="2:61" ht="24" customHeight="1" x14ac:dyDescent="0.2">
      <c r="B51" s="374" t="str">
        <f>Planung!$E45</f>
        <v/>
      </c>
      <c r="C51" s="513" t="str">
        <f>Planung!$F45</f>
        <v/>
      </c>
      <c r="D51" s="514" t="str">
        <f>Planung!$G45</f>
        <v/>
      </c>
      <c r="E51" s="514" t="str">
        <f ca="1">Planung!$H45</f>
        <v/>
      </c>
      <c r="F51" s="380" t="str">
        <f ca="1">Planung!$L45</f>
        <v/>
      </c>
      <c r="G51" s="196" t="s">
        <v>5</v>
      </c>
      <c r="H51" s="383" t="str">
        <f ca="1">Planung!$N45</f>
        <v/>
      </c>
      <c r="I51" s="377"/>
      <c r="J51" s="569" t="str">
        <f>Sprache!$E$108</f>
        <v xml:space="preserve"> : </v>
      </c>
      <c r="K51" s="576"/>
      <c r="L51" s="377"/>
      <c r="M51" s="569" t="str">
        <f>Sprache!$E$108</f>
        <v xml:space="preserve"> : </v>
      </c>
      <c r="N51" s="576"/>
      <c r="O51" s="377"/>
      <c r="P51" s="569" t="str">
        <f>Sprache!$E$108</f>
        <v xml:space="preserve"> : </v>
      </c>
      <c r="Q51" s="579"/>
      <c r="R51" s="572" t="str">
        <f t="shared" ca="1" si="5"/>
        <v/>
      </c>
      <c r="S51" s="775" t="str">
        <f>Sprache!$E$108</f>
        <v xml:space="preserve"> : </v>
      </c>
      <c r="T51" s="582" t="str">
        <f t="shared" ca="1" si="6"/>
        <v/>
      </c>
      <c r="U51" s="682" t="str">
        <f>IF(Planung!$O45="","",Planung!$O45)</f>
        <v/>
      </c>
      <c r="BC51" s="42" t="b">
        <f t="shared" ca="1" si="7"/>
        <v>1</v>
      </c>
      <c r="BD51" s="42" t="b">
        <f t="shared" si="8"/>
        <v>1</v>
      </c>
      <c r="BE51" s="42" t="b">
        <f t="shared" si="9"/>
        <v>1</v>
      </c>
      <c r="BF51" s="42" t="b">
        <f t="shared" si="10"/>
        <v>1</v>
      </c>
      <c r="BG51" s="42" t="b">
        <f t="shared" si="11"/>
        <v>0</v>
      </c>
      <c r="BH51" s="42" t="b">
        <f t="shared" si="12"/>
        <v>0</v>
      </c>
      <c r="BI51" s="42" t="b">
        <f t="shared" si="13"/>
        <v>0</v>
      </c>
    </row>
    <row r="52" spans="2:61" ht="24" customHeight="1" x14ac:dyDescent="0.2">
      <c r="B52" s="374" t="str">
        <f>Planung!$E46</f>
        <v/>
      </c>
      <c r="C52" s="513" t="str">
        <f>Planung!$F46</f>
        <v/>
      </c>
      <c r="D52" s="514" t="str">
        <f>Planung!$G46</f>
        <v/>
      </c>
      <c r="E52" s="514" t="str">
        <f ca="1">Planung!$H46</f>
        <v/>
      </c>
      <c r="F52" s="380" t="str">
        <f ca="1">Planung!$L46</f>
        <v/>
      </c>
      <c r="G52" s="196" t="s">
        <v>5</v>
      </c>
      <c r="H52" s="383" t="str">
        <f ca="1">Planung!$N46</f>
        <v/>
      </c>
      <c r="I52" s="377"/>
      <c r="J52" s="569" t="str">
        <f>Sprache!$E$108</f>
        <v xml:space="preserve"> : </v>
      </c>
      <c r="K52" s="576"/>
      <c r="L52" s="377"/>
      <c r="M52" s="569" t="str">
        <f>Sprache!$E$108</f>
        <v xml:space="preserve"> : </v>
      </c>
      <c r="N52" s="576"/>
      <c r="O52" s="377"/>
      <c r="P52" s="569" t="str">
        <f>Sprache!$E$108</f>
        <v xml:space="preserve"> : </v>
      </c>
      <c r="Q52" s="579"/>
      <c r="R52" s="572" t="str">
        <f t="shared" ca="1" si="5"/>
        <v/>
      </c>
      <c r="S52" s="775" t="str">
        <f>Sprache!$E$108</f>
        <v xml:space="preserve"> : </v>
      </c>
      <c r="T52" s="582" t="str">
        <f t="shared" ca="1" si="6"/>
        <v/>
      </c>
      <c r="U52" s="682" t="str">
        <f>IF(Planung!$O46="","",Planung!$O46)</f>
        <v/>
      </c>
      <c r="BC52" s="42" t="b">
        <f t="shared" ca="1" si="7"/>
        <v>1</v>
      </c>
      <c r="BD52" s="42" t="b">
        <f t="shared" si="8"/>
        <v>1</v>
      </c>
      <c r="BE52" s="42" t="b">
        <f t="shared" si="9"/>
        <v>1</v>
      </c>
      <c r="BF52" s="42" t="b">
        <f t="shared" si="10"/>
        <v>1</v>
      </c>
      <c r="BG52" s="42" t="b">
        <f t="shared" si="11"/>
        <v>0</v>
      </c>
      <c r="BH52" s="42" t="b">
        <f t="shared" si="12"/>
        <v>0</v>
      </c>
      <c r="BI52" s="42" t="b">
        <f t="shared" si="13"/>
        <v>0</v>
      </c>
    </row>
    <row r="53" spans="2:61" ht="24" customHeight="1" x14ac:dyDescent="0.2">
      <c r="B53" s="374" t="str">
        <f>Planung!$E47</f>
        <v/>
      </c>
      <c r="C53" s="513" t="str">
        <f>Planung!$F47</f>
        <v/>
      </c>
      <c r="D53" s="514" t="str">
        <f>Planung!$G47</f>
        <v/>
      </c>
      <c r="E53" s="514" t="str">
        <f ca="1">Planung!$H47</f>
        <v/>
      </c>
      <c r="F53" s="380" t="str">
        <f ca="1">Planung!$L47</f>
        <v/>
      </c>
      <c r="G53" s="196" t="s">
        <v>5</v>
      </c>
      <c r="H53" s="383" t="str">
        <f ca="1">Planung!$N47</f>
        <v/>
      </c>
      <c r="I53" s="377"/>
      <c r="J53" s="569" t="str">
        <f>Sprache!$E$108</f>
        <v xml:space="preserve"> : </v>
      </c>
      <c r="K53" s="576"/>
      <c r="L53" s="377"/>
      <c r="M53" s="569" t="str">
        <f>Sprache!$E$108</f>
        <v xml:space="preserve"> : </v>
      </c>
      <c r="N53" s="576"/>
      <c r="O53" s="377"/>
      <c r="P53" s="569" t="str">
        <f>Sprache!$E$108</f>
        <v xml:space="preserve"> : </v>
      </c>
      <c r="Q53" s="579"/>
      <c r="R53" s="572" t="str">
        <f t="shared" ca="1" si="5"/>
        <v/>
      </c>
      <c r="S53" s="775" t="str">
        <f>Sprache!$E$108</f>
        <v xml:space="preserve"> : </v>
      </c>
      <c r="T53" s="582" t="str">
        <f t="shared" ca="1" si="6"/>
        <v/>
      </c>
      <c r="U53" s="682" t="str">
        <f>IF(Planung!$O47="","",Planung!$O47)</f>
        <v/>
      </c>
      <c r="BC53" s="42" t="b">
        <f t="shared" ca="1" si="7"/>
        <v>1</v>
      </c>
      <c r="BD53" s="42" t="b">
        <f t="shared" si="8"/>
        <v>1</v>
      </c>
      <c r="BE53" s="42" t="b">
        <f t="shared" si="9"/>
        <v>1</v>
      </c>
      <c r="BF53" s="42" t="b">
        <f t="shared" si="10"/>
        <v>1</v>
      </c>
      <c r="BG53" s="42" t="b">
        <f t="shared" si="11"/>
        <v>0</v>
      </c>
      <c r="BH53" s="42" t="b">
        <f t="shared" si="12"/>
        <v>0</v>
      </c>
      <c r="BI53" s="42" t="b">
        <f t="shared" si="13"/>
        <v>0</v>
      </c>
    </row>
    <row r="54" spans="2:61" ht="24" customHeight="1" x14ac:dyDescent="0.2">
      <c r="B54" s="374" t="str">
        <f>Planung!$E48</f>
        <v/>
      </c>
      <c r="C54" s="513" t="str">
        <f>Planung!$F48</f>
        <v/>
      </c>
      <c r="D54" s="514" t="str">
        <f>Planung!$G48</f>
        <v/>
      </c>
      <c r="E54" s="514" t="str">
        <f ca="1">Planung!$H48</f>
        <v/>
      </c>
      <c r="F54" s="380" t="str">
        <f ca="1">Planung!$L48</f>
        <v/>
      </c>
      <c r="G54" s="196" t="s">
        <v>5</v>
      </c>
      <c r="H54" s="383" t="str">
        <f ca="1">Planung!$N48</f>
        <v/>
      </c>
      <c r="I54" s="377"/>
      <c r="J54" s="569" t="str">
        <f>Sprache!$E$108</f>
        <v xml:space="preserve"> : </v>
      </c>
      <c r="K54" s="576"/>
      <c r="L54" s="377"/>
      <c r="M54" s="569" t="str">
        <f>Sprache!$E$108</f>
        <v xml:space="preserve"> : </v>
      </c>
      <c r="N54" s="576"/>
      <c r="O54" s="377"/>
      <c r="P54" s="569" t="str">
        <f>Sprache!$E$108</f>
        <v xml:space="preserve"> : </v>
      </c>
      <c r="Q54" s="579"/>
      <c r="R54" s="572" t="str">
        <f t="shared" ca="1" si="5"/>
        <v/>
      </c>
      <c r="S54" s="775" t="str">
        <f>Sprache!$E$108</f>
        <v xml:space="preserve"> : </v>
      </c>
      <c r="T54" s="582" t="str">
        <f t="shared" ca="1" si="6"/>
        <v/>
      </c>
      <c r="U54" s="682" t="str">
        <f>IF(Planung!$O48="","",Planung!$O48)</f>
        <v/>
      </c>
      <c r="BC54" s="42" t="b">
        <f t="shared" ca="1" si="7"/>
        <v>1</v>
      </c>
      <c r="BD54" s="42" t="b">
        <f t="shared" si="8"/>
        <v>1</v>
      </c>
      <c r="BE54" s="42" t="b">
        <f t="shared" si="9"/>
        <v>1</v>
      </c>
      <c r="BF54" s="42" t="b">
        <f t="shared" si="10"/>
        <v>1</v>
      </c>
      <c r="BG54" s="42" t="b">
        <f t="shared" si="11"/>
        <v>0</v>
      </c>
      <c r="BH54" s="42" t="b">
        <f t="shared" si="12"/>
        <v>0</v>
      </c>
      <c r="BI54" s="42" t="b">
        <f t="shared" si="13"/>
        <v>0</v>
      </c>
    </row>
    <row r="55" spans="2:61" ht="24" customHeight="1" x14ac:dyDescent="0.2">
      <c r="B55" s="374" t="str">
        <f>Planung!$E49</f>
        <v/>
      </c>
      <c r="C55" s="513" t="str">
        <f>Planung!$F49</f>
        <v/>
      </c>
      <c r="D55" s="514" t="str">
        <f>Planung!$G49</f>
        <v/>
      </c>
      <c r="E55" s="514" t="str">
        <f ca="1">Planung!$H49</f>
        <v/>
      </c>
      <c r="F55" s="380" t="str">
        <f ca="1">Planung!$L49</f>
        <v/>
      </c>
      <c r="G55" s="196" t="s">
        <v>5</v>
      </c>
      <c r="H55" s="383" t="str">
        <f ca="1">Planung!$N49</f>
        <v/>
      </c>
      <c r="I55" s="377"/>
      <c r="J55" s="569" t="str">
        <f>Sprache!$E$108</f>
        <v xml:space="preserve"> : </v>
      </c>
      <c r="K55" s="576"/>
      <c r="L55" s="377"/>
      <c r="M55" s="569" t="str">
        <f>Sprache!$E$108</f>
        <v xml:space="preserve"> : </v>
      </c>
      <c r="N55" s="576"/>
      <c r="O55" s="377"/>
      <c r="P55" s="569" t="str">
        <f>Sprache!$E$108</f>
        <v xml:space="preserve"> : </v>
      </c>
      <c r="Q55" s="579"/>
      <c r="R55" s="572" t="str">
        <f t="shared" ca="1" si="5"/>
        <v/>
      </c>
      <c r="S55" s="775" t="str">
        <f>Sprache!$E$108</f>
        <v xml:space="preserve"> : </v>
      </c>
      <c r="T55" s="582" t="str">
        <f t="shared" ca="1" si="6"/>
        <v/>
      </c>
      <c r="U55" s="682" t="str">
        <f>IF(Planung!$O49="","",Planung!$O49)</f>
        <v/>
      </c>
      <c r="BC55" s="42" t="b">
        <f t="shared" ca="1" si="7"/>
        <v>1</v>
      </c>
      <c r="BD55" s="42" t="b">
        <f t="shared" si="8"/>
        <v>1</v>
      </c>
      <c r="BE55" s="42" t="b">
        <f t="shared" si="9"/>
        <v>1</v>
      </c>
      <c r="BF55" s="42" t="b">
        <f t="shared" si="10"/>
        <v>1</v>
      </c>
      <c r="BG55" s="42" t="b">
        <f t="shared" si="11"/>
        <v>0</v>
      </c>
      <c r="BH55" s="42" t="b">
        <f t="shared" si="12"/>
        <v>0</v>
      </c>
      <c r="BI55" s="42" t="b">
        <f t="shared" si="13"/>
        <v>0</v>
      </c>
    </row>
    <row r="56" spans="2:61" ht="24" customHeight="1" x14ac:dyDescent="0.2">
      <c r="B56" s="374" t="str">
        <f>Planung!$E50</f>
        <v/>
      </c>
      <c r="C56" s="513" t="str">
        <f>Planung!$F50</f>
        <v/>
      </c>
      <c r="D56" s="514" t="str">
        <f>Planung!$G50</f>
        <v/>
      </c>
      <c r="E56" s="514" t="str">
        <f ca="1">Planung!$H50</f>
        <v/>
      </c>
      <c r="F56" s="380" t="str">
        <f ca="1">Planung!$L50</f>
        <v/>
      </c>
      <c r="G56" s="196" t="s">
        <v>5</v>
      </c>
      <c r="H56" s="383" t="str">
        <f ca="1">Planung!$N50</f>
        <v/>
      </c>
      <c r="I56" s="377"/>
      <c r="J56" s="569" t="str">
        <f>Sprache!$E$108</f>
        <v xml:space="preserve"> : </v>
      </c>
      <c r="K56" s="576"/>
      <c r="L56" s="377"/>
      <c r="M56" s="569" t="str">
        <f>Sprache!$E$108</f>
        <v xml:space="preserve"> : </v>
      </c>
      <c r="N56" s="576"/>
      <c r="O56" s="377"/>
      <c r="P56" s="569" t="str">
        <f>Sprache!$E$108</f>
        <v xml:space="preserve"> : </v>
      </c>
      <c r="Q56" s="579"/>
      <c r="R56" s="572" t="str">
        <f t="shared" ca="1" si="5"/>
        <v/>
      </c>
      <c r="S56" s="775" t="str">
        <f>Sprache!$E$108</f>
        <v xml:space="preserve"> : </v>
      </c>
      <c r="T56" s="582" t="str">
        <f t="shared" ca="1" si="6"/>
        <v/>
      </c>
      <c r="U56" s="682" t="str">
        <f>IF(Planung!$O50="","",Planung!$O50)</f>
        <v/>
      </c>
      <c r="BC56" s="42" t="b">
        <f t="shared" ca="1" si="7"/>
        <v>1</v>
      </c>
      <c r="BD56" s="42" t="b">
        <f t="shared" si="8"/>
        <v>1</v>
      </c>
      <c r="BE56" s="42" t="b">
        <f t="shared" si="9"/>
        <v>1</v>
      </c>
      <c r="BF56" s="42" t="b">
        <f t="shared" si="10"/>
        <v>1</v>
      </c>
      <c r="BG56" s="42" t="b">
        <f t="shared" si="11"/>
        <v>0</v>
      </c>
      <c r="BH56" s="42" t="b">
        <f t="shared" si="12"/>
        <v>0</v>
      </c>
      <c r="BI56" s="42" t="b">
        <f t="shared" si="13"/>
        <v>0</v>
      </c>
    </row>
    <row r="57" spans="2:61" ht="24" customHeight="1" x14ac:dyDescent="0.2">
      <c r="B57" s="374" t="str">
        <f>Planung!$E51</f>
        <v/>
      </c>
      <c r="C57" s="513" t="str">
        <f>Planung!$F51</f>
        <v/>
      </c>
      <c r="D57" s="514" t="str">
        <f>Planung!$G51</f>
        <v/>
      </c>
      <c r="E57" s="514" t="str">
        <f ca="1">Planung!$H51</f>
        <v/>
      </c>
      <c r="F57" s="380" t="str">
        <f ca="1">Planung!$L51</f>
        <v/>
      </c>
      <c r="G57" s="196" t="s">
        <v>5</v>
      </c>
      <c r="H57" s="383" t="str">
        <f ca="1">Planung!$N51</f>
        <v/>
      </c>
      <c r="I57" s="377"/>
      <c r="J57" s="569" t="str">
        <f>Sprache!$E$108</f>
        <v xml:space="preserve"> : </v>
      </c>
      <c r="K57" s="576"/>
      <c r="L57" s="377"/>
      <c r="M57" s="569" t="str">
        <f>Sprache!$E$108</f>
        <v xml:space="preserve"> : </v>
      </c>
      <c r="N57" s="576"/>
      <c r="O57" s="377"/>
      <c r="P57" s="569" t="str">
        <f>Sprache!$E$108</f>
        <v xml:space="preserve"> : </v>
      </c>
      <c r="Q57" s="579"/>
      <c r="R57" s="572" t="str">
        <f t="shared" ca="1" si="5"/>
        <v/>
      </c>
      <c r="S57" s="775" t="str">
        <f>Sprache!$E$108</f>
        <v xml:space="preserve"> : </v>
      </c>
      <c r="T57" s="582" t="str">
        <f t="shared" ca="1" si="6"/>
        <v/>
      </c>
      <c r="U57" s="682" t="str">
        <f>IF(Planung!$O51="","",Planung!$O51)</f>
        <v/>
      </c>
      <c r="BC57" s="42" t="b">
        <f t="shared" ca="1" si="7"/>
        <v>1</v>
      </c>
      <c r="BD57" s="42" t="b">
        <f t="shared" si="8"/>
        <v>1</v>
      </c>
      <c r="BE57" s="42" t="b">
        <f t="shared" si="9"/>
        <v>1</v>
      </c>
      <c r="BF57" s="42" t="b">
        <f t="shared" si="10"/>
        <v>1</v>
      </c>
      <c r="BG57" s="42" t="b">
        <f t="shared" si="11"/>
        <v>0</v>
      </c>
      <c r="BH57" s="42" t="b">
        <f t="shared" si="12"/>
        <v>0</v>
      </c>
      <c r="BI57" s="42" t="b">
        <f t="shared" si="13"/>
        <v>0</v>
      </c>
    </row>
    <row r="58" spans="2:61" ht="24" customHeight="1" x14ac:dyDescent="0.2">
      <c r="B58" s="374" t="str">
        <f>Planung!$E52</f>
        <v/>
      </c>
      <c r="C58" s="513" t="str">
        <f>Planung!$F52</f>
        <v/>
      </c>
      <c r="D58" s="514" t="str">
        <f>Planung!$G52</f>
        <v/>
      </c>
      <c r="E58" s="514" t="str">
        <f ca="1">Planung!$H52</f>
        <v/>
      </c>
      <c r="F58" s="380" t="str">
        <f ca="1">Planung!$L52</f>
        <v/>
      </c>
      <c r="G58" s="196" t="s">
        <v>5</v>
      </c>
      <c r="H58" s="383" t="str">
        <f ca="1">Planung!$N52</f>
        <v/>
      </c>
      <c r="I58" s="377"/>
      <c r="J58" s="569" t="str">
        <f>Sprache!$E$108</f>
        <v xml:space="preserve"> : </v>
      </c>
      <c r="K58" s="576"/>
      <c r="L58" s="377"/>
      <c r="M58" s="569" t="str">
        <f>Sprache!$E$108</f>
        <v xml:space="preserve"> : </v>
      </c>
      <c r="N58" s="576"/>
      <c r="O58" s="377"/>
      <c r="P58" s="569" t="str">
        <f>Sprache!$E$108</f>
        <v xml:space="preserve"> : </v>
      </c>
      <c r="Q58" s="579"/>
      <c r="R58" s="572" t="str">
        <f t="shared" ca="1" si="5"/>
        <v/>
      </c>
      <c r="S58" s="775" t="str">
        <f>Sprache!$E$108</f>
        <v xml:space="preserve"> : </v>
      </c>
      <c r="T58" s="582" t="str">
        <f t="shared" ca="1" si="6"/>
        <v/>
      </c>
      <c r="U58" s="682" t="str">
        <f>IF(Planung!$O52="","",Planung!$O52)</f>
        <v/>
      </c>
      <c r="BC58" s="42" t="b">
        <f t="shared" ca="1" si="7"/>
        <v>1</v>
      </c>
      <c r="BD58" s="42" t="b">
        <f t="shared" si="8"/>
        <v>1</v>
      </c>
      <c r="BE58" s="42" t="b">
        <f t="shared" si="9"/>
        <v>1</v>
      </c>
      <c r="BF58" s="42" t="b">
        <f t="shared" si="10"/>
        <v>1</v>
      </c>
      <c r="BG58" s="42" t="b">
        <f t="shared" si="11"/>
        <v>0</v>
      </c>
      <c r="BH58" s="42" t="b">
        <f t="shared" si="12"/>
        <v>0</v>
      </c>
      <c r="BI58" s="42" t="b">
        <f t="shared" si="13"/>
        <v>0</v>
      </c>
    </row>
    <row r="59" spans="2:61" ht="24" customHeight="1" x14ac:dyDescent="0.2">
      <c r="B59" s="374" t="str">
        <f>Planung!$E53</f>
        <v/>
      </c>
      <c r="C59" s="513" t="str">
        <f>Planung!$F53</f>
        <v/>
      </c>
      <c r="D59" s="514" t="str">
        <f>Planung!$G53</f>
        <v/>
      </c>
      <c r="E59" s="514" t="str">
        <f ca="1">Planung!$H53</f>
        <v/>
      </c>
      <c r="F59" s="380" t="str">
        <f ca="1">Planung!$L53</f>
        <v/>
      </c>
      <c r="G59" s="196" t="s">
        <v>5</v>
      </c>
      <c r="H59" s="383" t="str">
        <f ca="1">Planung!$N53</f>
        <v/>
      </c>
      <c r="I59" s="377"/>
      <c r="J59" s="569" t="str">
        <f>Sprache!$E$108</f>
        <v xml:space="preserve"> : </v>
      </c>
      <c r="K59" s="576"/>
      <c r="L59" s="377"/>
      <c r="M59" s="569" t="str">
        <f>Sprache!$E$108</f>
        <v xml:space="preserve"> : </v>
      </c>
      <c r="N59" s="576"/>
      <c r="O59" s="377"/>
      <c r="P59" s="569" t="str">
        <f>Sprache!$E$108</f>
        <v xml:space="preserve"> : </v>
      </c>
      <c r="Q59" s="579"/>
      <c r="R59" s="572" t="str">
        <f t="shared" ca="1" si="5"/>
        <v/>
      </c>
      <c r="S59" s="775" t="str">
        <f>Sprache!$E$108</f>
        <v xml:space="preserve"> : </v>
      </c>
      <c r="T59" s="582" t="str">
        <f t="shared" ca="1" si="6"/>
        <v/>
      </c>
      <c r="U59" s="682" t="str">
        <f>IF(Planung!$O53="","",Planung!$O53)</f>
        <v/>
      </c>
      <c r="BC59" s="42" t="b">
        <f t="shared" ca="1" si="7"/>
        <v>1</v>
      </c>
      <c r="BD59" s="42" t="b">
        <f t="shared" si="8"/>
        <v>1</v>
      </c>
      <c r="BE59" s="42" t="b">
        <f t="shared" si="9"/>
        <v>1</v>
      </c>
      <c r="BF59" s="42" t="b">
        <f t="shared" si="10"/>
        <v>1</v>
      </c>
      <c r="BG59" s="42" t="b">
        <f t="shared" si="11"/>
        <v>0</v>
      </c>
      <c r="BH59" s="42" t="b">
        <f t="shared" si="12"/>
        <v>0</v>
      </c>
      <c r="BI59" s="42" t="b">
        <f t="shared" si="13"/>
        <v>0</v>
      </c>
    </row>
    <row r="60" spans="2:61" ht="24" customHeight="1" x14ac:dyDescent="0.2">
      <c r="B60" s="374" t="str">
        <f>Planung!$E54</f>
        <v/>
      </c>
      <c r="C60" s="513" t="str">
        <f>Planung!$F54</f>
        <v/>
      </c>
      <c r="D60" s="514" t="str">
        <f>Planung!$G54</f>
        <v/>
      </c>
      <c r="E60" s="514" t="str">
        <f ca="1">Planung!$H54</f>
        <v/>
      </c>
      <c r="F60" s="380" t="str">
        <f ca="1">Planung!$L54</f>
        <v/>
      </c>
      <c r="G60" s="196" t="s">
        <v>5</v>
      </c>
      <c r="H60" s="383" t="str">
        <f ca="1">Planung!$N54</f>
        <v/>
      </c>
      <c r="I60" s="377"/>
      <c r="J60" s="569" t="str">
        <f>Sprache!$E$108</f>
        <v xml:space="preserve"> : </v>
      </c>
      <c r="K60" s="576"/>
      <c r="L60" s="377"/>
      <c r="M60" s="569" t="str">
        <f>Sprache!$E$108</f>
        <v xml:space="preserve"> : </v>
      </c>
      <c r="N60" s="576"/>
      <c r="O60" s="377"/>
      <c r="P60" s="569" t="str">
        <f>Sprache!$E$108</f>
        <v xml:space="preserve"> : </v>
      </c>
      <c r="Q60" s="579"/>
      <c r="R60" s="572" t="str">
        <f t="shared" ca="1" si="5"/>
        <v/>
      </c>
      <c r="S60" s="775" t="str">
        <f>Sprache!$E$108</f>
        <v xml:space="preserve"> : </v>
      </c>
      <c r="T60" s="582" t="str">
        <f t="shared" ca="1" si="6"/>
        <v/>
      </c>
      <c r="U60" s="682" t="str">
        <f>IF(Planung!$O54="","",Planung!$O54)</f>
        <v/>
      </c>
      <c r="BC60" s="42" t="b">
        <f t="shared" ca="1" si="7"/>
        <v>1</v>
      </c>
      <c r="BD60" s="42" t="b">
        <f t="shared" si="8"/>
        <v>1</v>
      </c>
      <c r="BE60" s="42" t="b">
        <f t="shared" si="9"/>
        <v>1</v>
      </c>
      <c r="BF60" s="42" t="b">
        <f t="shared" si="10"/>
        <v>1</v>
      </c>
      <c r="BG60" s="42" t="b">
        <f t="shared" si="11"/>
        <v>0</v>
      </c>
      <c r="BH60" s="42" t="b">
        <f t="shared" si="12"/>
        <v>0</v>
      </c>
      <c r="BI60" s="42" t="b">
        <f t="shared" si="13"/>
        <v>0</v>
      </c>
    </row>
    <row r="61" spans="2:61" ht="24" customHeight="1" x14ac:dyDescent="0.2">
      <c r="B61" s="374" t="str">
        <f>Planung!$E55</f>
        <v/>
      </c>
      <c r="C61" s="513" t="str">
        <f>Planung!$F55</f>
        <v/>
      </c>
      <c r="D61" s="514" t="str">
        <f>Planung!$G55</f>
        <v/>
      </c>
      <c r="E61" s="514" t="str">
        <f ca="1">Planung!$H55</f>
        <v/>
      </c>
      <c r="F61" s="380" t="str">
        <f ca="1">Planung!$L55</f>
        <v/>
      </c>
      <c r="G61" s="196" t="s">
        <v>5</v>
      </c>
      <c r="H61" s="383" t="str">
        <f ca="1">Planung!$N55</f>
        <v/>
      </c>
      <c r="I61" s="377"/>
      <c r="J61" s="569" t="str">
        <f>Sprache!$E$108</f>
        <v xml:space="preserve"> : </v>
      </c>
      <c r="K61" s="576"/>
      <c r="L61" s="377"/>
      <c r="M61" s="569" t="str">
        <f>Sprache!$E$108</f>
        <v xml:space="preserve"> : </v>
      </c>
      <c r="N61" s="576"/>
      <c r="O61" s="377"/>
      <c r="P61" s="569" t="str">
        <f>Sprache!$E$108</f>
        <v xml:space="preserve"> : </v>
      </c>
      <c r="Q61" s="579"/>
      <c r="R61" s="572" t="str">
        <f t="shared" ca="1" si="5"/>
        <v/>
      </c>
      <c r="S61" s="775" t="str">
        <f>Sprache!$E$108</f>
        <v xml:space="preserve"> : </v>
      </c>
      <c r="T61" s="582" t="str">
        <f t="shared" ca="1" si="6"/>
        <v/>
      </c>
      <c r="U61" s="682" t="str">
        <f>IF(Planung!$O55="","",Planung!$O55)</f>
        <v/>
      </c>
      <c r="BC61" s="42" t="b">
        <f t="shared" ca="1" si="7"/>
        <v>1</v>
      </c>
      <c r="BD61" s="42" t="b">
        <f t="shared" si="8"/>
        <v>1</v>
      </c>
      <c r="BE61" s="42" t="b">
        <f t="shared" si="9"/>
        <v>1</v>
      </c>
      <c r="BF61" s="42" t="b">
        <f t="shared" si="10"/>
        <v>1</v>
      </c>
      <c r="BG61" s="42" t="b">
        <f t="shared" si="11"/>
        <v>0</v>
      </c>
      <c r="BH61" s="42" t="b">
        <f t="shared" si="12"/>
        <v>0</v>
      </c>
      <c r="BI61" s="42" t="b">
        <f t="shared" si="13"/>
        <v>0</v>
      </c>
    </row>
    <row r="62" spans="2:61" ht="24" customHeight="1" x14ac:dyDescent="0.2">
      <c r="B62" s="374" t="str">
        <f>Planung!$E56</f>
        <v/>
      </c>
      <c r="C62" s="513" t="str">
        <f>Planung!$F56</f>
        <v/>
      </c>
      <c r="D62" s="514" t="str">
        <f>Planung!$G56</f>
        <v/>
      </c>
      <c r="E62" s="514" t="str">
        <f ca="1">Planung!$H56</f>
        <v/>
      </c>
      <c r="F62" s="380" t="str">
        <f ca="1">Planung!$L56</f>
        <v/>
      </c>
      <c r="G62" s="196" t="s">
        <v>5</v>
      </c>
      <c r="H62" s="383" t="str">
        <f ca="1">Planung!$N56</f>
        <v/>
      </c>
      <c r="I62" s="377"/>
      <c r="J62" s="569" t="str">
        <f>Sprache!$E$108</f>
        <v xml:space="preserve"> : </v>
      </c>
      <c r="K62" s="576"/>
      <c r="L62" s="377"/>
      <c r="M62" s="569" t="str">
        <f>Sprache!$E$108</f>
        <v xml:space="preserve"> : </v>
      </c>
      <c r="N62" s="576"/>
      <c r="O62" s="377"/>
      <c r="P62" s="569" t="str">
        <f>Sprache!$E$108</f>
        <v xml:space="preserve"> : </v>
      </c>
      <c r="Q62" s="579"/>
      <c r="R62" s="572" t="str">
        <f t="shared" ca="1" si="5"/>
        <v/>
      </c>
      <c r="S62" s="775" t="str">
        <f>Sprache!$E$108</f>
        <v xml:space="preserve"> : </v>
      </c>
      <c r="T62" s="582" t="str">
        <f t="shared" ca="1" si="6"/>
        <v/>
      </c>
      <c r="U62" s="682" t="str">
        <f>IF(Planung!$O56="","",Planung!$O56)</f>
        <v/>
      </c>
      <c r="BC62" s="42" t="b">
        <f t="shared" ca="1" si="7"/>
        <v>1</v>
      </c>
      <c r="BD62" s="42" t="b">
        <f t="shared" si="8"/>
        <v>1</v>
      </c>
      <c r="BE62" s="42" t="b">
        <f t="shared" si="9"/>
        <v>1</v>
      </c>
      <c r="BF62" s="42" t="b">
        <f t="shared" si="10"/>
        <v>1</v>
      </c>
      <c r="BG62" s="42" t="b">
        <f t="shared" si="11"/>
        <v>0</v>
      </c>
      <c r="BH62" s="42" t="b">
        <f t="shared" si="12"/>
        <v>0</v>
      </c>
      <c r="BI62" s="42" t="b">
        <f t="shared" si="13"/>
        <v>0</v>
      </c>
    </row>
    <row r="63" spans="2:61" ht="24" customHeight="1" x14ac:dyDescent="0.2">
      <c r="B63" s="374" t="str">
        <f>Planung!$E57</f>
        <v/>
      </c>
      <c r="C63" s="513" t="str">
        <f>Planung!$F57</f>
        <v/>
      </c>
      <c r="D63" s="514" t="str">
        <f>Planung!$G57</f>
        <v/>
      </c>
      <c r="E63" s="514" t="str">
        <f ca="1">Planung!$H57</f>
        <v/>
      </c>
      <c r="F63" s="380" t="str">
        <f ca="1">Planung!$L57</f>
        <v/>
      </c>
      <c r="G63" s="196" t="s">
        <v>5</v>
      </c>
      <c r="H63" s="383" t="str">
        <f ca="1">Planung!$N57</f>
        <v/>
      </c>
      <c r="I63" s="377"/>
      <c r="J63" s="569" t="str">
        <f>Sprache!$E$108</f>
        <v xml:space="preserve"> : </v>
      </c>
      <c r="K63" s="576"/>
      <c r="L63" s="377"/>
      <c r="M63" s="569" t="str">
        <f>Sprache!$E$108</f>
        <v xml:space="preserve"> : </v>
      </c>
      <c r="N63" s="576"/>
      <c r="O63" s="377"/>
      <c r="P63" s="569" t="str">
        <f>Sprache!$E$108</f>
        <v xml:space="preserve"> : </v>
      </c>
      <c r="Q63" s="579"/>
      <c r="R63" s="572" t="str">
        <f t="shared" ca="1" si="5"/>
        <v/>
      </c>
      <c r="S63" s="775" t="str">
        <f>Sprache!$E$108</f>
        <v xml:space="preserve"> : </v>
      </c>
      <c r="T63" s="582" t="str">
        <f t="shared" ca="1" si="6"/>
        <v/>
      </c>
      <c r="U63" s="682" t="str">
        <f>IF(Planung!$O57="","",Planung!$O57)</f>
        <v/>
      </c>
      <c r="BC63" s="42" t="b">
        <f t="shared" ca="1" si="7"/>
        <v>1</v>
      </c>
      <c r="BD63" s="42" t="b">
        <f t="shared" si="8"/>
        <v>1</v>
      </c>
      <c r="BE63" s="42" t="b">
        <f t="shared" si="9"/>
        <v>1</v>
      </c>
      <c r="BF63" s="42" t="b">
        <f t="shared" si="10"/>
        <v>1</v>
      </c>
      <c r="BG63" s="42" t="b">
        <f t="shared" si="11"/>
        <v>0</v>
      </c>
      <c r="BH63" s="42" t="b">
        <f t="shared" si="12"/>
        <v>0</v>
      </c>
      <c r="BI63" s="42" t="b">
        <f t="shared" si="13"/>
        <v>0</v>
      </c>
    </row>
    <row r="64" spans="2:61" ht="24" customHeight="1" x14ac:dyDescent="0.2">
      <c r="B64" s="374" t="str">
        <f>Planung!$E58</f>
        <v/>
      </c>
      <c r="C64" s="513" t="str">
        <f>Planung!$F58</f>
        <v/>
      </c>
      <c r="D64" s="514" t="str">
        <f>Planung!$G58</f>
        <v/>
      </c>
      <c r="E64" s="514" t="str">
        <f ca="1">Planung!$H58</f>
        <v/>
      </c>
      <c r="F64" s="380" t="str">
        <f ca="1">Planung!$L58</f>
        <v/>
      </c>
      <c r="G64" s="196" t="s">
        <v>5</v>
      </c>
      <c r="H64" s="383" t="str">
        <f ca="1">Planung!$N58</f>
        <v/>
      </c>
      <c r="I64" s="377"/>
      <c r="J64" s="569" t="str">
        <f>Sprache!$E$108</f>
        <v xml:space="preserve"> : </v>
      </c>
      <c r="K64" s="576"/>
      <c r="L64" s="377"/>
      <c r="M64" s="569" t="str">
        <f>Sprache!$E$108</f>
        <v xml:space="preserve"> : </v>
      </c>
      <c r="N64" s="576"/>
      <c r="O64" s="377"/>
      <c r="P64" s="569" t="str">
        <f>Sprache!$E$108</f>
        <v xml:space="preserve"> : </v>
      </c>
      <c r="Q64" s="579"/>
      <c r="R64" s="572" t="str">
        <f t="shared" ca="1" si="5"/>
        <v/>
      </c>
      <c r="S64" s="775" t="str">
        <f>Sprache!$E$108</f>
        <v xml:space="preserve"> : </v>
      </c>
      <c r="T64" s="582" t="str">
        <f t="shared" ca="1" si="6"/>
        <v/>
      </c>
      <c r="U64" s="682" t="str">
        <f>IF(Planung!$O58="","",Planung!$O58)</f>
        <v/>
      </c>
      <c r="BC64" s="42" t="b">
        <f t="shared" ca="1" si="7"/>
        <v>1</v>
      </c>
      <c r="BD64" s="42" t="b">
        <f t="shared" si="8"/>
        <v>1</v>
      </c>
      <c r="BE64" s="42" t="b">
        <f t="shared" si="9"/>
        <v>1</v>
      </c>
      <c r="BF64" s="42" t="b">
        <f t="shared" si="10"/>
        <v>1</v>
      </c>
      <c r="BG64" s="42" t="b">
        <f t="shared" si="11"/>
        <v>0</v>
      </c>
      <c r="BH64" s="42" t="b">
        <f t="shared" si="12"/>
        <v>0</v>
      </c>
      <c r="BI64" s="42" t="b">
        <f t="shared" si="13"/>
        <v>0</v>
      </c>
    </row>
    <row r="65" spans="2:61" ht="24" customHeight="1" x14ac:dyDescent="0.2">
      <c r="B65" s="374" t="str">
        <f>Planung!$E59</f>
        <v/>
      </c>
      <c r="C65" s="513" t="str">
        <f>Planung!$F59</f>
        <v/>
      </c>
      <c r="D65" s="514" t="str">
        <f>Planung!$G59</f>
        <v/>
      </c>
      <c r="E65" s="514" t="str">
        <f ca="1">Planung!$H59</f>
        <v/>
      </c>
      <c r="F65" s="380" t="str">
        <f ca="1">Planung!$L59</f>
        <v/>
      </c>
      <c r="G65" s="196" t="s">
        <v>5</v>
      </c>
      <c r="H65" s="383" t="str">
        <f ca="1">Planung!$N59</f>
        <v/>
      </c>
      <c r="I65" s="377"/>
      <c r="J65" s="569" t="str">
        <f>Sprache!$E$108</f>
        <v xml:space="preserve"> : </v>
      </c>
      <c r="K65" s="576"/>
      <c r="L65" s="377"/>
      <c r="M65" s="569" t="str">
        <f>Sprache!$E$108</f>
        <v xml:space="preserve"> : </v>
      </c>
      <c r="N65" s="576"/>
      <c r="O65" s="377"/>
      <c r="P65" s="569" t="str">
        <f>Sprache!$E$108</f>
        <v xml:space="preserve"> : </v>
      </c>
      <c r="Q65" s="579"/>
      <c r="R65" s="572" t="str">
        <f t="shared" ca="1" si="5"/>
        <v/>
      </c>
      <c r="S65" s="775" t="str">
        <f>Sprache!$E$108</f>
        <v xml:space="preserve"> : </v>
      </c>
      <c r="T65" s="582" t="str">
        <f t="shared" ca="1" si="6"/>
        <v/>
      </c>
      <c r="U65" s="682" t="str">
        <f>IF(Planung!$O59="","",Planung!$O59)</f>
        <v/>
      </c>
      <c r="BC65" s="42" t="b">
        <f t="shared" ca="1" si="7"/>
        <v>1</v>
      </c>
      <c r="BD65" s="42" t="b">
        <f t="shared" si="8"/>
        <v>1</v>
      </c>
      <c r="BE65" s="42" t="b">
        <f t="shared" si="9"/>
        <v>1</v>
      </c>
      <c r="BF65" s="42" t="b">
        <f t="shared" si="10"/>
        <v>1</v>
      </c>
      <c r="BG65" s="42" t="b">
        <f t="shared" si="11"/>
        <v>0</v>
      </c>
      <c r="BH65" s="42" t="b">
        <f t="shared" si="12"/>
        <v>0</v>
      </c>
      <c r="BI65" s="42" t="b">
        <f t="shared" si="13"/>
        <v>0</v>
      </c>
    </row>
    <row r="66" spans="2:61" ht="24" customHeight="1" x14ac:dyDescent="0.2">
      <c r="B66" s="374" t="str">
        <f>Planung!$E60</f>
        <v/>
      </c>
      <c r="C66" s="513" t="str">
        <f>Planung!$F60</f>
        <v/>
      </c>
      <c r="D66" s="514" t="str">
        <f>Planung!$G60</f>
        <v/>
      </c>
      <c r="E66" s="514" t="str">
        <f ca="1">Planung!$H60</f>
        <v/>
      </c>
      <c r="F66" s="380" t="str">
        <f ca="1">Planung!$L60</f>
        <v/>
      </c>
      <c r="G66" s="196" t="s">
        <v>5</v>
      </c>
      <c r="H66" s="383" t="str">
        <f ca="1">Planung!$N60</f>
        <v/>
      </c>
      <c r="I66" s="377"/>
      <c r="J66" s="569" t="str">
        <f>Sprache!$E$108</f>
        <v xml:space="preserve"> : </v>
      </c>
      <c r="K66" s="576"/>
      <c r="L66" s="377"/>
      <c r="M66" s="569" t="str">
        <f>Sprache!$E$108</f>
        <v xml:space="preserve"> : </v>
      </c>
      <c r="N66" s="576"/>
      <c r="O66" s="377"/>
      <c r="P66" s="569" t="str">
        <f>Sprache!$E$108</f>
        <v xml:space="preserve"> : </v>
      </c>
      <c r="Q66" s="579"/>
      <c r="R66" s="572" t="str">
        <f t="shared" ca="1" si="5"/>
        <v/>
      </c>
      <c r="S66" s="775" t="str">
        <f>Sprache!$E$108</f>
        <v xml:space="preserve"> : </v>
      </c>
      <c r="T66" s="582" t="str">
        <f t="shared" ca="1" si="6"/>
        <v/>
      </c>
      <c r="U66" s="682" t="str">
        <f>IF(Planung!$O60="","",Planung!$O60)</f>
        <v/>
      </c>
      <c r="BC66" s="42" t="b">
        <f t="shared" ca="1" si="7"/>
        <v>1</v>
      </c>
      <c r="BD66" s="42" t="b">
        <f t="shared" si="8"/>
        <v>1</v>
      </c>
      <c r="BE66" s="42" t="b">
        <f t="shared" si="9"/>
        <v>1</v>
      </c>
      <c r="BF66" s="42" t="b">
        <f t="shared" si="10"/>
        <v>1</v>
      </c>
      <c r="BG66" s="42" t="b">
        <f t="shared" si="11"/>
        <v>0</v>
      </c>
      <c r="BH66" s="42" t="b">
        <f t="shared" si="12"/>
        <v>0</v>
      </c>
      <c r="BI66" s="42" t="b">
        <f t="shared" si="13"/>
        <v>0</v>
      </c>
    </row>
    <row r="67" spans="2:61" ht="24" customHeight="1" x14ac:dyDescent="0.2">
      <c r="B67" s="374" t="str">
        <f>Planung!$E61</f>
        <v/>
      </c>
      <c r="C67" s="513" t="str">
        <f>Planung!$F61</f>
        <v/>
      </c>
      <c r="D67" s="514" t="str">
        <f>Planung!$G61</f>
        <v/>
      </c>
      <c r="E67" s="514" t="str">
        <f ca="1">Planung!$H61</f>
        <v/>
      </c>
      <c r="F67" s="380" t="str">
        <f ca="1">Planung!$L61</f>
        <v/>
      </c>
      <c r="G67" s="196" t="s">
        <v>5</v>
      </c>
      <c r="H67" s="383" t="str">
        <f ca="1">Planung!$N61</f>
        <v/>
      </c>
      <c r="I67" s="377"/>
      <c r="J67" s="569" t="str">
        <f>Sprache!$E$108</f>
        <v xml:space="preserve"> : </v>
      </c>
      <c r="K67" s="576"/>
      <c r="L67" s="377"/>
      <c r="M67" s="569" t="str">
        <f>Sprache!$E$108</f>
        <v xml:space="preserve"> : </v>
      </c>
      <c r="N67" s="576"/>
      <c r="O67" s="377"/>
      <c r="P67" s="569" t="str">
        <f>Sprache!$E$108</f>
        <v xml:space="preserve"> : </v>
      </c>
      <c r="Q67" s="579"/>
      <c r="R67" s="572" t="str">
        <f t="shared" ca="1" si="5"/>
        <v/>
      </c>
      <c r="S67" s="775" t="str">
        <f>Sprache!$E$108</f>
        <v xml:space="preserve"> : </v>
      </c>
      <c r="T67" s="582" t="str">
        <f t="shared" ca="1" si="6"/>
        <v/>
      </c>
      <c r="U67" s="682" t="str">
        <f>IF(Planung!$O61="","",Planung!$O61)</f>
        <v/>
      </c>
      <c r="BC67" s="42" t="b">
        <f t="shared" ca="1" si="7"/>
        <v>1</v>
      </c>
      <c r="BD67" s="42" t="b">
        <f t="shared" si="8"/>
        <v>1</v>
      </c>
      <c r="BE67" s="42" t="b">
        <f t="shared" si="9"/>
        <v>1</v>
      </c>
      <c r="BF67" s="42" t="b">
        <f t="shared" si="10"/>
        <v>1</v>
      </c>
      <c r="BG67" s="42" t="b">
        <f t="shared" si="11"/>
        <v>0</v>
      </c>
      <c r="BH67" s="42" t="b">
        <f t="shared" si="12"/>
        <v>0</v>
      </c>
      <c r="BI67" s="42" t="b">
        <f t="shared" si="13"/>
        <v>0</v>
      </c>
    </row>
    <row r="68" spans="2:61" ht="24" customHeight="1" x14ac:dyDescent="0.2">
      <c r="B68" s="374" t="str">
        <f>Planung!$E62</f>
        <v/>
      </c>
      <c r="C68" s="513" t="str">
        <f>Planung!$F62</f>
        <v/>
      </c>
      <c r="D68" s="514" t="str">
        <f>Planung!$G62</f>
        <v/>
      </c>
      <c r="E68" s="514" t="str">
        <f ca="1">Planung!$H62</f>
        <v/>
      </c>
      <c r="F68" s="380" t="str">
        <f ca="1">Planung!$L62</f>
        <v/>
      </c>
      <c r="G68" s="196" t="s">
        <v>5</v>
      </c>
      <c r="H68" s="383" t="str">
        <f ca="1">Planung!$N62</f>
        <v/>
      </c>
      <c r="I68" s="377"/>
      <c r="J68" s="569" t="str">
        <f>Sprache!$E$108</f>
        <v xml:space="preserve"> : </v>
      </c>
      <c r="K68" s="576"/>
      <c r="L68" s="377"/>
      <c r="M68" s="569" t="str">
        <f>Sprache!$E$108</f>
        <v xml:space="preserve"> : </v>
      </c>
      <c r="N68" s="576"/>
      <c r="O68" s="377"/>
      <c r="P68" s="569" t="str">
        <f>Sprache!$E$108</f>
        <v xml:space="preserve"> : </v>
      </c>
      <c r="Q68" s="579"/>
      <c r="R68" s="572" t="str">
        <f t="shared" ca="1" si="5"/>
        <v/>
      </c>
      <c r="S68" s="775" t="str">
        <f>Sprache!$E$108</f>
        <v xml:space="preserve"> : </v>
      </c>
      <c r="T68" s="582" t="str">
        <f t="shared" ca="1" si="6"/>
        <v/>
      </c>
      <c r="U68" s="682" t="str">
        <f>IF(Planung!$O62="","",Planung!$O62)</f>
        <v/>
      </c>
      <c r="BC68" s="42" t="b">
        <f t="shared" ca="1" si="7"/>
        <v>1</v>
      </c>
      <c r="BD68" s="42" t="b">
        <f t="shared" si="8"/>
        <v>1</v>
      </c>
      <c r="BE68" s="42" t="b">
        <f t="shared" si="9"/>
        <v>1</v>
      </c>
      <c r="BF68" s="42" t="b">
        <f t="shared" si="10"/>
        <v>1</v>
      </c>
      <c r="BG68" s="42" t="b">
        <f t="shared" si="11"/>
        <v>0</v>
      </c>
      <c r="BH68" s="42" t="b">
        <f t="shared" si="12"/>
        <v>0</v>
      </c>
      <c r="BI68" s="42" t="b">
        <f t="shared" si="13"/>
        <v>0</v>
      </c>
    </row>
    <row r="69" spans="2:61" ht="24" customHeight="1" x14ac:dyDescent="0.2">
      <c r="B69" s="374" t="str">
        <f>Planung!$E63</f>
        <v/>
      </c>
      <c r="C69" s="513" t="str">
        <f>Planung!$F63</f>
        <v/>
      </c>
      <c r="D69" s="514" t="str">
        <f>Planung!$G63</f>
        <v/>
      </c>
      <c r="E69" s="514" t="str">
        <f ca="1">Planung!$H63</f>
        <v/>
      </c>
      <c r="F69" s="380" t="str">
        <f ca="1">Planung!$L63</f>
        <v/>
      </c>
      <c r="G69" s="196" t="s">
        <v>5</v>
      </c>
      <c r="H69" s="383" t="str">
        <f ca="1">Planung!$N63</f>
        <v/>
      </c>
      <c r="I69" s="377"/>
      <c r="J69" s="569" t="str">
        <f>Sprache!$E$108</f>
        <v xml:space="preserve"> : </v>
      </c>
      <c r="K69" s="576"/>
      <c r="L69" s="377"/>
      <c r="M69" s="569" t="str">
        <f>Sprache!$E$108</f>
        <v xml:space="preserve"> : </v>
      </c>
      <c r="N69" s="576"/>
      <c r="O69" s="377"/>
      <c r="P69" s="569" t="str">
        <f>Sprache!$E$108</f>
        <v xml:space="preserve"> : </v>
      </c>
      <c r="Q69" s="579"/>
      <c r="R69" s="572" t="str">
        <f t="shared" ca="1" si="5"/>
        <v/>
      </c>
      <c r="S69" s="775" t="str">
        <f>Sprache!$E$108</f>
        <v xml:space="preserve"> : </v>
      </c>
      <c r="T69" s="582" t="str">
        <f t="shared" ca="1" si="6"/>
        <v/>
      </c>
      <c r="U69" s="682" t="str">
        <f>IF(Planung!$O63="","",Planung!$O63)</f>
        <v/>
      </c>
      <c r="BC69" s="42" t="b">
        <f t="shared" ca="1" si="7"/>
        <v>1</v>
      </c>
      <c r="BD69" s="42" t="b">
        <f t="shared" si="8"/>
        <v>1</v>
      </c>
      <c r="BE69" s="42" t="b">
        <f t="shared" si="9"/>
        <v>1</v>
      </c>
      <c r="BF69" s="42" t="b">
        <f t="shared" si="10"/>
        <v>1</v>
      </c>
      <c r="BG69" s="42" t="b">
        <f t="shared" si="11"/>
        <v>0</v>
      </c>
      <c r="BH69" s="42" t="b">
        <f t="shared" si="12"/>
        <v>0</v>
      </c>
      <c r="BI69" s="42" t="b">
        <f t="shared" si="13"/>
        <v>0</v>
      </c>
    </row>
    <row r="70" spans="2:61" ht="24" customHeight="1" x14ac:dyDescent="0.2">
      <c r="B70" s="374" t="str">
        <f>Planung!$E64</f>
        <v/>
      </c>
      <c r="C70" s="513" t="str">
        <f>Planung!$F64</f>
        <v/>
      </c>
      <c r="D70" s="514" t="str">
        <f>Planung!$G64</f>
        <v/>
      </c>
      <c r="E70" s="514" t="str">
        <f ca="1">Planung!$H64</f>
        <v/>
      </c>
      <c r="F70" s="380" t="str">
        <f ca="1">Planung!$L64</f>
        <v/>
      </c>
      <c r="G70" s="196" t="s">
        <v>5</v>
      </c>
      <c r="H70" s="383" t="str">
        <f ca="1">Planung!$N64</f>
        <v/>
      </c>
      <c r="I70" s="377"/>
      <c r="J70" s="569" t="str">
        <f>Sprache!$E$108</f>
        <v xml:space="preserve"> : </v>
      </c>
      <c r="K70" s="576"/>
      <c r="L70" s="377"/>
      <c r="M70" s="569" t="str">
        <f>Sprache!$E$108</f>
        <v xml:space="preserve"> : </v>
      </c>
      <c r="N70" s="576"/>
      <c r="O70" s="377"/>
      <c r="P70" s="569" t="str">
        <f>Sprache!$E$108</f>
        <v xml:space="preserve"> : </v>
      </c>
      <c r="Q70" s="579"/>
      <c r="R70" s="572" t="str">
        <f t="shared" ca="1" si="5"/>
        <v/>
      </c>
      <c r="S70" s="775" t="str">
        <f>Sprache!$E$108</f>
        <v xml:space="preserve"> : </v>
      </c>
      <c r="T70" s="582" t="str">
        <f t="shared" ca="1" si="6"/>
        <v/>
      </c>
      <c r="U70" s="682" t="str">
        <f>IF(Planung!$O64="","",Planung!$O64)</f>
        <v/>
      </c>
      <c r="BC70" s="42" t="b">
        <f t="shared" ca="1" si="7"/>
        <v>1</v>
      </c>
      <c r="BD70" s="42" t="b">
        <f t="shared" si="8"/>
        <v>1</v>
      </c>
      <c r="BE70" s="42" t="b">
        <f t="shared" si="9"/>
        <v>1</v>
      </c>
      <c r="BF70" s="42" t="b">
        <f t="shared" si="10"/>
        <v>1</v>
      </c>
      <c r="BG70" s="42" t="b">
        <f t="shared" si="11"/>
        <v>0</v>
      </c>
      <c r="BH70" s="42" t="b">
        <f t="shared" si="12"/>
        <v>0</v>
      </c>
      <c r="BI70" s="42" t="b">
        <f t="shared" si="13"/>
        <v>0</v>
      </c>
    </row>
    <row r="71" spans="2:61" ht="24" customHeight="1" x14ac:dyDescent="0.2">
      <c r="B71" s="374" t="str">
        <f>Planung!$E65</f>
        <v/>
      </c>
      <c r="C71" s="513" t="str">
        <f>Planung!$F65</f>
        <v/>
      </c>
      <c r="D71" s="514" t="str">
        <f>Planung!$G65</f>
        <v/>
      </c>
      <c r="E71" s="514" t="str">
        <f ca="1">Planung!$H65</f>
        <v/>
      </c>
      <c r="F71" s="380" t="str">
        <f ca="1">Planung!$L65</f>
        <v/>
      </c>
      <c r="G71" s="196" t="s">
        <v>5</v>
      </c>
      <c r="H71" s="383" t="str">
        <f ca="1">Planung!$N65</f>
        <v/>
      </c>
      <c r="I71" s="377"/>
      <c r="J71" s="569" t="str">
        <f>Sprache!$E$108</f>
        <v xml:space="preserve"> : </v>
      </c>
      <c r="K71" s="576"/>
      <c r="L71" s="377"/>
      <c r="M71" s="569" t="str">
        <f>Sprache!$E$108</f>
        <v xml:space="preserve"> : </v>
      </c>
      <c r="N71" s="576"/>
      <c r="O71" s="377"/>
      <c r="P71" s="569" t="str">
        <f>Sprache!$E$108</f>
        <v xml:space="preserve"> : </v>
      </c>
      <c r="Q71" s="579"/>
      <c r="R71" s="572" t="str">
        <f t="shared" ca="1" si="5"/>
        <v/>
      </c>
      <c r="S71" s="775" t="str">
        <f>Sprache!$E$108</f>
        <v xml:space="preserve"> : </v>
      </c>
      <c r="T71" s="582" t="str">
        <f t="shared" ca="1" si="6"/>
        <v/>
      </c>
      <c r="U71" s="682" t="str">
        <f>IF(Planung!$O65="","",Planung!$O65)</f>
        <v/>
      </c>
      <c r="BC71" s="42" t="b">
        <f t="shared" ca="1" si="7"/>
        <v>1</v>
      </c>
      <c r="BD71" s="42" t="b">
        <f t="shared" si="8"/>
        <v>1</v>
      </c>
      <c r="BE71" s="42" t="b">
        <f t="shared" si="9"/>
        <v>1</v>
      </c>
      <c r="BF71" s="42" t="b">
        <f t="shared" si="10"/>
        <v>1</v>
      </c>
      <c r="BG71" s="42" t="b">
        <f t="shared" si="11"/>
        <v>0</v>
      </c>
      <c r="BH71" s="42" t="b">
        <f t="shared" si="12"/>
        <v>0</v>
      </c>
      <c r="BI71" s="42" t="b">
        <f t="shared" si="13"/>
        <v>0</v>
      </c>
    </row>
    <row r="72" spans="2:61" ht="24" customHeight="1" x14ac:dyDescent="0.2">
      <c r="B72" s="374" t="str">
        <f>Planung!$E66</f>
        <v/>
      </c>
      <c r="C72" s="513" t="str">
        <f>Planung!$F66</f>
        <v/>
      </c>
      <c r="D72" s="514" t="str">
        <f>Planung!$G66</f>
        <v/>
      </c>
      <c r="E72" s="514" t="str">
        <f ca="1">Planung!$H66</f>
        <v/>
      </c>
      <c r="F72" s="380" t="str">
        <f ca="1">Planung!$L66</f>
        <v/>
      </c>
      <c r="G72" s="196" t="s">
        <v>5</v>
      </c>
      <c r="H72" s="383" t="str">
        <f ca="1">Planung!$N66</f>
        <v/>
      </c>
      <c r="I72" s="377"/>
      <c r="J72" s="569" t="str">
        <f>Sprache!$E$108</f>
        <v xml:space="preserve"> : </v>
      </c>
      <c r="K72" s="576"/>
      <c r="L72" s="377"/>
      <c r="M72" s="569" t="str">
        <f>Sprache!$E$108</f>
        <v xml:space="preserve"> : </v>
      </c>
      <c r="N72" s="576"/>
      <c r="O72" s="377"/>
      <c r="P72" s="569" t="str">
        <f>Sprache!$E$108</f>
        <v xml:space="preserve"> : </v>
      </c>
      <c r="Q72" s="579"/>
      <c r="R72" s="572" t="str">
        <f t="shared" ca="1" si="5"/>
        <v/>
      </c>
      <c r="S72" s="775" t="str">
        <f>Sprache!$E$108</f>
        <v xml:space="preserve"> : </v>
      </c>
      <c r="T72" s="582" t="str">
        <f t="shared" ca="1" si="6"/>
        <v/>
      </c>
      <c r="U72" s="682" t="str">
        <f>IF(Planung!$O66="","",Planung!$O66)</f>
        <v/>
      </c>
      <c r="BC72" s="42" t="b">
        <f t="shared" ca="1" si="7"/>
        <v>1</v>
      </c>
      <c r="BD72" s="42" t="b">
        <f t="shared" si="8"/>
        <v>1</v>
      </c>
      <c r="BE72" s="42" t="b">
        <f t="shared" si="9"/>
        <v>1</v>
      </c>
      <c r="BF72" s="42" t="b">
        <f t="shared" si="10"/>
        <v>1</v>
      </c>
      <c r="BG72" s="42" t="b">
        <f t="shared" si="11"/>
        <v>0</v>
      </c>
      <c r="BH72" s="42" t="b">
        <f t="shared" si="12"/>
        <v>0</v>
      </c>
      <c r="BI72" s="42" t="b">
        <f t="shared" si="13"/>
        <v>0</v>
      </c>
    </row>
    <row r="73" spans="2:61" ht="24" customHeight="1" x14ac:dyDescent="0.2">
      <c r="B73" s="374" t="str">
        <f>Planung!$E67</f>
        <v/>
      </c>
      <c r="C73" s="513" t="str">
        <f>Planung!$F67</f>
        <v/>
      </c>
      <c r="D73" s="514" t="str">
        <f>Planung!$G67</f>
        <v/>
      </c>
      <c r="E73" s="514" t="str">
        <f ca="1">Planung!$H67</f>
        <v/>
      </c>
      <c r="F73" s="380" t="str">
        <f ca="1">Planung!$L67</f>
        <v/>
      </c>
      <c r="G73" s="196" t="s">
        <v>5</v>
      </c>
      <c r="H73" s="383" t="str">
        <f ca="1">Planung!$N67</f>
        <v/>
      </c>
      <c r="I73" s="377"/>
      <c r="J73" s="569" t="str">
        <f>Sprache!$E$108</f>
        <v xml:space="preserve"> : </v>
      </c>
      <c r="K73" s="576"/>
      <c r="L73" s="377"/>
      <c r="M73" s="569" t="str">
        <f>Sprache!$E$108</f>
        <v xml:space="preserve"> : </v>
      </c>
      <c r="N73" s="576"/>
      <c r="O73" s="377"/>
      <c r="P73" s="569" t="str">
        <f>Sprache!$E$108</f>
        <v xml:space="preserve"> : </v>
      </c>
      <c r="Q73" s="579"/>
      <c r="R73" s="572" t="str">
        <f t="shared" ca="1" si="5"/>
        <v/>
      </c>
      <c r="S73" s="775" t="str">
        <f>Sprache!$E$108</f>
        <v xml:space="preserve"> : </v>
      </c>
      <c r="T73" s="582" t="str">
        <f t="shared" ca="1" si="6"/>
        <v/>
      </c>
      <c r="U73" s="682" t="str">
        <f>IF(Planung!$O67="","",Planung!$O67)</f>
        <v/>
      </c>
      <c r="BC73" s="42" t="b">
        <f t="shared" ca="1" si="7"/>
        <v>1</v>
      </c>
      <c r="BD73" s="42" t="b">
        <f t="shared" si="8"/>
        <v>1</v>
      </c>
      <c r="BE73" s="42" t="b">
        <f t="shared" si="9"/>
        <v>1</v>
      </c>
      <c r="BF73" s="42" t="b">
        <f t="shared" si="10"/>
        <v>1</v>
      </c>
      <c r="BG73" s="42" t="b">
        <f t="shared" si="11"/>
        <v>0</v>
      </c>
      <c r="BH73" s="42" t="b">
        <f t="shared" si="12"/>
        <v>0</v>
      </c>
      <c r="BI73" s="42" t="b">
        <f t="shared" si="13"/>
        <v>0</v>
      </c>
    </row>
    <row r="74" spans="2:61" ht="24" customHeight="1" x14ac:dyDescent="0.2">
      <c r="B74" s="374" t="str">
        <f>Planung!$E68</f>
        <v/>
      </c>
      <c r="C74" s="513" t="str">
        <f>Planung!$F68</f>
        <v/>
      </c>
      <c r="D74" s="514" t="str">
        <f>Planung!$G68</f>
        <v/>
      </c>
      <c r="E74" s="514" t="str">
        <f ca="1">Planung!$H68</f>
        <v/>
      </c>
      <c r="F74" s="380" t="str">
        <f ca="1">Planung!$L68</f>
        <v/>
      </c>
      <c r="G74" s="196" t="s">
        <v>5</v>
      </c>
      <c r="H74" s="383" t="str">
        <f ca="1">Planung!$N68</f>
        <v/>
      </c>
      <c r="I74" s="377"/>
      <c r="J74" s="569" t="str">
        <f>Sprache!$E$108</f>
        <v xml:space="preserve"> : </v>
      </c>
      <c r="K74" s="576"/>
      <c r="L74" s="377"/>
      <c r="M74" s="569" t="str">
        <f>Sprache!$E$108</f>
        <v xml:space="preserve"> : </v>
      </c>
      <c r="N74" s="576"/>
      <c r="O74" s="377"/>
      <c r="P74" s="569" t="str">
        <f>Sprache!$E$108</f>
        <v xml:space="preserve"> : </v>
      </c>
      <c r="Q74" s="579"/>
      <c r="R74" s="572" t="str">
        <f t="shared" ca="1" si="5"/>
        <v/>
      </c>
      <c r="S74" s="775" t="str">
        <f>Sprache!$E$108</f>
        <v xml:space="preserve"> : </v>
      </c>
      <c r="T74" s="582" t="str">
        <f t="shared" ca="1" si="6"/>
        <v/>
      </c>
      <c r="U74" s="682" t="str">
        <f>IF(Planung!$O68="","",Planung!$O68)</f>
        <v/>
      </c>
      <c r="BC74" s="42" t="b">
        <f t="shared" ca="1" si="7"/>
        <v>1</v>
      </c>
      <c r="BD74" s="42" t="b">
        <f t="shared" si="8"/>
        <v>1</v>
      </c>
      <c r="BE74" s="42" t="b">
        <f t="shared" si="9"/>
        <v>1</v>
      </c>
      <c r="BF74" s="42" t="b">
        <f t="shared" si="10"/>
        <v>1</v>
      </c>
      <c r="BG74" s="42" t="b">
        <f t="shared" si="11"/>
        <v>0</v>
      </c>
      <c r="BH74" s="42" t="b">
        <f t="shared" si="12"/>
        <v>0</v>
      </c>
      <c r="BI74" s="42" t="b">
        <f t="shared" si="13"/>
        <v>0</v>
      </c>
    </row>
    <row r="75" spans="2:61" ht="24" customHeight="1" x14ac:dyDescent="0.2">
      <c r="B75" s="374" t="str">
        <f>Planung!$E69</f>
        <v/>
      </c>
      <c r="C75" s="513" t="str">
        <f>Planung!$F69</f>
        <v/>
      </c>
      <c r="D75" s="514" t="str">
        <f>Planung!$G69</f>
        <v/>
      </c>
      <c r="E75" s="514" t="str">
        <f ca="1">Planung!$H69</f>
        <v/>
      </c>
      <c r="F75" s="380" t="str">
        <f ca="1">Planung!$L69</f>
        <v/>
      </c>
      <c r="G75" s="196" t="s">
        <v>5</v>
      </c>
      <c r="H75" s="383" t="str">
        <f ca="1">Planung!$N69</f>
        <v/>
      </c>
      <c r="I75" s="377"/>
      <c r="J75" s="569" t="str">
        <f>Sprache!$E$108</f>
        <v xml:space="preserve"> : </v>
      </c>
      <c r="K75" s="576"/>
      <c r="L75" s="377"/>
      <c r="M75" s="569" t="str">
        <f>Sprache!$E$108</f>
        <v xml:space="preserve"> : </v>
      </c>
      <c r="N75" s="576"/>
      <c r="O75" s="377"/>
      <c r="P75" s="569" t="str">
        <f>Sprache!$E$108</f>
        <v xml:space="preserve"> : </v>
      </c>
      <c r="Q75" s="579"/>
      <c r="R75" s="572" t="str">
        <f t="shared" ca="1" si="5"/>
        <v/>
      </c>
      <c r="S75" s="775" t="str">
        <f>Sprache!$E$108</f>
        <v xml:space="preserve"> : </v>
      </c>
      <c r="T75" s="582" t="str">
        <f t="shared" ca="1" si="6"/>
        <v/>
      </c>
      <c r="U75" s="682" t="str">
        <f>IF(Planung!$O69="","",Planung!$O69)</f>
        <v/>
      </c>
      <c r="BC75" s="42" t="b">
        <f t="shared" ca="1" si="7"/>
        <v>1</v>
      </c>
      <c r="BD75" s="42" t="b">
        <f t="shared" si="8"/>
        <v>1</v>
      </c>
      <c r="BE75" s="42" t="b">
        <f t="shared" si="9"/>
        <v>1</v>
      </c>
      <c r="BF75" s="42" t="b">
        <f t="shared" si="10"/>
        <v>1</v>
      </c>
      <c r="BG75" s="42" t="b">
        <f t="shared" si="11"/>
        <v>0</v>
      </c>
      <c r="BH75" s="42" t="b">
        <f t="shared" si="12"/>
        <v>0</v>
      </c>
      <c r="BI75" s="42" t="b">
        <f t="shared" si="13"/>
        <v>0</v>
      </c>
    </row>
    <row r="76" spans="2:61" ht="24" customHeight="1" x14ac:dyDescent="0.2">
      <c r="B76" s="374" t="str">
        <f>Planung!$E70</f>
        <v/>
      </c>
      <c r="C76" s="513" t="str">
        <f>Planung!$F70</f>
        <v/>
      </c>
      <c r="D76" s="514" t="str">
        <f>Planung!$G70</f>
        <v/>
      </c>
      <c r="E76" s="514" t="str">
        <f ca="1">Planung!$H70</f>
        <v/>
      </c>
      <c r="F76" s="380" t="str">
        <f ca="1">Planung!$L70</f>
        <v/>
      </c>
      <c r="G76" s="196" t="s">
        <v>5</v>
      </c>
      <c r="H76" s="383" t="str">
        <f ca="1">Planung!$N70</f>
        <v/>
      </c>
      <c r="I76" s="377"/>
      <c r="J76" s="569" t="str">
        <f>Sprache!$E$108</f>
        <v xml:space="preserve"> : </v>
      </c>
      <c r="K76" s="576"/>
      <c r="L76" s="377"/>
      <c r="M76" s="569" t="str">
        <f>Sprache!$E$108</f>
        <v xml:space="preserve"> : </v>
      </c>
      <c r="N76" s="576"/>
      <c r="O76" s="377"/>
      <c r="P76" s="569" t="str">
        <f>Sprache!$E$108</f>
        <v xml:space="preserve"> : </v>
      </c>
      <c r="Q76" s="579"/>
      <c r="R76" s="572" t="str">
        <f t="shared" ca="1" si="5"/>
        <v/>
      </c>
      <c r="S76" s="775" t="str">
        <f>Sprache!$E$108</f>
        <v xml:space="preserve"> : </v>
      </c>
      <c r="T76" s="582" t="str">
        <f t="shared" ca="1" si="6"/>
        <v/>
      </c>
      <c r="U76" s="682" t="str">
        <f>IF(Planung!$O70="","",Planung!$O70)</f>
        <v/>
      </c>
      <c r="BC76" s="42" t="b">
        <f t="shared" ca="1" si="7"/>
        <v>1</v>
      </c>
      <c r="BD76" s="42" t="b">
        <f t="shared" si="8"/>
        <v>1</v>
      </c>
      <c r="BE76" s="42" t="b">
        <f t="shared" si="9"/>
        <v>1</v>
      </c>
      <c r="BF76" s="42" t="b">
        <f t="shared" si="10"/>
        <v>1</v>
      </c>
      <c r="BG76" s="42" t="b">
        <f t="shared" si="11"/>
        <v>0</v>
      </c>
      <c r="BH76" s="42" t="b">
        <f t="shared" si="12"/>
        <v>0</v>
      </c>
      <c r="BI76" s="42" t="b">
        <f t="shared" si="13"/>
        <v>0</v>
      </c>
    </row>
    <row r="77" spans="2:61" ht="24" customHeight="1" x14ac:dyDescent="0.2">
      <c r="B77" s="374" t="str">
        <f>Planung!$E71</f>
        <v/>
      </c>
      <c r="C77" s="513" t="str">
        <f>Planung!$F71</f>
        <v/>
      </c>
      <c r="D77" s="514" t="str">
        <f>Planung!$G71</f>
        <v/>
      </c>
      <c r="E77" s="514" t="str">
        <f ca="1">Planung!$H71</f>
        <v/>
      </c>
      <c r="F77" s="380" t="str">
        <f ca="1">Planung!$L71</f>
        <v/>
      </c>
      <c r="G77" s="196" t="s">
        <v>5</v>
      </c>
      <c r="H77" s="383" t="str">
        <f ca="1">Planung!$N71</f>
        <v/>
      </c>
      <c r="I77" s="377"/>
      <c r="J77" s="569" t="str">
        <f>Sprache!$E$108</f>
        <v xml:space="preserve"> : </v>
      </c>
      <c r="K77" s="576"/>
      <c r="L77" s="377"/>
      <c r="M77" s="569" t="str">
        <f>Sprache!$E$108</f>
        <v xml:space="preserve"> : </v>
      </c>
      <c r="N77" s="576"/>
      <c r="O77" s="377"/>
      <c r="P77" s="569" t="str">
        <f>Sprache!$E$108</f>
        <v xml:space="preserve"> : </v>
      </c>
      <c r="Q77" s="579"/>
      <c r="R77" s="572" t="str">
        <f t="shared" ref="R77:R83" ca="1" si="19">IF(BC77,"",(I77&lt;&gt;"")*(K77&lt;&gt;"")*NOT(BD77)*((I77&gt;K77)+(I77=K77)*0.5)+(L77&lt;&gt;"")*(N77&lt;&gt;"")*NOT(BE77)*((L77&gt;N77)+(L77=N77)*0.5)+(O77&lt;&gt;"")*(Q77&lt;&gt;"")*NOT(BF77)*((O77&gt;Q77)+(O77=Q77)*0.5))</f>
        <v/>
      </c>
      <c r="S77" s="775" t="str">
        <f>Sprache!$E$108</f>
        <v xml:space="preserve"> : </v>
      </c>
      <c r="T77" s="582" t="str">
        <f t="shared" ref="T77:T83" ca="1" si="20">IF(BC77,"",(I77&lt;&gt;"")*(K77&lt;&gt;"")*NOT(BD77)*((I77&lt;K77)+(I77=K77)*0.5)+(L77&lt;&gt;"")*(N77&lt;&gt;"")*NOT(BE77)*((L77&lt;N77)+(L77=N77)*0.5)+(O77&lt;&gt;"")*(Q77&lt;&gt;"")*NOT(BF77)*((O77&lt;Q77)+(O77=Q77)*0.5))</f>
        <v/>
      </c>
      <c r="U77" s="682" t="str">
        <f>IF(Planung!$O71="","",Planung!$O71)</f>
        <v/>
      </c>
      <c r="BC77" s="42" t="b">
        <f t="shared" ref="BC77:BC83" ca="1" si="21">OR(F77="",H77="",AND(OR(I77="",K77="",BD77),OR(L77="",N77="",BE77),OR(O77="",Q77="",BF77)))</f>
        <v>1</v>
      </c>
      <c r="BD77" s="42" t="b">
        <f t="shared" ref="BD77:BD83" si="22">ABS(I77-K77)&lt;2*$BC$10</f>
        <v>1</v>
      </c>
      <c r="BE77" s="42" t="b">
        <f t="shared" ref="BE77:BE83" si="23">ABS(L77-N77)&lt;2*$BC$10</f>
        <v>1</v>
      </c>
      <c r="BF77" s="42" t="b">
        <f t="shared" ref="BF77:BF83" si="24">ABS(O77-Q77)&lt;2*$BC$10</f>
        <v>1</v>
      </c>
      <c r="BG77" s="42" t="b">
        <f t="shared" ref="BG77:BG83" si="25">AND(BD77,I77&lt;&gt;"",K77&lt;&gt;"")</f>
        <v>0</v>
      </c>
      <c r="BH77" s="42" t="b">
        <f t="shared" ref="BH77:BH83" si="26">AND(BE77,L77&lt;&gt;"",N77&lt;&gt;"")</f>
        <v>0</v>
      </c>
      <c r="BI77" s="42" t="b">
        <f t="shared" ref="BI77:BI83" si="27">AND(BF77,O77&lt;&gt;"",Q77&lt;&gt;"")</f>
        <v>0</v>
      </c>
    </row>
    <row r="78" spans="2:61" ht="24" customHeight="1" x14ac:dyDescent="0.2">
      <c r="B78" s="374" t="str">
        <f>Planung!$E72</f>
        <v/>
      </c>
      <c r="C78" s="513" t="str">
        <f>Planung!$F72</f>
        <v/>
      </c>
      <c r="D78" s="514" t="str">
        <f>Planung!$G72</f>
        <v/>
      </c>
      <c r="E78" s="514" t="str">
        <f ca="1">Planung!$H72</f>
        <v/>
      </c>
      <c r="F78" s="380" t="str">
        <f ca="1">Planung!$L72</f>
        <v/>
      </c>
      <c r="G78" s="196" t="s">
        <v>5</v>
      </c>
      <c r="H78" s="383" t="str">
        <f ca="1">Planung!$N72</f>
        <v/>
      </c>
      <c r="I78" s="377"/>
      <c r="J78" s="569" t="str">
        <f>Sprache!$E$108</f>
        <v xml:space="preserve"> : </v>
      </c>
      <c r="K78" s="576"/>
      <c r="L78" s="377"/>
      <c r="M78" s="569" t="str">
        <f>Sprache!$E$108</f>
        <v xml:space="preserve"> : </v>
      </c>
      <c r="N78" s="576"/>
      <c r="O78" s="377"/>
      <c r="P78" s="569" t="str">
        <f>Sprache!$E$108</f>
        <v xml:space="preserve"> : </v>
      </c>
      <c r="Q78" s="579"/>
      <c r="R78" s="572" t="str">
        <f t="shared" ca="1" si="19"/>
        <v/>
      </c>
      <c r="S78" s="775" t="str">
        <f>Sprache!$E$108</f>
        <v xml:space="preserve"> : </v>
      </c>
      <c r="T78" s="582" t="str">
        <f t="shared" ca="1" si="20"/>
        <v/>
      </c>
      <c r="U78" s="682" t="str">
        <f>IF(Planung!$O72="","",Planung!$O72)</f>
        <v/>
      </c>
      <c r="BC78" s="42" t="b">
        <f t="shared" ca="1" si="21"/>
        <v>1</v>
      </c>
      <c r="BD78" s="42" t="b">
        <f t="shared" si="22"/>
        <v>1</v>
      </c>
      <c r="BE78" s="42" t="b">
        <f t="shared" si="23"/>
        <v>1</v>
      </c>
      <c r="BF78" s="42" t="b">
        <f t="shared" si="24"/>
        <v>1</v>
      </c>
      <c r="BG78" s="42" t="b">
        <f t="shared" si="25"/>
        <v>0</v>
      </c>
      <c r="BH78" s="42" t="b">
        <f t="shared" si="26"/>
        <v>0</v>
      </c>
      <c r="BI78" s="42" t="b">
        <f t="shared" si="27"/>
        <v>0</v>
      </c>
    </row>
    <row r="79" spans="2:61" ht="24" customHeight="1" x14ac:dyDescent="0.2">
      <c r="B79" s="374" t="str">
        <f>Planung!$E73</f>
        <v/>
      </c>
      <c r="C79" s="513" t="str">
        <f>Planung!$F73</f>
        <v/>
      </c>
      <c r="D79" s="514" t="str">
        <f>Planung!$G73</f>
        <v/>
      </c>
      <c r="E79" s="514" t="str">
        <f ca="1">Planung!$H73</f>
        <v/>
      </c>
      <c r="F79" s="380" t="str">
        <f ca="1">Planung!$L73</f>
        <v/>
      </c>
      <c r="G79" s="196" t="s">
        <v>5</v>
      </c>
      <c r="H79" s="383" t="str">
        <f ca="1">Planung!$N73</f>
        <v/>
      </c>
      <c r="I79" s="377"/>
      <c r="J79" s="569" t="str">
        <f>Sprache!$E$108</f>
        <v xml:space="preserve"> : </v>
      </c>
      <c r="K79" s="576"/>
      <c r="L79" s="377"/>
      <c r="M79" s="569" t="str">
        <f>Sprache!$E$108</f>
        <v xml:space="preserve"> : </v>
      </c>
      <c r="N79" s="576"/>
      <c r="O79" s="377"/>
      <c r="P79" s="569" t="str">
        <f>Sprache!$E$108</f>
        <v xml:space="preserve"> : </v>
      </c>
      <c r="Q79" s="579"/>
      <c r="R79" s="572" t="str">
        <f t="shared" ca="1" si="19"/>
        <v/>
      </c>
      <c r="S79" s="775" t="str">
        <f>Sprache!$E$108</f>
        <v xml:space="preserve"> : </v>
      </c>
      <c r="T79" s="582" t="str">
        <f t="shared" ca="1" si="20"/>
        <v/>
      </c>
      <c r="U79" s="682" t="str">
        <f>IF(Planung!$O73="","",Planung!$O73)</f>
        <v/>
      </c>
      <c r="BC79" s="42" t="b">
        <f t="shared" ca="1" si="21"/>
        <v>1</v>
      </c>
      <c r="BD79" s="42" t="b">
        <f t="shared" si="22"/>
        <v>1</v>
      </c>
      <c r="BE79" s="42" t="b">
        <f t="shared" si="23"/>
        <v>1</v>
      </c>
      <c r="BF79" s="42" t="b">
        <f t="shared" si="24"/>
        <v>1</v>
      </c>
      <c r="BG79" s="42" t="b">
        <f t="shared" si="25"/>
        <v>0</v>
      </c>
      <c r="BH79" s="42" t="b">
        <f t="shared" si="26"/>
        <v>0</v>
      </c>
      <c r="BI79" s="42" t="b">
        <f t="shared" si="27"/>
        <v>0</v>
      </c>
    </row>
    <row r="80" spans="2:61" ht="24" customHeight="1" x14ac:dyDescent="0.2">
      <c r="B80" s="374" t="str">
        <f>Planung!$E74</f>
        <v/>
      </c>
      <c r="C80" s="513" t="str">
        <f>Planung!$F74</f>
        <v/>
      </c>
      <c r="D80" s="514" t="str">
        <f>Planung!$G74</f>
        <v/>
      </c>
      <c r="E80" s="514" t="str">
        <f ca="1">Planung!$H74</f>
        <v/>
      </c>
      <c r="F80" s="380" t="str">
        <f ca="1">Planung!$L74</f>
        <v/>
      </c>
      <c r="G80" s="196" t="s">
        <v>5</v>
      </c>
      <c r="H80" s="383" t="str">
        <f ca="1">Planung!$N74</f>
        <v/>
      </c>
      <c r="I80" s="377"/>
      <c r="J80" s="569" t="str">
        <f>Sprache!$E$108</f>
        <v xml:space="preserve"> : </v>
      </c>
      <c r="K80" s="576"/>
      <c r="L80" s="377"/>
      <c r="M80" s="569" t="str">
        <f>Sprache!$E$108</f>
        <v xml:space="preserve"> : </v>
      </c>
      <c r="N80" s="576"/>
      <c r="O80" s="377"/>
      <c r="P80" s="569" t="str">
        <f>Sprache!$E$108</f>
        <v xml:space="preserve"> : </v>
      </c>
      <c r="Q80" s="579"/>
      <c r="R80" s="572" t="str">
        <f t="shared" ca="1" si="19"/>
        <v/>
      </c>
      <c r="S80" s="775" t="str">
        <f>Sprache!$E$108</f>
        <v xml:space="preserve"> : </v>
      </c>
      <c r="T80" s="582" t="str">
        <f t="shared" ca="1" si="20"/>
        <v/>
      </c>
      <c r="U80" s="682" t="str">
        <f>IF(Planung!$O74="","",Planung!$O74)</f>
        <v/>
      </c>
      <c r="BC80" s="42" t="b">
        <f t="shared" ca="1" si="21"/>
        <v>1</v>
      </c>
      <c r="BD80" s="42" t="b">
        <f t="shared" si="22"/>
        <v>1</v>
      </c>
      <c r="BE80" s="42" t="b">
        <f t="shared" si="23"/>
        <v>1</v>
      </c>
      <c r="BF80" s="42" t="b">
        <f t="shared" si="24"/>
        <v>1</v>
      </c>
      <c r="BG80" s="42" t="b">
        <f t="shared" si="25"/>
        <v>0</v>
      </c>
      <c r="BH80" s="42" t="b">
        <f t="shared" si="26"/>
        <v>0</v>
      </c>
      <c r="BI80" s="42" t="b">
        <f t="shared" si="27"/>
        <v>0</v>
      </c>
    </row>
    <row r="81" spans="2:61" ht="24" customHeight="1" x14ac:dyDescent="0.2">
      <c r="B81" s="374" t="str">
        <f>Planung!$E75</f>
        <v/>
      </c>
      <c r="C81" s="513" t="str">
        <f>Planung!$F75</f>
        <v/>
      </c>
      <c r="D81" s="514" t="str">
        <f>Planung!$G75</f>
        <v/>
      </c>
      <c r="E81" s="514" t="str">
        <f ca="1">Planung!$H75</f>
        <v/>
      </c>
      <c r="F81" s="380" t="str">
        <f ca="1">Planung!$L75</f>
        <v/>
      </c>
      <c r="G81" s="196" t="s">
        <v>5</v>
      </c>
      <c r="H81" s="383" t="str">
        <f ca="1">Planung!$N75</f>
        <v/>
      </c>
      <c r="I81" s="377"/>
      <c r="J81" s="569" t="str">
        <f>Sprache!$E$108</f>
        <v xml:space="preserve"> : </v>
      </c>
      <c r="K81" s="576"/>
      <c r="L81" s="377"/>
      <c r="M81" s="569" t="str">
        <f>Sprache!$E$108</f>
        <v xml:space="preserve"> : </v>
      </c>
      <c r="N81" s="576"/>
      <c r="O81" s="377"/>
      <c r="P81" s="569" t="str">
        <f>Sprache!$E$108</f>
        <v xml:space="preserve"> : </v>
      </c>
      <c r="Q81" s="579"/>
      <c r="R81" s="572" t="str">
        <f t="shared" ca="1" si="19"/>
        <v/>
      </c>
      <c r="S81" s="775" t="str">
        <f>Sprache!$E$108</f>
        <v xml:space="preserve"> : </v>
      </c>
      <c r="T81" s="582" t="str">
        <f t="shared" ca="1" si="20"/>
        <v/>
      </c>
      <c r="U81" s="682" t="str">
        <f>IF(Planung!$O75="","",Planung!$O75)</f>
        <v/>
      </c>
      <c r="BC81" s="42" t="b">
        <f t="shared" ca="1" si="21"/>
        <v>1</v>
      </c>
      <c r="BD81" s="42" t="b">
        <f t="shared" si="22"/>
        <v>1</v>
      </c>
      <c r="BE81" s="42" t="b">
        <f t="shared" si="23"/>
        <v>1</v>
      </c>
      <c r="BF81" s="42" t="b">
        <f t="shared" si="24"/>
        <v>1</v>
      </c>
      <c r="BG81" s="42" t="b">
        <f t="shared" si="25"/>
        <v>0</v>
      </c>
      <c r="BH81" s="42" t="b">
        <f t="shared" si="26"/>
        <v>0</v>
      </c>
      <c r="BI81" s="42" t="b">
        <f t="shared" si="27"/>
        <v>0</v>
      </c>
    </row>
    <row r="82" spans="2:61" ht="24" customHeight="1" x14ac:dyDescent="0.2">
      <c r="B82" s="374" t="str">
        <f>Planung!$E76</f>
        <v/>
      </c>
      <c r="C82" s="513" t="str">
        <f>Planung!$F76</f>
        <v/>
      </c>
      <c r="D82" s="514" t="str">
        <f>Planung!$G76</f>
        <v/>
      </c>
      <c r="E82" s="514" t="str">
        <f ca="1">Planung!$H76</f>
        <v/>
      </c>
      <c r="F82" s="380" t="str">
        <f ca="1">Planung!$L76</f>
        <v/>
      </c>
      <c r="G82" s="196" t="s">
        <v>5</v>
      </c>
      <c r="H82" s="383" t="str">
        <f ca="1">Planung!$N76</f>
        <v/>
      </c>
      <c r="I82" s="377"/>
      <c r="J82" s="569" t="str">
        <f>Sprache!$E$108</f>
        <v xml:space="preserve"> : </v>
      </c>
      <c r="K82" s="576"/>
      <c r="L82" s="377"/>
      <c r="M82" s="569" t="str">
        <f>Sprache!$E$108</f>
        <v xml:space="preserve"> : </v>
      </c>
      <c r="N82" s="576"/>
      <c r="O82" s="377"/>
      <c r="P82" s="569" t="str">
        <f>Sprache!$E$108</f>
        <v xml:space="preserve"> : </v>
      </c>
      <c r="Q82" s="579"/>
      <c r="R82" s="572" t="str">
        <f t="shared" ca="1" si="19"/>
        <v/>
      </c>
      <c r="S82" s="775" t="str">
        <f>Sprache!$E$108</f>
        <v xml:space="preserve"> : </v>
      </c>
      <c r="T82" s="582" t="str">
        <f t="shared" ca="1" si="20"/>
        <v/>
      </c>
      <c r="U82" s="682" t="str">
        <f>IF(Planung!$O76="","",Planung!$O76)</f>
        <v/>
      </c>
      <c r="BC82" s="42" t="b">
        <f t="shared" ca="1" si="21"/>
        <v>1</v>
      </c>
      <c r="BD82" s="42" t="b">
        <f t="shared" si="22"/>
        <v>1</v>
      </c>
      <c r="BE82" s="42" t="b">
        <f t="shared" si="23"/>
        <v>1</v>
      </c>
      <c r="BF82" s="42" t="b">
        <f t="shared" si="24"/>
        <v>1</v>
      </c>
      <c r="BG82" s="42" t="b">
        <f t="shared" si="25"/>
        <v>0</v>
      </c>
      <c r="BH82" s="42" t="b">
        <f t="shared" si="26"/>
        <v>0</v>
      </c>
      <c r="BI82" s="42" t="b">
        <f t="shared" si="27"/>
        <v>0</v>
      </c>
    </row>
    <row r="83" spans="2:61" ht="24" customHeight="1" thickBot="1" x14ac:dyDescent="0.25">
      <c r="B83" s="375" t="str">
        <f>Planung!$E77</f>
        <v/>
      </c>
      <c r="C83" s="515" t="str">
        <f>Planung!$F77</f>
        <v/>
      </c>
      <c r="D83" s="516" t="str">
        <f>Planung!$G77</f>
        <v/>
      </c>
      <c r="E83" s="516" t="str">
        <f ca="1">Planung!$H77</f>
        <v/>
      </c>
      <c r="F83" s="381" t="str">
        <f ca="1">Planung!$L77</f>
        <v/>
      </c>
      <c r="G83" s="207" t="s">
        <v>5</v>
      </c>
      <c r="H83" s="384" t="str">
        <f ca="1">Planung!$N77</f>
        <v/>
      </c>
      <c r="I83" s="378"/>
      <c r="J83" s="570" t="str">
        <f>Sprache!$E$108</f>
        <v xml:space="preserve"> : </v>
      </c>
      <c r="K83" s="577"/>
      <c r="L83" s="378"/>
      <c r="M83" s="570" t="str">
        <f>Sprache!$E$108</f>
        <v xml:space="preserve"> : </v>
      </c>
      <c r="N83" s="577"/>
      <c r="O83" s="378"/>
      <c r="P83" s="570" t="str">
        <f>Sprache!$E$108</f>
        <v xml:space="preserve"> : </v>
      </c>
      <c r="Q83" s="580"/>
      <c r="R83" s="573" t="str">
        <f t="shared" ca="1" si="19"/>
        <v/>
      </c>
      <c r="S83" s="776" t="str">
        <f>Sprache!$E$108</f>
        <v xml:space="preserve"> : </v>
      </c>
      <c r="T83" s="583" t="str">
        <f t="shared" ca="1" si="20"/>
        <v/>
      </c>
      <c r="U83" s="683" t="str">
        <f>IF(Planung!$O77="","",Planung!$O77)</f>
        <v/>
      </c>
      <c r="BC83" s="42" t="b">
        <f t="shared" ca="1" si="21"/>
        <v>1</v>
      </c>
      <c r="BD83" s="42" t="b">
        <f t="shared" si="22"/>
        <v>1</v>
      </c>
      <c r="BE83" s="42" t="b">
        <f t="shared" si="23"/>
        <v>1</v>
      </c>
      <c r="BF83" s="42" t="b">
        <f t="shared" si="24"/>
        <v>1</v>
      </c>
      <c r="BG83" s="42" t="b">
        <f t="shared" si="25"/>
        <v>0</v>
      </c>
      <c r="BH83" s="42" t="b">
        <f t="shared" si="26"/>
        <v>0</v>
      </c>
      <c r="BI83" s="42" t="b">
        <f t="shared" si="27"/>
        <v>0</v>
      </c>
    </row>
    <row r="84" spans="2:61" ht="24" customHeight="1" thickTop="1" x14ac:dyDescent="0.2"/>
  </sheetData>
  <sheetProtection sheet="1" selectLockedCells="1"/>
  <mergeCells count="25">
    <mergeCell ref="AK36:AU36"/>
    <mergeCell ref="W36:AJ36"/>
    <mergeCell ref="AX10:AY10"/>
    <mergeCell ref="AX23:AY23"/>
    <mergeCell ref="AX7:AZ8"/>
    <mergeCell ref="W24:X24"/>
    <mergeCell ref="AG24:AI24"/>
    <mergeCell ref="W23:X23"/>
    <mergeCell ref="AC24:AE24"/>
    <mergeCell ref="I7:X8"/>
    <mergeCell ref="AL2:AM2"/>
    <mergeCell ref="W1:X1"/>
    <mergeCell ref="F11:H11"/>
    <mergeCell ref="AG11:AI11"/>
    <mergeCell ref="W11:X11"/>
    <mergeCell ref="W10:X10"/>
    <mergeCell ref="I11:K11"/>
    <mergeCell ref="L11:N11"/>
    <mergeCell ref="O11:Q11"/>
    <mergeCell ref="R11:T11"/>
    <mergeCell ref="AC11:AE11"/>
    <mergeCell ref="H2:AB2"/>
    <mergeCell ref="H3:AB3"/>
    <mergeCell ref="H4:AB4"/>
    <mergeCell ref="H5:AB5"/>
  </mergeCells>
  <conditionalFormatting sqref="B12:U83">
    <cfRule type="expression" dxfId="63" priority="21">
      <formula>OR($F12="",$H12="")</formula>
    </cfRule>
  </conditionalFormatting>
  <conditionalFormatting sqref="W12:AU20 W25:AU33">
    <cfRule type="expression" dxfId="62" priority="20">
      <formula>$X12=""</formula>
    </cfRule>
  </conditionalFormatting>
  <conditionalFormatting sqref="W12:AK20 W25:AK33 AU12:AU20 AU25:AU33">
    <cfRule type="expression" dxfId="61" priority="19">
      <formula>OR(AND($W12=$W11,$X11&lt;&gt;""),AND($W12=$W13,$X13&lt;&gt;""))</formula>
    </cfRule>
  </conditionalFormatting>
  <conditionalFormatting sqref="W20:AU20">
    <cfRule type="expression" dxfId="60" priority="18">
      <formula>$X20=""</formula>
    </cfRule>
  </conditionalFormatting>
  <conditionalFormatting sqref="W20:AK20">
    <cfRule type="expression" dxfId="59" priority="17">
      <formula>OR(AND($W20=$W19,$X19&lt;&gt;""),AND($W20=$W21,$X21&lt;&gt;""))</formula>
    </cfRule>
  </conditionalFormatting>
  <conditionalFormatting sqref="AS19:AU19">
    <cfRule type="expression" dxfId="58" priority="16">
      <formula>$X19=""</formula>
    </cfRule>
  </conditionalFormatting>
  <conditionalFormatting sqref="W17:AK19">
    <cfRule type="expression" dxfId="57" priority="15">
      <formula>OR(AND($W17=$W16,$X16&lt;&gt;""),AND($W17=$W18,$X18&lt;&gt;""))</formula>
    </cfRule>
  </conditionalFormatting>
  <conditionalFormatting sqref="W33:AU33">
    <cfRule type="expression" dxfId="56" priority="13">
      <formula>$X33=""</formula>
    </cfRule>
  </conditionalFormatting>
  <conditionalFormatting sqref="W33:AK33 AU33">
    <cfRule type="expression" dxfId="55" priority="14">
      <formula>OR(AND($W33=$W32,$X32&lt;&gt;""),AND($W33=#REF!,#REF!&lt;&gt;""))</formula>
    </cfRule>
  </conditionalFormatting>
  <conditionalFormatting sqref="AT30:AU31">
    <cfRule type="expression" dxfId="54" priority="12">
      <formula>$X30=""</formula>
    </cfRule>
  </conditionalFormatting>
  <conditionalFormatting sqref="W30:AK32">
    <cfRule type="expression" dxfId="53" priority="11">
      <formula>OR(AND($W30=$W29,$X29&lt;&gt;""),AND($W30=$W31,$X31&lt;&gt;""))</formula>
    </cfRule>
  </conditionalFormatting>
  <conditionalFormatting sqref="AQ18">
    <cfRule type="expression" dxfId="52" priority="10">
      <formula>$X18=""</formula>
    </cfRule>
  </conditionalFormatting>
  <conditionalFormatting sqref="AS18">
    <cfRule type="expression" dxfId="51" priority="8">
      <formula>$X18=""</formula>
    </cfRule>
  </conditionalFormatting>
  <conditionalFormatting sqref="AP30">
    <cfRule type="expression" dxfId="50" priority="7">
      <formula>$X30=""</formula>
    </cfRule>
  </conditionalFormatting>
  <conditionalFormatting sqref="AP17">
    <cfRule type="expression" dxfId="49" priority="6">
      <formula>$X17=""</formula>
    </cfRule>
  </conditionalFormatting>
  <conditionalFormatting sqref="AP18">
    <cfRule type="expression" dxfId="48" priority="5">
      <formula>$X18=""</formula>
    </cfRule>
  </conditionalFormatting>
  <conditionalFormatting sqref="AP19">
    <cfRule type="expression" dxfId="47" priority="4">
      <formula>$X19=""</formula>
    </cfRule>
  </conditionalFormatting>
  <conditionalFormatting sqref="I12:K83">
    <cfRule type="expression" dxfId="46" priority="3">
      <formula>$BG12</formula>
    </cfRule>
  </conditionalFormatting>
  <conditionalFormatting sqref="L12:N83">
    <cfRule type="expression" dxfId="45" priority="2">
      <formula>$BH12</formula>
    </cfRule>
  </conditionalFormatting>
  <conditionalFormatting sqref="O12:Q83">
    <cfRule type="expression" dxfId="44" priority="1">
      <formula>$BI12</formula>
    </cfRule>
  </conditionalFormatting>
  <dataValidations count="3">
    <dataValidation type="whole" allowBlank="1" showErrorMessage="1" errorTitle="Error" error="Maximal 999 !" sqref="K12:L83 N12:O83 Q12:Q83 I12:I83" xr:uid="{D9E07FCF-67B7-4BAF-9BC8-AE233331B860}">
      <formula1>0</formula1>
      <formula2>999</formula2>
    </dataValidation>
    <dataValidation type="whole" allowBlank="1" showInputMessage="1" showErrorMessage="1" sqref="AZ12:BB20 AZ25:BB33" xr:uid="{F8B159EB-3E39-407B-B2B3-70A1B1FF45BA}">
      <formula1>-99</formula1>
      <formula2>99</formula2>
    </dataValidation>
    <dataValidation allowBlank="1" showErrorMessage="1" errorTitle="Error" error="Maximal 999 !" sqref="R12:U83 P12:P83 M12:M83 J12:J83" xr:uid="{1E5D17C4-5B01-4328-94C3-8D8BAAF22506}"/>
  </dataValidations>
  <pageMargins left="0.7" right="0.7" top="0.78740157499999996" bottom="0.78740157499999996" header="0.3" footer="0.3"/>
  <pageSetup paperSize="9"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63662-3DEE-4B79-97E2-942DCC9BEE4C}">
  <dimension ref="A1:AE34"/>
  <sheetViews>
    <sheetView showGridLines="0" showRowColHeaders="0" workbookViewId="0">
      <selection activeCell="D12" sqref="D12"/>
    </sheetView>
  </sheetViews>
  <sheetFormatPr baseColWidth="10" defaultColWidth="0" defaultRowHeight="12.75" zeroHeight="1" x14ac:dyDescent="0.2"/>
  <cols>
    <col min="1" max="1" width="6.140625" customWidth="1"/>
    <col min="2" max="2" width="5.85546875" customWidth="1"/>
    <col min="3" max="3" width="9.5703125" customWidth="1"/>
    <col min="4" max="4" width="11.42578125" customWidth="1"/>
    <col min="5" max="5" width="6.7109375" customWidth="1"/>
    <col min="6" max="6" width="8.7109375" customWidth="1"/>
    <col min="7" max="7" width="2.85546875" customWidth="1"/>
    <col min="8" max="8" width="8.7109375" customWidth="1"/>
    <col min="9" max="9" width="24.7109375" customWidth="1"/>
    <col min="10" max="10" width="2.5703125" customWidth="1"/>
    <col min="11" max="11" width="24.7109375" customWidth="1"/>
    <col min="12" max="12" width="4.7109375" customWidth="1"/>
    <col min="13" max="13" width="2" customWidth="1"/>
    <col min="14" max="15" width="4.7109375" customWidth="1"/>
    <col min="16" max="16" width="2" customWidth="1"/>
    <col min="17" max="18" width="4.7109375" customWidth="1"/>
    <col min="19" max="19" width="2" customWidth="1"/>
    <col min="20" max="20" width="4.7109375" customWidth="1"/>
    <col min="21" max="21" width="24.7109375" customWidth="1"/>
    <col min="22" max="22" width="11.42578125" customWidth="1"/>
    <col min="23" max="23" width="11.42578125" hidden="1" customWidth="1"/>
    <col min="24" max="24" width="8.28515625" hidden="1" customWidth="1"/>
    <col min="25" max="25" width="8.85546875" hidden="1" customWidth="1"/>
    <col min="26" max="26" width="8.7109375" hidden="1" customWidth="1"/>
    <col min="27" max="27" width="8.42578125" hidden="1" customWidth="1"/>
    <col min="28" max="28" width="4.140625" hidden="1" customWidth="1"/>
    <col min="29" max="31" width="0" hidden="1" customWidth="1"/>
    <col min="32" max="16384" width="11.42578125" hidden="1"/>
  </cols>
  <sheetData>
    <row r="1" spans="1:31" ht="13.5" thickBot="1" x14ac:dyDescent="0.25">
      <c r="A1" s="618"/>
      <c r="B1" s="618"/>
      <c r="C1" s="618"/>
      <c r="D1" s="618"/>
      <c r="E1" s="618"/>
      <c r="F1" s="618"/>
      <c r="G1" s="618"/>
      <c r="H1" s="618"/>
      <c r="I1" s="618"/>
      <c r="J1" s="618"/>
      <c r="K1" s="618"/>
      <c r="L1" s="618"/>
      <c r="M1" s="618"/>
      <c r="N1" s="618"/>
      <c r="O1" s="618"/>
      <c r="P1" s="619"/>
      <c r="Q1" s="618"/>
      <c r="R1" s="618"/>
      <c r="S1" s="618"/>
      <c r="T1" s="618"/>
      <c r="U1" s="618"/>
      <c r="V1" s="618"/>
      <c r="W1" s="618"/>
      <c r="X1" s="618"/>
      <c r="Y1" s="618"/>
      <c r="Z1" s="618"/>
      <c r="AA1" s="618"/>
      <c r="AB1" s="618"/>
      <c r="AC1" s="618"/>
      <c r="AD1" s="618"/>
      <c r="AE1" s="618"/>
    </row>
    <row r="2" spans="1:31" ht="36.75" thickTop="1" x14ac:dyDescent="0.2">
      <c r="A2" s="618"/>
      <c r="B2" s="618"/>
      <c r="C2" s="618"/>
      <c r="D2" s="618"/>
      <c r="E2" s="618"/>
      <c r="F2" s="875" t="str">
        <f>Vorrunde!$H$2</f>
        <v>Internationales U10-Turnier am 27.01.2026</v>
      </c>
      <c r="G2" s="876"/>
      <c r="H2" s="876"/>
      <c r="I2" s="876"/>
      <c r="J2" s="876"/>
      <c r="K2" s="876"/>
      <c r="L2" s="876"/>
      <c r="M2" s="876"/>
      <c r="N2" s="876"/>
      <c r="O2" s="876"/>
      <c r="P2" s="876"/>
      <c r="Q2" s="876"/>
      <c r="R2" s="876"/>
      <c r="S2" s="876"/>
      <c r="T2" s="876"/>
      <c r="U2" s="877"/>
      <c r="V2" s="618"/>
      <c r="W2" s="618"/>
      <c r="X2" s="618"/>
      <c r="Y2" s="618"/>
      <c r="Z2" s="618"/>
      <c r="AA2" s="618"/>
      <c r="AB2" s="618"/>
      <c r="AC2" s="618"/>
      <c r="AD2" s="618"/>
      <c r="AE2" s="618"/>
    </row>
    <row r="3" spans="1:31" ht="23.25" x14ac:dyDescent="0.2">
      <c r="A3" s="618"/>
      <c r="B3" s="618"/>
      <c r="C3" s="618"/>
      <c r="D3" s="618"/>
      <c r="E3" s="618"/>
      <c r="F3" s="878" t="str">
        <f>Vorrunde!$H$3</f>
        <v>Veranstalter:  1. FC Riedwald</v>
      </c>
      <c r="G3" s="879"/>
      <c r="H3" s="879"/>
      <c r="I3" s="879"/>
      <c r="J3" s="879"/>
      <c r="K3" s="879"/>
      <c r="L3" s="879"/>
      <c r="M3" s="879"/>
      <c r="N3" s="879"/>
      <c r="O3" s="879"/>
      <c r="P3" s="879"/>
      <c r="Q3" s="879"/>
      <c r="R3" s="879"/>
      <c r="S3" s="879"/>
      <c r="T3" s="879"/>
      <c r="U3" s="880"/>
      <c r="V3" s="618"/>
      <c r="W3" s="618"/>
      <c r="X3" s="618"/>
      <c r="Y3" s="618"/>
      <c r="Z3" s="618"/>
      <c r="AA3" s="618"/>
      <c r="AB3" s="618"/>
      <c r="AC3" s="618"/>
      <c r="AD3" s="618"/>
      <c r="AE3" s="618"/>
    </row>
    <row r="4" spans="1:31" ht="23.25" x14ac:dyDescent="0.2">
      <c r="A4" s="618"/>
      <c r="B4" s="618"/>
      <c r="C4" s="618"/>
      <c r="D4" s="618"/>
      <c r="E4" s="618"/>
      <c r="F4" s="881" t="str">
        <f>Vorrunde!$H$4</f>
        <v>Sporthalle Wiesengrund, Wendiger Str. 51, 65432 Riedwald</v>
      </c>
      <c r="G4" s="882"/>
      <c r="H4" s="882"/>
      <c r="I4" s="882"/>
      <c r="J4" s="882"/>
      <c r="K4" s="882"/>
      <c r="L4" s="882"/>
      <c r="M4" s="882"/>
      <c r="N4" s="882"/>
      <c r="O4" s="882"/>
      <c r="P4" s="882"/>
      <c r="Q4" s="882"/>
      <c r="R4" s="882"/>
      <c r="S4" s="882"/>
      <c r="T4" s="882"/>
      <c r="U4" s="883"/>
      <c r="V4" s="618"/>
      <c r="W4" s="618"/>
      <c r="X4" s="618"/>
      <c r="Y4" s="618"/>
      <c r="Z4" s="618"/>
      <c r="AA4" s="618"/>
      <c r="AB4" s="618"/>
      <c r="AC4" s="618"/>
      <c r="AD4" s="618"/>
      <c r="AE4" s="618"/>
    </row>
    <row r="5" spans="1:31" ht="24" thickBot="1" x14ac:dyDescent="0.25">
      <c r="A5" s="618"/>
      <c r="B5" s="618"/>
      <c r="C5" s="618"/>
      <c r="D5" s="618"/>
      <c r="E5" s="618"/>
      <c r="F5" s="884" t="str">
        <f>Vorrunde!$H$5</f>
        <v>Beginn:  9:00 Uhr</v>
      </c>
      <c r="G5" s="885"/>
      <c r="H5" s="885"/>
      <c r="I5" s="885"/>
      <c r="J5" s="885"/>
      <c r="K5" s="885"/>
      <c r="L5" s="885"/>
      <c r="M5" s="885"/>
      <c r="N5" s="885"/>
      <c r="O5" s="885"/>
      <c r="P5" s="885"/>
      <c r="Q5" s="885"/>
      <c r="R5" s="885"/>
      <c r="S5" s="885"/>
      <c r="T5" s="885"/>
      <c r="U5" s="886"/>
      <c r="V5" s="618"/>
      <c r="W5" s="618"/>
      <c r="X5" s="618"/>
      <c r="Y5" s="618"/>
      <c r="Z5" s="618"/>
      <c r="AA5" s="618"/>
      <c r="AB5" s="618"/>
      <c r="AC5" s="618"/>
      <c r="AD5" s="618"/>
      <c r="AE5" s="618"/>
    </row>
    <row r="6" spans="1:31" ht="14.25" thickTop="1" thickBot="1" x14ac:dyDescent="0.25">
      <c r="A6" s="618"/>
      <c r="B6" s="618"/>
      <c r="C6" s="618"/>
      <c r="D6" s="618"/>
      <c r="E6" s="618"/>
      <c r="F6" s="618"/>
      <c r="G6" s="618"/>
      <c r="H6" s="618"/>
      <c r="I6" s="618"/>
      <c r="J6" s="618"/>
      <c r="K6" s="618"/>
      <c r="L6" s="618"/>
      <c r="M6" s="618"/>
      <c r="N6" s="618"/>
      <c r="O6" s="618"/>
      <c r="P6" s="619"/>
      <c r="Q6" s="618"/>
      <c r="R6" s="618"/>
      <c r="S6" s="618"/>
      <c r="T6" s="618"/>
      <c r="U6" s="618"/>
      <c r="V6" s="618"/>
      <c r="W6" s="618"/>
      <c r="X6" s="618"/>
      <c r="Y6" s="618"/>
      <c r="Z6" s="618"/>
      <c r="AA6" s="618"/>
      <c r="AB6" s="618"/>
      <c r="AC6" s="618"/>
      <c r="AD6" s="618"/>
      <c r="AE6" s="618"/>
    </row>
    <row r="7" spans="1:31" ht="30" customHeight="1" thickTop="1" x14ac:dyDescent="0.2">
      <c r="A7" s="618"/>
      <c r="B7" s="618"/>
      <c r="C7" s="618"/>
      <c r="D7" s="618"/>
      <c r="E7" s="618"/>
      <c r="F7" s="618"/>
      <c r="G7" s="618"/>
      <c r="H7" s="869" t="str">
        <f>Sprache!$E$6</f>
        <v>Tie Break Vorrunde</v>
      </c>
      <c r="I7" s="870"/>
      <c r="J7" s="870"/>
      <c r="K7" s="870"/>
      <c r="L7" s="870"/>
      <c r="M7" s="870"/>
      <c r="N7" s="870"/>
      <c r="O7" s="870"/>
      <c r="P7" s="870"/>
      <c r="Q7" s="870"/>
      <c r="R7" s="870"/>
      <c r="S7" s="870"/>
      <c r="T7" s="871"/>
      <c r="U7" s="618"/>
      <c r="V7" s="618"/>
      <c r="W7" s="618"/>
      <c r="X7" s="618"/>
      <c r="Y7" s="618"/>
      <c r="Z7" s="618"/>
      <c r="AA7" s="618"/>
      <c r="AB7" s="618"/>
      <c r="AC7" s="618"/>
      <c r="AD7" s="618"/>
      <c r="AE7" s="618"/>
    </row>
    <row r="8" spans="1:31" ht="30" customHeight="1" thickBot="1" x14ac:dyDescent="0.25">
      <c r="A8" s="618"/>
      <c r="B8" s="618"/>
      <c r="C8" s="618"/>
      <c r="D8" s="618"/>
      <c r="E8" s="618"/>
      <c r="F8" s="618"/>
      <c r="G8" s="618"/>
      <c r="H8" s="872"/>
      <c r="I8" s="873"/>
      <c r="J8" s="873"/>
      <c r="K8" s="873"/>
      <c r="L8" s="873"/>
      <c r="M8" s="873"/>
      <c r="N8" s="873"/>
      <c r="O8" s="873"/>
      <c r="P8" s="873"/>
      <c r="Q8" s="873"/>
      <c r="R8" s="873"/>
      <c r="S8" s="873"/>
      <c r="T8" s="874"/>
      <c r="U8" s="618"/>
      <c r="V8" s="618"/>
      <c r="W8" s="618"/>
      <c r="X8" s="618"/>
      <c r="Y8" s="618"/>
      <c r="Z8" s="618"/>
      <c r="AA8" s="618"/>
      <c r="AB8" s="618"/>
      <c r="AC8" s="618"/>
      <c r="AD8" s="618"/>
      <c r="AE8" s="618"/>
    </row>
    <row r="9" spans="1:31" ht="13.5" thickTop="1" x14ac:dyDescent="0.2">
      <c r="A9" s="618"/>
      <c r="B9" s="618"/>
      <c r="C9" s="618"/>
      <c r="D9" s="618"/>
      <c r="E9" s="618"/>
      <c r="F9" s="618"/>
      <c r="G9" s="618"/>
      <c r="H9" s="618"/>
      <c r="I9" s="618"/>
      <c r="J9" s="618"/>
      <c r="K9" s="618"/>
      <c r="L9" s="618"/>
      <c r="M9" s="618"/>
      <c r="N9" s="618"/>
      <c r="O9" s="618"/>
      <c r="P9" s="619"/>
      <c r="Q9" s="618"/>
      <c r="R9" s="618"/>
      <c r="S9" s="618"/>
      <c r="T9" s="618"/>
      <c r="U9" s="618"/>
      <c r="V9" s="618"/>
      <c r="W9" s="618"/>
      <c r="X9" s="618"/>
      <c r="Y9" s="618"/>
      <c r="Z9" s="618"/>
      <c r="AA9" s="618"/>
      <c r="AB9" s="618"/>
      <c r="AC9" s="618"/>
      <c r="AD9" s="618"/>
      <c r="AE9" s="618"/>
    </row>
    <row r="10" spans="1:31" ht="19.5" thickBot="1" x14ac:dyDescent="0.3">
      <c r="A10" s="618"/>
      <c r="B10" s="618"/>
      <c r="C10" s="867"/>
      <c r="D10" s="867"/>
      <c r="E10" s="620"/>
      <c r="F10" s="868" t="str">
        <f>Sprache!$E$96</f>
        <v>z.B.  A2 - A4</v>
      </c>
      <c r="G10" s="868"/>
      <c r="H10" s="868"/>
      <c r="I10" s="620"/>
      <c r="J10" s="620"/>
      <c r="K10" s="620"/>
      <c r="L10" s="621"/>
      <c r="M10" s="621"/>
      <c r="N10" s="621"/>
      <c r="O10" s="622"/>
      <c r="P10" s="623"/>
      <c r="Q10" s="624"/>
      <c r="R10" s="624"/>
      <c r="S10" s="624"/>
      <c r="T10" s="624"/>
      <c r="U10" s="625"/>
      <c r="V10" s="618"/>
      <c r="W10" s="618"/>
      <c r="X10" s="618"/>
      <c r="Y10" s="618"/>
      <c r="Z10" s="618"/>
      <c r="AA10" s="618"/>
      <c r="AB10" s="618"/>
      <c r="AC10" s="618"/>
      <c r="AD10" s="618"/>
      <c r="AE10" s="618"/>
    </row>
    <row r="11" spans="1:31" ht="16.5" thickTop="1" x14ac:dyDescent="0.2">
      <c r="A11" s="618"/>
      <c r="B11" s="618"/>
      <c r="C11" s="626" t="str">
        <f>Sprache!$E$33</f>
        <v>Bonus</v>
      </c>
      <c r="D11" s="627" t="str">
        <f>Sprache!$E$39</f>
        <v>Beginn</v>
      </c>
      <c r="E11" s="627" t="str">
        <f>Sprache!$E$48</f>
        <v>Feld</v>
      </c>
      <c r="F11" s="887" t="str">
        <f>Sprache!$E$95</f>
        <v>Team-Kürzel</v>
      </c>
      <c r="G11" s="888"/>
      <c r="H11" s="889"/>
      <c r="I11" s="887" t="str">
        <f>Sprache!$E$14</f>
        <v>Spielpaarung</v>
      </c>
      <c r="J11" s="888"/>
      <c r="K11" s="889"/>
      <c r="L11" s="890" t="str">
        <f>Sprache!$E$91</f>
        <v>1. Satz</v>
      </c>
      <c r="M11" s="891"/>
      <c r="N11" s="892"/>
      <c r="O11" s="890" t="str">
        <f>Sprache!$E$92</f>
        <v>2. Satz</v>
      </c>
      <c r="P11" s="891"/>
      <c r="Q11" s="892"/>
      <c r="R11" s="890" t="str">
        <f>Sprache!$E$93</f>
        <v>3. Satz</v>
      </c>
      <c r="S11" s="891"/>
      <c r="T11" s="893"/>
      <c r="U11" s="628" t="str">
        <f>Sprache!$E$87</f>
        <v>Sieger</v>
      </c>
      <c r="V11" s="618"/>
      <c r="W11" s="629" t="str">
        <f>Sprache!$E$93&amp;"?"</f>
        <v>3. Satz?</v>
      </c>
      <c r="X11" s="618"/>
      <c r="Y11" s="618"/>
      <c r="Z11" s="618"/>
      <c r="AA11" s="618"/>
      <c r="AB11" s="618"/>
      <c r="AC11" s="629" t="s">
        <v>429</v>
      </c>
      <c r="AD11" s="629" t="s">
        <v>430</v>
      </c>
      <c r="AE11" s="629" t="s">
        <v>431</v>
      </c>
    </row>
    <row r="12" spans="1:31" ht="18.75" x14ac:dyDescent="0.2">
      <c r="A12" s="618"/>
      <c r="B12" s="630"/>
      <c r="C12" s="631" t="s">
        <v>7</v>
      </c>
      <c r="D12" s="632"/>
      <c r="E12" s="633"/>
      <c r="F12" s="634"/>
      <c r="G12" s="635" t="s">
        <v>5</v>
      </c>
      <c r="H12" s="636"/>
      <c r="I12" s="637" t="str">
        <f>IF($F12="","",IFERROR(VLOOKUP($F12,Planung!$B$7:$C$35,2,0),""))</f>
        <v/>
      </c>
      <c r="J12" s="638" t="s">
        <v>5</v>
      </c>
      <c r="K12" s="639" t="str">
        <f>IF($H12="","",IFERROR(VLOOKUP($H12,Planung!$B$7:$C$35,2,0),""))</f>
        <v/>
      </c>
      <c r="L12" s="640"/>
      <c r="M12" s="641" t="str">
        <f>Sprache!$E$108</f>
        <v xml:space="preserve"> : </v>
      </c>
      <c r="N12" s="642"/>
      <c r="O12" s="640"/>
      <c r="P12" s="641" t="str">
        <f>Sprache!$E$108</f>
        <v xml:space="preserve"> : </v>
      </c>
      <c r="Q12" s="642"/>
      <c r="R12" s="643"/>
      <c r="S12" s="641" t="str">
        <f>Sprache!$E$108</f>
        <v xml:space="preserve"> : </v>
      </c>
      <c r="T12" s="644"/>
      <c r="U12" s="645" t="str">
        <f>IF(OR($AC12,AND($AD12,OR($O12&lt;&gt;"",$Q12&lt;&gt;""))),"",IF($X12+$Z12&gt;$Y12+$AA12,$I12,IF($X12+$Z12&lt;$Y12+$AA12,$K12,"")))</f>
        <v/>
      </c>
      <c r="V12" s="646"/>
      <c r="W12" s="647" t="b">
        <f t="shared" ref="W12:W16" si="0">AND(NOT(OR($AC12,$AD12)),$X12=1,$Y12=1)</f>
        <v>0</v>
      </c>
      <c r="X12" s="647">
        <f t="shared" ref="X12:X16" si="1">IF($AC12,0,($L12&gt;$N12)+IF($AD12,0,$O12&gt;$Q12))</f>
        <v>0</v>
      </c>
      <c r="Y12" s="647">
        <f t="shared" ref="Y12:Y16" si="2">IF($AC12,0,($L12&lt;$N12)+IF($AD12,0,$O12&lt;$Q12))</f>
        <v>0</v>
      </c>
      <c r="Z12" s="647">
        <f t="shared" ref="Z12:Z16" si="3">($O12&lt;&gt;"")*($Q12&lt;&gt;"")*($R12&lt;&gt;"")*($T12&lt;&gt;"")*(X12=1)*(Y12=1)*($R12&gt;$T12)</f>
        <v>0</v>
      </c>
      <c r="AA12" s="647">
        <f t="shared" ref="AA12:AA16" si="4">($O12&lt;&gt;"")*($Q12&lt;&gt;"")*($R12&lt;&gt;"")*($T12&lt;&gt;"")*(X12=1)*(Y12=1)*($R12&lt;$T12)</f>
        <v>0</v>
      </c>
      <c r="AB12" s="648"/>
      <c r="AC12" s="647" t="b">
        <f t="shared" ref="AC12:AC16" si="5">OR($I12="",$K12="",$L12="",$N12="",AND($L12&lt;&gt;"",$L12=$N12))</f>
        <v>1</v>
      </c>
      <c r="AD12" s="647" t="b">
        <f t="shared" ref="AD12:AD16" si="6">OR(AC12,$O12="",$Q12="",AND($O12&lt;&gt;"",$O12=$Q12))</f>
        <v>1</v>
      </c>
      <c r="AE12" s="647" t="b">
        <f t="shared" ref="AE12:AE16" si="7">OR($R12="",$T12="",$R12=$T12)</f>
        <v>1</v>
      </c>
    </row>
    <row r="13" spans="1:31" ht="18.75" x14ac:dyDescent="0.2">
      <c r="A13" s="618"/>
      <c r="B13" s="630"/>
      <c r="C13" s="649" t="s">
        <v>8</v>
      </c>
      <c r="D13" s="650"/>
      <c r="E13" s="650"/>
      <c r="F13" s="634"/>
      <c r="G13" s="635" t="s">
        <v>5</v>
      </c>
      <c r="H13" s="636"/>
      <c r="I13" s="651" t="str">
        <f>IF($F13="","",IFERROR(VLOOKUP($F13,Planung!$B$7:$C$35,2,0),""))</f>
        <v/>
      </c>
      <c r="J13" s="652" t="s">
        <v>5</v>
      </c>
      <c r="K13" s="653" t="str">
        <f>IF($H13="","",IFERROR(VLOOKUP($H13,Planung!$B$7:$C$35,2,0),""))</f>
        <v/>
      </c>
      <c r="L13" s="634"/>
      <c r="M13" s="654" t="str">
        <f>Sprache!$E$108</f>
        <v xml:space="preserve"> : </v>
      </c>
      <c r="N13" s="636"/>
      <c r="O13" s="634"/>
      <c r="P13" s="654" t="str">
        <f>Sprache!$E$108</f>
        <v xml:space="preserve"> : </v>
      </c>
      <c r="Q13" s="636"/>
      <c r="R13" s="634"/>
      <c r="S13" s="654" t="str">
        <f>Sprache!$E$108</f>
        <v xml:space="preserve"> : </v>
      </c>
      <c r="T13" s="655"/>
      <c r="U13" s="656" t="str">
        <f t="shared" ref="U13:U17" si="8">IF(OR($AC13,AND($AD13,OR($O13&lt;&gt;"",$Q13&lt;&gt;""))),"",IF($X13+$Z13&gt;$Y13+$AA13,$I13,IF($X13+$Z13&lt;$Y13+$AA13,$K13,"")))</f>
        <v/>
      </c>
      <c r="V13" s="646"/>
      <c r="W13" s="647" t="b">
        <f t="shared" si="0"/>
        <v>0</v>
      </c>
      <c r="X13" s="647">
        <f t="shared" si="1"/>
        <v>0</v>
      </c>
      <c r="Y13" s="647">
        <f t="shared" si="2"/>
        <v>0</v>
      </c>
      <c r="Z13" s="647">
        <f t="shared" si="3"/>
        <v>0</v>
      </c>
      <c r="AA13" s="647">
        <f t="shared" si="4"/>
        <v>0</v>
      </c>
      <c r="AB13" s="648"/>
      <c r="AC13" s="647" t="b">
        <f t="shared" si="5"/>
        <v>1</v>
      </c>
      <c r="AD13" s="647" t="b">
        <f t="shared" si="6"/>
        <v>1</v>
      </c>
      <c r="AE13" s="647" t="b">
        <f t="shared" si="7"/>
        <v>1</v>
      </c>
    </row>
    <row r="14" spans="1:31" ht="18.75" x14ac:dyDescent="0.2">
      <c r="A14" s="618"/>
      <c r="B14" s="630"/>
      <c r="C14" s="649" t="s">
        <v>9</v>
      </c>
      <c r="D14" s="650"/>
      <c r="E14" s="650"/>
      <c r="F14" s="634"/>
      <c r="G14" s="635" t="s">
        <v>5</v>
      </c>
      <c r="H14" s="636"/>
      <c r="I14" s="651" t="str">
        <f>IF($F14="","",IFERROR(VLOOKUP($F14,Planung!$B$7:$C$35,2,0),""))</f>
        <v/>
      </c>
      <c r="J14" s="652" t="s">
        <v>5</v>
      </c>
      <c r="K14" s="653" t="str">
        <f>IF($H14="","",IFERROR(VLOOKUP($H14,Planung!$B$7:$C$35,2,0),""))</f>
        <v/>
      </c>
      <c r="L14" s="634"/>
      <c r="M14" s="654" t="str">
        <f>Sprache!$E$108</f>
        <v xml:space="preserve"> : </v>
      </c>
      <c r="N14" s="636"/>
      <c r="O14" s="634"/>
      <c r="P14" s="654" t="str">
        <f>Sprache!$E$108</f>
        <v xml:space="preserve"> : </v>
      </c>
      <c r="Q14" s="636"/>
      <c r="R14" s="634"/>
      <c r="S14" s="654" t="str">
        <f>Sprache!$E$108</f>
        <v xml:space="preserve"> : </v>
      </c>
      <c r="T14" s="655"/>
      <c r="U14" s="656" t="str">
        <f t="shared" si="8"/>
        <v/>
      </c>
      <c r="V14" s="646"/>
      <c r="W14" s="647" t="b">
        <f t="shared" si="0"/>
        <v>0</v>
      </c>
      <c r="X14" s="647">
        <f t="shared" si="1"/>
        <v>0</v>
      </c>
      <c r="Y14" s="647">
        <f t="shared" si="2"/>
        <v>0</v>
      </c>
      <c r="Z14" s="647">
        <f t="shared" si="3"/>
        <v>0</v>
      </c>
      <c r="AA14" s="647">
        <f t="shared" si="4"/>
        <v>0</v>
      </c>
      <c r="AB14" s="648"/>
      <c r="AC14" s="647" t="b">
        <f t="shared" si="5"/>
        <v>1</v>
      </c>
      <c r="AD14" s="647" t="b">
        <f t="shared" si="6"/>
        <v>1</v>
      </c>
      <c r="AE14" s="647" t="b">
        <f t="shared" si="7"/>
        <v>1</v>
      </c>
    </row>
    <row r="15" spans="1:31" ht="18.75" x14ac:dyDescent="0.2">
      <c r="A15" s="618"/>
      <c r="B15" s="630"/>
      <c r="C15" s="649" t="s">
        <v>10</v>
      </c>
      <c r="D15" s="650"/>
      <c r="E15" s="650"/>
      <c r="F15" s="634"/>
      <c r="G15" s="635" t="s">
        <v>5</v>
      </c>
      <c r="H15" s="636"/>
      <c r="I15" s="651" t="str">
        <f>IF($F15="","",IFERROR(VLOOKUP($F15,Planung!$B$7:$C$35,2,0),""))</f>
        <v/>
      </c>
      <c r="J15" s="652" t="s">
        <v>5</v>
      </c>
      <c r="K15" s="653" t="str">
        <f>IF($H15="","",IFERROR(VLOOKUP($H15,Planung!$B$7:$C$35,2,0),""))</f>
        <v/>
      </c>
      <c r="L15" s="634"/>
      <c r="M15" s="654" t="str">
        <f>Sprache!$E$108</f>
        <v xml:space="preserve"> : </v>
      </c>
      <c r="N15" s="636"/>
      <c r="O15" s="634"/>
      <c r="P15" s="654" t="str">
        <f>Sprache!$E$108</f>
        <v xml:space="preserve"> : </v>
      </c>
      <c r="Q15" s="636"/>
      <c r="R15" s="634"/>
      <c r="S15" s="654" t="str">
        <f>Sprache!$E$108</f>
        <v xml:space="preserve"> : </v>
      </c>
      <c r="T15" s="655"/>
      <c r="U15" s="656" t="str">
        <f t="shared" si="8"/>
        <v/>
      </c>
      <c r="V15" s="646"/>
      <c r="W15" s="647" t="b">
        <f t="shared" si="0"/>
        <v>0</v>
      </c>
      <c r="X15" s="647">
        <f t="shared" si="1"/>
        <v>0</v>
      </c>
      <c r="Y15" s="647">
        <f t="shared" si="2"/>
        <v>0</v>
      </c>
      <c r="Z15" s="647">
        <f t="shared" si="3"/>
        <v>0</v>
      </c>
      <c r="AA15" s="647">
        <f t="shared" si="4"/>
        <v>0</v>
      </c>
      <c r="AB15" s="648"/>
      <c r="AC15" s="647" t="b">
        <f t="shared" si="5"/>
        <v>1</v>
      </c>
      <c r="AD15" s="647" t="b">
        <f t="shared" si="6"/>
        <v>1</v>
      </c>
      <c r="AE15" s="647" t="b">
        <f t="shared" si="7"/>
        <v>1</v>
      </c>
    </row>
    <row r="16" spans="1:31" ht="18.75" x14ac:dyDescent="0.2">
      <c r="A16" s="618"/>
      <c r="B16" s="630"/>
      <c r="C16" s="649" t="s">
        <v>11</v>
      </c>
      <c r="D16" s="650"/>
      <c r="E16" s="650"/>
      <c r="F16" s="634"/>
      <c r="G16" s="635" t="s">
        <v>5</v>
      </c>
      <c r="H16" s="636"/>
      <c r="I16" s="651" t="str">
        <f>IF($F16="","",IFERROR(VLOOKUP($F16,Planung!$B$7:$C$35,2,0),""))</f>
        <v/>
      </c>
      <c r="J16" s="652" t="s">
        <v>5</v>
      </c>
      <c r="K16" s="653" t="str">
        <f>IF($H16="","",IFERROR(VLOOKUP($H16,Planung!$B$7:$C$35,2,0),""))</f>
        <v/>
      </c>
      <c r="L16" s="634"/>
      <c r="M16" s="654" t="str">
        <f>Sprache!$E$108</f>
        <v xml:space="preserve"> : </v>
      </c>
      <c r="N16" s="636"/>
      <c r="O16" s="634"/>
      <c r="P16" s="654" t="str">
        <f>Sprache!$E$108</f>
        <v xml:space="preserve"> : </v>
      </c>
      <c r="Q16" s="636"/>
      <c r="R16" s="634"/>
      <c r="S16" s="654" t="str">
        <f>Sprache!$E$108</f>
        <v xml:space="preserve"> : </v>
      </c>
      <c r="T16" s="655"/>
      <c r="U16" s="656" t="str">
        <f t="shared" si="8"/>
        <v/>
      </c>
      <c r="V16" s="646"/>
      <c r="W16" s="647" t="b">
        <f t="shared" si="0"/>
        <v>0</v>
      </c>
      <c r="X16" s="647">
        <f t="shared" si="1"/>
        <v>0</v>
      </c>
      <c r="Y16" s="647">
        <f t="shared" si="2"/>
        <v>0</v>
      </c>
      <c r="Z16" s="647">
        <f t="shared" si="3"/>
        <v>0</v>
      </c>
      <c r="AA16" s="647">
        <f t="shared" si="4"/>
        <v>0</v>
      </c>
      <c r="AB16" s="648"/>
      <c r="AC16" s="647" t="b">
        <f t="shared" si="5"/>
        <v>1</v>
      </c>
      <c r="AD16" s="647" t="b">
        <f t="shared" si="6"/>
        <v>1</v>
      </c>
      <c r="AE16" s="647" t="b">
        <f t="shared" si="7"/>
        <v>1</v>
      </c>
    </row>
    <row r="17" spans="1:31" ht="19.5" thickBot="1" x14ac:dyDescent="0.25">
      <c r="A17" s="618"/>
      <c r="B17" s="630"/>
      <c r="C17" s="657" t="s">
        <v>12</v>
      </c>
      <c r="D17" s="658"/>
      <c r="E17" s="658"/>
      <c r="F17" s="659"/>
      <c r="G17" s="660" t="s">
        <v>5</v>
      </c>
      <c r="H17" s="661"/>
      <c r="I17" s="662" t="str">
        <f>IF($F17="","",IFERROR(VLOOKUP($F17,Planung!$B$7:$C$35,2,0),""))</f>
        <v/>
      </c>
      <c r="J17" s="663" t="s">
        <v>5</v>
      </c>
      <c r="K17" s="664" t="str">
        <f>IF($H17="","",IFERROR(VLOOKUP($H17,Planung!$B$7:$C$35,2,0),""))</f>
        <v/>
      </c>
      <c r="L17" s="659"/>
      <c r="M17" s="665" t="str">
        <f>Sprache!$E$108</f>
        <v xml:space="preserve"> : </v>
      </c>
      <c r="N17" s="661"/>
      <c r="O17" s="659"/>
      <c r="P17" s="665" t="str">
        <f>Sprache!$E$108</f>
        <v xml:space="preserve"> : </v>
      </c>
      <c r="Q17" s="661"/>
      <c r="R17" s="659"/>
      <c r="S17" s="665" t="str">
        <f>Sprache!$E$108</f>
        <v xml:space="preserve"> : </v>
      </c>
      <c r="T17" s="666"/>
      <c r="U17" s="667" t="str">
        <f t="shared" si="8"/>
        <v/>
      </c>
      <c r="V17" s="646"/>
      <c r="W17" s="647" t="b">
        <f>AND(NOT(OR($AC17,$AD17)),$X17=1,$Y17=1)</f>
        <v>0</v>
      </c>
      <c r="X17" s="647">
        <f>IF($AC17,0,($L17&gt;$N17)+IF($AD17,0,$O17&gt;$Q17))</f>
        <v>0</v>
      </c>
      <c r="Y17" s="647">
        <f>IF($AC17,0,($L17&lt;$N17)+IF($AD17,0,$O17&lt;$Q17))</f>
        <v>0</v>
      </c>
      <c r="Z17" s="647">
        <f>($O17&lt;&gt;"")*($Q17&lt;&gt;"")*($R17&lt;&gt;"")*($T17&lt;&gt;"")*(X17=1)*(Y17=1)*($R17&gt;$T17)</f>
        <v>0</v>
      </c>
      <c r="AA17" s="647">
        <f>($O17&lt;&gt;"")*($Q17&lt;&gt;"")*($R17&lt;&gt;"")*($T17&lt;&gt;"")*(X17=1)*(Y17=1)*($R17&lt;$T17)</f>
        <v>0</v>
      </c>
      <c r="AB17" s="648"/>
      <c r="AC17" s="647" t="b">
        <f>OR($I17="",$K17="",$L17="",$N17="",AND($L17&lt;&gt;"",$L17=$N17))</f>
        <v>1</v>
      </c>
      <c r="AD17" s="647" t="b">
        <f>OR(AC17,$O17="",$Q17="",AND($O17&lt;&gt;"",$O17=$Q17))</f>
        <v>1</v>
      </c>
      <c r="AE17" s="647" t="b">
        <f>OR($R17="",$T17="",$R17=$T17)</f>
        <v>1</v>
      </c>
    </row>
    <row r="18" spans="1:31" ht="19.5" thickTop="1" x14ac:dyDescent="0.25">
      <c r="A18" s="618"/>
      <c r="B18" s="668"/>
      <c r="C18" s="669"/>
      <c r="D18" s="670"/>
      <c r="E18" s="671"/>
      <c r="F18" s="672"/>
      <c r="G18" s="673"/>
      <c r="H18" s="674"/>
      <c r="I18" s="675" t="s">
        <v>263</v>
      </c>
      <c r="J18" s="676"/>
      <c r="K18" s="675" t="s">
        <v>263</v>
      </c>
      <c r="L18" s="677"/>
      <c r="M18" s="678"/>
      <c r="N18" s="679"/>
      <c r="O18" s="680"/>
      <c r="P18" s="680"/>
      <c r="Q18" s="680"/>
      <c r="R18" s="680"/>
      <c r="S18" s="680"/>
      <c r="T18" s="680"/>
      <c r="U18" s="646"/>
      <c r="V18" s="646"/>
      <c r="W18" s="618"/>
      <c r="X18" s="618"/>
      <c r="Y18" s="618"/>
      <c r="Z18" s="618"/>
      <c r="AA18" s="618"/>
      <c r="AB18" s="618"/>
      <c r="AC18" s="618"/>
      <c r="AD18" s="618"/>
      <c r="AE18" s="618"/>
    </row>
    <row r="19" spans="1:31" ht="13.5" thickBot="1" x14ac:dyDescent="0.25">
      <c r="A19" s="618"/>
      <c r="B19" s="618"/>
      <c r="C19" s="618"/>
      <c r="D19" s="618"/>
      <c r="E19" s="618"/>
      <c r="F19" s="618"/>
      <c r="G19" s="618"/>
      <c r="H19" s="618"/>
      <c r="I19" s="618"/>
      <c r="J19" s="618"/>
      <c r="K19" s="618"/>
      <c r="L19" s="618"/>
      <c r="M19" s="618"/>
      <c r="N19" s="618"/>
      <c r="O19" s="618"/>
      <c r="P19" s="619"/>
      <c r="Q19" s="618"/>
      <c r="R19" s="618"/>
      <c r="S19" s="618"/>
      <c r="T19" s="618"/>
      <c r="U19" s="618"/>
      <c r="V19" s="618"/>
      <c r="W19" s="618"/>
      <c r="X19" s="618"/>
      <c r="Y19" s="618"/>
      <c r="Z19" s="618"/>
      <c r="AA19" s="618"/>
      <c r="AB19" s="618"/>
      <c r="AC19" s="618"/>
      <c r="AD19" s="618"/>
      <c r="AE19" s="618"/>
    </row>
    <row r="20" spans="1:31" ht="30" customHeight="1" thickTop="1" x14ac:dyDescent="0.2">
      <c r="A20" s="618"/>
      <c r="B20" s="618"/>
      <c r="C20" s="618"/>
      <c r="D20" s="618"/>
      <c r="E20" s="618"/>
      <c r="F20" s="618"/>
      <c r="G20" s="618"/>
      <c r="H20" s="869" t="str">
        <f>Sprache!$E$71</f>
        <v>Tie Break Endrunde 4</v>
      </c>
      <c r="I20" s="870"/>
      <c r="J20" s="870"/>
      <c r="K20" s="870"/>
      <c r="L20" s="870"/>
      <c r="M20" s="870"/>
      <c r="N20" s="870"/>
      <c r="O20" s="870"/>
      <c r="P20" s="870"/>
      <c r="Q20" s="870"/>
      <c r="R20" s="870"/>
      <c r="S20" s="870"/>
      <c r="T20" s="871"/>
      <c r="U20" s="618"/>
      <c r="V20" s="618"/>
      <c r="W20" s="618"/>
      <c r="X20" s="618"/>
      <c r="Y20" s="618"/>
      <c r="Z20" s="618"/>
      <c r="AA20" s="618"/>
      <c r="AB20" s="618"/>
      <c r="AC20" s="618"/>
      <c r="AD20" s="618"/>
      <c r="AE20" s="618"/>
    </row>
    <row r="21" spans="1:31" ht="30" customHeight="1" thickBot="1" x14ac:dyDescent="0.25">
      <c r="A21" s="618"/>
      <c r="B21" s="618"/>
      <c r="C21" s="618"/>
      <c r="D21" s="618"/>
      <c r="E21" s="618"/>
      <c r="F21" s="618"/>
      <c r="G21" s="618"/>
      <c r="H21" s="872"/>
      <c r="I21" s="873"/>
      <c r="J21" s="873"/>
      <c r="K21" s="873"/>
      <c r="L21" s="873"/>
      <c r="M21" s="873"/>
      <c r="N21" s="873"/>
      <c r="O21" s="873"/>
      <c r="P21" s="873"/>
      <c r="Q21" s="873"/>
      <c r="R21" s="873"/>
      <c r="S21" s="873"/>
      <c r="T21" s="874"/>
      <c r="U21" s="618"/>
      <c r="V21" s="618"/>
      <c r="W21" s="618"/>
      <c r="X21" s="618"/>
      <c r="Y21" s="618"/>
      <c r="Z21" s="618"/>
      <c r="AA21" s="618"/>
      <c r="AB21" s="618"/>
      <c r="AC21" s="618"/>
      <c r="AD21" s="618"/>
      <c r="AE21" s="618"/>
    </row>
    <row r="22" spans="1:31" ht="13.5" thickTop="1" x14ac:dyDescent="0.2">
      <c r="A22" s="618"/>
      <c r="B22" s="618"/>
      <c r="C22" s="618"/>
      <c r="D22" s="618"/>
      <c r="E22" s="618"/>
      <c r="F22" s="618"/>
      <c r="G22" s="618"/>
      <c r="H22" s="618"/>
      <c r="I22" s="618"/>
      <c r="J22" s="618"/>
      <c r="K22" s="618"/>
      <c r="L22" s="618"/>
      <c r="M22" s="618"/>
      <c r="N22" s="618"/>
      <c r="O22" s="618"/>
      <c r="P22" s="619"/>
      <c r="Q22" s="618"/>
      <c r="R22" s="618"/>
      <c r="S22" s="618"/>
      <c r="T22" s="618"/>
      <c r="U22" s="618"/>
      <c r="V22" s="618"/>
      <c r="W22" s="618"/>
      <c r="X22" s="618"/>
      <c r="Y22" s="618"/>
      <c r="Z22" s="618"/>
      <c r="AA22" s="618"/>
      <c r="AB22" s="618"/>
      <c r="AC22" s="618"/>
      <c r="AD22" s="618"/>
      <c r="AE22" s="618"/>
    </row>
    <row r="23" spans="1:31" ht="19.5" thickBot="1" x14ac:dyDescent="0.3">
      <c r="A23" s="618"/>
      <c r="B23" s="618"/>
      <c r="C23" s="867"/>
      <c r="D23" s="867"/>
      <c r="E23" s="620"/>
      <c r="F23" s="868" t="str">
        <f>Sprache!$E$96</f>
        <v>z.B.  A2 - A4</v>
      </c>
      <c r="G23" s="868"/>
      <c r="H23" s="868"/>
      <c r="I23" s="620"/>
      <c r="J23" s="620"/>
      <c r="K23" s="620"/>
      <c r="L23" s="621"/>
      <c r="M23" s="621"/>
      <c r="N23" s="621"/>
      <c r="O23" s="622"/>
      <c r="P23" s="623"/>
      <c r="Q23" s="624"/>
      <c r="R23" s="624"/>
      <c r="S23" s="624"/>
      <c r="T23" s="624"/>
      <c r="U23" s="625"/>
      <c r="V23" s="618"/>
      <c r="W23" s="618"/>
      <c r="X23" s="618"/>
      <c r="Y23" s="618"/>
      <c r="Z23" s="618"/>
      <c r="AA23" s="618"/>
      <c r="AB23" s="618"/>
      <c r="AC23" s="618"/>
      <c r="AD23" s="618"/>
      <c r="AE23" s="618"/>
    </row>
    <row r="24" spans="1:31" ht="16.5" thickTop="1" x14ac:dyDescent="0.2">
      <c r="A24" s="618"/>
      <c r="B24" s="618"/>
      <c r="C24" s="626" t="str">
        <f>Sprache!$E$33</f>
        <v>Bonus</v>
      </c>
      <c r="D24" s="627" t="str">
        <f>Sprache!$E$39</f>
        <v>Beginn</v>
      </c>
      <c r="E24" s="627" t="str">
        <f>Sprache!$E$48</f>
        <v>Feld</v>
      </c>
      <c r="F24" s="887" t="str">
        <f>Sprache!$E$95</f>
        <v>Team-Kürzel</v>
      </c>
      <c r="G24" s="888"/>
      <c r="H24" s="889"/>
      <c r="I24" s="887" t="str">
        <f>Sprache!$E$14</f>
        <v>Spielpaarung</v>
      </c>
      <c r="J24" s="888"/>
      <c r="K24" s="889"/>
      <c r="L24" s="890" t="str">
        <f>Sprache!$E$91</f>
        <v>1. Satz</v>
      </c>
      <c r="M24" s="891"/>
      <c r="N24" s="892"/>
      <c r="O24" s="890" t="str">
        <f>Sprache!$E$92</f>
        <v>2. Satz</v>
      </c>
      <c r="P24" s="891"/>
      <c r="Q24" s="892"/>
      <c r="R24" s="890" t="str">
        <f>Sprache!$E$93</f>
        <v>3. Satz</v>
      </c>
      <c r="S24" s="891"/>
      <c r="T24" s="893"/>
      <c r="U24" s="628" t="str">
        <f>Sprache!$E$87</f>
        <v>Sieger</v>
      </c>
      <c r="V24" s="618"/>
      <c r="W24" s="629" t="str">
        <f>Sprache!$E$93&amp;"?"</f>
        <v>3. Satz?</v>
      </c>
      <c r="X24" s="618"/>
      <c r="Y24" s="618"/>
      <c r="Z24" s="618"/>
      <c r="AA24" s="618"/>
      <c r="AB24" s="618"/>
      <c r="AC24" s="629" t="s">
        <v>429</v>
      </c>
      <c r="AD24" s="629" t="s">
        <v>430</v>
      </c>
      <c r="AE24" s="629" t="s">
        <v>431</v>
      </c>
    </row>
    <row r="25" spans="1:31" ht="18.75" x14ac:dyDescent="0.2">
      <c r="A25" s="618"/>
      <c r="B25" s="618"/>
      <c r="C25" s="631" t="s">
        <v>7</v>
      </c>
      <c r="D25" s="632"/>
      <c r="E25" s="633"/>
      <c r="F25" s="634"/>
      <c r="G25" s="635" t="s">
        <v>5</v>
      </c>
      <c r="H25" s="636"/>
      <c r="I25" s="637" t="str">
        <f>IF($F25="","",IFERROR(VLOOKUP($F25,'Endrunde 4'!$BF$12:$BG$29,2,0),""))</f>
        <v/>
      </c>
      <c r="J25" s="638" t="s">
        <v>5</v>
      </c>
      <c r="K25" s="639" t="str">
        <f>IF($H25="","",IFERROR(VLOOKUP($H25,'Endrunde 4'!$BF$12:$BG$29,2,0),""))</f>
        <v/>
      </c>
      <c r="L25" s="640"/>
      <c r="M25" s="641" t="str">
        <f>Sprache!$E$108</f>
        <v xml:space="preserve"> : </v>
      </c>
      <c r="N25" s="642"/>
      <c r="O25" s="640"/>
      <c r="P25" s="641" t="str">
        <f>Sprache!$E$108</f>
        <v xml:space="preserve"> : </v>
      </c>
      <c r="Q25" s="642"/>
      <c r="R25" s="643"/>
      <c r="S25" s="641" t="str">
        <f>Sprache!$E$108</f>
        <v xml:space="preserve"> : </v>
      </c>
      <c r="T25" s="644"/>
      <c r="U25" s="645" t="str">
        <f>IF(OR($AC25,AND($AD25,OR($O25&lt;&gt;"",$Q25&lt;&gt;""))),"",IF($X25+$Z25&gt;$Y25+$AA25,$I25,IF($X25+$Z25&lt;$Y25+$AA25,$K25,"")))</f>
        <v/>
      </c>
      <c r="V25" s="646"/>
      <c r="W25" s="647" t="b">
        <f t="shared" ref="W25:W29" si="9">AND(NOT(OR($AC25,$AD25)),$X25=1,$Y25=1)</f>
        <v>0</v>
      </c>
      <c r="X25" s="647">
        <f t="shared" ref="X25:X29" si="10">IF($AC25,0,($L25&gt;$N25)+IF($AD25,0,$O25&gt;$Q25))</f>
        <v>0</v>
      </c>
      <c r="Y25" s="647">
        <f t="shared" ref="Y25:Y29" si="11">IF($AC25,0,($L25&lt;$N25)+IF($AD25,0,$O25&lt;$Q25))</f>
        <v>0</v>
      </c>
      <c r="Z25" s="647">
        <f t="shared" ref="Z25:Z29" si="12">($O25&lt;&gt;"")*($Q25&lt;&gt;"")*($R25&lt;&gt;"")*($T25&lt;&gt;"")*(X25=1)*(Y25=1)*($R25&gt;$T25)</f>
        <v>0</v>
      </c>
      <c r="AA25" s="647">
        <f t="shared" ref="AA25:AA29" si="13">($O25&lt;&gt;"")*($Q25&lt;&gt;"")*($R25&lt;&gt;"")*($T25&lt;&gt;"")*(X25=1)*(Y25=1)*($R25&lt;$T25)</f>
        <v>0</v>
      </c>
      <c r="AB25" s="648"/>
      <c r="AC25" s="647" t="b">
        <f t="shared" ref="AC25:AC29" si="14">OR($I25="",$K25="",$L25="",$N25="",AND($L25&lt;&gt;"",$L25=$N25))</f>
        <v>1</v>
      </c>
      <c r="AD25" s="647" t="b">
        <f t="shared" ref="AD25:AD29" si="15">OR(AC25,$O25="",$Q25="",AND($O25&lt;&gt;"",$O25=$Q25))</f>
        <v>1</v>
      </c>
      <c r="AE25" s="647" t="b">
        <f t="shared" ref="AE25:AE29" si="16">OR($R25="",$T25="",$R25=$T25)</f>
        <v>1</v>
      </c>
    </row>
    <row r="26" spans="1:31" ht="18.75" x14ac:dyDescent="0.2">
      <c r="A26" s="618"/>
      <c r="B26" s="618"/>
      <c r="C26" s="649" t="s">
        <v>8</v>
      </c>
      <c r="D26" s="650"/>
      <c r="E26" s="650"/>
      <c r="F26" s="634"/>
      <c r="G26" s="635" t="s">
        <v>5</v>
      </c>
      <c r="H26" s="636"/>
      <c r="I26" s="651" t="str">
        <f>IF($F26="","",IFERROR(VLOOKUP($F26,'Endrunde 4'!$BF$12:$BG$29,2,0),""))</f>
        <v/>
      </c>
      <c r="J26" s="652" t="s">
        <v>5</v>
      </c>
      <c r="K26" s="653" t="str">
        <f>IF($H26="","",IFERROR(VLOOKUP($H26,'Endrunde 4'!$BF$12:$BG$29,2,0),""))</f>
        <v/>
      </c>
      <c r="L26" s="634"/>
      <c r="M26" s="654" t="str">
        <f>Sprache!$E$108</f>
        <v xml:space="preserve"> : </v>
      </c>
      <c r="N26" s="636"/>
      <c r="O26" s="634"/>
      <c r="P26" s="654" t="str">
        <f>Sprache!$E$108</f>
        <v xml:space="preserve"> : </v>
      </c>
      <c r="Q26" s="636"/>
      <c r="R26" s="634"/>
      <c r="S26" s="654" t="str">
        <f>Sprache!$E$108</f>
        <v xml:space="preserve"> : </v>
      </c>
      <c r="T26" s="655"/>
      <c r="U26" s="656" t="str">
        <f t="shared" ref="U26:U30" si="17">IF(OR($AC26,AND($AD26,OR($O26&lt;&gt;"",$Q26&lt;&gt;""))),"",IF($X26+$Z26&gt;$Y26+$AA26,$I26,IF($X26+$Z26&lt;$Y26+$AA26,$K26,"")))</f>
        <v/>
      </c>
      <c r="V26" s="646"/>
      <c r="W26" s="647" t="b">
        <f t="shared" si="9"/>
        <v>0</v>
      </c>
      <c r="X26" s="647">
        <f t="shared" si="10"/>
        <v>0</v>
      </c>
      <c r="Y26" s="647">
        <f t="shared" si="11"/>
        <v>0</v>
      </c>
      <c r="Z26" s="647">
        <f t="shared" si="12"/>
        <v>0</v>
      </c>
      <c r="AA26" s="647">
        <f t="shared" si="13"/>
        <v>0</v>
      </c>
      <c r="AB26" s="648"/>
      <c r="AC26" s="647" t="b">
        <f t="shared" si="14"/>
        <v>1</v>
      </c>
      <c r="AD26" s="647" t="b">
        <f t="shared" si="15"/>
        <v>1</v>
      </c>
      <c r="AE26" s="647" t="b">
        <f t="shared" si="16"/>
        <v>1</v>
      </c>
    </row>
    <row r="27" spans="1:31" ht="18.75" x14ac:dyDescent="0.2">
      <c r="A27" s="618"/>
      <c r="B27" s="618"/>
      <c r="C27" s="649" t="s">
        <v>9</v>
      </c>
      <c r="D27" s="650"/>
      <c r="E27" s="650"/>
      <c r="F27" s="634"/>
      <c r="G27" s="635" t="s">
        <v>5</v>
      </c>
      <c r="H27" s="636"/>
      <c r="I27" s="651" t="str">
        <f>IF($F27="","",IFERROR(VLOOKUP($F27,'Endrunde 4'!$BF$12:$BG$29,2,0),""))</f>
        <v/>
      </c>
      <c r="J27" s="652" t="s">
        <v>5</v>
      </c>
      <c r="K27" s="653" t="str">
        <f>IF($H27="","",IFERROR(VLOOKUP($H27,'Endrunde 4'!$BF$12:$BG$29,2,0),""))</f>
        <v/>
      </c>
      <c r="L27" s="634"/>
      <c r="M27" s="654" t="str">
        <f>Sprache!$E$108</f>
        <v xml:space="preserve"> : </v>
      </c>
      <c r="N27" s="636"/>
      <c r="O27" s="634"/>
      <c r="P27" s="654" t="str">
        <f>Sprache!$E$108</f>
        <v xml:space="preserve"> : </v>
      </c>
      <c r="Q27" s="636"/>
      <c r="R27" s="634"/>
      <c r="S27" s="654" t="str">
        <f>Sprache!$E$108</f>
        <v xml:space="preserve"> : </v>
      </c>
      <c r="T27" s="655"/>
      <c r="U27" s="656" t="str">
        <f t="shared" si="17"/>
        <v/>
      </c>
      <c r="V27" s="646"/>
      <c r="W27" s="647" t="b">
        <f t="shared" si="9"/>
        <v>0</v>
      </c>
      <c r="X27" s="647">
        <f t="shared" si="10"/>
        <v>0</v>
      </c>
      <c r="Y27" s="647">
        <f t="shared" si="11"/>
        <v>0</v>
      </c>
      <c r="Z27" s="647">
        <f t="shared" si="12"/>
        <v>0</v>
      </c>
      <c r="AA27" s="647">
        <f t="shared" si="13"/>
        <v>0</v>
      </c>
      <c r="AB27" s="648"/>
      <c r="AC27" s="647" t="b">
        <f t="shared" si="14"/>
        <v>1</v>
      </c>
      <c r="AD27" s="647" t="b">
        <f t="shared" si="15"/>
        <v>1</v>
      </c>
      <c r="AE27" s="647" t="b">
        <f t="shared" si="16"/>
        <v>1</v>
      </c>
    </row>
    <row r="28" spans="1:31" ht="18.75" x14ac:dyDescent="0.2">
      <c r="A28" s="618"/>
      <c r="B28" s="618"/>
      <c r="C28" s="649" t="s">
        <v>10</v>
      </c>
      <c r="D28" s="650"/>
      <c r="E28" s="650"/>
      <c r="F28" s="634"/>
      <c r="G28" s="635" t="s">
        <v>5</v>
      </c>
      <c r="H28" s="636"/>
      <c r="I28" s="651" t="str">
        <f>IF($F28="","",IFERROR(VLOOKUP($F28,'Endrunde 4'!$BF$12:$BG$29,2,0),""))</f>
        <v/>
      </c>
      <c r="J28" s="652" t="s">
        <v>5</v>
      </c>
      <c r="K28" s="653" t="str">
        <f>IF($H28="","",IFERROR(VLOOKUP($H28,'Endrunde 4'!$BF$12:$BG$29,2,0),""))</f>
        <v/>
      </c>
      <c r="L28" s="634"/>
      <c r="M28" s="654" t="str">
        <f>Sprache!$E$108</f>
        <v xml:space="preserve"> : </v>
      </c>
      <c r="N28" s="636"/>
      <c r="O28" s="634"/>
      <c r="P28" s="654" t="str">
        <f>Sprache!$E$108</f>
        <v xml:space="preserve"> : </v>
      </c>
      <c r="Q28" s="636"/>
      <c r="R28" s="634"/>
      <c r="S28" s="654" t="str">
        <f>Sprache!$E$108</f>
        <v xml:space="preserve"> : </v>
      </c>
      <c r="T28" s="655"/>
      <c r="U28" s="656" t="str">
        <f t="shared" si="17"/>
        <v/>
      </c>
      <c r="V28" s="646"/>
      <c r="W28" s="647" t="b">
        <f t="shared" si="9"/>
        <v>0</v>
      </c>
      <c r="X28" s="647">
        <f t="shared" si="10"/>
        <v>0</v>
      </c>
      <c r="Y28" s="647">
        <f t="shared" si="11"/>
        <v>0</v>
      </c>
      <c r="Z28" s="647">
        <f t="shared" si="12"/>
        <v>0</v>
      </c>
      <c r="AA28" s="647">
        <f t="shared" si="13"/>
        <v>0</v>
      </c>
      <c r="AB28" s="648"/>
      <c r="AC28" s="647" t="b">
        <f t="shared" si="14"/>
        <v>1</v>
      </c>
      <c r="AD28" s="647" t="b">
        <f t="shared" si="15"/>
        <v>1</v>
      </c>
      <c r="AE28" s="647" t="b">
        <f t="shared" si="16"/>
        <v>1</v>
      </c>
    </row>
    <row r="29" spans="1:31" ht="18.75" x14ac:dyDescent="0.2">
      <c r="A29" s="618"/>
      <c r="B29" s="618"/>
      <c r="C29" s="649" t="s">
        <v>11</v>
      </c>
      <c r="D29" s="650"/>
      <c r="E29" s="650"/>
      <c r="F29" s="634"/>
      <c r="G29" s="635" t="s">
        <v>5</v>
      </c>
      <c r="H29" s="636"/>
      <c r="I29" s="651" t="str">
        <f>IF($F29="","",IFERROR(VLOOKUP($F29,'Endrunde 4'!$BF$12:$BG$29,2,0),""))</f>
        <v/>
      </c>
      <c r="J29" s="652" t="s">
        <v>5</v>
      </c>
      <c r="K29" s="653" t="str">
        <f>IF($H29="","",IFERROR(VLOOKUP($H29,'Endrunde 4'!$BF$12:$BG$29,2,0),""))</f>
        <v/>
      </c>
      <c r="L29" s="634"/>
      <c r="M29" s="654" t="str">
        <f>Sprache!$E$108</f>
        <v xml:space="preserve"> : </v>
      </c>
      <c r="N29" s="636"/>
      <c r="O29" s="634"/>
      <c r="P29" s="654" t="str">
        <f>Sprache!$E$108</f>
        <v xml:space="preserve"> : </v>
      </c>
      <c r="Q29" s="636"/>
      <c r="R29" s="634"/>
      <c r="S29" s="654" t="str">
        <f>Sprache!$E$108</f>
        <v xml:space="preserve"> : </v>
      </c>
      <c r="T29" s="655"/>
      <c r="U29" s="656" t="str">
        <f t="shared" si="17"/>
        <v/>
      </c>
      <c r="V29" s="646"/>
      <c r="W29" s="647" t="b">
        <f t="shared" si="9"/>
        <v>0</v>
      </c>
      <c r="X29" s="647">
        <f t="shared" si="10"/>
        <v>0</v>
      </c>
      <c r="Y29" s="647">
        <f t="shared" si="11"/>
        <v>0</v>
      </c>
      <c r="Z29" s="647">
        <f t="shared" si="12"/>
        <v>0</v>
      </c>
      <c r="AA29" s="647">
        <f t="shared" si="13"/>
        <v>0</v>
      </c>
      <c r="AB29" s="648"/>
      <c r="AC29" s="647" t="b">
        <f t="shared" si="14"/>
        <v>1</v>
      </c>
      <c r="AD29" s="647" t="b">
        <f t="shared" si="15"/>
        <v>1</v>
      </c>
      <c r="AE29" s="647" t="b">
        <f t="shared" si="16"/>
        <v>1</v>
      </c>
    </row>
    <row r="30" spans="1:31" ht="19.5" thickBot="1" x14ac:dyDescent="0.25">
      <c r="A30" s="618"/>
      <c r="B30" s="618"/>
      <c r="C30" s="657" t="s">
        <v>12</v>
      </c>
      <c r="D30" s="658"/>
      <c r="E30" s="658"/>
      <c r="F30" s="659"/>
      <c r="G30" s="660" t="s">
        <v>5</v>
      </c>
      <c r="H30" s="661"/>
      <c r="I30" s="662" t="str">
        <f>IF($F30="","",IFERROR(VLOOKUP($F30,'Endrunde 4'!$BF$12:$BG$29,2,0),""))</f>
        <v/>
      </c>
      <c r="J30" s="663" t="s">
        <v>5</v>
      </c>
      <c r="K30" s="664" t="str">
        <f>IF($H30="","",IFERROR(VLOOKUP($H30,'Endrunde 4'!$BF$12:$BG$29,2,0),""))</f>
        <v/>
      </c>
      <c r="L30" s="659"/>
      <c r="M30" s="665" t="str">
        <f>Sprache!$E$108</f>
        <v xml:space="preserve"> : </v>
      </c>
      <c r="N30" s="661"/>
      <c r="O30" s="659"/>
      <c r="P30" s="665" t="str">
        <f>Sprache!$E$108</f>
        <v xml:space="preserve"> : </v>
      </c>
      <c r="Q30" s="661"/>
      <c r="R30" s="659"/>
      <c r="S30" s="665" t="str">
        <f>Sprache!$E$108</f>
        <v xml:space="preserve"> : </v>
      </c>
      <c r="T30" s="666"/>
      <c r="U30" s="667" t="str">
        <f t="shared" si="17"/>
        <v/>
      </c>
      <c r="V30" s="646"/>
      <c r="W30" s="647" t="b">
        <f>AND(NOT(OR($AC30,$AD30)),$X30=1,$Y30=1)</f>
        <v>0</v>
      </c>
      <c r="X30" s="647">
        <f>IF($AC30,0,($L30&gt;$N30)+IF($AD30,0,$O30&gt;$Q30))</f>
        <v>0</v>
      </c>
      <c r="Y30" s="647">
        <f>IF($AC30,0,($L30&lt;$N30)+IF($AD30,0,$O30&lt;$Q30))</f>
        <v>0</v>
      </c>
      <c r="Z30" s="647">
        <f>($O30&lt;&gt;"")*($Q30&lt;&gt;"")*($R30&lt;&gt;"")*($T30&lt;&gt;"")*(X30=1)*(Y30=1)*($R30&gt;$T30)</f>
        <v>0</v>
      </c>
      <c r="AA30" s="647">
        <f>($O30&lt;&gt;"")*($Q30&lt;&gt;"")*($R30&lt;&gt;"")*($T30&lt;&gt;"")*(X30=1)*(Y30=1)*($R30&lt;$T30)</f>
        <v>0</v>
      </c>
      <c r="AB30" s="648"/>
      <c r="AC30" s="647" t="b">
        <f>OR($I30="",$K30="",$L30="",$N30="",AND($L30&lt;&gt;"",$L30=$N30))</f>
        <v>1</v>
      </c>
      <c r="AD30" s="647" t="b">
        <f>OR(AC30,$O30="",$Q30="",AND($O30&lt;&gt;"",$O30=$Q30))</f>
        <v>1</v>
      </c>
      <c r="AE30" s="647" t="b">
        <f>OR($R30="",$T30="",$R30=$T30)</f>
        <v>1</v>
      </c>
    </row>
    <row r="31" spans="1:31" ht="13.5" thickTop="1" x14ac:dyDescent="0.2"/>
    <row r="32" spans="1:31" x14ac:dyDescent="0.2"/>
    <row r="33" x14ac:dyDescent="0.2"/>
    <row r="34" x14ac:dyDescent="0.2"/>
  </sheetData>
  <sheetProtection sheet="1" objects="1" scenarios="1" selectLockedCells="1"/>
  <mergeCells count="20">
    <mergeCell ref="R24:T24"/>
    <mergeCell ref="C23:D23"/>
    <mergeCell ref="F23:H23"/>
    <mergeCell ref="F24:H24"/>
    <mergeCell ref="I24:K24"/>
    <mergeCell ref="L24:N24"/>
    <mergeCell ref="O24:Q24"/>
    <mergeCell ref="C10:D10"/>
    <mergeCell ref="F10:H10"/>
    <mergeCell ref="H20:T21"/>
    <mergeCell ref="F2:U2"/>
    <mergeCell ref="F3:U3"/>
    <mergeCell ref="F4:U4"/>
    <mergeCell ref="F5:U5"/>
    <mergeCell ref="H7:T8"/>
    <mergeCell ref="F11:H11"/>
    <mergeCell ref="I11:K11"/>
    <mergeCell ref="L11:N11"/>
    <mergeCell ref="O11:Q11"/>
    <mergeCell ref="R11:T11"/>
  </mergeCells>
  <conditionalFormatting sqref="R12:T17">
    <cfRule type="expression" dxfId="43" priority="2">
      <formula>NOT($W12)</formula>
    </cfRule>
  </conditionalFormatting>
  <conditionalFormatting sqref="R25:T30">
    <cfRule type="expression" dxfId="42" priority="1">
      <formula>NOT($W25)</formula>
    </cfRule>
  </conditionalFormatting>
  <dataValidations count="1">
    <dataValidation allowBlank="1" showInputMessage="1" showErrorMessage="1" errorTitle="Unzulässige Teilnehmernummer" error="Es müssen Zahlen von 1 bis 9 eingetragen werden!" sqref="F12:F18 H12:H18 F25:F30 H25:H30" xr:uid="{4A4BDFA1-2A0A-4418-8B21-08166BF949A7}"/>
  </dataValidations>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923B7-42EC-482C-A535-F8A6D621F2BB}">
  <sheetPr codeName="Tabelle2"/>
  <dimension ref="A1:R53"/>
  <sheetViews>
    <sheetView showGridLines="0" showRowColHeaders="0" zoomScaleNormal="100" workbookViewId="0">
      <selection activeCell="S1" sqref="S1:XFD1048576"/>
    </sheetView>
  </sheetViews>
  <sheetFormatPr baseColWidth="10" defaultColWidth="0" defaultRowHeight="12.75" zeroHeight="1" x14ac:dyDescent="0.2"/>
  <cols>
    <col min="1" max="1" width="4.28515625" style="47" customWidth="1"/>
    <col min="2" max="2" width="4.5703125" style="47" customWidth="1"/>
    <col min="3" max="3" width="32.7109375" style="47" customWidth="1"/>
    <col min="4" max="7" width="11.7109375" style="47" customWidth="1"/>
    <col min="8" max="16" width="8.7109375" style="47" customWidth="1"/>
    <col min="17" max="17" width="32.7109375" style="47" customWidth="1"/>
    <col min="18" max="18" width="4.5703125" style="47" customWidth="1"/>
    <col min="19" max="16384" width="11.42578125" style="47" hidden="1"/>
  </cols>
  <sheetData>
    <row r="1" spans="2:17" x14ac:dyDescent="0.2"/>
    <row r="2" spans="2:17" ht="33.75" x14ac:dyDescent="0.2">
      <c r="B2" s="894" t="str">
        <f>Sprache!$E$7</f>
        <v>Direkte Vergleiche</v>
      </c>
      <c r="C2" s="894"/>
      <c r="D2" s="894"/>
      <c r="E2" s="894"/>
      <c r="F2" s="894"/>
      <c r="G2" s="894"/>
      <c r="H2" s="894"/>
      <c r="I2" s="894"/>
      <c r="J2" s="894"/>
      <c r="K2" s="894"/>
      <c r="L2" s="894"/>
      <c r="M2" s="894"/>
      <c r="N2" s="894"/>
      <c r="O2" s="894"/>
      <c r="P2" s="894"/>
    </row>
    <row r="3" spans="2:17" ht="42.75" customHeight="1" x14ac:dyDescent="0.2">
      <c r="B3" s="896" t="str">
        <f>Sprache!$E$63&amp;" A"</f>
        <v>Vorrunde Gruppe A</v>
      </c>
      <c r="C3" s="896"/>
      <c r="D3" s="896"/>
      <c r="E3" s="896"/>
      <c r="F3" s="896"/>
      <c r="G3" s="896"/>
      <c r="H3" s="896"/>
      <c r="I3" s="896"/>
      <c r="J3" s="896"/>
      <c r="K3" s="896"/>
      <c r="L3" s="896"/>
      <c r="M3" s="896"/>
      <c r="N3" s="896"/>
      <c r="O3" s="896"/>
      <c r="P3" s="896"/>
    </row>
    <row r="4" spans="2:17" ht="17.25" customHeight="1" x14ac:dyDescent="0.2">
      <c r="B4" s="895" t="str">
        <f>Sprache!$E$106</f>
        <v>Rote Schrift bedeutet, dass die Rangfolge auch mit dem direkten Vergleich nicht geklärt ist. Fair Play oder Los muss hier entscheiden.</v>
      </c>
      <c r="C4" s="895"/>
      <c r="D4" s="895"/>
      <c r="E4" s="895"/>
      <c r="F4" s="895"/>
      <c r="G4" s="895"/>
      <c r="H4" s="895"/>
      <c r="I4" s="895"/>
      <c r="J4" s="895"/>
      <c r="K4" s="895"/>
      <c r="L4" s="895"/>
      <c r="M4" s="895"/>
      <c r="N4" s="895"/>
      <c r="O4" s="895"/>
      <c r="P4" s="895"/>
    </row>
    <row r="5" spans="2:17" ht="17.25" customHeight="1" thickBot="1" x14ac:dyDescent="0.25">
      <c r="B5" s="117"/>
      <c r="C5" s="117"/>
      <c r="D5" s="117"/>
      <c r="E5" s="117"/>
      <c r="F5" s="117"/>
      <c r="G5" s="117"/>
      <c r="H5" s="118"/>
      <c r="I5" s="118"/>
      <c r="J5" s="118"/>
      <c r="K5" s="118"/>
      <c r="L5" s="118"/>
      <c r="M5" s="118"/>
      <c r="N5" s="118"/>
      <c r="O5" s="118"/>
      <c r="P5" s="118"/>
    </row>
    <row r="6" spans="2:17" ht="21.95" customHeight="1" thickBot="1" x14ac:dyDescent="0.25">
      <c r="H6" s="489" t="str">
        <f ca="1">IF(LEN(H7)&gt;Einstellungen!$C$17,LEFT(H7,Einstellungen!$C$17)&amp;".",H7)</f>
        <v/>
      </c>
      <c r="I6" s="490" t="str">
        <f ca="1">IF(LEN(I7)&gt;Einstellungen!$C$17,LEFT(I7,Einstellungen!$C$17)&amp;".",I7)</f>
        <v/>
      </c>
      <c r="J6" s="490" t="str">
        <f ca="1">IF(LEN(J7)&gt;Einstellungen!$C$17,LEFT(J7,Einstellungen!$C$17)&amp;".",J7)</f>
        <v/>
      </c>
      <c r="K6" s="490" t="str">
        <f ca="1">IF(LEN(K7)&gt;Einstellungen!$C$17,LEFT(K7,Einstellungen!$C$17)&amp;".",K7)</f>
        <v/>
      </c>
      <c r="L6" s="490" t="str">
        <f ca="1">IF(LEN(L7)&gt;Einstellungen!$C$17,LEFT(L7,Einstellungen!$C$17)&amp;".",L7)</f>
        <v/>
      </c>
      <c r="M6" s="491" t="str">
        <f ca="1">IF(LEN(M7)&gt;Einstellungen!$C$17,LEFT(M7,Einstellungen!$C$17)&amp;".",M7)</f>
        <v/>
      </c>
      <c r="N6" s="491" t="str">
        <f ca="1">IF(LEN(N7)&gt;Einstellungen!$C$17,LEFT(N7,Einstellungen!$C$17)&amp;".",N7)</f>
        <v/>
      </c>
      <c r="O6" s="491" t="str">
        <f ca="1">IF(LEN(O7)&gt;Einstellungen!$C$17,LEFT(O7,Einstellungen!$C$17)&amp;".",O7)</f>
        <v/>
      </c>
      <c r="P6" s="492" t="str">
        <f ca="1">IF(LEN(P7)&gt;Einstellungen!$C$17,LEFT(P7,Einstellungen!$C$17)&amp;".",P7)</f>
        <v/>
      </c>
    </row>
    <row r="7" spans="2:17" ht="21.95" customHeight="1" thickTop="1" thickBot="1" x14ac:dyDescent="0.25">
      <c r="B7" s="115"/>
      <c r="C7" s="121" t="str">
        <f>Sprache!$E$10</f>
        <v>Teilnehmer bzw. Mannschaft</v>
      </c>
      <c r="D7" s="125" t="str">
        <f>Sprache!$E$80</f>
        <v>Satzpkt.</v>
      </c>
      <c r="E7" s="112" t="str">
        <f>Sprache!$E$90</f>
        <v>Bälle</v>
      </c>
      <c r="F7" s="112" t="str">
        <f>Sprache!$E$26</f>
        <v>Diff.</v>
      </c>
      <c r="G7" s="139" t="str">
        <f>Sprache!$E$49</f>
        <v>Tie-Break</v>
      </c>
      <c r="H7" s="129" t="str">
        <f ca="1">C8</f>
        <v/>
      </c>
      <c r="I7" s="130" t="str">
        <f ca="1">C9</f>
        <v/>
      </c>
      <c r="J7" s="130" t="str">
        <f ca="1">C10</f>
        <v/>
      </c>
      <c r="K7" s="130" t="str">
        <f ca="1">C11</f>
        <v/>
      </c>
      <c r="L7" s="130" t="str">
        <f ca="1">C12</f>
        <v/>
      </c>
      <c r="M7" s="488" t="str">
        <f ca="1">C13</f>
        <v/>
      </c>
      <c r="N7" s="483" t="str">
        <f ca="1">C14</f>
        <v/>
      </c>
      <c r="O7" s="483" t="str">
        <f ca="1">C15</f>
        <v/>
      </c>
      <c r="P7" s="142" t="str">
        <f ca="1">C16</f>
        <v/>
      </c>
    </row>
    <row r="8" spans="2:17" ht="21.95" customHeight="1" x14ac:dyDescent="0.2">
      <c r="B8" s="113" t="str">
        <f ca="1">IF($C8="","",INDEX(Calc1!$E$4:$E$12,MATCH($C8,Calc1!$F$4:$F$12,0)))</f>
        <v/>
      </c>
      <c r="C8" s="122" t="str">
        <f ca="1">IF(Calc1!$K$13=0,"",Calc1!$X4)</f>
        <v/>
      </c>
      <c r="D8" s="126" t="str">
        <f ca="1">IF($C8="","",VLOOKUP($C8,Calc1!$C$17:$AC$25,25,0))</f>
        <v/>
      </c>
      <c r="E8" s="109" t="str">
        <f ca="1">IF($C8="","",VLOOKUP($C8,Calc1!$C$17:$AF$25,27,0)&amp;Sprache!$E$108&amp;(VLOOKUP($C8,Calc1!$C$17:$AF$25,27,0)-$F8))</f>
        <v/>
      </c>
      <c r="F8" s="109" t="str">
        <f ca="1">IF($C8="","",VLOOKUP($C8,Calc1!$C$17:$AC$25,26,0))</f>
        <v/>
      </c>
      <c r="G8" s="389" t="str">
        <f ca="1">IF(C8="","",VLOOKUP(C8,Calc1!$C$17:$AB$25,23,0))</f>
        <v/>
      </c>
      <c r="H8" s="134"/>
      <c r="I8" s="109" t="str">
        <f ca="1">IFERROR(VLOOKUP($C8&amp;I$7,Calc1!$Z$64:$AB$207,3,0),"")</f>
        <v/>
      </c>
      <c r="J8" s="109" t="str">
        <f ca="1">IFERROR(VLOOKUP($C8&amp;J$7,Calc1!$Z$64:$AB$207,3,0),"")</f>
        <v/>
      </c>
      <c r="K8" s="109" t="str">
        <f ca="1">IFERROR(VLOOKUP($C8&amp;K$7,Calc1!$Z$64:$AB$207,3,0),"")</f>
        <v/>
      </c>
      <c r="L8" s="109" t="str">
        <f ca="1">IFERROR(VLOOKUP($C8&amp;L$7,Calc1!$Z$64:$AB$207,3,0),"")</f>
        <v/>
      </c>
      <c r="M8" s="484" t="str">
        <f ca="1">IFERROR(VLOOKUP($C8&amp;M$7,Calc1!$Z$64:$AB$207,3,0),"")</f>
        <v/>
      </c>
      <c r="N8" s="484" t="str">
        <f ca="1">IFERROR(VLOOKUP($C8&amp;N$7,Calc1!$Z$64:$AB$207,3,0),"")</f>
        <v/>
      </c>
      <c r="O8" s="484" t="str">
        <f ca="1">IFERROR(VLOOKUP($C8&amp;O$7,Calc1!$Z$64:$AB$207,3,0),"")</f>
        <v/>
      </c>
      <c r="P8" s="143" t="str">
        <f ca="1">IFERROR(VLOOKUP($C8&amp;P$7,Calc1!$Z$64:$AB$207,3,0),"")</f>
        <v/>
      </c>
      <c r="Q8" s="170" t="str">
        <f t="shared" ref="Q8:Q16" ca="1" si="0">C8</f>
        <v/>
      </c>
    </row>
    <row r="9" spans="2:17" ht="21.95" customHeight="1" x14ac:dyDescent="0.2">
      <c r="B9" s="113" t="str">
        <f ca="1">IF($C9="","",INDEX(Calc1!$E$4:$E$12,MATCH($C9,Calc1!$F$4:$F$12,0)))</f>
        <v/>
      </c>
      <c r="C9" s="123" t="str">
        <f ca="1">IF(Calc1!$K$13=0,"",Calc1!$X5)</f>
        <v/>
      </c>
      <c r="D9" s="127" t="str">
        <f ca="1">IF($C9="","",VLOOKUP($C9,Calc1!$C$17:$AC$25,25,0))</f>
        <v/>
      </c>
      <c r="E9" s="110" t="str">
        <f ca="1">IF($C9="","",VLOOKUP($C9,Calc1!$C$17:$AF$25,27,0)&amp;Sprache!$E$108&amp;(VLOOKUP($C9,Calc1!$C$17:$AF$25,27,0)-$F9))</f>
        <v/>
      </c>
      <c r="F9" s="110" t="str">
        <f ca="1">IF($C9="","",VLOOKUP($C9,Calc1!$C$17:$AC$25,26,0))</f>
        <v/>
      </c>
      <c r="G9" s="390" t="str">
        <f ca="1">IF(C9="","",VLOOKUP(C9,Calc1!$C$17:$AB$25,23,0))</f>
        <v/>
      </c>
      <c r="H9" s="135" t="str">
        <f ca="1">IFERROR(VLOOKUP($C9&amp;H$7,Calc1!$Z$64:$AB$207,3,0),"")</f>
        <v/>
      </c>
      <c r="I9" s="120"/>
      <c r="J9" s="110" t="str">
        <f ca="1">IFERROR(VLOOKUP($C9&amp;J$7,Calc1!$Z$64:$AB$207,3,0),"")</f>
        <v/>
      </c>
      <c r="K9" s="110" t="str">
        <f ca="1">IFERROR(VLOOKUP($C9&amp;K$7,Calc1!$Z$64:$AB$207,3,0),"")</f>
        <v/>
      </c>
      <c r="L9" s="110" t="str">
        <f ca="1">IFERROR(VLOOKUP($C9&amp;L$7,Calc1!$Z$64:$AB$207,3,0),"")</f>
        <v/>
      </c>
      <c r="M9" s="485" t="str">
        <f ca="1">IFERROR(VLOOKUP($C9&amp;M$7,Calc1!$Z$64:$AB$207,3,0),"")</f>
        <v/>
      </c>
      <c r="N9" s="485" t="str">
        <f ca="1">IFERROR(VLOOKUP($C9&amp;N$7,Calc1!$Z$64:$AB$207,3,0),"")</f>
        <v/>
      </c>
      <c r="O9" s="485" t="str">
        <f ca="1">IFERROR(VLOOKUP($C9&amp;O$7,Calc1!$Z$64:$AB$207,3,0),"")</f>
        <v/>
      </c>
      <c r="P9" s="144" t="str">
        <f ca="1">IFERROR(VLOOKUP($C9&amp;P$7,Calc1!$Z$64:$AB$207,3,0),"")</f>
        <v/>
      </c>
      <c r="Q9" s="171" t="str">
        <f t="shared" ca="1" si="0"/>
        <v/>
      </c>
    </row>
    <row r="10" spans="2:17" ht="21.95" customHeight="1" x14ac:dyDescent="0.2">
      <c r="B10" s="113" t="str">
        <f ca="1">IF($C10="","",INDEX(Calc1!$E$4:$E$12,MATCH($C10,Calc1!$F$4:$F$12,0)))</f>
        <v/>
      </c>
      <c r="C10" s="123" t="str">
        <f ca="1">IF(Calc1!$K$13=0,"",Calc1!$X6)</f>
        <v/>
      </c>
      <c r="D10" s="127" t="str">
        <f ca="1">IF($C10="","",VLOOKUP($C10,Calc1!$C$17:$AC$25,25,0))</f>
        <v/>
      </c>
      <c r="E10" s="110" t="str">
        <f ca="1">IF($C10="","",VLOOKUP($C10,Calc1!$C$17:$AF$25,27,0)&amp;Sprache!$E$108&amp;(VLOOKUP($C10,Calc1!$C$17:$AF$25,27,0)-$F10))</f>
        <v/>
      </c>
      <c r="F10" s="110" t="str">
        <f ca="1">IF($C10="","",VLOOKUP($C10,Calc1!$C$17:$AC$25,26,0))</f>
        <v/>
      </c>
      <c r="G10" s="390" t="str">
        <f ca="1">IF(C10="","",VLOOKUP(C10,Calc1!$C$17:$AB$25,23,0))</f>
        <v/>
      </c>
      <c r="H10" s="135" t="str">
        <f ca="1">IFERROR(VLOOKUP($C10&amp;H$7,Calc1!$Z$64:$AB$207,3,0),"")</f>
        <v/>
      </c>
      <c r="I10" s="110" t="str">
        <f ca="1">IFERROR(VLOOKUP($C10&amp;I$7,Calc1!$Z$64:$AB$207,3,0),"")</f>
        <v/>
      </c>
      <c r="J10" s="120"/>
      <c r="K10" s="110" t="str">
        <f ca="1">IFERROR(VLOOKUP($C10&amp;K$7,Calc1!$Z$64:$AB$207,3,0),"")</f>
        <v/>
      </c>
      <c r="L10" s="110" t="str">
        <f ca="1">IFERROR(VLOOKUP($C10&amp;L$7,Calc1!$Z$64:$AB$207,3,0),"")</f>
        <v/>
      </c>
      <c r="M10" s="485" t="str">
        <f ca="1">IFERROR(VLOOKUP($C10&amp;M$7,Calc1!$Z$64:$AB$207,3,0),"")</f>
        <v/>
      </c>
      <c r="N10" s="485" t="str">
        <f ca="1">IFERROR(VLOOKUP($C10&amp;N$7,Calc1!$Z$64:$AB$207,3,0),"")</f>
        <v/>
      </c>
      <c r="O10" s="485" t="str">
        <f ca="1">IFERROR(VLOOKUP($C10&amp;O$7,Calc1!$Z$64:$AB$207,3,0),"")</f>
        <v/>
      </c>
      <c r="P10" s="144" t="str">
        <f ca="1">IFERROR(VLOOKUP($C10&amp;P$7,Calc1!$Z$64:$AB$207,3,0),"")</f>
        <v/>
      </c>
      <c r="Q10" s="171" t="str">
        <f t="shared" ca="1" si="0"/>
        <v/>
      </c>
    </row>
    <row r="11" spans="2:17" ht="21.95" customHeight="1" x14ac:dyDescent="0.2">
      <c r="B11" s="113" t="str">
        <f ca="1">IF($C11="","",INDEX(Calc1!$E$4:$E$12,MATCH($C11,Calc1!$F$4:$F$12,0)))</f>
        <v/>
      </c>
      <c r="C11" s="123" t="str">
        <f ca="1">IF(Calc1!$K$13=0,"",Calc1!$X7)</f>
        <v/>
      </c>
      <c r="D11" s="127" t="str">
        <f ca="1">IF($C11="","",VLOOKUP($C11,Calc1!$C$17:$AC$25,25,0))</f>
        <v/>
      </c>
      <c r="E11" s="110" t="str">
        <f ca="1">IF($C11="","",VLOOKUP($C11,Calc1!$C$17:$AF$25,27,0)&amp;Sprache!$E$108&amp;(VLOOKUP($C11,Calc1!$C$17:$AF$25,27,0)-$F11))</f>
        <v/>
      </c>
      <c r="F11" s="110" t="str">
        <f ca="1">IF($C11="","",VLOOKUP($C11,Calc1!$C$17:$AC$25,26,0))</f>
        <v/>
      </c>
      <c r="G11" s="390" t="str">
        <f ca="1">IF(C11="","",VLOOKUP(C11,Calc1!$C$17:$AB$25,23,0))</f>
        <v/>
      </c>
      <c r="H11" s="135" t="str">
        <f ca="1">IFERROR(VLOOKUP($C11&amp;H$7,Calc1!$Z$64:$AB$207,3,0),"")</f>
        <v/>
      </c>
      <c r="I11" s="110" t="str">
        <f ca="1">IFERROR(VLOOKUP($C11&amp;I$7,Calc1!$Z$64:$AB$207,3,0),"")</f>
        <v/>
      </c>
      <c r="J11" s="110" t="str">
        <f ca="1">IFERROR(VLOOKUP($C11&amp;J$7,Calc1!$Z$64:$AB$207,3,0),"")</f>
        <v/>
      </c>
      <c r="K11" s="120"/>
      <c r="L11" s="110" t="str">
        <f ca="1">IFERROR(VLOOKUP($C11&amp;L$7,Calc1!$Z$64:$AB$207,3,0),"")</f>
        <v/>
      </c>
      <c r="M11" s="485" t="str">
        <f ca="1">IFERROR(VLOOKUP($C11&amp;M$7,Calc1!$Z$64:$AB$207,3,0),"")</f>
        <v/>
      </c>
      <c r="N11" s="485" t="str">
        <f ca="1">IFERROR(VLOOKUP($C11&amp;N$7,Calc1!$Z$64:$AB$207,3,0),"")</f>
        <v/>
      </c>
      <c r="O11" s="485" t="str">
        <f ca="1">IFERROR(VLOOKUP($C11&amp;O$7,Calc1!$Z$64:$AB$207,3,0),"")</f>
        <v/>
      </c>
      <c r="P11" s="144" t="str">
        <f ca="1">IFERROR(VLOOKUP($C11&amp;P$7,Calc1!$Z$64:$AB$207,3,0),"")</f>
        <v/>
      </c>
      <c r="Q11" s="171" t="str">
        <f t="shared" ca="1" si="0"/>
        <v/>
      </c>
    </row>
    <row r="12" spans="2:17" ht="21.95" customHeight="1" x14ac:dyDescent="0.2">
      <c r="B12" s="113" t="str">
        <f ca="1">IF($C12="","",INDEX(Calc1!$E$4:$E$12,MATCH($C12,Calc1!$F$4:$F$12,0)))</f>
        <v/>
      </c>
      <c r="C12" s="123" t="str">
        <f ca="1">IF(Calc1!$K$13=0,"",Calc1!$X8)</f>
        <v/>
      </c>
      <c r="D12" s="127" t="str">
        <f ca="1">IF($C12="","",VLOOKUP($C12,Calc1!$C$17:$AC$25,25,0))</f>
        <v/>
      </c>
      <c r="E12" s="110" t="str">
        <f ca="1">IF($C12="","",VLOOKUP($C12,Calc1!$C$17:$AF$25,27,0)&amp;Sprache!$E$108&amp;(VLOOKUP($C12,Calc1!$C$17:$AF$25,27,0)-$F12))</f>
        <v/>
      </c>
      <c r="F12" s="110" t="str">
        <f ca="1">IF($C12="","",VLOOKUP($C12,Calc1!$C$17:$AC$25,26,0))</f>
        <v/>
      </c>
      <c r="G12" s="390" t="str">
        <f ca="1">IF(C12="","",VLOOKUP(C12,Calc1!$C$17:$AB$25,23,0))</f>
        <v/>
      </c>
      <c r="H12" s="135" t="str">
        <f ca="1">IFERROR(VLOOKUP($C12&amp;H$7,Calc1!$Z$64:$AB$207,3,0),"")</f>
        <v/>
      </c>
      <c r="I12" s="110" t="str">
        <f ca="1">IFERROR(VLOOKUP($C12&amp;I$7,Calc1!$Z$64:$AB$207,3,0),"")</f>
        <v/>
      </c>
      <c r="J12" s="110" t="str">
        <f ca="1">IFERROR(VLOOKUP($C12&amp;J$7,Calc1!$Z$64:$AB$207,3,0),"")</f>
        <v/>
      </c>
      <c r="K12" s="110" t="str">
        <f ca="1">IFERROR(VLOOKUP($C12&amp;K$7,Calc1!$Z$64:$AB$207,3,0),"")</f>
        <v/>
      </c>
      <c r="L12" s="120"/>
      <c r="M12" s="485" t="str">
        <f ca="1">IFERROR(VLOOKUP($C12&amp;M$7,Calc1!$Z$64:$AB$207,3,0),"")</f>
        <v/>
      </c>
      <c r="N12" s="485" t="str">
        <f ca="1">IFERROR(VLOOKUP($C12&amp;N$7,Calc1!$Z$64:$AB$207,3,0),"")</f>
        <v/>
      </c>
      <c r="O12" s="485" t="str">
        <f ca="1">IFERROR(VLOOKUP($C12&amp;O$7,Calc1!$Z$64:$AB$207,3,0),"")</f>
        <v/>
      </c>
      <c r="P12" s="144" t="str">
        <f ca="1">IFERROR(VLOOKUP($C12&amp;P$7,Calc1!$Z$64:$AB$207,3,0),"")</f>
        <v/>
      </c>
      <c r="Q12" s="171" t="str">
        <f t="shared" ca="1" si="0"/>
        <v/>
      </c>
    </row>
    <row r="13" spans="2:17" ht="21.95" customHeight="1" x14ac:dyDescent="0.2">
      <c r="B13" s="113" t="str">
        <f ca="1">IF($C13="","",INDEX(Calc1!$E$4:$E$12,MATCH($C13,Calc1!$F$4:$F$12,0)))</f>
        <v/>
      </c>
      <c r="C13" s="123" t="str">
        <f ca="1">IF(Calc1!$K$13=0,"",Calc1!$X9)</f>
        <v/>
      </c>
      <c r="D13" s="127" t="str">
        <f ca="1">IF($C13="","",VLOOKUP($C13,Calc1!$C$17:$AC$25,25,0))</f>
        <v/>
      </c>
      <c r="E13" s="110" t="str">
        <f ca="1">IF($C13="","",VLOOKUP($C13,Calc1!$C$17:$AF$25,27,0)&amp;Sprache!$E$108&amp;(VLOOKUP($C13,Calc1!$C$17:$AF$25,27,0)-$F13))</f>
        <v/>
      </c>
      <c r="F13" s="110" t="str">
        <f ca="1">IF($C13="","",VLOOKUP($C13,Calc1!$C$17:$AC$25,26,0))</f>
        <v/>
      </c>
      <c r="G13" s="390" t="str">
        <f ca="1">IF(C13="","",VLOOKUP(C13,Calc1!$C$17:$AB$25,23,0))</f>
        <v/>
      </c>
      <c r="H13" s="135" t="str">
        <f ca="1">IFERROR(VLOOKUP($C13&amp;H$7,Calc1!$Z$64:$AB$207,3,0),"")</f>
        <v/>
      </c>
      <c r="I13" s="110" t="str">
        <f ca="1">IFERROR(VLOOKUP($C13&amp;I$7,Calc1!$Z$64:$AB$207,3,0),"")</f>
        <v/>
      </c>
      <c r="J13" s="110" t="str">
        <f ca="1">IFERROR(VLOOKUP($C13&amp;J$7,Calc1!$Z$64:$AB$207,3,0),"")</f>
        <v/>
      </c>
      <c r="K13" s="110" t="str">
        <f ca="1">IFERROR(VLOOKUP($C13&amp;K$7,Calc1!$Z$64:$AB$207,3,0),"")</f>
        <v/>
      </c>
      <c r="L13" s="110" t="str">
        <f ca="1">IFERROR(VLOOKUP($C13&amp;L$7,Calc1!$Z$64:$AB$207,3,0),"")</f>
        <v/>
      </c>
      <c r="M13" s="486"/>
      <c r="N13" s="485" t="str">
        <f ca="1">IFERROR(VLOOKUP($C13&amp;N$7,Calc1!$Z$64:$AB$207,3,0),"")</f>
        <v/>
      </c>
      <c r="O13" s="485" t="str">
        <f ca="1">IFERROR(VLOOKUP($C13&amp;O$7,Calc1!$Z$64:$AB$207,3,0),"")</f>
        <v/>
      </c>
      <c r="P13" s="144" t="str">
        <f ca="1">IFERROR(VLOOKUP($C13&amp;P$7,Calc1!$Z$64:$AB$207,3,0),"")</f>
        <v/>
      </c>
      <c r="Q13" s="171" t="str">
        <f t="shared" ca="1" si="0"/>
        <v/>
      </c>
    </row>
    <row r="14" spans="2:17" ht="21.95" customHeight="1" x14ac:dyDescent="0.2">
      <c r="B14" s="113" t="str">
        <f ca="1">IF($C14="","",INDEX(Calc1!$E$4:$E$12,MATCH($C14,Calc1!$F$4:$F$12,0)))</f>
        <v/>
      </c>
      <c r="C14" s="123" t="str">
        <f ca="1">IF(Calc1!$K$13=0,"",Calc1!$X10)</f>
        <v/>
      </c>
      <c r="D14" s="127" t="str">
        <f ca="1">IF($C14="","",VLOOKUP($C14,Calc1!$C$17:$AC$25,25,0))</f>
        <v/>
      </c>
      <c r="E14" s="110" t="str">
        <f ca="1">IF($C14="","",VLOOKUP($C14,Calc1!$C$17:$AF$25,27,0)&amp;Sprache!$E$108&amp;(VLOOKUP($C14,Calc1!$C$17:$AF$25,27,0)-$F14))</f>
        <v/>
      </c>
      <c r="F14" s="110" t="str">
        <f ca="1">IF($C14="","",VLOOKUP($C14,Calc1!$C$17:$AC$25,26,0))</f>
        <v/>
      </c>
      <c r="G14" s="390" t="str">
        <f ca="1">IF(C14="","",VLOOKUP(C14,Calc1!$C$17:$AB$25,23,0))</f>
        <v/>
      </c>
      <c r="H14" s="135" t="str">
        <f ca="1">IFERROR(VLOOKUP($C14&amp;H$7,Calc1!$Z$64:$AB$207,3,0),"")</f>
        <v/>
      </c>
      <c r="I14" s="110" t="str">
        <f ca="1">IFERROR(VLOOKUP($C14&amp;I$7,Calc1!$Z$64:$AB$207,3,0),"")</f>
        <v/>
      </c>
      <c r="J14" s="110" t="str">
        <f ca="1">IFERROR(VLOOKUP($C14&amp;J$7,Calc1!$Z$64:$AB$207,3,0),"")</f>
        <v/>
      </c>
      <c r="K14" s="110" t="str">
        <f ca="1">IFERROR(VLOOKUP($C14&amp;K$7,Calc1!$Z$64:$AB$207,3,0),"")</f>
        <v/>
      </c>
      <c r="L14" s="110" t="str">
        <f ca="1">IFERROR(VLOOKUP($C14&amp;L$7,Calc1!$Z$64:$AB$207,3,0),"")</f>
        <v/>
      </c>
      <c r="M14" s="485" t="str">
        <f ca="1">IFERROR(VLOOKUP($C14&amp;M$7,Calc1!$Z$64:$AB$207,3,0),"")</f>
        <v/>
      </c>
      <c r="N14" s="486"/>
      <c r="O14" s="485" t="str">
        <f ca="1">IFERROR(VLOOKUP($C14&amp;O$7,Calc1!$Z$64:$AB$207,3,0),"")</f>
        <v/>
      </c>
      <c r="P14" s="144" t="str">
        <f ca="1">IFERROR(VLOOKUP($C14&amp;P$7,Calc1!$Z$64:$AB$207,3,0),"")</f>
        <v/>
      </c>
      <c r="Q14" s="171" t="str">
        <f t="shared" ca="1" si="0"/>
        <v/>
      </c>
    </row>
    <row r="15" spans="2:17" ht="21.95" customHeight="1" x14ac:dyDescent="0.2">
      <c r="B15" s="113" t="str">
        <f ca="1">IF($C15="","",INDEX(Calc1!$E$4:$E$12,MATCH($C15,Calc1!$F$4:$F$12,0)))</f>
        <v/>
      </c>
      <c r="C15" s="123" t="str">
        <f ca="1">IF(Calc1!$K$13=0,"",Calc1!$X11)</f>
        <v/>
      </c>
      <c r="D15" s="127" t="str">
        <f ca="1">IF($C15="","",VLOOKUP($C15,Calc1!$C$17:$AC$25,25,0))</f>
        <v/>
      </c>
      <c r="E15" s="110" t="str">
        <f ca="1">IF($C15="","",VLOOKUP($C15,Calc1!$C$17:$AF$25,27,0)&amp;Sprache!$E$108&amp;(VLOOKUP($C15,Calc1!$C$17:$AF$25,27,0)-$F15))</f>
        <v/>
      </c>
      <c r="F15" s="110" t="str">
        <f ca="1">IF($C15="","",VLOOKUP($C15,Calc1!$C$17:$AC$25,26,0))</f>
        <v/>
      </c>
      <c r="G15" s="390" t="str">
        <f ca="1">IF(C15="","",VLOOKUP(C15,Calc1!$C$17:$AB$25,23,0))</f>
        <v/>
      </c>
      <c r="H15" s="135" t="str">
        <f ca="1">IFERROR(VLOOKUP($C15&amp;H$7,Calc1!$Z$64:$AB$207,3,0),"")</f>
        <v/>
      </c>
      <c r="I15" s="110" t="str">
        <f ca="1">IFERROR(VLOOKUP($C15&amp;I$7,Calc1!$Z$64:$AB$207,3,0),"")</f>
        <v/>
      </c>
      <c r="J15" s="110" t="str">
        <f ca="1">IFERROR(VLOOKUP($C15&amp;J$7,Calc1!$Z$64:$AB$207,3,0),"")</f>
        <v/>
      </c>
      <c r="K15" s="110" t="str">
        <f ca="1">IFERROR(VLOOKUP($C15&amp;K$7,Calc1!$Z$64:$AB$207,3,0),"")</f>
        <v/>
      </c>
      <c r="L15" s="110" t="str">
        <f ca="1">IFERROR(VLOOKUP($C15&amp;L$7,Calc1!$Z$64:$AB$207,3,0),"")</f>
        <v/>
      </c>
      <c r="M15" s="485" t="str">
        <f ca="1">IFERROR(VLOOKUP($C15&amp;M$7,Calc1!$Z$64:$AB$207,3,0),"")</f>
        <v/>
      </c>
      <c r="N15" s="485" t="str">
        <f ca="1">IFERROR(VLOOKUP($C15&amp;N$7,Calc1!$Z$64:$AB$207,3,0),"")</f>
        <v/>
      </c>
      <c r="O15" s="486"/>
      <c r="P15" s="144" t="str">
        <f ca="1">IFERROR(VLOOKUP($C15&amp;P$7,Calc1!$Z$64:$AB$207,3,0),"")</f>
        <v/>
      </c>
      <c r="Q15" s="171" t="str">
        <f t="shared" ca="1" si="0"/>
        <v/>
      </c>
    </row>
    <row r="16" spans="2:17" ht="21.95" customHeight="1" thickBot="1" x14ac:dyDescent="0.25">
      <c r="B16" s="114" t="str">
        <f ca="1">IF($C16="","",INDEX(Calc1!$E$4:$E$12,MATCH($C16,Calc1!$F$4:$F$12,0)))</f>
        <v/>
      </c>
      <c r="C16" s="124" t="str">
        <f ca="1">IF(Calc1!$K$13=0,"",Calc1!$X12)</f>
        <v/>
      </c>
      <c r="D16" s="128" t="str">
        <f ca="1">IF($C16="","",VLOOKUP($C16,Calc1!$C$17:$AC$25,25,0))</f>
        <v/>
      </c>
      <c r="E16" s="111" t="str">
        <f ca="1">IF($C16="","",VLOOKUP($C16,Calc1!$C$17:$AF$25,27,0)&amp;Sprache!$E$108&amp;(VLOOKUP($C16,Calc1!$C$17:$AF$25,27,0)-$F16))</f>
        <v/>
      </c>
      <c r="F16" s="111" t="str">
        <f ca="1">IF($C16="","",VLOOKUP($C16,Calc1!$C$17:$AC$25,26,0))</f>
        <v/>
      </c>
      <c r="G16" s="391" t="str">
        <f ca="1">IF(C16="","",VLOOKUP(C16,Calc1!$C$17:$AB$25,23,0))</f>
        <v/>
      </c>
      <c r="H16" s="136" t="str">
        <f ca="1">IFERROR(VLOOKUP($C16&amp;H$7,Calc1!$Z$64:$AB$207,3,0),"")</f>
        <v/>
      </c>
      <c r="I16" s="111" t="str">
        <f ca="1">IFERROR(VLOOKUP($C16&amp;I$7,Calc1!$Z$64:$AB$207,3,0),"")</f>
        <v/>
      </c>
      <c r="J16" s="111" t="str">
        <f ca="1">IFERROR(VLOOKUP($C16&amp;J$7,Calc1!$Z$64:$AB$207,3,0),"")</f>
        <v/>
      </c>
      <c r="K16" s="111" t="str">
        <f ca="1">IFERROR(VLOOKUP($C16&amp;K$7,Calc1!$Z$64:$AB$207,3,0),"")</f>
        <v/>
      </c>
      <c r="L16" s="111" t="str">
        <f ca="1">IFERROR(VLOOKUP($C16&amp;L$7,Calc1!$Z$64:$AB$207,3,0),"")</f>
        <v/>
      </c>
      <c r="M16" s="487" t="str">
        <f ca="1">IFERROR(VLOOKUP($C16&amp;M$7,Calc1!$Z$64:$AB$207,3,0),"")</f>
        <v/>
      </c>
      <c r="N16" s="487" t="str">
        <f ca="1">IFERROR(VLOOKUP($C16&amp;N$7,Calc1!$Z$64:$AB$207,3,0),"")</f>
        <v/>
      </c>
      <c r="O16" s="487" t="str">
        <f ca="1">IFERROR(VLOOKUP($C16&amp;O$7,Calc1!$Z$64:$AB$207,3,0),"")</f>
        <v/>
      </c>
      <c r="P16" s="145"/>
      <c r="Q16" s="172" t="str">
        <f t="shared" ca="1" si="0"/>
        <v/>
      </c>
    </row>
    <row r="17" spans="2:17" ht="42.75" customHeight="1" thickTop="1" thickBot="1" x14ac:dyDescent="0.25">
      <c r="B17" s="131"/>
      <c r="C17" s="132"/>
      <c r="D17" s="133"/>
      <c r="E17" s="119"/>
      <c r="F17" s="119"/>
      <c r="G17" s="119"/>
      <c r="H17" s="119"/>
      <c r="I17" s="119"/>
      <c r="J17" s="119"/>
      <c r="K17" s="119"/>
      <c r="L17" s="119"/>
      <c r="M17" s="119"/>
      <c r="N17" s="119"/>
      <c r="O17" s="119"/>
      <c r="P17" s="119"/>
    </row>
    <row r="18" spans="2:17" ht="21.95" customHeight="1" thickBot="1" x14ac:dyDescent="0.25">
      <c r="H18" s="489" t="str">
        <f ca="1">IF(LEN(H19)&gt;Einstellungen!$C$17,LEFT(H19,Einstellungen!$C$17)&amp;".",H19)</f>
        <v/>
      </c>
      <c r="I18" s="490" t="str">
        <f ca="1">IF(LEN(I19)&gt;Einstellungen!$C$17,LEFT(I19,Einstellungen!$C$17)&amp;".",I19)</f>
        <v/>
      </c>
      <c r="J18" s="490" t="str">
        <f ca="1">IF(LEN(J19)&gt;Einstellungen!$C$17,LEFT(J19,Einstellungen!$C$17)&amp;".",J19)</f>
        <v/>
      </c>
      <c r="K18" s="490" t="str">
        <f ca="1">IF(LEN(K19)&gt;Einstellungen!$C$17,LEFT(K19,Einstellungen!$C$17)&amp;".",K19)</f>
        <v/>
      </c>
      <c r="L18" s="490" t="str">
        <f ca="1">IF(LEN(L19)&gt;Einstellungen!$C$17,LEFT(L19,Einstellungen!$C$17)&amp;".",L19)</f>
        <v/>
      </c>
      <c r="M18" s="491" t="str">
        <f ca="1">IF(LEN(M19)&gt;Einstellungen!$C$17,LEFT(M19,Einstellungen!$C$17)&amp;".",M19)</f>
        <v/>
      </c>
      <c r="N18" s="491" t="str">
        <f ca="1">IF(LEN(N19)&gt;Einstellungen!$C$17,LEFT(N19,Einstellungen!$C$17)&amp;".",N19)</f>
        <v/>
      </c>
      <c r="O18" s="491" t="str">
        <f ca="1">IF(LEN(O19)&gt;Einstellungen!$C$17,LEFT(O19,Einstellungen!$C$17)&amp;".",O19)</f>
        <v/>
      </c>
      <c r="P18" s="492" t="str">
        <f ca="1">IF(LEN(P19)&gt;Einstellungen!$C$17,LEFT(P19,Einstellungen!$C$17)&amp;".",P19)</f>
        <v/>
      </c>
    </row>
    <row r="19" spans="2:17" ht="21.95" customHeight="1" thickTop="1" thickBot="1" x14ac:dyDescent="0.25">
      <c r="B19" s="115"/>
      <c r="C19" s="121" t="str">
        <f>Sprache!$E$10</f>
        <v>Teilnehmer bzw. Mannschaft</v>
      </c>
      <c r="D19" s="125" t="str">
        <f>Sprache!$E$80</f>
        <v>Satzpkt.</v>
      </c>
      <c r="E19" s="112" t="str">
        <f>Sprache!$E$90</f>
        <v>Bälle</v>
      </c>
      <c r="F19" s="112" t="str">
        <f>Sprache!$E$26</f>
        <v>Diff.</v>
      </c>
      <c r="G19" s="139" t="str">
        <f>Sprache!$E$49</f>
        <v>Tie-Break</v>
      </c>
      <c r="H19" s="129" t="str">
        <f ca="1">C20</f>
        <v/>
      </c>
      <c r="I19" s="130" t="str">
        <f ca="1">C21</f>
        <v/>
      </c>
      <c r="J19" s="130" t="str">
        <f ca="1">C22</f>
        <v/>
      </c>
      <c r="K19" s="130" t="str">
        <f ca="1">C23</f>
        <v/>
      </c>
      <c r="L19" s="130" t="str">
        <f ca="1">C24</f>
        <v/>
      </c>
      <c r="M19" s="483" t="str">
        <f ca="1">C25</f>
        <v/>
      </c>
      <c r="N19" s="483" t="str">
        <f ca="1">C26</f>
        <v/>
      </c>
      <c r="O19" s="483" t="str">
        <f ca="1">C27</f>
        <v/>
      </c>
      <c r="P19" s="142" t="str">
        <f ca="1">C28</f>
        <v/>
      </c>
    </row>
    <row r="20" spans="2:17" ht="21.95" customHeight="1" x14ac:dyDescent="0.2">
      <c r="B20" s="113" t="str">
        <f ca="1">IF($C20="","",INDEX(Calc1!$E$4:$E$12,MATCH($C20,Calc1!$F$4:$F$12,0)))</f>
        <v/>
      </c>
      <c r="C20" s="122" t="str">
        <f ca="1">IF(Calc1!$K$13=0,"",Calc1!$AC4)</f>
        <v/>
      </c>
      <c r="D20" s="126" t="str">
        <f ca="1">IF($C20="","",VLOOKUP($C20,Calc1!$C$17:$AC$25,25,0))</f>
        <v/>
      </c>
      <c r="E20" s="109" t="str">
        <f ca="1">IF($C20="","",VLOOKUP($C20,Calc1!$C$17:$AF$25,27,0)&amp;Sprache!$E$108&amp;(VLOOKUP($C20,Calc1!$C$17:$AF$25,27,0)-$F20))</f>
        <v/>
      </c>
      <c r="F20" s="109" t="str">
        <f ca="1">IF($C20="","",VLOOKUP($C20,Calc1!$C$17:$AC$25,26,0))</f>
        <v/>
      </c>
      <c r="G20" s="389" t="str">
        <f ca="1">IF(C20="","",VLOOKUP(C20,Calc1!$C$17:$AB$25,23,0))</f>
        <v/>
      </c>
      <c r="H20" s="134"/>
      <c r="I20" s="109" t="str">
        <f ca="1">IFERROR(VLOOKUP($C20&amp;I$19,Calc1!$Z$64:$AB$207,3,0),"")</f>
        <v/>
      </c>
      <c r="J20" s="109" t="str">
        <f ca="1">IFERROR(VLOOKUP($C20&amp;J$19,Calc1!$Z$64:$AB$207,3,0),"")</f>
        <v/>
      </c>
      <c r="K20" s="109" t="str">
        <f ca="1">IFERROR(VLOOKUP($C20&amp;K$19,Calc1!$Z$64:$AB$207,3,0),"")</f>
        <v/>
      </c>
      <c r="L20" s="109" t="str">
        <f ca="1">IFERROR(VLOOKUP($C20&amp;L$19,Calc1!$Z$64:$AB$207,3,0),"")</f>
        <v/>
      </c>
      <c r="M20" s="484" t="str">
        <f ca="1">IFERROR(VLOOKUP($C20&amp;M$19,Calc1!$Z$64:$AB$207,3,0),"")</f>
        <v/>
      </c>
      <c r="N20" s="484" t="str">
        <f ca="1">IFERROR(VLOOKUP($C20&amp;N$19,Calc1!$Z$64:$AB$207,3,0),"")</f>
        <v/>
      </c>
      <c r="O20" s="484" t="str">
        <f ca="1">IFERROR(VLOOKUP($C20&amp;O$19,Calc1!$Z$64:$AB$207,3,0),"")</f>
        <v/>
      </c>
      <c r="P20" s="143" t="str">
        <f ca="1">IFERROR(VLOOKUP($C20&amp;P$19,Calc1!$Z$64:$AB$207,3,0),"")</f>
        <v/>
      </c>
      <c r="Q20" s="170" t="str">
        <f t="shared" ref="Q20:Q28" ca="1" si="1">C20</f>
        <v/>
      </c>
    </row>
    <row r="21" spans="2:17" ht="21.95" customHeight="1" x14ac:dyDescent="0.2">
      <c r="B21" s="113" t="str">
        <f ca="1">IF($C21="","",INDEX(Calc1!$E$4:$E$12,MATCH($C21,Calc1!$F$4:$F$12,0)))</f>
        <v/>
      </c>
      <c r="C21" s="123" t="str">
        <f ca="1">IF(Calc1!$K$13=0,"",Calc1!$AC5)</f>
        <v/>
      </c>
      <c r="D21" s="127" t="str">
        <f ca="1">IF($C21="","",VLOOKUP($C21,Calc1!$C$17:$AC$25,25,0))</f>
        <v/>
      </c>
      <c r="E21" s="110" t="str">
        <f ca="1">IF($C21="","",VLOOKUP($C21,Calc1!$C$17:$AF$25,27,0)&amp;Sprache!$E$108&amp;(VLOOKUP($C21,Calc1!$C$17:$AF$25,27,0)-$F21))</f>
        <v/>
      </c>
      <c r="F21" s="110" t="str">
        <f ca="1">IF($C21="","",VLOOKUP($C21,Calc1!$C$17:$AC$25,26,0))</f>
        <v/>
      </c>
      <c r="G21" s="390" t="str">
        <f ca="1">IF(C21="","",VLOOKUP(C21,Calc1!$C$17:$AB$25,23,0))</f>
        <v/>
      </c>
      <c r="H21" s="135" t="str">
        <f ca="1">IFERROR(VLOOKUP($C21&amp;H$19,Calc1!$Z$64:$AB$207,3,0),"")</f>
        <v/>
      </c>
      <c r="I21" s="120"/>
      <c r="J21" s="110" t="str">
        <f ca="1">IFERROR(VLOOKUP($C21&amp;J$19,Calc1!$Z$64:$AB$207,3,0),"")</f>
        <v/>
      </c>
      <c r="K21" s="110" t="str">
        <f ca="1">IFERROR(VLOOKUP($C21&amp;K$19,Calc1!$Z$64:$AB$207,3,0),"")</f>
        <v/>
      </c>
      <c r="L21" s="110" t="str">
        <f ca="1">IFERROR(VLOOKUP($C21&amp;L$19,Calc1!$Z$64:$AB$207,3,0),"")</f>
        <v/>
      </c>
      <c r="M21" s="485" t="str">
        <f ca="1">IFERROR(VLOOKUP($C21&amp;M$19,Calc1!$Z$64:$AB$207,3,0),"")</f>
        <v/>
      </c>
      <c r="N21" s="485" t="str">
        <f ca="1">IFERROR(VLOOKUP($C21&amp;N$19,Calc1!$Z$64:$AB$207,3,0),"")</f>
        <v/>
      </c>
      <c r="O21" s="485" t="str">
        <f ca="1">IFERROR(VLOOKUP($C21&amp;O$19,Calc1!$Z$64:$AB$207,3,0),"")</f>
        <v/>
      </c>
      <c r="P21" s="144" t="str">
        <f ca="1">IFERROR(VLOOKUP($C21&amp;P$19,Calc1!$Z$64:$AB$207,3,0),"")</f>
        <v/>
      </c>
      <c r="Q21" s="171" t="str">
        <f t="shared" ca="1" si="1"/>
        <v/>
      </c>
    </row>
    <row r="22" spans="2:17" ht="21.95" customHeight="1" x14ac:dyDescent="0.2">
      <c r="B22" s="113" t="str">
        <f ca="1">IF($C22="","",INDEX(Calc1!$E$4:$E$12,MATCH($C22,Calc1!$F$4:$F$12,0)))</f>
        <v/>
      </c>
      <c r="C22" s="123" t="str">
        <f ca="1">IF(Calc1!$K$13=0,"",Calc1!$AC6)</f>
        <v/>
      </c>
      <c r="D22" s="127" t="str">
        <f ca="1">IF($C22="","",VLOOKUP($C22,Calc1!$C$17:$AC$25,25,0))</f>
        <v/>
      </c>
      <c r="E22" s="110" t="str">
        <f ca="1">IF($C22="","",VLOOKUP($C22,Calc1!$C$17:$AF$25,27,0)&amp;Sprache!$E$108&amp;(VLOOKUP($C22,Calc1!$C$17:$AF$25,27,0)-$F22))</f>
        <v/>
      </c>
      <c r="F22" s="110" t="str">
        <f ca="1">IF($C22="","",VLOOKUP($C22,Calc1!$C$17:$AC$25,26,0))</f>
        <v/>
      </c>
      <c r="G22" s="390" t="str">
        <f ca="1">IF(C22="","",VLOOKUP(C22,Calc1!$C$17:$AB$25,23,0))</f>
        <v/>
      </c>
      <c r="H22" s="135" t="str">
        <f ca="1">IFERROR(VLOOKUP($C22&amp;H$19,Calc1!$Z$64:$AB$207,3,0),"")</f>
        <v/>
      </c>
      <c r="I22" s="110" t="str">
        <f ca="1">IFERROR(VLOOKUP($C22&amp;I$19,Calc1!$Z$64:$AB$207,3,0),"")</f>
        <v/>
      </c>
      <c r="J22" s="120"/>
      <c r="K22" s="110" t="str">
        <f ca="1">IFERROR(VLOOKUP($C22&amp;K$19,Calc1!$Z$64:$AB$207,3,0),"")</f>
        <v/>
      </c>
      <c r="L22" s="110" t="str">
        <f ca="1">IFERROR(VLOOKUP($C22&amp;L$19,Calc1!$Z$64:$AB$207,3,0),"")</f>
        <v/>
      </c>
      <c r="M22" s="485" t="str">
        <f ca="1">IFERROR(VLOOKUP($C22&amp;M$19,Calc1!$Z$64:$AB$207,3,0),"")</f>
        <v/>
      </c>
      <c r="N22" s="485" t="str">
        <f ca="1">IFERROR(VLOOKUP($C22&amp;N$19,Calc1!$Z$64:$AB$207,3,0),"")</f>
        <v/>
      </c>
      <c r="O22" s="485" t="str">
        <f ca="1">IFERROR(VLOOKUP($C22&amp;O$19,Calc1!$Z$64:$AB$207,3,0),"")</f>
        <v/>
      </c>
      <c r="P22" s="144" t="str">
        <f ca="1">IFERROR(VLOOKUP($C22&amp;P$19,Calc1!$Z$64:$AB$207,3,0),"")</f>
        <v/>
      </c>
      <c r="Q22" s="171" t="str">
        <f t="shared" ca="1" si="1"/>
        <v/>
      </c>
    </row>
    <row r="23" spans="2:17" ht="21.95" customHeight="1" x14ac:dyDescent="0.2">
      <c r="B23" s="113" t="str">
        <f ca="1">IF($C23="","",INDEX(Calc1!$E$4:$E$12,MATCH($C23,Calc1!$F$4:$F$12,0)))</f>
        <v/>
      </c>
      <c r="C23" s="123" t="str">
        <f ca="1">IF(Calc1!$K$13=0,"",Calc1!$AC7)</f>
        <v/>
      </c>
      <c r="D23" s="127" t="str">
        <f ca="1">IF($C23="","",VLOOKUP($C23,Calc1!$C$17:$AC$25,25,0))</f>
        <v/>
      </c>
      <c r="E23" s="110" t="str">
        <f ca="1">IF($C23="","",VLOOKUP($C23,Calc1!$C$17:$AF$25,27,0)&amp;Sprache!$E$108&amp;(VLOOKUP($C23,Calc1!$C$17:$AF$25,27,0)-$F23))</f>
        <v/>
      </c>
      <c r="F23" s="110" t="str">
        <f ca="1">IF($C23="","",VLOOKUP($C23,Calc1!$C$17:$AC$25,26,0))</f>
        <v/>
      </c>
      <c r="G23" s="390" t="str">
        <f ca="1">IF(C23="","",VLOOKUP(C23,Calc1!$C$17:$AB$25,23,0))</f>
        <v/>
      </c>
      <c r="H23" s="135" t="str">
        <f ca="1">IFERROR(VLOOKUP($C23&amp;H$19,Calc1!$Z$64:$AB$207,3,0),"")</f>
        <v/>
      </c>
      <c r="I23" s="110" t="str">
        <f ca="1">IFERROR(VLOOKUP($C23&amp;I$19,Calc1!$Z$64:$AB$207,3,0),"")</f>
        <v/>
      </c>
      <c r="J23" s="110" t="str">
        <f ca="1">IFERROR(VLOOKUP($C23&amp;J$19,Calc1!$Z$64:$AB$207,3,0),"")</f>
        <v/>
      </c>
      <c r="K23" s="120"/>
      <c r="L23" s="110" t="str">
        <f ca="1">IFERROR(VLOOKUP($C23&amp;L$19,Calc1!$Z$64:$AB$207,3,0),"")</f>
        <v/>
      </c>
      <c r="M23" s="485" t="str">
        <f ca="1">IFERROR(VLOOKUP($C23&amp;M$19,Calc1!$Z$64:$AB$207,3,0),"")</f>
        <v/>
      </c>
      <c r="N23" s="485" t="str">
        <f ca="1">IFERROR(VLOOKUP($C23&amp;N$19,Calc1!$Z$64:$AB$207,3,0),"")</f>
        <v/>
      </c>
      <c r="O23" s="485" t="str">
        <f ca="1">IFERROR(VLOOKUP($C23&amp;O$19,Calc1!$Z$64:$AB$207,3,0),"")</f>
        <v/>
      </c>
      <c r="P23" s="144" t="str">
        <f ca="1">IFERROR(VLOOKUP($C23&amp;P$19,Calc1!$Z$64:$AB$207,3,0),"")</f>
        <v/>
      </c>
      <c r="Q23" s="171" t="str">
        <f t="shared" ca="1" si="1"/>
        <v/>
      </c>
    </row>
    <row r="24" spans="2:17" ht="21.95" customHeight="1" x14ac:dyDescent="0.2">
      <c r="B24" s="113" t="str">
        <f ca="1">IF($C24="","",INDEX(Calc1!$E$4:$E$12,MATCH($C24,Calc1!$F$4:$F$12,0)))</f>
        <v/>
      </c>
      <c r="C24" s="123" t="str">
        <f ca="1">IF(Calc1!$K$13=0,"",Calc1!$AC8)</f>
        <v/>
      </c>
      <c r="D24" s="127" t="str">
        <f ca="1">IF($C24="","",VLOOKUP($C24,Calc1!$C$17:$AC$25,25,0))</f>
        <v/>
      </c>
      <c r="E24" s="110" t="str">
        <f ca="1">IF($C24="","",VLOOKUP($C24,Calc1!$C$17:$AF$25,27,0)&amp;Sprache!$E$108&amp;(VLOOKUP($C24,Calc1!$C$17:$AF$25,27,0)-$F24))</f>
        <v/>
      </c>
      <c r="F24" s="110" t="str">
        <f ca="1">IF($C24="","",VLOOKUP($C24,Calc1!$C$17:$AC$25,26,0))</f>
        <v/>
      </c>
      <c r="G24" s="390" t="str">
        <f ca="1">IF(C24="","",VLOOKUP(C24,Calc1!$C$17:$AB$25,23,0))</f>
        <v/>
      </c>
      <c r="H24" s="135" t="str">
        <f ca="1">IFERROR(VLOOKUP($C24&amp;H$19,Calc1!$Z$64:$AB$207,3,0),"")</f>
        <v/>
      </c>
      <c r="I24" s="110" t="str">
        <f ca="1">IFERROR(VLOOKUP($C24&amp;I$19,Calc1!$Z$64:$AB$207,3,0),"")</f>
        <v/>
      </c>
      <c r="J24" s="110" t="str">
        <f ca="1">IFERROR(VLOOKUP($C24&amp;J$19,Calc1!$Z$64:$AB$207,3,0),"")</f>
        <v/>
      </c>
      <c r="K24" s="110" t="str">
        <f ca="1">IFERROR(VLOOKUP($C24&amp;K$19,Calc1!$Z$64:$AB$207,3,0),"")</f>
        <v/>
      </c>
      <c r="L24" s="120"/>
      <c r="M24" s="485" t="str">
        <f ca="1">IFERROR(VLOOKUP($C24&amp;M$19,Calc1!$Z$64:$AB$207,3,0),"")</f>
        <v/>
      </c>
      <c r="N24" s="485" t="str">
        <f ca="1">IFERROR(VLOOKUP($C24&amp;N$19,Calc1!$Z$64:$AB$207,3,0),"")</f>
        <v/>
      </c>
      <c r="O24" s="485" t="str">
        <f ca="1">IFERROR(VLOOKUP($C24&amp;O$19,Calc1!$Z$64:$AB$207,3,0),"")</f>
        <v/>
      </c>
      <c r="P24" s="144" t="str">
        <f ca="1">IFERROR(VLOOKUP($C24&amp;P$19,Calc1!$Z$64:$AB$207,3,0),"")</f>
        <v/>
      </c>
      <c r="Q24" s="171" t="str">
        <f t="shared" ca="1" si="1"/>
        <v/>
      </c>
    </row>
    <row r="25" spans="2:17" ht="21.95" customHeight="1" x14ac:dyDescent="0.2">
      <c r="B25" s="113" t="str">
        <f ca="1">IF($C25="","",INDEX(Calc1!$E$4:$E$12,MATCH($C25,Calc1!$F$4:$F$12,0)))</f>
        <v/>
      </c>
      <c r="C25" s="123" t="str">
        <f ca="1">IF(Calc1!$K$13=0,"",Calc1!$AC9)</f>
        <v/>
      </c>
      <c r="D25" s="127" t="str">
        <f ca="1">IF($C25="","",VLOOKUP($C25,Calc1!$C$17:$AC$25,25,0))</f>
        <v/>
      </c>
      <c r="E25" s="110" t="str">
        <f ca="1">IF($C25="","",VLOOKUP($C25,Calc1!$C$17:$AF$25,27,0)&amp;Sprache!$E$108&amp;(VLOOKUP($C25,Calc1!$C$17:$AF$25,27,0)-$F25))</f>
        <v/>
      </c>
      <c r="F25" s="110" t="str">
        <f ca="1">IF($C25="","",VLOOKUP($C25,Calc1!$C$17:$AC$25,26,0))</f>
        <v/>
      </c>
      <c r="G25" s="390" t="str">
        <f ca="1">IF(C25="","",VLOOKUP(C25,Calc1!$C$17:$AB$25,23,0))</f>
        <v/>
      </c>
      <c r="H25" s="135" t="str">
        <f ca="1">IFERROR(VLOOKUP($C25&amp;H$19,Calc1!$Z$64:$AB$207,3,0),"")</f>
        <v/>
      </c>
      <c r="I25" s="110" t="str">
        <f ca="1">IFERROR(VLOOKUP($C25&amp;I$19,Calc1!$Z$64:$AB$207,3,0),"")</f>
        <v/>
      </c>
      <c r="J25" s="110" t="str">
        <f ca="1">IFERROR(VLOOKUP($C25&amp;J$19,Calc1!$Z$64:$AB$207,3,0),"")</f>
        <v/>
      </c>
      <c r="K25" s="110" t="str">
        <f ca="1">IFERROR(VLOOKUP($C25&amp;K$19,Calc1!$Z$64:$AB$207,3,0),"")</f>
        <v/>
      </c>
      <c r="L25" s="110" t="str">
        <f ca="1">IFERROR(VLOOKUP($C25&amp;L$19,Calc1!$Z$64:$AB$207,3,0),"")</f>
        <v/>
      </c>
      <c r="M25" s="486"/>
      <c r="N25" s="485" t="str">
        <f ca="1">IFERROR(VLOOKUP($C25&amp;N$19,Calc1!$Z$64:$AB$207,3,0),"")</f>
        <v/>
      </c>
      <c r="O25" s="485" t="str">
        <f ca="1">IFERROR(VLOOKUP($C25&amp;O$19,Calc1!$Z$64:$AB$207,3,0),"")</f>
        <v/>
      </c>
      <c r="P25" s="144" t="str">
        <f ca="1">IFERROR(VLOOKUP($C25&amp;P$19,Calc1!$Z$64:$AB$207,3,0),"")</f>
        <v/>
      </c>
      <c r="Q25" s="171" t="str">
        <f t="shared" ca="1" si="1"/>
        <v/>
      </c>
    </row>
    <row r="26" spans="2:17" ht="21.95" customHeight="1" x14ac:dyDescent="0.2">
      <c r="B26" s="113" t="str">
        <f ca="1">IF($C26="","",INDEX(Calc1!$E$4:$E$12,MATCH($C26,Calc1!$F$4:$F$12,0)))</f>
        <v/>
      </c>
      <c r="C26" s="123" t="str">
        <f ca="1">IF(Calc1!$K$13=0,"",Calc1!$AC10)</f>
        <v/>
      </c>
      <c r="D26" s="127" t="str">
        <f ca="1">IF($C26="","",VLOOKUP($C26,Calc1!$C$17:$AC$25,25,0))</f>
        <v/>
      </c>
      <c r="E26" s="110" t="str">
        <f ca="1">IF($C26="","",VLOOKUP($C26,Calc1!$C$17:$AF$25,27,0)&amp;Sprache!$E$108&amp;(VLOOKUP($C26,Calc1!$C$17:$AF$25,27,0)-$F26))</f>
        <v/>
      </c>
      <c r="F26" s="110" t="str">
        <f ca="1">IF($C26="","",VLOOKUP($C26,Calc1!$C$17:$AC$25,26,0))</f>
        <v/>
      </c>
      <c r="G26" s="390" t="str">
        <f ca="1">IF(C26="","",VLOOKUP(C26,Calc1!$C$17:$AB$25,23,0))</f>
        <v/>
      </c>
      <c r="H26" s="135" t="str">
        <f ca="1">IFERROR(VLOOKUP($C26&amp;H$19,Calc1!$Z$64:$AB$207,3,0),"")</f>
        <v/>
      </c>
      <c r="I26" s="110" t="str">
        <f ca="1">IFERROR(VLOOKUP($C26&amp;I$19,Calc1!$Z$64:$AB$207,3,0),"")</f>
        <v/>
      </c>
      <c r="J26" s="110" t="str">
        <f ca="1">IFERROR(VLOOKUP($C26&amp;J$19,Calc1!$Z$64:$AB$207,3,0),"")</f>
        <v/>
      </c>
      <c r="K26" s="110" t="str">
        <f ca="1">IFERROR(VLOOKUP($C26&amp;K$19,Calc1!$Z$64:$AB$207,3,0),"")</f>
        <v/>
      </c>
      <c r="L26" s="110" t="str">
        <f ca="1">IFERROR(VLOOKUP($C26&amp;L$19,Calc1!$Z$64:$AB$207,3,0),"")</f>
        <v/>
      </c>
      <c r="M26" s="485" t="str">
        <f ca="1">IFERROR(VLOOKUP($C26&amp;M$19,Calc1!$Z$64:$AB$207,3,0),"")</f>
        <v/>
      </c>
      <c r="N26" s="486"/>
      <c r="O26" s="485" t="str">
        <f ca="1">IFERROR(VLOOKUP($C26&amp;O$19,Calc1!$Z$64:$AB$207,3,0),"")</f>
        <v/>
      </c>
      <c r="P26" s="144" t="str">
        <f ca="1">IFERROR(VLOOKUP($C26&amp;P$19,Calc1!$Z$64:$AB$207,3,0),"")</f>
        <v/>
      </c>
      <c r="Q26" s="171" t="str">
        <f t="shared" ca="1" si="1"/>
        <v/>
      </c>
    </row>
    <row r="27" spans="2:17" ht="21.95" customHeight="1" x14ac:dyDescent="0.2">
      <c r="B27" s="113" t="str">
        <f ca="1">IF($C27="","",INDEX(Calc1!$E$4:$E$12,MATCH($C27,Calc1!$F$4:$F$12,0)))</f>
        <v/>
      </c>
      <c r="C27" s="123" t="str">
        <f ca="1">IF(Calc1!$K$13=0,"",Calc1!$AC11)</f>
        <v/>
      </c>
      <c r="D27" s="127" t="str">
        <f ca="1">IF($C27="","",VLOOKUP($C27,Calc1!$C$17:$AC$25,25,0))</f>
        <v/>
      </c>
      <c r="E27" s="110" t="str">
        <f ca="1">IF($C27="","",VLOOKUP($C27,Calc1!$C$17:$AF$25,27,0)&amp;Sprache!$E$108&amp;(VLOOKUP($C27,Calc1!$C$17:$AF$25,27,0)-$F27))</f>
        <v/>
      </c>
      <c r="F27" s="110" t="str">
        <f ca="1">IF($C27="","",VLOOKUP($C27,Calc1!$C$17:$AC$25,26,0))</f>
        <v/>
      </c>
      <c r="G27" s="390" t="str">
        <f ca="1">IF(C27="","",VLOOKUP(C27,Calc1!$C$17:$AB$25,23,0))</f>
        <v/>
      </c>
      <c r="H27" s="135" t="str">
        <f ca="1">IFERROR(VLOOKUP($C27&amp;H$19,Calc1!$Z$64:$AB$207,3,0),"")</f>
        <v/>
      </c>
      <c r="I27" s="110" t="str">
        <f ca="1">IFERROR(VLOOKUP($C27&amp;I$19,Calc1!$Z$64:$AB$207,3,0),"")</f>
        <v/>
      </c>
      <c r="J27" s="110" t="str">
        <f ca="1">IFERROR(VLOOKUP($C27&amp;J$19,Calc1!$Z$64:$AB$207,3,0),"")</f>
        <v/>
      </c>
      <c r="K27" s="110" t="str">
        <f ca="1">IFERROR(VLOOKUP($C27&amp;K$19,Calc1!$Z$64:$AB$207,3,0),"")</f>
        <v/>
      </c>
      <c r="L27" s="110" t="str">
        <f ca="1">IFERROR(VLOOKUP($C27&amp;L$19,Calc1!$Z$64:$AB$207,3,0),"")</f>
        <v/>
      </c>
      <c r="M27" s="485" t="str">
        <f ca="1">IFERROR(VLOOKUP($C27&amp;M$19,Calc1!$Z$64:$AB$207,3,0),"")</f>
        <v/>
      </c>
      <c r="N27" s="485" t="str">
        <f ca="1">IFERROR(VLOOKUP($C27&amp;N$19,Calc1!$Z$64:$AB$207,3,0),"")</f>
        <v/>
      </c>
      <c r="O27" s="486"/>
      <c r="P27" s="144" t="str">
        <f ca="1">IFERROR(VLOOKUP($C27&amp;P$19,Calc1!$Z$64:$AB$207,3,0),"")</f>
        <v/>
      </c>
      <c r="Q27" s="171" t="str">
        <f t="shared" ca="1" si="1"/>
        <v/>
      </c>
    </row>
    <row r="28" spans="2:17" ht="21.95" customHeight="1" thickBot="1" x14ac:dyDescent="0.25">
      <c r="B28" s="114" t="str">
        <f ca="1">IF($C28="","",INDEX(Calc1!$E$4:$E$12,MATCH($C28,Calc1!$F$4:$F$12,0)))</f>
        <v/>
      </c>
      <c r="C28" s="124" t="str">
        <f ca="1">IF(Calc1!$K$13=0,"",Calc1!$AC12)</f>
        <v/>
      </c>
      <c r="D28" s="128" t="str">
        <f ca="1">IF($C28="","",VLOOKUP($C28,Calc1!$C$17:$AC$25,25,0))</f>
        <v/>
      </c>
      <c r="E28" s="111" t="str">
        <f ca="1">IF($C28="","",VLOOKUP($C28,Calc1!$C$17:$AF$25,27,0)&amp;Sprache!$E$108&amp;(VLOOKUP($C28,Calc1!$C$17:$AF$25,27,0)-$F28))</f>
        <v/>
      </c>
      <c r="F28" s="111" t="str">
        <f ca="1">IF($C28="","",VLOOKUP($C28,Calc1!$C$17:$AC$25,26,0))</f>
        <v/>
      </c>
      <c r="G28" s="391" t="str">
        <f ca="1">IF(C28="","",VLOOKUP(C28,Calc1!$C$17:$AB$25,23,0))</f>
        <v/>
      </c>
      <c r="H28" s="136" t="str">
        <f ca="1">IFERROR(VLOOKUP($C28&amp;H$19,Calc1!$Z$64:$AB$207,3,0),"")</f>
        <v/>
      </c>
      <c r="I28" s="111" t="str">
        <f ca="1">IFERROR(VLOOKUP($C28&amp;I$19,Calc1!$Z$64:$AB$207,3,0),"")</f>
        <v/>
      </c>
      <c r="J28" s="111" t="str">
        <f ca="1">IFERROR(VLOOKUP($C28&amp;J$19,Calc1!$Z$64:$AB$207,3,0),"")</f>
        <v/>
      </c>
      <c r="K28" s="111" t="str">
        <f ca="1">IFERROR(VLOOKUP($C28&amp;K$19,Calc1!$Z$64:$AB$207,3,0),"")</f>
        <v/>
      </c>
      <c r="L28" s="111" t="str">
        <f ca="1">IFERROR(VLOOKUP($C28&amp;L$19,Calc1!$Z$64:$AB$207,3,0),"")</f>
        <v/>
      </c>
      <c r="M28" s="487" t="str">
        <f ca="1">IFERROR(VLOOKUP($C28&amp;M$19,Calc1!$Z$64:$AB$207,3,0),"")</f>
        <v/>
      </c>
      <c r="N28" s="487" t="str">
        <f ca="1">IFERROR(VLOOKUP($C28&amp;N$19,Calc1!$Z$64:$AB$207,3,0),"")</f>
        <v/>
      </c>
      <c r="O28" s="487" t="str">
        <f ca="1">IFERROR(VLOOKUP($C28&amp;O$19,Calc1!$Z$64:$AB$207,3,0),"")</f>
        <v/>
      </c>
      <c r="P28" s="145"/>
      <c r="Q28" s="172" t="str">
        <f t="shared" ca="1" si="1"/>
        <v/>
      </c>
    </row>
    <row r="29" spans="2:17" ht="42.75" customHeight="1" thickTop="1" thickBot="1" x14ac:dyDescent="0.25">
      <c r="B29" s="131"/>
      <c r="C29" s="132"/>
      <c r="D29" s="133"/>
      <c r="E29" s="119"/>
      <c r="F29" s="119"/>
      <c r="G29" s="119"/>
      <c r="H29" s="119"/>
      <c r="I29" s="119"/>
      <c r="J29" s="119"/>
      <c r="K29" s="119"/>
      <c r="L29" s="119"/>
      <c r="M29" s="119"/>
      <c r="N29" s="119"/>
      <c r="O29" s="119"/>
      <c r="P29" s="119"/>
    </row>
    <row r="30" spans="2:17" ht="21.95" customHeight="1" thickBot="1" x14ac:dyDescent="0.25">
      <c r="H30" s="489" t="str">
        <f ca="1">IF(LEN(H31)&gt;Einstellungen!$C$17,LEFT(H31,Einstellungen!$C$17)&amp;".",H31)</f>
        <v/>
      </c>
      <c r="I30" s="490" t="str">
        <f ca="1">IF(LEN(I31)&gt;Einstellungen!$C$17,LEFT(I31,Einstellungen!$C$17)&amp;".",I31)</f>
        <v/>
      </c>
      <c r="J30" s="490" t="str">
        <f ca="1">IF(LEN(J31)&gt;Einstellungen!$C$17,LEFT(J31,Einstellungen!$C$17)&amp;".",J31)</f>
        <v/>
      </c>
      <c r="K30" s="490" t="str">
        <f ca="1">IF(LEN(K31)&gt;Einstellungen!$C$17,LEFT(K31,Einstellungen!$C$17)&amp;".",K31)</f>
        <v/>
      </c>
      <c r="L30" s="490" t="str">
        <f ca="1">IF(LEN(L31)&gt;Einstellungen!$C$17,LEFT(L31,Einstellungen!$C$17)&amp;".",L31)</f>
        <v/>
      </c>
      <c r="M30" s="491" t="str">
        <f ca="1">IF(LEN(M31)&gt;Einstellungen!$C$17,LEFT(M31,Einstellungen!$C$17)&amp;".",M31)</f>
        <v/>
      </c>
      <c r="N30" s="491" t="str">
        <f ca="1">IF(LEN(N31)&gt;Einstellungen!$C$17,LEFT(N31,Einstellungen!$C$17)&amp;".",N31)</f>
        <v/>
      </c>
      <c r="O30" s="491" t="str">
        <f ca="1">IF(LEN(O31)&gt;Einstellungen!$C$17,LEFT(O31,Einstellungen!$C$17)&amp;".",O31)</f>
        <v/>
      </c>
      <c r="P30" s="492" t="str">
        <f ca="1">IF(LEN(P31)&gt;Einstellungen!$C$17,LEFT(P31,Einstellungen!$C$17)&amp;".",P31)</f>
        <v/>
      </c>
    </row>
    <row r="31" spans="2:17" ht="21.95" customHeight="1" thickTop="1" thickBot="1" x14ac:dyDescent="0.25">
      <c r="B31" s="115"/>
      <c r="C31" s="121" t="str">
        <f>Sprache!$E$10</f>
        <v>Teilnehmer bzw. Mannschaft</v>
      </c>
      <c r="D31" s="125" t="str">
        <f>Sprache!$E$80</f>
        <v>Satzpkt.</v>
      </c>
      <c r="E31" s="112" t="str">
        <f>Sprache!$E$90</f>
        <v>Bälle</v>
      </c>
      <c r="F31" s="112" t="str">
        <f>Sprache!$E$26</f>
        <v>Diff.</v>
      </c>
      <c r="G31" s="139" t="str">
        <f>Sprache!$E$49</f>
        <v>Tie-Break</v>
      </c>
      <c r="H31" s="129" t="str">
        <f ca="1">C32</f>
        <v/>
      </c>
      <c r="I31" s="130" t="str">
        <f ca="1">C33</f>
        <v/>
      </c>
      <c r="J31" s="130" t="str">
        <f ca="1">C34</f>
        <v/>
      </c>
      <c r="K31" s="130" t="str">
        <f ca="1">C35</f>
        <v/>
      </c>
      <c r="L31" s="130" t="str">
        <f ca="1">C36</f>
        <v/>
      </c>
      <c r="M31" s="483" t="str">
        <f ca="1">C37</f>
        <v/>
      </c>
      <c r="N31" s="483" t="str">
        <f ca="1">C38</f>
        <v/>
      </c>
      <c r="O31" s="483" t="str">
        <f ca="1">C39</f>
        <v/>
      </c>
      <c r="P31" s="142" t="str">
        <f ca="1">C40</f>
        <v/>
      </c>
    </row>
    <row r="32" spans="2:17" ht="21.95" customHeight="1" x14ac:dyDescent="0.2">
      <c r="B32" s="113" t="str">
        <f ca="1">IF($C32="","",INDEX(Calc1!$E$4:$E$12,MATCH($C32,Calc1!$F$4:$F$12,0)))</f>
        <v/>
      </c>
      <c r="C32" s="122" t="str">
        <f ca="1">IF(Calc1!$K$13=0,"",Calc1!$AH4)</f>
        <v/>
      </c>
      <c r="D32" s="126" t="str">
        <f ca="1">IF($C32="","",VLOOKUP($C32,Calc1!$C$17:$AC$25,25,0))</f>
        <v/>
      </c>
      <c r="E32" s="109" t="str">
        <f ca="1">IF($C32="","",VLOOKUP($C32,Calc1!$C$17:$AF$25,27,0)&amp;Sprache!$E$108&amp;(VLOOKUP($C32,Calc1!$C$17:$AF$25,27,0)-$F32))</f>
        <v/>
      </c>
      <c r="F32" s="109" t="str">
        <f ca="1">IF($C32="","",VLOOKUP($C32,Calc1!$C$17:$AC$25,26,0))</f>
        <v/>
      </c>
      <c r="G32" s="389" t="str">
        <f ca="1">IF(C32="","",VLOOKUP(C32,Calc1!$C$17:$AB$25,23,0))</f>
        <v/>
      </c>
      <c r="H32" s="134"/>
      <c r="I32" s="109" t="str">
        <f ca="1">IFERROR(VLOOKUP($C32&amp;I$31,Calc1!$Z$64:$AB$207,3,0),"")</f>
        <v/>
      </c>
      <c r="J32" s="109" t="str">
        <f ca="1">IFERROR(VLOOKUP($C32&amp;J$31,Calc1!$Z$64:$AB$207,3,0),"")</f>
        <v/>
      </c>
      <c r="K32" s="109" t="str">
        <f ca="1">IFERROR(VLOOKUP($C32&amp;K$31,Calc1!$Z$64:$AB$207,3,0),"")</f>
        <v/>
      </c>
      <c r="L32" s="109" t="str">
        <f ca="1">IFERROR(VLOOKUP($C32&amp;L$31,Calc1!$Z$64:$AB$207,3,0),"")</f>
        <v/>
      </c>
      <c r="M32" s="484" t="str">
        <f ca="1">IFERROR(VLOOKUP($C32&amp;M$31,Calc1!$Z$64:$AB$207,3,0),"")</f>
        <v/>
      </c>
      <c r="N32" s="484" t="str">
        <f ca="1">IFERROR(VLOOKUP($C32&amp;N$31,Calc1!$Z$64:$AB$207,3,0),"")</f>
        <v/>
      </c>
      <c r="O32" s="484" t="str">
        <f ca="1">IFERROR(VLOOKUP($C32&amp;O$31,Calc1!$Z$64:$AB$207,3,0),"")</f>
        <v/>
      </c>
      <c r="P32" s="143" t="str">
        <f ca="1">IFERROR(VLOOKUP($C32&amp;P$31,Calc1!$Z$64:$AB$207,3,0),"")</f>
        <v/>
      </c>
      <c r="Q32" s="170" t="str">
        <f t="shared" ref="Q32:Q40" ca="1" si="2">C32</f>
        <v/>
      </c>
    </row>
    <row r="33" spans="2:17" ht="21.95" customHeight="1" x14ac:dyDescent="0.2">
      <c r="B33" s="113" t="str">
        <f ca="1">IF($C33="","",INDEX(Calc1!$E$4:$E$12,MATCH($C33,Calc1!$F$4:$F$12,0)))</f>
        <v/>
      </c>
      <c r="C33" s="123" t="str">
        <f ca="1">IF(Calc1!$K$13=0,"",Calc1!$AH5)</f>
        <v/>
      </c>
      <c r="D33" s="127" t="str">
        <f ca="1">IF($C33="","",VLOOKUP($C33,Calc1!$C$17:$AC$25,25,0))</f>
        <v/>
      </c>
      <c r="E33" s="110" t="str">
        <f ca="1">IF($C33="","",VLOOKUP($C33,Calc1!$C$17:$AF$25,27,0)&amp;Sprache!$E$108&amp;(VLOOKUP($C33,Calc1!$C$17:$AF$25,27,0)-$F33))</f>
        <v/>
      </c>
      <c r="F33" s="110" t="str">
        <f ca="1">IF($C33="","",VLOOKUP($C33,Calc1!$C$17:$AC$25,26,0))</f>
        <v/>
      </c>
      <c r="G33" s="390" t="str">
        <f ca="1">IF(C33="","",VLOOKUP(C33,Calc1!$C$17:$AB$25,23,0))</f>
        <v/>
      </c>
      <c r="H33" s="135" t="str">
        <f ca="1">IFERROR(VLOOKUP($C33&amp;H$31,Calc1!$Z$64:$AB$207,3,0),"")</f>
        <v/>
      </c>
      <c r="I33" s="120"/>
      <c r="J33" s="110" t="str">
        <f ca="1">IFERROR(VLOOKUP($C33&amp;J$31,Calc1!$Z$64:$AB$207,3,0),"")</f>
        <v/>
      </c>
      <c r="K33" s="110" t="str">
        <f ca="1">IFERROR(VLOOKUP($C33&amp;K$31,Calc1!$Z$64:$AB$207,3,0),"")</f>
        <v/>
      </c>
      <c r="L33" s="110" t="str">
        <f ca="1">IFERROR(VLOOKUP($C33&amp;L$31,Calc1!$Z$64:$AB$207,3,0),"")</f>
        <v/>
      </c>
      <c r="M33" s="485" t="str">
        <f ca="1">IFERROR(VLOOKUP($C33&amp;M$31,Calc1!$Z$64:$AB$207,3,0),"")</f>
        <v/>
      </c>
      <c r="N33" s="485" t="str">
        <f ca="1">IFERROR(VLOOKUP($C33&amp;N$31,Calc1!$Z$64:$AB$207,3,0),"")</f>
        <v/>
      </c>
      <c r="O33" s="485" t="str">
        <f ca="1">IFERROR(VLOOKUP($C33&amp;O$31,Calc1!$Z$64:$AB$207,3,0),"")</f>
        <v/>
      </c>
      <c r="P33" s="144" t="str">
        <f ca="1">IFERROR(VLOOKUP($C33&amp;P$31,Calc1!$Z$64:$AB$207,3,0),"")</f>
        <v/>
      </c>
      <c r="Q33" s="171" t="str">
        <f t="shared" ca="1" si="2"/>
        <v/>
      </c>
    </row>
    <row r="34" spans="2:17" ht="21.95" customHeight="1" x14ac:dyDescent="0.2">
      <c r="B34" s="113" t="str">
        <f ca="1">IF($C34="","",INDEX(Calc1!$E$4:$E$12,MATCH($C34,Calc1!$F$4:$F$12,0)))</f>
        <v/>
      </c>
      <c r="C34" s="123" t="str">
        <f ca="1">IF(Calc1!$K$13=0,"",Calc1!$AH6)</f>
        <v/>
      </c>
      <c r="D34" s="127" t="str">
        <f ca="1">IF($C34="","",VLOOKUP($C34,Calc1!$C$17:$AC$25,25,0))</f>
        <v/>
      </c>
      <c r="E34" s="110" t="str">
        <f ca="1">IF($C34="","",VLOOKUP($C34,Calc1!$C$17:$AF$25,27,0)&amp;Sprache!$E$108&amp;(VLOOKUP($C34,Calc1!$C$17:$AF$25,27,0)-$F34))</f>
        <v/>
      </c>
      <c r="F34" s="110" t="str">
        <f ca="1">IF($C34="","",VLOOKUP($C34,Calc1!$C$17:$AC$25,26,0))</f>
        <v/>
      </c>
      <c r="G34" s="390" t="str">
        <f ca="1">IF(C34="","",VLOOKUP(C34,Calc1!$C$17:$AB$25,23,0))</f>
        <v/>
      </c>
      <c r="H34" s="135" t="str">
        <f ca="1">IFERROR(VLOOKUP($C34&amp;H$31,Calc1!$Z$64:$AB$207,3,0),"")</f>
        <v/>
      </c>
      <c r="I34" s="110" t="str">
        <f ca="1">IFERROR(VLOOKUP($C34&amp;I$31,Calc1!$Z$64:$AB$207,3,0),"")</f>
        <v/>
      </c>
      <c r="J34" s="120"/>
      <c r="K34" s="110" t="str">
        <f ca="1">IFERROR(VLOOKUP($C34&amp;K$31,Calc1!$Z$64:$AB$207,3,0),"")</f>
        <v/>
      </c>
      <c r="L34" s="110" t="str">
        <f ca="1">IFERROR(VLOOKUP($C34&amp;L$31,Calc1!$Z$64:$AB$207,3,0),"")</f>
        <v/>
      </c>
      <c r="M34" s="485" t="str">
        <f ca="1">IFERROR(VLOOKUP($C34&amp;M$31,Calc1!$Z$64:$AB$207,3,0),"")</f>
        <v/>
      </c>
      <c r="N34" s="485" t="str">
        <f ca="1">IFERROR(VLOOKUP($C34&amp;N$31,Calc1!$Z$64:$AB$207,3,0),"")</f>
        <v/>
      </c>
      <c r="O34" s="485" t="str">
        <f ca="1">IFERROR(VLOOKUP($C34&amp;O$31,Calc1!$Z$64:$AB$207,3,0),"")</f>
        <v/>
      </c>
      <c r="P34" s="144" t="str">
        <f ca="1">IFERROR(VLOOKUP($C34&amp;P$31,Calc1!$Z$64:$AB$207,3,0),"")</f>
        <v/>
      </c>
      <c r="Q34" s="171" t="str">
        <f t="shared" ca="1" si="2"/>
        <v/>
      </c>
    </row>
    <row r="35" spans="2:17" ht="21.95" customHeight="1" x14ac:dyDescent="0.2">
      <c r="B35" s="113" t="str">
        <f ca="1">IF($C35="","",INDEX(Calc1!$E$4:$E$12,MATCH($C35,Calc1!$F$4:$F$12,0)))</f>
        <v/>
      </c>
      <c r="C35" s="123" t="str">
        <f ca="1">IF(Calc1!$K$13=0,"",Calc1!$AH7)</f>
        <v/>
      </c>
      <c r="D35" s="127" t="str">
        <f ca="1">IF($C35="","",VLOOKUP($C35,Calc1!$C$17:$AC$25,25,0))</f>
        <v/>
      </c>
      <c r="E35" s="110" t="str">
        <f ca="1">IF($C35="","",VLOOKUP($C35,Calc1!$C$17:$AF$25,27,0)&amp;Sprache!$E$108&amp;(VLOOKUP($C35,Calc1!$C$17:$AF$25,27,0)-$F35))</f>
        <v/>
      </c>
      <c r="F35" s="110" t="str">
        <f ca="1">IF($C35="","",VLOOKUP($C35,Calc1!$C$17:$AC$25,26,0))</f>
        <v/>
      </c>
      <c r="G35" s="390" t="str">
        <f ca="1">IF(C35="","",VLOOKUP(C35,Calc1!$C$17:$AB$25,23,0))</f>
        <v/>
      </c>
      <c r="H35" s="135" t="str">
        <f ca="1">IFERROR(VLOOKUP($C35&amp;H$31,Calc1!$Z$64:$AB$207,3,0),"")</f>
        <v/>
      </c>
      <c r="I35" s="110" t="str">
        <f ca="1">IFERROR(VLOOKUP($C35&amp;I$31,Calc1!$Z$64:$AB$207,3,0),"")</f>
        <v/>
      </c>
      <c r="J35" s="110" t="str">
        <f ca="1">IFERROR(VLOOKUP($C35&amp;J$31,Calc1!$Z$64:$AB$207,3,0),"")</f>
        <v/>
      </c>
      <c r="K35" s="120"/>
      <c r="L35" s="110" t="str">
        <f ca="1">IFERROR(VLOOKUP($C35&amp;L$31,Calc1!$Z$64:$AB$207,3,0),"")</f>
        <v/>
      </c>
      <c r="M35" s="485" t="str">
        <f ca="1">IFERROR(VLOOKUP($C35&amp;M$31,Calc1!$Z$64:$AB$207,3,0),"")</f>
        <v/>
      </c>
      <c r="N35" s="485" t="str">
        <f ca="1">IFERROR(VLOOKUP($C35&amp;N$31,Calc1!$Z$64:$AB$207,3,0),"")</f>
        <v/>
      </c>
      <c r="O35" s="485" t="str">
        <f ca="1">IFERROR(VLOOKUP($C35&amp;O$31,Calc1!$Z$64:$AB$207,3,0),"")</f>
        <v/>
      </c>
      <c r="P35" s="144" t="str">
        <f ca="1">IFERROR(VLOOKUP($C35&amp;P$31,Calc1!$Z$64:$AB$207,3,0),"")</f>
        <v/>
      </c>
      <c r="Q35" s="171" t="str">
        <f t="shared" ca="1" si="2"/>
        <v/>
      </c>
    </row>
    <row r="36" spans="2:17" ht="21.95" customHeight="1" x14ac:dyDescent="0.2">
      <c r="B36" s="113" t="str">
        <f ca="1">IF($C36="","",INDEX(Calc1!$E$4:$E$12,MATCH($C36,Calc1!$F$4:$F$12,0)))</f>
        <v/>
      </c>
      <c r="C36" s="123" t="str">
        <f ca="1">IF(Calc1!$K$13=0,"",Calc1!$AH8)</f>
        <v/>
      </c>
      <c r="D36" s="127" t="str">
        <f ca="1">IF($C36="","",VLOOKUP($C36,Calc1!$C$17:$AC$25,25,0))</f>
        <v/>
      </c>
      <c r="E36" s="110" t="str">
        <f ca="1">IF($C36="","",VLOOKUP($C36,Calc1!$C$17:$AF$25,27,0)&amp;Sprache!$E$108&amp;(VLOOKUP($C36,Calc1!$C$17:$AF$25,27,0)-$F36))</f>
        <v/>
      </c>
      <c r="F36" s="110" t="str">
        <f ca="1">IF($C36="","",VLOOKUP($C36,Calc1!$C$17:$AC$25,26,0))</f>
        <v/>
      </c>
      <c r="G36" s="390" t="str">
        <f ca="1">IF(C36="","",VLOOKUP(C36,Calc1!$C$17:$AB$25,23,0))</f>
        <v/>
      </c>
      <c r="H36" s="135" t="str">
        <f ca="1">IFERROR(VLOOKUP($C36&amp;H$31,Calc1!$Z$64:$AB$207,3,0),"")</f>
        <v/>
      </c>
      <c r="I36" s="110" t="str">
        <f ca="1">IFERROR(VLOOKUP($C36&amp;I$31,Calc1!$Z$64:$AB$207,3,0),"")</f>
        <v/>
      </c>
      <c r="J36" s="110" t="str">
        <f ca="1">IFERROR(VLOOKUP($C36&amp;J$31,Calc1!$Z$64:$AB$207,3,0),"")</f>
        <v/>
      </c>
      <c r="K36" s="110" t="str">
        <f ca="1">IFERROR(VLOOKUP($C36&amp;K$31,Calc1!$Z$64:$AB$207,3,0),"")</f>
        <v/>
      </c>
      <c r="L36" s="120"/>
      <c r="M36" s="485" t="str">
        <f ca="1">IFERROR(VLOOKUP($C36&amp;M$31,Calc1!$Z$64:$AB$207,3,0),"")</f>
        <v/>
      </c>
      <c r="N36" s="485" t="str">
        <f ca="1">IFERROR(VLOOKUP($C36&amp;N$31,Calc1!$Z$64:$AB$207,3,0),"")</f>
        <v/>
      </c>
      <c r="O36" s="485" t="str">
        <f ca="1">IFERROR(VLOOKUP($C36&amp;O$31,Calc1!$Z$64:$AB$207,3,0),"")</f>
        <v/>
      </c>
      <c r="P36" s="144" t="str">
        <f ca="1">IFERROR(VLOOKUP($C36&amp;P$31,Calc1!$Z$64:$AB$207,3,0),"")</f>
        <v/>
      </c>
      <c r="Q36" s="171" t="str">
        <f t="shared" ca="1" si="2"/>
        <v/>
      </c>
    </row>
    <row r="37" spans="2:17" ht="21.95" customHeight="1" x14ac:dyDescent="0.2">
      <c r="B37" s="113" t="str">
        <f ca="1">IF($C37="","",INDEX(Calc1!$E$4:$E$12,MATCH($C37,Calc1!$F$4:$F$12,0)))</f>
        <v/>
      </c>
      <c r="C37" s="123" t="str">
        <f ca="1">IF(Calc1!$K$13=0,"",Calc1!$AH9)</f>
        <v/>
      </c>
      <c r="D37" s="127" t="str">
        <f ca="1">IF($C37="","",VLOOKUP($C37,Calc1!$C$17:$AC$25,25,0))</f>
        <v/>
      </c>
      <c r="E37" s="110" t="str">
        <f ca="1">IF($C37="","",VLOOKUP($C37,Calc1!$C$17:$AF$25,27,0)&amp;Sprache!$E$108&amp;(VLOOKUP($C37,Calc1!$C$17:$AF$25,27,0)-$F37))</f>
        <v/>
      </c>
      <c r="F37" s="110" t="str">
        <f ca="1">IF($C37="","",VLOOKUP($C37,Calc1!$C$17:$AC$25,26,0))</f>
        <v/>
      </c>
      <c r="G37" s="390" t="str">
        <f ca="1">IF(C37="","",VLOOKUP(C37,Calc1!$C$17:$AB$25,23,0))</f>
        <v/>
      </c>
      <c r="H37" s="135" t="str">
        <f ca="1">IFERROR(VLOOKUP($C37&amp;H$31,Calc1!$Z$64:$AB$207,3,0),"")</f>
        <v/>
      </c>
      <c r="I37" s="110" t="str">
        <f ca="1">IFERROR(VLOOKUP($C37&amp;I$31,Calc1!$Z$64:$AB$207,3,0),"")</f>
        <v/>
      </c>
      <c r="J37" s="110" t="str">
        <f ca="1">IFERROR(VLOOKUP($C37&amp;J$31,Calc1!$Z$64:$AB$207,3,0),"")</f>
        <v/>
      </c>
      <c r="K37" s="110" t="str">
        <f ca="1">IFERROR(VLOOKUP($C37&amp;K$31,Calc1!$Z$64:$AB$207,3,0),"")</f>
        <v/>
      </c>
      <c r="L37" s="110" t="str">
        <f ca="1">IFERROR(VLOOKUP($C37&amp;L$31,Calc1!$Z$64:$AB$207,3,0),"")</f>
        <v/>
      </c>
      <c r="M37" s="486"/>
      <c r="N37" s="485" t="str">
        <f ca="1">IFERROR(VLOOKUP($C37&amp;N$31,Calc1!$Z$64:$AB$207,3,0),"")</f>
        <v/>
      </c>
      <c r="O37" s="485" t="str">
        <f ca="1">IFERROR(VLOOKUP($C37&amp;O$31,Calc1!$Z$64:$AB$207,3,0),"")</f>
        <v/>
      </c>
      <c r="P37" s="144" t="str">
        <f ca="1">IFERROR(VLOOKUP($C37&amp;P$31,Calc1!$Z$64:$AB$207,3,0),"")</f>
        <v/>
      </c>
      <c r="Q37" s="171" t="str">
        <f t="shared" ca="1" si="2"/>
        <v/>
      </c>
    </row>
    <row r="38" spans="2:17" ht="21.95" customHeight="1" x14ac:dyDescent="0.2">
      <c r="B38" s="113" t="str">
        <f ca="1">IF($C38="","",INDEX(Calc1!$E$4:$E$12,MATCH($C38,Calc1!$F$4:$F$12,0)))</f>
        <v/>
      </c>
      <c r="C38" s="123" t="str">
        <f ca="1">IF(Calc1!$K$13=0,"",Calc1!$AH10)</f>
        <v/>
      </c>
      <c r="D38" s="127" t="str">
        <f ca="1">IF($C38="","",VLOOKUP($C38,Calc1!$C$17:$AC$25,25,0))</f>
        <v/>
      </c>
      <c r="E38" s="110" t="str">
        <f ca="1">IF($C38="","",VLOOKUP($C38,Calc1!$C$17:$AF$25,27,0)&amp;Sprache!$E$108&amp;(VLOOKUP($C38,Calc1!$C$17:$AF$25,27,0)-$F38))</f>
        <v/>
      </c>
      <c r="F38" s="110" t="str">
        <f ca="1">IF($C38="","",VLOOKUP($C38,Calc1!$C$17:$AC$25,26,0))</f>
        <v/>
      </c>
      <c r="G38" s="390" t="str">
        <f ca="1">IF(C38="","",VLOOKUP(C38,Calc1!$C$17:$AB$25,23,0))</f>
        <v/>
      </c>
      <c r="H38" s="135" t="str">
        <f ca="1">IFERROR(VLOOKUP($C38&amp;H$31,Calc1!$Z$64:$AB$207,3,0),"")</f>
        <v/>
      </c>
      <c r="I38" s="110" t="str">
        <f ca="1">IFERROR(VLOOKUP($C38&amp;I$31,Calc1!$Z$64:$AB$207,3,0),"")</f>
        <v/>
      </c>
      <c r="J38" s="110" t="str">
        <f ca="1">IFERROR(VLOOKUP($C38&amp;J$31,Calc1!$Z$64:$AB$207,3,0),"")</f>
        <v/>
      </c>
      <c r="K38" s="110" t="str">
        <f ca="1">IFERROR(VLOOKUP($C38&amp;K$31,Calc1!$Z$64:$AB$207,3,0),"")</f>
        <v/>
      </c>
      <c r="L38" s="110" t="str">
        <f ca="1">IFERROR(VLOOKUP($C38&amp;L$31,Calc1!$Z$64:$AB$207,3,0),"")</f>
        <v/>
      </c>
      <c r="M38" s="485" t="str">
        <f ca="1">IFERROR(VLOOKUP($C38&amp;M$31,Calc1!$Z$64:$AB$207,3,0),"")</f>
        <v/>
      </c>
      <c r="N38" s="486"/>
      <c r="O38" s="485" t="str">
        <f ca="1">IFERROR(VLOOKUP($C38&amp;O$31,Calc1!$Z$64:$AB$207,3,0),"")</f>
        <v/>
      </c>
      <c r="P38" s="144" t="str">
        <f ca="1">IFERROR(VLOOKUP($C38&amp;P$31,Calc1!$Z$64:$AB$207,3,0),"")</f>
        <v/>
      </c>
      <c r="Q38" s="171" t="str">
        <f t="shared" ca="1" si="2"/>
        <v/>
      </c>
    </row>
    <row r="39" spans="2:17" ht="21.95" customHeight="1" x14ac:dyDescent="0.2">
      <c r="B39" s="113" t="str">
        <f ca="1">IF($C39="","",INDEX(Calc1!$E$4:$E$12,MATCH($C39,Calc1!$F$4:$F$12,0)))</f>
        <v/>
      </c>
      <c r="C39" s="123" t="str">
        <f ca="1">IF(Calc1!$K$13=0,"",Calc1!$AH11)</f>
        <v/>
      </c>
      <c r="D39" s="127" t="str">
        <f ca="1">IF($C39="","",VLOOKUP($C39,Calc1!$C$17:$AC$25,25,0))</f>
        <v/>
      </c>
      <c r="E39" s="110" t="str">
        <f ca="1">IF($C39="","",VLOOKUP($C39,Calc1!$C$17:$AF$25,27,0)&amp;Sprache!$E$108&amp;(VLOOKUP($C39,Calc1!$C$17:$AF$25,27,0)-$F39))</f>
        <v/>
      </c>
      <c r="F39" s="110" t="str">
        <f ca="1">IF($C39="","",VLOOKUP($C39,Calc1!$C$17:$AC$25,26,0))</f>
        <v/>
      </c>
      <c r="G39" s="390" t="str">
        <f ca="1">IF(C39="","",VLOOKUP(C39,Calc1!$C$17:$AB$25,23,0))</f>
        <v/>
      </c>
      <c r="H39" s="135" t="str">
        <f ca="1">IFERROR(VLOOKUP($C39&amp;H$31,Calc1!$Z$64:$AB$207,3,0),"")</f>
        <v/>
      </c>
      <c r="I39" s="110" t="str">
        <f ca="1">IFERROR(VLOOKUP($C39&amp;I$31,Calc1!$Z$64:$AB$207,3,0),"")</f>
        <v/>
      </c>
      <c r="J39" s="110" t="str">
        <f ca="1">IFERROR(VLOOKUP($C39&amp;J$31,Calc1!$Z$64:$AB$207,3,0),"")</f>
        <v/>
      </c>
      <c r="K39" s="110" t="str">
        <f ca="1">IFERROR(VLOOKUP($C39&amp;K$31,Calc1!$Z$64:$AB$207,3,0),"")</f>
        <v/>
      </c>
      <c r="L39" s="110" t="str">
        <f ca="1">IFERROR(VLOOKUP($C39&amp;L$31,Calc1!$Z$64:$AB$207,3,0),"")</f>
        <v/>
      </c>
      <c r="M39" s="485" t="str">
        <f ca="1">IFERROR(VLOOKUP($C39&amp;M$31,Calc1!$Z$64:$AB$207,3,0),"")</f>
        <v/>
      </c>
      <c r="N39" s="485" t="str">
        <f ca="1">IFERROR(VLOOKUP($C39&amp;N$31,Calc1!$Z$64:$AB$207,3,0),"")</f>
        <v/>
      </c>
      <c r="O39" s="486"/>
      <c r="P39" s="144" t="str">
        <f ca="1">IFERROR(VLOOKUP($C39&amp;P$31,Calc1!$Z$64:$AB$207,3,0),"")</f>
        <v/>
      </c>
      <c r="Q39" s="171" t="str">
        <f t="shared" ca="1" si="2"/>
        <v/>
      </c>
    </row>
    <row r="40" spans="2:17" ht="21.95" customHeight="1" thickBot="1" x14ac:dyDescent="0.25">
      <c r="B40" s="114" t="str">
        <f ca="1">IF($C40="","",INDEX(Calc1!$E$4:$E$12,MATCH($C40,Calc1!$F$4:$F$12,0)))</f>
        <v/>
      </c>
      <c r="C40" s="124" t="str">
        <f ca="1">IF(Calc1!$K$13=0,"",Calc1!$AH12)</f>
        <v/>
      </c>
      <c r="D40" s="128" t="str">
        <f ca="1">IF($C40="","",VLOOKUP($C40,Calc1!$C$17:$AC$25,25,0))</f>
        <v/>
      </c>
      <c r="E40" s="111" t="str">
        <f ca="1">IF($C40="","",VLOOKUP($C40,Calc1!$C$17:$AF$25,27,0)&amp;Sprache!$E$108&amp;(VLOOKUP($C40,Calc1!$C$17:$AF$25,27,0)-$F40))</f>
        <v/>
      </c>
      <c r="F40" s="111" t="str">
        <f ca="1">IF($C40="","",VLOOKUP($C40,Calc1!$C$17:$AC$25,26,0))</f>
        <v/>
      </c>
      <c r="G40" s="391" t="str">
        <f ca="1">IF(C40="","",VLOOKUP(C40,Calc1!$C$17:$AB$25,23,0))</f>
        <v/>
      </c>
      <c r="H40" s="136" t="str">
        <f ca="1">IFERROR(VLOOKUP($C40&amp;H$31,Calc1!$Z$64:$AB$207,3,0),"")</f>
        <v/>
      </c>
      <c r="I40" s="111" t="str">
        <f ca="1">IFERROR(VLOOKUP($C40&amp;I$31,Calc1!$Z$64:$AB$207,3,0),"")</f>
        <v/>
      </c>
      <c r="J40" s="111" t="str">
        <f ca="1">IFERROR(VLOOKUP($C40&amp;J$31,Calc1!$Z$64:$AB$207,3,0),"")</f>
        <v/>
      </c>
      <c r="K40" s="111" t="str">
        <f ca="1">IFERROR(VLOOKUP($C40&amp;K$31,Calc1!$Z$64:$AB$207,3,0),"")</f>
        <v/>
      </c>
      <c r="L40" s="111" t="str">
        <f ca="1">IFERROR(VLOOKUP($C40&amp;L$31,Calc1!$Z$64:$AB$207,3,0),"")</f>
        <v/>
      </c>
      <c r="M40" s="487" t="str">
        <f ca="1">IFERROR(VLOOKUP($C40&amp;M$31,Calc1!$Z$64:$AB$207,3,0),"")</f>
        <v/>
      </c>
      <c r="N40" s="487" t="str">
        <f ca="1">IFERROR(VLOOKUP($C40&amp;N$31,Calc1!$Z$64:$AB$207,3,0),"")</f>
        <v/>
      </c>
      <c r="O40" s="487" t="str">
        <f ca="1">IFERROR(VLOOKUP($C40&amp;O$31,Calc1!$Z$64:$AB$207,3,0),"")</f>
        <v/>
      </c>
      <c r="P40" s="145"/>
      <c r="Q40" s="172" t="str">
        <f t="shared" ca="1" si="2"/>
        <v/>
      </c>
    </row>
    <row r="41" spans="2:17" ht="42.75" customHeight="1" thickTop="1" thickBot="1" x14ac:dyDescent="0.25"/>
    <row r="42" spans="2:17" ht="21.95" customHeight="1" thickBot="1" x14ac:dyDescent="0.25">
      <c r="H42" s="489" t="str">
        <f ca="1">IF(LEN(H43)&gt;Einstellungen!$C$17,LEFT(H43,Einstellungen!$C$17)&amp;".",H43)</f>
        <v/>
      </c>
      <c r="I42" s="490" t="str">
        <f ca="1">IF(LEN(I43)&gt;Einstellungen!$C$17,LEFT(I43,Einstellungen!$C$17)&amp;".",I43)</f>
        <v/>
      </c>
      <c r="J42" s="490" t="str">
        <f ca="1">IF(LEN(J43)&gt;Einstellungen!$C$17,LEFT(J43,Einstellungen!$C$17)&amp;".",J43)</f>
        <v/>
      </c>
      <c r="K42" s="490" t="str">
        <f ca="1">IF(LEN(K43)&gt;Einstellungen!$C$17,LEFT(K43,Einstellungen!$C$17)&amp;".",K43)</f>
        <v/>
      </c>
      <c r="L42" s="490" t="str">
        <f ca="1">IF(LEN(L43)&gt;Einstellungen!$C$17,LEFT(L43,Einstellungen!$C$17)&amp;".",L43)</f>
        <v/>
      </c>
      <c r="M42" s="491" t="str">
        <f ca="1">IF(LEN(M43)&gt;Einstellungen!$C$17,LEFT(M43,Einstellungen!$C$17)&amp;".",M43)</f>
        <v/>
      </c>
      <c r="N42" s="491" t="str">
        <f ca="1">IF(LEN(N43)&gt;Einstellungen!$C$17,LEFT(N43,Einstellungen!$C$17)&amp;".",N43)</f>
        <v/>
      </c>
      <c r="O42" s="491" t="str">
        <f ca="1">IF(LEN(O43)&gt;Einstellungen!$C$17,LEFT(O43,Einstellungen!$C$17)&amp;".",O43)</f>
        <v/>
      </c>
      <c r="P42" s="492" t="str">
        <f ca="1">IF(LEN(P43)&gt;Einstellungen!$C$17,LEFT(P43,Einstellungen!$C$17)&amp;".",P43)</f>
        <v/>
      </c>
    </row>
    <row r="43" spans="2:17" ht="21.95" customHeight="1" thickTop="1" thickBot="1" x14ac:dyDescent="0.25">
      <c r="B43" s="115"/>
      <c r="C43" s="121" t="str">
        <f>Sprache!$E$10</f>
        <v>Teilnehmer bzw. Mannschaft</v>
      </c>
      <c r="D43" s="125" t="str">
        <f>Sprache!$E$80</f>
        <v>Satzpkt.</v>
      </c>
      <c r="E43" s="112" t="str">
        <f>Sprache!$E$90</f>
        <v>Bälle</v>
      </c>
      <c r="F43" s="112" t="str">
        <f>Sprache!$E$26</f>
        <v>Diff.</v>
      </c>
      <c r="G43" s="139" t="str">
        <f>Sprache!$E$49</f>
        <v>Tie-Break</v>
      </c>
      <c r="H43" s="129" t="str">
        <f ca="1">C44</f>
        <v/>
      </c>
      <c r="I43" s="130" t="str">
        <f ca="1">C45</f>
        <v/>
      </c>
      <c r="J43" s="130" t="str">
        <f ca="1">C46</f>
        <v/>
      </c>
      <c r="K43" s="130" t="str">
        <f ca="1">C47</f>
        <v/>
      </c>
      <c r="L43" s="130" t="str">
        <f ca="1">C48</f>
        <v/>
      </c>
      <c r="M43" s="483" t="str">
        <f ca="1">C49</f>
        <v/>
      </c>
      <c r="N43" s="483" t="str">
        <f ca="1">C50</f>
        <v/>
      </c>
      <c r="O43" s="483" t="str">
        <f ca="1">C51</f>
        <v/>
      </c>
      <c r="P43" s="142" t="str">
        <f ca="1">C52</f>
        <v/>
      </c>
    </row>
    <row r="44" spans="2:17" ht="21.95" customHeight="1" x14ac:dyDescent="0.2">
      <c r="B44" s="113" t="str">
        <f ca="1">IF($C44="","",INDEX(Calc1!$E$4:$E$12,MATCH($C44,Calc1!$F$4:$F$12,0)))</f>
        <v/>
      </c>
      <c r="C44" s="122" t="str">
        <f ca="1">IF(Calc1!$K$13=0,"",Calc1!$AM4)</f>
        <v/>
      </c>
      <c r="D44" s="126" t="str">
        <f ca="1">IF($C44="","",VLOOKUP($C44,Calc1!$C$17:$AC$25,25,0))</f>
        <v/>
      </c>
      <c r="E44" s="109" t="str">
        <f ca="1">IF($C44="","",VLOOKUP($C44,Calc1!$C$17:$AF$25,27,0)&amp;Sprache!$E$108&amp;(VLOOKUP($C44,Calc1!$C$17:$AF$25,27,0)-$F44))</f>
        <v/>
      </c>
      <c r="F44" s="109" t="str">
        <f ca="1">IF($C44="","",VLOOKUP($C44,Calc1!$C$17:$AC$25,26,0))</f>
        <v/>
      </c>
      <c r="G44" s="389" t="str">
        <f ca="1">IF(C44="","",VLOOKUP(C44,Calc1!$C$17:$AB$25,23,0))</f>
        <v/>
      </c>
      <c r="H44" s="134"/>
      <c r="I44" s="109" t="str">
        <f ca="1">IFERROR(VLOOKUP($C44&amp;I$43,Calc1!$Z$64:$AB$207,3,0),"")</f>
        <v/>
      </c>
      <c r="J44" s="109" t="str">
        <f ca="1">IFERROR(VLOOKUP($C44&amp;J$43,Calc1!$Z$64:$AB$207,3,0),"")</f>
        <v/>
      </c>
      <c r="K44" s="109" t="str">
        <f ca="1">IFERROR(VLOOKUP($C44&amp;K$43,Calc1!$Z$64:$AB$207,3,0),"")</f>
        <v/>
      </c>
      <c r="L44" s="109" t="str">
        <f ca="1">IFERROR(VLOOKUP($C44&amp;L$43,Calc1!$Z$64:$AB$207,3,0),"")</f>
        <v/>
      </c>
      <c r="M44" s="484" t="str">
        <f ca="1">IFERROR(VLOOKUP($C44&amp;M$43,Calc1!$Z$64:$AB$207,3,0),"")</f>
        <v/>
      </c>
      <c r="N44" s="484" t="str">
        <f ca="1">IFERROR(VLOOKUP($C44&amp;N$43,Calc1!$Z$64:$AB$207,3,0),"")</f>
        <v/>
      </c>
      <c r="O44" s="484" t="str">
        <f ca="1">IFERROR(VLOOKUP($C44&amp;O$43,Calc1!$Z$64:$AB$207,3,0),"")</f>
        <v/>
      </c>
      <c r="P44" s="143" t="str">
        <f ca="1">IFERROR(VLOOKUP($C44&amp;P$43,Calc1!$Z$64:$AB$207,3,0),"")</f>
        <v/>
      </c>
      <c r="Q44" s="170" t="str">
        <f t="shared" ref="Q44:Q52" ca="1" si="3">C44</f>
        <v/>
      </c>
    </row>
    <row r="45" spans="2:17" ht="21.95" customHeight="1" x14ac:dyDescent="0.2">
      <c r="B45" s="113" t="str">
        <f ca="1">IF($C45="","",INDEX(Calc1!$E$4:$E$12,MATCH($C45,Calc1!$F$4:$F$12,0)))</f>
        <v/>
      </c>
      <c r="C45" s="123" t="str">
        <f ca="1">IF(Calc1!$K$13=0,"",Calc1!$AM5)</f>
        <v/>
      </c>
      <c r="D45" s="127" t="str">
        <f ca="1">IF($C45="","",VLOOKUP($C45,Calc1!$C$17:$AC$25,25,0))</f>
        <v/>
      </c>
      <c r="E45" s="110" t="str">
        <f ca="1">IF($C45="","",VLOOKUP($C45,Calc1!$C$17:$AF$25,27,0)&amp;Sprache!$E$108&amp;(VLOOKUP($C45,Calc1!$C$17:$AF$25,27,0)-$F45))</f>
        <v/>
      </c>
      <c r="F45" s="110" t="str">
        <f ca="1">IF($C45="","",VLOOKUP($C45,Calc1!$C$17:$AC$25,26,0))</f>
        <v/>
      </c>
      <c r="G45" s="390" t="str">
        <f ca="1">IF(C45="","",VLOOKUP(C45,Calc1!$C$17:$AB$25,23,0))</f>
        <v/>
      </c>
      <c r="H45" s="135" t="str">
        <f ca="1">IFERROR(VLOOKUP($C45&amp;H$43,Calc1!$Z$64:$AB$207,3,0),"")</f>
        <v/>
      </c>
      <c r="I45" s="120"/>
      <c r="J45" s="110" t="str">
        <f ca="1">IFERROR(VLOOKUP($C45&amp;J$43,Calc1!$Z$64:$AB$207,3,0),"")</f>
        <v/>
      </c>
      <c r="K45" s="110" t="str">
        <f ca="1">IFERROR(VLOOKUP($C45&amp;K$43,Calc1!$Z$64:$AB$207,3,0),"")</f>
        <v/>
      </c>
      <c r="L45" s="110" t="str">
        <f ca="1">IFERROR(VLOOKUP($C45&amp;L$43,Calc1!$Z$64:$AB$207,3,0),"")</f>
        <v/>
      </c>
      <c r="M45" s="485" t="str">
        <f ca="1">IFERROR(VLOOKUP($C45&amp;M$43,Calc1!$Z$64:$AB$207,3,0),"")</f>
        <v/>
      </c>
      <c r="N45" s="485" t="str">
        <f ca="1">IFERROR(VLOOKUP($C45&amp;N$43,Calc1!$Z$64:$AB$207,3,0),"")</f>
        <v/>
      </c>
      <c r="O45" s="485" t="str">
        <f ca="1">IFERROR(VLOOKUP($C45&amp;O$43,Calc1!$Z$64:$AB$207,3,0),"")</f>
        <v/>
      </c>
      <c r="P45" s="144" t="str">
        <f ca="1">IFERROR(VLOOKUP($C45&amp;P$43,Calc1!$Z$64:$AB$207,3,0),"")</f>
        <v/>
      </c>
      <c r="Q45" s="171" t="str">
        <f t="shared" ca="1" si="3"/>
        <v/>
      </c>
    </row>
    <row r="46" spans="2:17" ht="21.95" customHeight="1" x14ac:dyDescent="0.2">
      <c r="B46" s="113" t="str">
        <f ca="1">IF($C46="","",INDEX(Calc1!$E$4:$E$12,MATCH($C46,Calc1!$F$4:$F$12,0)))</f>
        <v/>
      </c>
      <c r="C46" s="123" t="str">
        <f ca="1">IF(Calc1!$K$13=0,"",Calc1!$AM6)</f>
        <v/>
      </c>
      <c r="D46" s="127" t="str">
        <f ca="1">IF($C46="","",VLOOKUP($C46,Calc1!$C$17:$AC$25,25,0))</f>
        <v/>
      </c>
      <c r="E46" s="110" t="str">
        <f ca="1">IF($C46="","",VLOOKUP($C46,Calc1!$C$17:$AF$25,27,0)&amp;Sprache!$E$108&amp;(VLOOKUP($C46,Calc1!$C$17:$AF$25,27,0)-$F46))</f>
        <v/>
      </c>
      <c r="F46" s="110" t="str">
        <f ca="1">IF($C46="","",VLOOKUP($C46,Calc1!$C$17:$AC$25,26,0))</f>
        <v/>
      </c>
      <c r="G46" s="390" t="str">
        <f ca="1">IF(C46="","",VLOOKUP(C46,Calc1!$C$17:$AB$25,23,0))</f>
        <v/>
      </c>
      <c r="H46" s="135" t="str">
        <f ca="1">IFERROR(VLOOKUP($C46&amp;H$43,Calc1!$Z$64:$AB$207,3,0),"")</f>
        <v/>
      </c>
      <c r="I46" s="110" t="str">
        <f ca="1">IFERROR(VLOOKUP($C46&amp;I$43,Calc1!$Z$64:$AB$207,3,0),"")</f>
        <v/>
      </c>
      <c r="J46" s="120"/>
      <c r="K46" s="110" t="str">
        <f ca="1">IFERROR(VLOOKUP($C46&amp;K$43,Calc1!$Z$64:$AB$207,3,0),"")</f>
        <v/>
      </c>
      <c r="L46" s="110" t="str">
        <f ca="1">IFERROR(VLOOKUP($C46&amp;L$43,Calc1!$Z$64:$AB$207,3,0),"")</f>
        <v/>
      </c>
      <c r="M46" s="485" t="str">
        <f ca="1">IFERROR(VLOOKUP($C46&amp;M$43,Calc1!$Z$64:$AB$207,3,0),"")</f>
        <v/>
      </c>
      <c r="N46" s="485" t="str">
        <f ca="1">IFERROR(VLOOKUP($C46&amp;N$43,Calc1!$Z$64:$AB$207,3,0),"")</f>
        <v/>
      </c>
      <c r="O46" s="485" t="str">
        <f ca="1">IFERROR(VLOOKUP($C46&amp;O$43,Calc1!$Z$64:$AB$207,3,0),"")</f>
        <v/>
      </c>
      <c r="P46" s="144" t="str">
        <f ca="1">IFERROR(VLOOKUP($C46&amp;P$43,Calc1!$Z$64:$AB$207,3,0),"")</f>
        <v/>
      </c>
      <c r="Q46" s="171" t="str">
        <f t="shared" ca="1" si="3"/>
        <v/>
      </c>
    </row>
    <row r="47" spans="2:17" ht="21.95" customHeight="1" x14ac:dyDescent="0.2">
      <c r="B47" s="113" t="str">
        <f ca="1">IF($C47="","",INDEX(Calc1!$E$4:$E$12,MATCH($C47,Calc1!$F$4:$F$12,0)))</f>
        <v/>
      </c>
      <c r="C47" s="123" t="str">
        <f ca="1">IF(Calc1!$K$13=0,"",Calc1!$AM7)</f>
        <v/>
      </c>
      <c r="D47" s="127" t="str">
        <f ca="1">IF($C47="","",VLOOKUP($C47,Calc1!$C$17:$AC$25,25,0))</f>
        <v/>
      </c>
      <c r="E47" s="110" t="str">
        <f ca="1">IF($C47="","",VLOOKUP($C47,Calc1!$C$17:$AF$25,27,0)&amp;Sprache!$E$108&amp;(VLOOKUP($C47,Calc1!$C$17:$AF$25,27,0)-$F47))</f>
        <v/>
      </c>
      <c r="F47" s="110" t="str">
        <f ca="1">IF($C47="","",VLOOKUP($C47,Calc1!$C$17:$AC$25,26,0))</f>
        <v/>
      </c>
      <c r="G47" s="390" t="str">
        <f ca="1">IF(C47="","",VLOOKUP(C47,Calc1!$C$17:$AB$25,23,0))</f>
        <v/>
      </c>
      <c r="H47" s="135" t="str">
        <f ca="1">IFERROR(VLOOKUP($C47&amp;H$43,Calc1!$Z$64:$AB$207,3,0),"")</f>
        <v/>
      </c>
      <c r="I47" s="110" t="str">
        <f ca="1">IFERROR(VLOOKUP($C47&amp;I$43,Calc1!$Z$64:$AB$207,3,0),"")</f>
        <v/>
      </c>
      <c r="J47" s="110" t="str">
        <f ca="1">IFERROR(VLOOKUP($C47&amp;J$43,Calc1!$Z$64:$AB$207,3,0),"")</f>
        <v/>
      </c>
      <c r="K47" s="120"/>
      <c r="L47" s="110" t="str">
        <f ca="1">IFERROR(VLOOKUP($C47&amp;L$43,Calc1!$Z$64:$AB$207,3,0),"")</f>
        <v/>
      </c>
      <c r="M47" s="485" t="str">
        <f ca="1">IFERROR(VLOOKUP($C47&amp;M$43,Calc1!$Z$64:$AB$207,3,0),"")</f>
        <v/>
      </c>
      <c r="N47" s="485" t="str">
        <f ca="1">IFERROR(VLOOKUP($C47&amp;N$43,Calc1!$Z$64:$AB$207,3,0),"")</f>
        <v/>
      </c>
      <c r="O47" s="485" t="str">
        <f ca="1">IFERROR(VLOOKUP($C47&amp;O$43,Calc1!$Z$64:$AB$207,3,0),"")</f>
        <v/>
      </c>
      <c r="P47" s="144" t="str">
        <f ca="1">IFERROR(VLOOKUP($C47&amp;P$43,Calc1!$Z$64:$AB$207,3,0),"")</f>
        <v/>
      </c>
      <c r="Q47" s="171" t="str">
        <f t="shared" ca="1" si="3"/>
        <v/>
      </c>
    </row>
    <row r="48" spans="2:17" ht="21.95" customHeight="1" x14ac:dyDescent="0.2">
      <c r="B48" s="113" t="str">
        <f ca="1">IF($C48="","",INDEX(Calc1!$E$4:$E$12,MATCH($C48,Calc1!$F$4:$F$12,0)))</f>
        <v/>
      </c>
      <c r="C48" s="123" t="str">
        <f ca="1">IF(Calc1!$K$13=0,"",Calc1!$AM8)</f>
        <v/>
      </c>
      <c r="D48" s="127" t="str">
        <f ca="1">IF($C48="","",VLOOKUP($C48,Calc1!$C$17:$AC$25,25,0))</f>
        <v/>
      </c>
      <c r="E48" s="110" t="str">
        <f ca="1">IF($C48="","",VLOOKUP($C48,Calc1!$C$17:$AF$25,27,0)&amp;Sprache!$E$108&amp;(VLOOKUP($C48,Calc1!$C$17:$AF$25,27,0)-$F48))</f>
        <v/>
      </c>
      <c r="F48" s="110" t="str">
        <f ca="1">IF($C48="","",VLOOKUP($C48,Calc1!$C$17:$AC$25,26,0))</f>
        <v/>
      </c>
      <c r="G48" s="390" t="str">
        <f ca="1">IF(C48="","",VLOOKUP(C48,Calc1!$C$17:$AB$25,23,0))</f>
        <v/>
      </c>
      <c r="H48" s="135" t="str">
        <f ca="1">IFERROR(VLOOKUP($C48&amp;H$43,Calc1!$Z$64:$AB$207,3,0),"")</f>
        <v/>
      </c>
      <c r="I48" s="110" t="str">
        <f ca="1">IFERROR(VLOOKUP($C48&amp;I$43,Calc1!$Z$64:$AB$207,3,0),"")</f>
        <v/>
      </c>
      <c r="J48" s="110" t="str">
        <f ca="1">IFERROR(VLOOKUP($C48&amp;J$43,Calc1!$Z$64:$AB$207,3,0),"")</f>
        <v/>
      </c>
      <c r="K48" s="110" t="str">
        <f ca="1">IFERROR(VLOOKUP($C48&amp;K$43,Calc1!$Z$64:$AB$207,3,0),"")</f>
        <v/>
      </c>
      <c r="L48" s="120"/>
      <c r="M48" s="485" t="str">
        <f ca="1">IFERROR(VLOOKUP($C48&amp;M$43,Calc1!$Z$64:$AB$207,3,0),"")</f>
        <v/>
      </c>
      <c r="N48" s="485" t="str">
        <f ca="1">IFERROR(VLOOKUP($C48&amp;N$43,Calc1!$Z$64:$AB$207,3,0),"")</f>
        <v/>
      </c>
      <c r="O48" s="485" t="str">
        <f ca="1">IFERROR(VLOOKUP($C48&amp;O$43,Calc1!$Z$64:$AB$207,3,0),"")</f>
        <v/>
      </c>
      <c r="P48" s="144" t="str">
        <f ca="1">IFERROR(VLOOKUP($C48&amp;P$43,Calc1!$Z$64:$AB$207,3,0),"")</f>
        <v/>
      </c>
      <c r="Q48" s="171" t="str">
        <f t="shared" ca="1" si="3"/>
        <v/>
      </c>
    </row>
    <row r="49" spans="2:17" ht="21.95" customHeight="1" x14ac:dyDescent="0.2">
      <c r="B49" s="113" t="str">
        <f ca="1">IF($C49="","",INDEX(Calc1!$E$4:$E$12,MATCH($C49,Calc1!$F$4:$F$12,0)))</f>
        <v/>
      </c>
      <c r="C49" s="123" t="str">
        <f ca="1">IF(Calc1!$K$13=0,"",Calc1!$AM9)</f>
        <v/>
      </c>
      <c r="D49" s="127" t="str">
        <f ca="1">IF($C49="","",VLOOKUP($C49,Calc1!$C$17:$AC$25,25,0))</f>
        <v/>
      </c>
      <c r="E49" s="110" t="str">
        <f ca="1">IF($C49="","",VLOOKUP($C49,Calc1!$C$17:$AF$25,27,0)&amp;Sprache!$E$108&amp;(VLOOKUP($C49,Calc1!$C$17:$AF$25,27,0)-$F49))</f>
        <v/>
      </c>
      <c r="F49" s="110" t="str">
        <f ca="1">IF($C49="","",VLOOKUP($C49,Calc1!$C$17:$AC$25,26,0))</f>
        <v/>
      </c>
      <c r="G49" s="390" t="str">
        <f ca="1">IF(C49="","",VLOOKUP(C49,Calc1!$C$17:$AB$25,23,0))</f>
        <v/>
      </c>
      <c r="H49" s="135" t="str">
        <f ca="1">IFERROR(VLOOKUP($C49&amp;H$43,Calc1!$Z$64:$AB$207,3,0),"")</f>
        <v/>
      </c>
      <c r="I49" s="110" t="str">
        <f ca="1">IFERROR(VLOOKUP($C49&amp;I$43,Calc1!$Z$64:$AB$207,3,0),"")</f>
        <v/>
      </c>
      <c r="J49" s="110" t="str">
        <f ca="1">IFERROR(VLOOKUP($C49&amp;J$43,Calc1!$Z$64:$AB$207,3,0),"")</f>
        <v/>
      </c>
      <c r="K49" s="110" t="str">
        <f ca="1">IFERROR(VLOOKUP($C49&amp;K$43,Calc1!$Z$64:$AB$207,3,0),"")</f>
        <v/>
      </c>
      <c r="L49" s="110" t="str">
        <f ca="1">IFERROR(VLOOKUP($C49&amp;L$43,Calc1!$Z$64:$AB$207,3,0),"")</f>
        <v/>
      </c>
      <c r="M49" s="486"/>
      <c r="N49" s="485" t="str">
        <f ca="1">IFERROR(VLOOKUP($C49&amp;N$43,Calc1!$Z$64:$AB$207,3,0),"")</f>
        <v/>
      </c>
      <c r="O49" s="485" t="str">
        <f ca="1">IFERROR(VLOOKUP($C49&amp;O$43,Calc1!$Z$64:$AB$207,3,0),"")</f>
        <v/>
      </c>
      <c r="P49" s="144" t="str">
        <f ca="1">IFERROR(VLOOKUP($C49&amp;P$43,Calc1!$Z$64:$AB$207,3,0),"")</f>
        <v/>
      </c>
      <c r="Q49" s="171" t="str">
        <f t="shared" ca="1" si="3"/>
        <v/>
      </c>
    </row>
    <row r="50" spans="2:17" ht="21.95" customHeight="1" x14ac:dyDescent="0.2">
      <c r="B50" s="113" t="str">
        <f ca="1">IF($C50="","",INDEX(Calc1!$E$4:$E$12,MATCH($C50,Calc1!$F$4:$F$12,0)))</f>
        <v/>
      </c>
      <c r="C50" s="123" t="str">
        <f ca="1">IF(Calc1!$K$13=0,"",Calc1!$AM10)</f>
        <v/>
      </c>
      <c r="D50" s="127" t="str">
        <f ca="1">IF($C50="","",VLOOKUP($C50,Calc1!$C$17:$AC$25,25,0))</f>
        <v/>
      </c>
      <c r="E50" s="110" t="str">
        <f ca="1">IF($C50="","",VLOOKUP($C50,Calc1!$C$17:$AF$25,27,0)&amp;Sprache!$E$108&amp;(VLOOKUP($C50,Calc1!$C$17:$AF$25,27,0)-$F50))</f>
        <v/>
      </c>
      <c r="F50" s="110" t="str">
        <f ca="1">IF($C50="","",VLOOKUP($C50,Calc1!$C$17:$AC$25,26,0))</f>
        <v/>
      </c>
      <c r="G50" s="390" t="str">
        <f ca="1">IF(C50="","",VLOOKUP(C50,Calc1!$C$17:$AB$25,23,0))</f>
        <v/>
      </c>
      <c r="H50" s="135" t="str">
        <f ca="1">IFERROR(VLOOKUP($C50&amp;H$43,Calc1!$Z$64:$AB$207,3,0),"")</f>
        <v/>
      </c>
      <c r="I50" s="110" t="str">
        <f ca="1">IFERROR(VLOOKUP($C50&amp;I$43,Calc1!$Z$64:$AB$207,3,0),"")</f>
        <v/>
      </c>
      <c r="J50" s="110" t="str">
        <f ca="1">IFERROR(VLOOKUP($C50&amp;J$43,Calc1!$Z$64:$AB$207,3,0),"")</f>
        <v/>
      </c>
      <c r="K50" s="110" t="str">
        <f ca="1">IFERROR(VLOOKUP($C50&amp;K$43,Calc1!$Z$64:$AB$207,3,0),"")</f>
        <v/>
      </c>
      <c r="L50" s="110" t="str">
        <f ca="1">IFERROR(VLOOKUP($C50&amp;L$43,Calc1!$Z$64:$AB$207,3,0),"")</f>
        <v/>
      </c>
      <c r="M50" s="485" t="str">
        <f ca="1">IFERROR(VLOOKUP($C50&amp;M$43,Calc1!$Z$64:$AB$207,3,0),"")</f>
        <v/>
      </c>
      <c r="N50" s="486"/>
      <c r="O50" s="485" t="str">
        <f ca="1">IFERROR(VLOOKUP($C50&amp;O$43,Calc1!$Z$64:$AB$207,3,0),"")</f>
        <v/>
      </c>
      <c r="P50" s="144" t="str">
        <f ca="1">IFERROR(VLOOKUP($C50&amp;P$43,Calc1!$Z$64:$AB$207,3,0),"")</f>
        <v/>
      </c>
      <c r="Q50" s="171" t="str">
        <f t="shared" ca="1" si="3"/>
        <v/>
      </c>
    </row>
    <row r="51" spans="2:17" ht="21.95" customHeight="1" x14ac:dyDescent="0.2">
      <c r="B51" s="113" t="str">
        <f ca="1">IF($C51="","",INDEX(Calc1!$E$4:$E$12,MATCH($C51,Calc1!$F$4:$F$12,0)))</f>
        <v/>
      </c>
      <c r="C51" s="123" t="str">
        <f ca="1">IF(Calc1!$K$13=0,"",Calc1!$AM11)</f>
        <v/>
      </c>
      <c r="D51" s="127" t="str">
        <f ca="1">IF($C51="","",VLOOKUP($C51,Calc1!$C$17:$AC$25,25,0))</f>
        <v/>
      </c>
      <c r="E51" s="110" t="str">
        <f ca="1">IF($C51="","",VLOOKUP($C51,Calc1!$C$17:$AF$25,27,0)&amp;Sprache!$E$108&amp;(VLOOKUP($C51,Calc1!$C$17:$AF$25,27,0)-$F51))</f>
        <v/>
      </c>
      <c r="F51" s="110" t="str">
        <f ca="1">IF($C51="","",VLOOKUP($C51,Calc1!$C$17:$AC$25,26,0))</f>
        <v/>
      </c>
      <c r="G51" s="390" t="str">
        <f ca="1">IF(C51="","",VLOOKUP(C51,Calc1!$C$17:$AB$25,23,0))</f>
        <v/>
      </c>
      <c r="H51" s="135" t="str">
        <f ca="1">IFERROR(VLOOKUP($C51&amp;H$43,Calc1!$Z$64:$AB$207,3,0),"")</f>
        <v/>
      </c>
      <c r="I51" s="110" t="str">
        <f ca="1">IFERROR(VLOOKUP($C51&amp;I$43,Calc1!$Z$64:$AB$207,3,0),"")</f>
        <v/>
      </c>
      <c r="J51" s="110" t="str">
        <f ca="1">IFERROR(VLOOKUP($C51&amp;J$43,Calc1!$Z$64:$AB$207,3,0),"")</f>
        <v/>
      </c>
      <c r="K51" s="110" t="str">
        <f ca="1">IFERROR(VLOOKUP($C51&amp;K$43,Calc1!$Z$64:$AB$207,3,0),"")</f>
        <v/>
      </c>
      <c r="L51" s="110" t="str">
        <f ca="1">IFERROR(VLOOKUP($C51&amp;L$43,Calc1!$Z$64:$AB$207,3,0),"")</f>
        <v/>
      </c>
      <c r="M51" s="485" t="str">
        <f ca="1">IFERROR(VLOOKUP($C51&amp;M$43,Calc1!$Z$64:$AB$207,3,0),"")</f>
        <v/>
      </c>
      <c r="N51" s="485" t="str">
        <f ca="1">IFERROR(VLOOKUP($C51&amp;N$43,Calc1!$Z$64:$AB$207,3,0),"")</f>
        <v/>
      </c>
      <c r="O51" s="486"/>
      <c r="P51" s="144" t="str">
        <f ca="1">IFERROR(VLOOKUP($C51&amp;P$43,Calc1!$Z$64:$AB$207,3,0),"")</f>
        <v/>
      </c>
      <c r="Q51" s="171" t="str">
        <f t="shared" ca="1" si="3"/>
        <v/>
      </c>
    </row>
    <row r="52" spans="2:17" ht="21.95" customHeight="1" thickBot="1" x14ac:dyDescent="0.25">
      <c r="B52" s="114" t="str">
        <f ca="1">IF($C52="","",INDEX(Calc1!$E$4:$E$12,MATCH($C52,Calc1!$F$4:$F$12,0)))</f>
        <v/>
      </c>
      <c r="C52" s="124" t="str">
        <f ca="1">IF(Calc1!$K$13=0,"",Calc1!$AM12)</f>
        <v/>
      </c>
      <c r="D52" s="128" t="str">
        <f ca="1">IF($C52="","",VLOOKUP($C52,Calc1!$C$17:$AC$25,25,0))</f>
        <v/>
      </c>
      <c r="E52" s="111" t="str">
        <f ca="1">IF($C52="","",VLOOKUP($C52,Calc1!$C$17:$AF$25,27,0)&amp;Sprache!$E$108&amp;(VLOOKUP($C52,Calc1!$C$17:$AF$25,27,0)-$F52))</f>
        <v/>
      </c>
      <c r="F52" s="111" t="str">
        <f ca="1">IF($C52="","",VLOOKUP($C52,Calc1!$C$17:$AC$25,26,0))</f>
        <v/>
      </c>
      <c r="G52" s="391" t="str">
        <f ca="1">IF(C52="","",VLOOKUP(C52,Calc1!$C$17:$AB$25,23,0))</f>
        <v/>
      </c>
      <c r="H52" s="136" t="str">
        <f ca="1">IFERROR(VLOOKUP($C52&amp;H$43,Calc1!$Z$64:$AB$207,3,0),"")</f>
        <v/>
      </c>
      <c r="I52" s="111" t="str">
        <f ca="1">IFERROR(VLOOKUP($C52&amp;I$43,Calc1!$Z$64:$AB$207,3,0),"")</f>
        <v/>
      </c>
      <c r="J52" s="111" t="str">
        <f ca="1">IFERROR(VLOOKUP($C52&amp;J$43,Calc1!$Z$64:$AB$207,3,0),"")</f>
        <v/>
      </c>
      <c r="K52" s="111" t="str">
        <f ca="1">IFERROR(VLOOKUP($C52&amp;K$43,Calc1!$Z$64:$AB$207,3,0),"")</f>
        <v/>
      </c>
      <c r="L52" s="111" t="str">
        <f ca="1">IFERROR(VLOOKUP($C52&amp;L$43,Calc1!$Z$64:$AB$207,3,0),"")</f>
        <v/>
      </c>
      <c r="M52" s="487" t="str">
        <f ca="1">IFERROR(VLOOKUP($C52&amp;M$43,Calc1!$Z$64:$AB$207,3,0),"")</f>
        <v/>
      </c>
      <c r="N52" s="487" t="str">
        <f ca="1">IFERROR(VLOOKUP($C52&amp;N$43,Calc1!$Z$64:$AB$207,3,0),"")</f>
        <v/>
      </c>
      <c r="O52" s="487" t="str">
        <f ca="1">IFERROR(VLOOKUP($C52&amp;O$43,Calc1!$Z$64:$AB$207,3,0),"")</f>
        <v/>
      </c>
      <c r="P52" s="145"/>
      <c r="Q52" s="172" t="str">
        <f t="shared" ca="1" si="3"/>
        <v/>
      </c>
    </row>
    <row r="53" spans="2:17" ht="55.5" customHeight="1" thickTop="1" x14ac:dyDescent="0.2"/>
  </sheetData>
  <sheetProtection sheet="1" selectLockedCells="1"/>
  <mergeCells count="3">
    <mergeCell ref="B2:P2"/>
    <mergeCell ref="B4:P4"/>
    <mergeCell ref="B3:P3"/>
  </mergeCells>
  <conditionalFormatting sqref="B8:Q16 B20:Q28 B32:Q40 B44:Q52">
    <cfRule type="expression" dxfId="41" priority="29">
      <formula>OR(AND($B8=$B7,$C7&lt;&gt;""),AND($B8=$B9,$C9&lt;&gt;""))</formula>
    </cfRule>
  </conditionalFormatting>
  <pageMargins left="0.7" right="0.7" top="0.78740157499999996" bottom="0.78740157499999996"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28741-6E9D-4272-ACC1-DA8021215FA5}">
  <dimension ref="A1:R53"/>
  <sheetViews>
    <sheetView showGridLines="0" showRowColHeaders="0" zoomScaleNormal="100" workbookViewId="0">
      <selection activeCell="S1" sqref="S1:XFD1048576"/>
    </sheetView>
  </sheetViews>
  <sheetFormatPr baseColWidth="10" defaultColWidth="0" defaultRowHeight="12.75" zeroHeight="1" x14ac:dyDescent="0.2"/>
  <cols>
    <col min="1" max="1" width="4.28515625" style="47" customWidth="1"/>
    <col min="2" max="2" width="4.5703125" style="47" customWidth="1"/>
    <col min="3" max="3" width="32.7109375" style="47" customWidth="1"/>
    <col min="4" max="7" width="11.7109375" style="47" customWidth="1"/>
    <col min="8" max="16" width="6.85546875" style="47" customWidth="1"/>
    <col min="17" max="17" width="32.7109375" style="47" customWidth="1"/>
    <col min="18" max="18" width="4.5703125" style="47" customWidth="1"/>
    <col min="19" max="16384" width="11.42578125" style="47" hidden="1"/>
  </cols>
  <sheetData>
    <row r="1" spans="2:17" x14ac:dyDescent="0.2"/>
    <row r="2" spans="2:17" ht="33.75" x14ac:dyDescent="0.2">
      <c r="B2" s="894" t="str">
        <f>Sprache!$E$7</f>
        <v>Direkte Vergleiche</v>
      </c>
      <c r="C2" s="894"/>
      <c r="D2" s="894"/>
      <c r="E2" s="894"/>
      <c r="F2" s="894"/>
      <c r="G2" s="894"/>
      <c r="H2" s="894"/>
      <c r="I2" s="894"/>
      <c r="J2" s="894"/>
      <c r="K2" s="894"/>
      <c r="L2" s="894"/>
      <c r="M2" s="894"/>
      <c r="N2" s="894"/>
      <c r="O2" s="894"/>
      <c r="P2" s="894"/>
    </row>
    <row r="3" spans="2:17" ht="42.75" customHeight="1" x14ac:dyDescent="0.2">
      <c r="B3" s="896" t="str">
        <f>Sprache!$E$63&amp;" B"</f>
        <v>Vorrunde Gruppe B</v>
      </c>
      <c r="C3" s="896"/>
      <c r="D3" s="896"/>
      <c r="E3" s="896"/>
      <c r="F3" s="896"/>
      <c r="G3" s="896"/>
      <c r="H3" s="896"/>
      <c r="I3" s="896"/>
      <c r="J3" s="896"/>
      <c r="K3" s="896"/>
      <c r="L3" s="896"/>
      <c r="M3" s="896"/>
      <c r="N3" s="896"/>
      <c r="O3" s="896"/>
      <c r="P3" s="896"/>
    </row>
    <row r="4" spans="2:17" ht="17.25" customHeight="1" x14ac:dyDescent="0.2">
      <c r="B4" s="895" t="str">
        <f>Sprache!$E$106</f>
        <v>Rote Schrift bedeutet, dass die Rangfolge auch mit dem direkten Vergleich nicht geklärt ist. Fair Play oder Los muss hier entscheiden.</v>
      </c>
      <c r="C4" s="895"/>
      <c r="D4" s="895"/>
      <c r="E4" s="895"/>
      <c r="F4" s="895"/>
      <c r="G4" s="895"/>
      <c r="H4" s="895"/>
      <c r="I4" s="895"/>
      <c r="J4" s="895"/>
      <c r="K4" s="895"/>
      <c r="L4" s="895"/>
      <c r="M4" s="895"/>
      <c r="N4" s="895"/>
      <c r="O4" s="895"/>
      <c r="P4" s="895"/>
    </row>
    <row r="5" spans="2:17" ht="17.25" customHeight="1" thickBot="1" x14ac:dyDescent="0.25">
      <c r="B5" s="118"/>
      <c r="C5" s="118"/>
      <c r="D5" s="118"/>
      <c r="E5" s="118"/>
      <c r="F5" s="118"/>
      <c r="G5" s="118"/>
      <c r="H5" s="118"/>
      <c r="I5" s="118"/>
      <c r="J5" s="118"/>
      <c r="K5" s="118"/>
      <c r="L5" s="118"/>
      <c r="M5" s="118"/>
      <c r="N5" s="118"/>
      <c r="O5" s="118"/>
      <c r="P5" s="118"/>
    </row>
    <row r="6" spans="2:17" ht="21.95" customHeight="1" thickBot="1" x14ac:dyDescent="0.25">
      <c r="H6" s="489" t="str">
        <f ca="1">IF(LEN(H7)&gt;Einstellungen!$C$17,LEFT(H7,Einstellungen!$C$17)&amp;".",H7)</f>
        <v/>
      </c>
      <c r="I6" s="490" t="str">
        <f ca="1">IF(LEN(I7)&gt;Einstellungen!$C$17,LEFT(I7,Einstellungen!$C$17)&amp;".",I7)</f>
        <v/>
      </c>
      <c r="J6" s="490" t="str">
        <f ca="1">IF(LEN(J7)&gt;Einstellungen!$C$17,LEFT(J7,Einstellungen!$C$17)&amp;".",J7)</f>
        <v/>
      </c>
      <c r="K6" s="490" t="str">
        <f ca="1">IF(LEN(K7)&gt;Einstellungen!$C$17,LEFT(K7,Einstellungen!$C$17)&amp;".",K7)</f>
        <v/>
      </c>
      <c r="L6" s="490" t="str">
        <f ca="1">IF(LEN(L7)&gt;Einstellungen!$C$17,LEFT(L7,Einstellungen!$C$17)&amp;".",L7)</f>
        <v/>
      </c>
      <c r="M6" s="491" t="str">
        <f ca="1">IF(LEN(M7)&gt;Einstellungen!$C$17,LEFT(M7,Einstellungen!$C$17)&amp;".",M7)</f>
        <v/>
      </c>
      <c r="N6" s="491" t="str">
        <f ca="1">IF(LEN(N7)&gt;Einstellungen!$C$17,LEFT(N7,Einstellungen!$C$17)&amp;".",N7)</f>
        <v/>
      </c>
      <c r="O6" s="491" t="str">
        <f ca="1">IF(LEN(O7)&gt;Einstellungen!$C$17,LEFT(O7,Einstellungen!$C$17)&amp;".",O7)</f>
        <v/>
      </c>
      <c r="P6" s="492" t="str">
        <f ca="1">IF(LEN(P7)&gt;Einstellungen!$C$17,LEFT(P7,Einstellungen!$C$17)&amp;".",P7)</f>
        <v/>
      </c>
    </row>
    <row r="7" spans="2:17" ht="21.95" customHeight="1" thickTop="1" thickBot="1" x14ac:dyDescent="0.25">
      <c r="B7" s="115"/>
      <c r="C7" s="121" t="str">
        <f>Sprache!$E$10</f>
        <v>Teilnehmer bzw. Mannschaft</v>
      </c>
      <c r="D7" s="125" t="str">
        <f>Sprache!$E$80</f>
        <v>Satzpkt.</v>
      </c>
      <c r="E7" s="112" t="str">
        <f>Sprache!$E$90</f>
        <v>Bälle</v>
      </c>
      <c r="F7" s="112" t="str">
        <f>Sprache!$E$26</f>
        <v>Diff.</v>
      </c>
      <c r="G7" s="139" t="str">
        <f>Sprache!$E$49</f>
        <v>Tie-Break</v>
      </c>
      <c r="H7" s="129" t="str">
        <f ca="1">C8</f>
        <v/>
      </c>
      <c r="I7" s="130" t="str">
        <f ca="1">C9</f>
        <v/>
      </c>
      <c r="J7" s="130" t="str">
        <f ca="1">C10</f>
        <v/>
      </c>
      <c r="K7" s="130" t="str">
        <f ca="1">C11</f>
        <v/>
      </c>
      <c r="L7" s="130" t="str">
        <f ca="1">C12</f>
        <v/>
      </c>
      <c r="M7" s="488" t="str">
        <f ca="1">C13</f>
        <v/>
      </c>
      <c r="N7" s="483" t="str">
        <f ca="1">C14</f>
        <v/>
      </c>
      <c r="O7" s="483" t="str">
        <f ca="1">C15</f>
        <v/>
      </c>
      <c r="P7" s="142" t="str">
        <f ca="1">C16</f>
        <v/>
      </c>
    </row>
    <row r="8" spans="2:17" ht="21.95" customHeight="1" x14ac:dyDescent="0.2">
      <c r="B8" s="113" t="str">
        <f ca="1">IF($C8="","",INDEX(Calc2!$E$4:$E$12,MATCH($C8,Calc2!$F$4:$F$12,0)))</f>
        <v/>
      </c>
      <c r="C8" s="122" t="str">
        <f ca="1">IF(Calc2!$K$13=0,"",Calc2!$X4)</f>
        <v/>
      </c>
      <c r="D8" s="126" t="str">
        <f ca="1">IF($C8="","",VLOOKUP($C8,Calc2!$C$17:$AC$25,25,0))</f>
        <v/>
      </c>
      <c r="E8" s="109" t="str">
        <f ca="1">IF($C8="","",VLOOKUP($C8,Calc2!$C$17:$AF$25,27,0)&amp;Sprache!$E$99&amp;(VLOOKUP($C8,Calc2!$C$17:$AF$25,27,0)-$F8))</f>
        <v/>
      </c>
      <c r="F8" s="109" t="str">
        <f ca="1">IF($C8="","",VLOOKUP($C8,Calc2!$C$17:$AC$25,26,0))</f>
        <v/>
      </c>
      <c r="G8" s="389" t="str">
        <f ca="1">IF(C8="","",VLOOKUP(C8,Calc2!$C$17:$AB$25,23,0))</f>
        <v/>
      </c>
      <c r="H8" s="134"/>
      <c r="I8" s="109" t="str">
        <f ca="1">IFERROR(VLOOKUP($C8&amp;I$7,Calc2!$Z$64:$AB$207,3,0),"")</f>
        <v/>
      </c>
      <c r="J8" s="109" t="str">
        <f ca="1">IFERROR(VLOOKUP($C8&amp;J$7,Calc2!$Z$64:$AB$207,3,0),"")</f>
        <v/>
      </c>
      <c r="K8" s="109" t="str">
        <f ca="1">IFERROR(VLOOKUP($C8&amp;K$7,Calc2!$Z$64:$AB$207,3,0),"")</f>
        <v/>
      </c>
      <c r="L8" s="109" t="str">
        <f ca="1">IFERROR(VLOOKUP($C8&amp;L$7,Calc2!$Z$64:$AB$207,3,0),"")</f>
        <v/>
      </c>
      <c r="M8" s="484" t="str">
        <f ca="1">IFERROR(VLOOKUP($C8&amp;M$7,Calc2!$Z$64:$AB$207,3,0),"")</f>
        <v/>
      </c>
      <c r="N8" s="484" t="str">
        <f ca="1">IFERROR(VLOOKUP($C8&amp;N$7,Calc2!$Z$64:$AB$207,3,0),"")</f>
        <v/>
      </c>
      <c r="O8" s="484" t="str">
        <f ca="1">IFERROR(VLOOKUP($C8&amp;O$7,Calc2!$Z$64:$AB$207,3,0),"")</f>
        <v/>
      </c>
      <c r="P8" s="143" t="str">
        <f ca="1">IFERROR(VLOOKUP($C8&amp;P$7,Calc2!$Z$64:$AB$207,3,0),"")</f>
        <v/>
      </c>
      <c r="Q8" s="170" t="str">
        <f t="shared" ref="Q8:Q16" ca="1" si="0">C8</f>
        <v/>
      </c>
    </row>
    <row r="9" spans="2:17" ht="21.95" customHeight="1" x14ac:dyDescent="0.2">
      <c r="B9" s="113" t="str">
        <f ca="1">IF($C9="","",INDEX(Calc2!$E$4:$E$12,MATCH($C9,Calc2!$F$4:$F$12,0)))</f>
        <v/>
      </c>
      <c r="C9" s="123" t="str">
        <f ca="1">IF(Calc2!$K$13=0,"",Calc2!$X5)</f>
        <v/>
      </c>
      <c r="D9" s="127" t="str">
        <f ca="1">IF($C9="","",VLOOKUP($C9,Calc2!$C$17:$AC$25,25,0))</f>
        <v/>
      </c>
      <c r="E9" s="110" t="str">
        <f ca="1">IF($C9="","",VLOOKUP($C9,Calc2!$C$17:$AF$25,27,0)&amp;Sprache!$E$99&amp;(VLOOKUP($C9,Calc2!$C$17:$AF$25,27,0)-$F9))</f>
        <v/>
      </c>
      <c r="F9" s="110" t="str">
        <f ca="1">IF($C9="","",VLOOKUP($C9,Calc2!$C$17:$AC$25,26,0))</f>
        <v/>
      </c>
      <c r="G9" s="390" t="str">
        <f ca="1">IF(C9="","",VLOOKUP(C9,Calc2!$C$17:$AB$25,23,0))</f>
        <v/>
      </c>
      <c r="H9" s="135" t="str">
        <f ca="1">IFERROR(VLOOKUP($C9&amp;H$7,Calc2!$Z$64:$AB$207,3,0),"")</f>
        <v/>
      </c>
      <c r="I9" s="120"/>
      <c r="J9" s="110" t="str">
        <f ca="1">IFERROR(VLOOKUP($C9&amp;J$7,Calc2!$Z$64:$AB$207,3,0),"")</f>
        <v/>
      </c>
      <c r="K9" s="110" t="str">
        <f ca="1">IFERROR(VLOOKUP($C9&amp;K$7,Calc2!$Z$64:$AB$207,3,0),"")</f>
        <v/>
      </c>
      <c r="L9" s="110" t="str">
        <f ca="1">IFERROR(VLOOKUP($C9&amp;L$7,Calc2!$Z$64:$AB$207,3,0),"")</f>
        <v/>
      </c>
      <c r="M9" s="485" t="str">
        <f ca="1">IFERROR(VLOOKUP($C9&amp;M$7,Calc2!$Z$64:$AB$207,3,0),"")</f>
        <v/>
      </c>
      <c r="N9" s="485" t="str">
        <f ca="1">IFERROR(VLOOKUP($C9&amp;N$7,Calc2!$Z$64:$AB$207,3,0),"")</f>
        <v/>
      </c>
      <c r="O9" s="485" t="str">
        <f ca="1">IFERROR(VLOOKUP($C9&amp;O$7,Calc2!$Z$64:$AB$207,3,0),"")</f>
        <v/>
      </c>
      <c r="P9" s="144" t="str">
        <f ca="1">IFERROR(VLOOKUP($C9&amp;P$7,Calc2!$Z$64:$AB$207,3,0),"")</f>
        <v/>
      </c>
      <c r="Q9" s="171" t="str">
        <f t="shared" ca="1" si="0"/>
        <v/>
      </c>
    </row>
    <row r="10" spans="2:17" ht="21.95" customHeight="1" x14ac:dyDescent="0.2">
      <c r="B10" s="113" t="str">
        <f ca="1">IF($C10="","",INDEX(Calc2!$E$4:$E$12,MATCH($C10,Calc2!$F$4:$F$12,0)))</f>
        <v/>
      </c>
      <c r="C10" s="123" t="str">
        <f ca="1">IF(Calc2!$K$13=0,"",Calc2!$X6)</f>
        <v/>
      </c>
      <c r="D10" s="127" t="str">
        <f ca="1">IF($C10="","",VLOOKUP($C10,Calc2!$C$17:$AC$25,25,0))</f>
        <v/>
      </c>
      <c r="E10" s="110" t="str">
        <f ca="1">IF($C10="","",VLOOKUP($C10,Calc2!$C$17:$AF$25,27,0)&amp;Sprache!$E$99&amp;(VLOOKUP($C10,Calc2!$C$17:$AF$25,27,0)-$F10))</f>
        <v/>
      </c>
      <c r="F10" s="110" t="str">
        <f ca="1">IF($C10="","",VLOOKUP($C10,Calc2!$C$17:$AC$25,26,0))</f>
        <v/>
      </c>
      <c r="G10" s="390" t="str">
        <f ca="1">IF(C10="","",VLOOKUP(C10,Calc2!$C$17:$AB$25,23,0))</f>
        <v/>
      </c>
      <c r="H10" s="135" t="str">
        <f ca="1">IFERROR(VLOOKUP($C10&amp;H$7,Calc2!$Z$64:$AB$207,3,0),"")</f>
        <v/>
      </c>
      <c r="I10" s="110" t="str">
        <f ca="1">IFERROR(VLOOKUP($C10&amp;I$7,Calc2!$Z$64:$AB$207,3,0),"")</f>
        <v/>
      </c>
      <c r="J10" s="120"/>
      <c r="K10" s="110" t="str">
        <f ca="1">IFERROR(VLOOKUP($C10&amp;K$7,Calc2!$Z$64:$AB$207,3,0),"")</f>
        <v/>
      </c>
      <c r="L10" s="110" t="str">
        <f ca="1">IFERROR(VLOOKUP($C10&amp;L$7,Calc2!$Z$64:$AB$207,3,0),"")</f>
        <v/>
      </c>
      <c r="M10" s="485" t="str">
        <f ca="1">IFERROR(VLOOKUP($C10&amp;M$7,Calc2!$Z$64:$AB$207,3,0),"")</f>
        <v/>
      </c>
      <c r="N10" s="485" t="str">
        <f ca="1">IFERROR(VLOOKUP($C10&amp;N$7,Calc2!$Z$64:$AB$207,3,0),"")</f>
        <v/>
      </c>
      <c r="O10" s="485" t="str">
        <f ca="1">IFERROR(VLOOKUP($C10&amp;O$7,Calc2!$Z$64:$AB$207,3,0),"")</f>
        <v/>
      </c>
      <c r="P10" s="144" t="str">
        <f ca="1">IFERROR(VLOOKUP($C10&amp;P$7,Calc2!$Z$64:$AB$207,3,0),"")</f>
        <v/>
      </c>
      <c r="Q10" s="171" t="str">
        <f t="shared" ca="1" si="0"/>
        <v/>
      </c>
    </row>
    <row r="11" spans="2:17" ht="21.95" customHeight="1" x14ac:dyDescent="0.2">
      <c r="B11" s="113" t="str">
        <f ca="1">IF($C11="","",INDEX(Calc2!$E$4:$E$12,MATCH($C11,Calc2!$F$4:$F$12,0)))</f>
        <v/>
      </c>
      <c r="C11" s="123" t="str">
        <f ca="1">IF(Calc2!$K$13=0,"",Calc2!$X7)</f>
        <v/>
      </c>
      <c r="D11" s="127" t="str">
        <f ca="1">IF($C11="","",VLOOKUP($C11,Calc2!$C$17:$AC$25,25,0))</f>
        <v/>
      </c>
      <c r="E11" s="110" t="str">
        <f ca="1">IF($C11="","",VLOOKUP($C11,Calc2!$C$17:$AF$25,27,0)&amp;Sprache!$E$99&amp;(VLOOKUP($C11,Calc2!$C$17:$AF$25,27,0)-$F11))</f>
        <v/>
      </c>
      <c r="F11" s="110" t="str">
        <f ca="1">IF($C11="","",VLOOKUP($C11,Calc2!$C$17:$AC$25,26,0))</f>
        <v/>
      </c>
      <c r="G11" s="390" t="str">
        <f ca="1">IF(C11="","",VLOOKUP(C11,Calc2!$C$17:$AB$25,23,0))</f>
        <v/>
      </c>
      <c r="H11" s="135" t="str">
        <f ca="1">IFERROR(VLOOKUP($C11&amp;H$7,Calc2!$Z$64:$AB$207,3,0),"")</f>
        <v/>
      </c>
      <c r="I11" s="110" t="str">
        <f ca="1">IFERROR(VLOOKUP($C11&amp;I$7,Calc2!$Z$64:$AB$207,3,0),"")</f>
        <v/>
      </c>
      <c r="J11" s="110" t="str">
        <f ca="1">IFERROR(VLOOKUP($C11&amp;J$7,Calc2!$Z$64:$AB$207,3,0),"")</f>
        <v/>
      </c>
      <c r="K11" s="120"/>
      <c r="L11" s="110" t="str">
        <f ca="1">IFERROR(VLOOKUP($C11&amp;L$7,Calc2!$Z$64:$AB$207,3,0),"")</f>
        <v/>
      </c>
      <c r="M11" s="485" t="str">
        <f ca="1">IFERROR(VLOOKUP($C11&amp;M$7,Calc2!$Z$64:$AB$207,3,0),"")</f>
        <v/>
      </c>
      <c r="N11" s="485" t="str">
        <f ca="1">IFERROR(VLOOKUP($C11&amp;N$7,Calc2!$Z$64:$AB$207,3,0),"")</f>
        <v/>
      </c>
      <c r="O11" s="485" t="str">
        <f ca="1">IFERROR(VLOOKUP($C11&amp;O$7,Calc2!$Z$64:$AB$207,3,0),"")</f>
        <v/>
      </c>
      <c r="P11" s="144" t="str">
        <f ca="1">IFERROR(VLOOKUP($C11&amp;P$7,Calc2!$Z$64:$AB$207,3,0),"")</f>
        <v/>
      </c>
      <c r="Q11" s="171" t="str">
        <f t="shared" ca="1" si="0"/>
        <v/>
      </c>
    </row>
    <row r="12" spans="2:17" ht="21.95" customHeight="1" x14ac:dyDescent="0.2">
      <c r="B12" s="113" t="str">
        <f ca="1">IF($C12="","",INDEX(Calc2!$E$4:$E$12,MATCH($C12,Calc2!$F$4:$F$12,0)))</f>
        <v/>
      </c>
      <c r="C12" s="123" t="str">
        <f ca="1">IF(Calc2!$K$13=0,"",Calc2!$X8)</f>
        <v/>
      </c>
      <c r="D12" s="127" t="str">
        <f ca="1">IF($C12="","",VLOOKUP($C12,Calc2!$C$17:$AC$25,25,0))</f>
        <v/>
      </c>
      <c r="E12" s="110" t="str">
        <f ca="1">IF($C12="","",VLOOKUP($C12,Calc2!$C$17:$AF$25,27,0)&amp;Sprache!$E$99&amp;(VLOOKUP($C12,Calc2!$C$17:$AF$25,27,0)-$F12))</f>
        <v/>
      </c>
      <c r="F12" s="110" t="str">
        <f ca="1">IF($C12="","",VLOOKUP($C12,Calc2!$C$17:$AC$25,26,0))</f>
        <v/>
      </c>
      <c r="G12" s="390" t="str">
        <f ca="1">IF(C12="","",VLOOKUP(C12,Calc2!$C$17:$AB$25,23,0))</f>
        <v/>
      </c>
      <c r="H12" s="135" t="str">
        <f ca="1">IFERROR(VLOOKUP($C12&amp;H$7,Calc2!$Z$64:$AB$207,3,0),"")</f>
        <v/>
      </c>
      <c r="I12" s="110" t="str">
        <f ca="1">IFERROR(VLOOKUP($C12&amp;I$7,Calc2!$Z$64:$AB$207,3,0),"")</f>
        <v/>
      </c>
      <c r="J12" s="110" t="str">
        <f ca="1">IFERROR(VLOOKUP($C12&amp;J$7,Calc2!$Z$64:$AB$207,3,0),"")</f>
        <v/>
      </c>
      <c r="K12" s="110" t="str">
        <f ca="1">IFERROR(VLOOKUP($C12&amp;K$7,Calc2!$Z$64:$AB$207,3,0),"")</f>
        <v/>
      </c>
      <c r="L12" s="120"/>
      <c r="M12" s="485" t="str">
        <f ca="1">IFERROR(VLOOKUP($C12&amp;M$7,Calc2!$Z$64:$AB$207,3,0),"")</f>
        <v/>
      </c>
      <c r="N12" s="485" t="str">
        <f ca="1">IFERROR(VLOOKUP($C12&amp;N$7,Calc2!$Z$64:$AB$207,3,0),"")</f>
        <v/>
      </c>
      <c r="O12" s="485" t="str">
        <f ca="1">IFERROR(VLOOKUP($C12&amp;O$7,Calc2!$Z$64:$AB$207,3,0),"")</f>
        <v/>
      </c>
      <c r="P12" s="144" t="str">
        <f ca="1">IFERROR(VLOOKUP($C12&amp;P$7,Calc2!$Z$64:$AB$207,3,0),"")</f>
        <v/>
      </c>
      <c r="Q12" s="171" t="str">
        <f t="shared" ca="1" si="0"/>
        <v/>
      </c>
    </row>
    <row r="13" spans="2:17" ht="21.95" customHeight="1" x14ac:dyDescent="0.2">
      <c r="B13" s="113" t="str">
        <f ca="1">IF($C13="","",INDEX(Calc2!$E$4:$E$12,MATCH($C13,Calc2!$F$4:$F$12,0)))</f>
        <v/>
      </c>
      <c r="C13" s="123" t="str">
        <f ca="1">IF(Calc2!$K$13=0,"",Calc2!$X9)</f>
        <v/>
      </c>
      <c r="D13" s="127" t="str">
        <f ca="1">IF($C13="","",VLOOKUP($C13,Calc2!$C$17:$AC$25,25,0))</f>
        <v/>
      </c>
      <c r="E13" s="110" t="str">
        <f ca="1">IF($C13="","",VLOOKUP($C13,Calc2!$C$17:$AF$25,27,0)&amp;Sprache!$E$99&amp;(VLOOKUP($C13,Calc2!$C$17:$AF$25,27,0)-$F13))</f>
        <v/>
      </c>
      <c r="F13" s="110" t="str">
        <f ca="1">IF($C13="","",VLOOKUP($C13,Calc2!$C$17:$AC$25,26,0))</f>
        <v/>
      </c>
      <c r="G13" s="390" t="str">
        <f ca="1">IF(C13="","",VLOOKUP(C13,Calc2!$C$17:$AB$25,23,0))</f>
        <v/>
      </c>
      <c r="H13" s="135" t="str">
        <f ca="1">IFERROR(VLOOKUP($C13&amp;H$7,Calc2!$Z$64:$AB$207,3,0),"")</f>
        <v/>
      </c>
      <c r="I13" s="110" t="str">
        <f ca="1">IFERROR(VLOOKUP($C13&amp;I$7,Calc2!$Z$64:$AB$207,3,0),"")</f>
        <v/>
      </c>
      <c r="J13" s="110" t="str">
        <f ca="1">IFERROR(VLOOKUP($C13&amp;J$7,Calc2!$Z$64:$AB$207,3,0),"")</f>
        <v/>
      </c>
      <c r="K13" s="110" t="str">
        <f ca="1">IFERROR(VLOOKUP($C13&amp;K$7,Calc2!$Z$64:$AB$207,3,0),"")</f>
        <v/>
      </c>
      <c r="L13" s="110" t="str">
        <f ca="1">IFERROR(VLOOKUP($C13&amp;L$7,Calc2!$Z$64:$AB$207,3,0),"")</f>
        <v/>
      </c>
      <c r="M13" s="486"/>
      <c r="N13" s="485" t="str">
        <f ca="1">IFERROR(VLOOKUP($C13&amp;N$7,Calc2!$Z$64:$AB$207,3,0),"")</f>
        <v/>
      </c>
      <c r="O13" s="485" t="str">
        <f ca="1">IFERROR(VLOOKUP($C13&amp;O$7,Calc2!$Z$64:$AB$207,3,0),"")</f>
        <v/>
      </c>
      <c r="P13" s="144" t="str">
        <f ca="1">IFERROR(VLOOKUP($C13&amp;P$7,Calc2!$Z$64:$AB$207,3,0),"")</f>
        <v/>
      </c>
      <c r="Q13" s="171" t="str">
        <f t="shared" ca="1" si="0"/>
        <v/>
      </c>
    </row>
    <row r="14" spans="2:17" ht="21.95" customHeight="1" x14ac:dyDescent="0.2">
      <c r="B14" s="113" t="str">
        <f ca="1">IF($C14="","",INDEX(Calc2!$E$4:$E$12,MATCH($C14,Calc2!$F$4:$F$12,0)))</f>
        <v/>
      </c>
      <c r="C14" s="123" t="str">
        <f ca="1">IF(Calc2!$K$13=0,"",Calc2!$X10)</f>
        <v/>
      </c>
      <c r="D14" s="127" t="str">
        <f ca="1">IF($C14="","",VLOOKUP($C14,Calc2!$C$17:$AC$25,25,0))</f>
        <v/>
      </c>
      <c r="E14" s="110" t="str">
        <f ca="1">IF($C14="","",VLOOKUP($C14,Calc2!$C$17:$AF$25,27,0)&amp;Sprache!$E$99&amp;(VLOOKUP($C14,Calc2!$C$17:$AF$25,27,0)-$F14))</f>
        <v/>
      </c>
      <c r="F14" s="110" t="str">
        <f ca="1">IF($C14="","",VLOOKUP($C14,Calc2!$C$17:$AC$25,26,0))</f>
        <v/>
      </c>
      <c r="G14" s="390" t="str">
        <f ca="1">IF(C14="","",VLOOKUP(C14,Calc2!$C$17:$AB$25,23,0))</f>
        <v/>
      </c>
      <c r="H14" s="135" t="str">
        <f ca="1">IFERROR(VLOOKUP($C14&amp;H$7,Calc2!$Z$64:$AB$207,3,0),"")</f>
        <v/>
      </c>
      <c r="I14" s="110" t="str">
        <f ca="1">IFERROR(VLOOKUP($C14&amp;I$7,Calc2!$Z$64:$AB$207,3,0),"")</f>
        <v/>
      </c>
      <c r="J14" s="110" t="str">
        <f ca="1">IFERROR(VLOOKUP($C14&amp;J$7,Calc2!$Z$64:$AB$207,3,0),"")</f>
        <v/>
      </c>
      <c r="K14" s="110" t="str">
        <f ca="1">IFERROR(VLOOKUP($C14&amp;K$7,Calc2!$Z$64:$AB$207,3,0),"")</f>
        <v/>
      </c>
      <c r="L14" s="110" t="str">
        <f ca="1">IFERROR(VLOOKUP($C14&amp;L$7,Calc2!$Z$64:$AB$207,3,0),"")</f>
        <v/>
      </c>
      <c r="M14" s="485" t="str">
        <f ca="1">IFERROR(VLOOKUP($C14&amp;M$7,Calc2!$Z$64:$AB$207,3,0),"")</f>
        <v/>
      </c>
      <c r="N14" s="486"/>
      <c r="O14" s="485" t="str">
        <f ca="1">IFERROR(VLOOKUP($C14&amp;O$7,Calc2!$Z$64:$AB$207,3,0),"")</f>
        <v/>
      </c>
      <c r="P14" s="144" t="str">
        <f ca="1">IFERROR(VLOOKUP($C14&amp;P$7,Calc2!$Z$64:$AB$207,3,0),"")</f>
        <v/>
      </c>
      <c r="Q14" s="171" t="str">
        <f t="shared" ca="1" si="0"/>
        <v/>
      </c>
    </row>
    <row r="15" spans="2:17" ht="21.95" customHeight="1" x14ac:dyDescent="0.2">
      <c r="B15" s="113" t="str">
        <f ca="1">IF($C15="","",INDEX(Calc2!$E$4:$E$12,MATCH($C15,Calc2!$F$4:$F$12,0)))</f>
        <v/>
      </c>
      <c r="C15" s="123" t="str">
        <f ca="1">IF(Calc2!$K$13=0,"",Calc2!$X11)</f>
        <v/>
      </c>
      <c r="D15" s="127" t="str">
        <f ca="1">IF($C15="","",VLOOKUP($C15,Calc2!$C$17:$AC$25,25,0))</f>
        <v/>
      </c>
      <c r="E15" s="110" t="str">
        <f ca="1">IF($C15="","",VLOOKUP($C15,Calc2!$C$17:$AF$25,27,0)&amp;Sprache!$E$99&amp;(VLOOKUP($C15,Calc2!$C$17:$AF$25,27,0)-$F15))</f>
        <v/>
      </c>
      <c r="F15" s="110" t="str">
        <f ca="1">IF($C15="","",VLOOKUP($C15,Calc2!$C$17:$AC$25,26,0))</f>
        <v/>
      </c>
      <c r="G15" s="390" t="str">
        <f ca="1">IF(C15="","",VLOOKUP(C15,Calc2!$C$17:$AB$25,23,0))</f>
        <v/>
      </c>
      <c r="H15" s="135" t="str">
        <f ca="1">IFERROR(VLOOKUP($C15&amp;H$7,Calc2!$Z$64:$AB$207,3,0),"")</f>
        <v/>
      </c>
      <c r="I15" s="110" t="str">
        <f ca="1">IFERROR(VLOOKUP($C15&amp;I$7,Calc2!$Z$64:$AB$207,3,0),"")</f>
        <v/>
      </c>
      <c r="J15" s="110" t="str">
        <f ca="1">IFERROR(VLOOKUP($C15&amp;J$7,Calc2!$Z$64:$AB$207,3,0),"")</f>
        <v/>
      </c>
      <c r="K15" s="110" t="str">
        <f ca="1">IFERROR(VLOOKUP($C15&amp;K$7,Calc2!$Z$64:$AB$207,3,0),"")</f>
        <v/>
      </c>
      <c r="L15" s="110" t="str">
        <f ca="1">IFERROR(VLOOKUP($C15&amp;L$7,Calc2!$Z$64:$AB$207,3,0),"")</f>
        <v/>
      </c>
      <c r="M15" s="485" t="str">
        <f ca="1">IFERROR(VLOOKUP($C15&amp;M$7,Calc2!$Z$64:$AB$207,3,0),"")</f>
        <v/>
      </c>
      <c r="N15" s="485" t="str">
        <f ca="1">IFERROR(VLOOKUP($C15&amp;N$7,Calc2!$Z$64:$AB$207,3,0),"")</f>
        <v/>
      </c>
      <c r="O15" s="486"/>
      <c r="P15" s="144" t="str">
        <f ca="1">IFERROR(VLOOKUP($C15&amp;P$7,Calc2!$Z$64:$AB$207,3,0),"")</f>
        <v/>
      </c>
      <c r="Q15" s="171" t="str">
        <f t="shared" ca="1" si="0"/>
        <v/>
      </c>
    </row>
    <row r="16" spans="2:17" ht="21.95" customHeight="1" thickBot="1" x14ac:dyDescent="0.25">
      <c r="B16" s="114" t="str">
        <f ca="1">IF($C16="","",INDEX(Calc2!$E$4:$E$12,MATCH($C16,Calc2!$F$4:$F$12,0)))</f>
        <v/>
      </c>
      <c r="C16" s="124" t="str">
        <f ca="1">IF(Calc2!$K$13=0,"",Calc2!$X12)</f>
        <v/>
      </c>
      <c r="D16" s="128" t="str">
        <f ca="1">IF($C16="","",VLOOKUP($C16,Calc2!$C$17:$AC$25,25,0))</f>
        <v/>
      </c>
      <c r="E16" s="111" t="str">
        <f ca="1">IF($C16="","",VLOOKUP($C16,Calc2!$C$17:$AF$25,27,0)&amp;Sprache!$E$99&amp;(VLOOKUP($C16,Calc2!$C$17:$AF$25,27,0)-$F16))</f>
        <v/>
      </c>
      <c r="F16" s="111" t="str">
        <f ca="1">IF($C16="","",VLOOKUP($C16,Calc2!$C$17:$AC$25,26,0))</f>
        <v/>
      </c>
      <c r="G16" s="391" t="str">
        <f ca="1">IF(C16="","",VLOOKUP(C16,Calc2!$C$17:$AB$25,23,0))</f>
        <v/>
      </c>
      <c r="H16" s="136" t="str">
        <f ca="1">IFERROR(VLOOKUP($C16&amp;H$7,Calc2!$Z$64:$AB$207,3,0),"")</f>
        <v/>
      </c>
      <c r="I16" s="111" t="str">
        <f ca="1">IFERROR(VLOOKUP($C16&amp;I$7,Calc2!$Z$64:$AB$207,3,0),"")</f>
        <v/>
      </c>
      <c r="J16" s="111" t="str">
        <f ca="1">IFERROR(VLOOKUP($C16&amp;J$7,Calc2!$Z$64:$AB$207,3,0),"")</f>
        <v/>
      </c>
      <c r="K16" s="111" t="str">
        <f ca="1">IFERROR(VLOOKUP($C16&amp;K$7,Calc2!$Z$64:$AB$207,3,0),"")</f>
        <v/>
      </c>
      <c r="L16" s="111" t="str">
        <f ca="1">IFERROR(VLOOKUP($C16&amp;L$7,Calc2!$Z$64:$AB$207,3,0),"")</f>
        <v/>
      </c>
      <c r="M16" s="487" t="str">
        <f ca="1">IFERROR(VLOOKUP($C16&amp;M$7,Calc2!$Z$64:$AB$207,3,0),"")</f>
        <v/>
      </c>
      <c r="N16" s="487" t="str">
        <f ca="1">IFERROR(VLOOKUP($C16&amp;N$7,Calc2!$Z$64:$AB$207,3,0),"")</f>
        <v/>
      </c>
      <c r="O16" s="487" t="str">
        <f ca="1">IFERROR(VLOOKUP($C16&amp;O$7,Calc2!$Z$64:$AB$207,3,0),"")</f>
        <v/>
      </c>
      <c r="P16" s="145"/>
      <c r="Q16" s="172" t="str">
        <f t="shared" ca="1" si="0"/>
        <v/>
      </c>
    </row>
    <row r="17" spans="2:17" ht="42.75" customHeight="1" thickTop="1" thickBot="1" x14ac:dyDescent="0.25">
      <c r="B17" s="131"/>
      <c r="C17" s="132"/>
      <c r="D17" s="133"/>
      <c r="E17" s="119"/>
      <c r="F17" s="119"/>
      <c r="G17" s="119"/>
      <c r="H17" s="119"/>
      <c r="I17" s="119"/>
      <c r="J17" s="119"/>
      <c r="K17" s="119"/>
      <c r="L17" s="119"/>
      <c r="M17" s="119"/>
      <c r="N17" s="119"/>
      <c r="O17" s="119"/>
      <c r="P17" s="119"/>
    </row>
    <row r="18" spans="2:17" ht="21.95" customHeight="1" thickBot="1" x14ac:dyDescent="0.25">
      <c r="H18" s="489" t="str">
        <f ca="1">IF(LEN(H19)&gt;Einstellungen!$C$17,LEFT(H19,Einstellungen!$C$17)&amp;".",H19)</f>
        <v/>
      </c>
      <c r="I18" s="490" t="str">
        <f ca="1">IF(LEN(I19)&gt;Einstellungen!$C$17,LEFT(I19,Einstellungen!$C$17)&amp;".",I19)</f>
        <v/>
      </c>
      <c r="J18" s="490" t="str">
        <f ca="1">IF(LEN(J19)&gt;Einstellungen!$C$17,LEFT(J19,Einstellungen!$C$17)&amp;".",J19)</f>
        <v/>
      </c>
      <c r="K18" s="490" t="str">
        <f ca="1">IF(LEN(K19)&gt;Einstellungen!$C$17,LEFT(K19,Einstellungen!$C$17)&amp;".",K19)</f>
        <v/>
      </c>
      <c r="L18" s="490" t="str">
        <f ca="1">IF(LEN(L19)&gt;Einstellungen!$C$17,LEFT(L19,Einstellungen!$C$17)&amp;".",L19)</f>
        <v/>
      </c>
      <c r="M18" s="491" t="str">
        <f ca="1">IF(LEN(M19)&gt;Einstellungen!$C$17,LEFT(M19,Einstellungen!$C$17)&amp;".",M19)</f>
        <v/>
      </c>
      <c r="N18" s="491" t="str">
        <f ca="1">IF(LEN(N19)&gt;Einstellungen!$C$17,LEFT(N19,Einstellungen!$C$17)&amp;".",N19)</f>
        <v/>
      </c>
      <c r="O18" s="491" t="str">
        <f ca="1">IF(LEN(O19)&gt;Einstellungen!$C$17,LEFT(O19,Einstellungen!$C$17)&amp;".",O19)</f>
        <v/>
      </c>
      <c r="P18" s="492" t="str">
        <f ca="1">IF(LEN(P19)&gt;Einstellungen!$C$17,LEFT(P19,Einstellungen!$C$17)&amp;".",P19)</f>
        <v/>
      </c>
    </row>
    <row r="19" spans="2:17" ht="21.95" customHeight="1" thickTop="1" thickBot="1" x14ac:dyDescent="0.25">
      <c r="B19" s="115"/>
      <c r="C19" s="121" t="str">
        <f>Sprache!$E$10</f>
        <v>Teilnehmer bzw. Mannschaft</v>
      </c>
      <c r="D19" s="125" t="str">
        <f>Sprache!$E$80</f>
        <v>Satzpkt.</v>
      </c>
      <c r="E19" s="112" t="str">
        <f>Sprache!$E$90</f>
        <v>Bälle</v>
      </c>
      <c r="F19" s="112" t="str">
        <f>Sprache!$E$26</f>
        <v>Diff.</v>
      </c>
      <c r="G19" s="139" t="str">
        <f>Sprache!$E$49</f>
        <v>Tie-Break</v>
      </c>
      <c r="H19" s="129" t="str">
        <f ca="1">C20</f>
        <v/>
      </c>
      <c r="I19" s="130" t="str">
        <f ca="1">C21</f>
        <v/>
      </c>
      <c r="J19" s="130" t="str">
        <f ca="1">C22</f>
        <v/>
      </c>
      <c r="K19" s="130" t="str">
        <f ca="1">C23</f>
        <v/>
      </c>
      <c r="L19" s="130" t="str">
        <f ca="1">C24</f>
        <v/>
      </c>
      <c r="M19" s="483" t="str">
        <f ca="1">C25</f>
        <v/>
      </c>
      <c r="N19" s="483" t="str">
        <f ca="1">C26</f>
        <v/>
      </c>
      <c r="O19" s="483" t="str">
        <f ca="1">C27</f>
        <v/>
      </c>
      <c r="P19" s="142" t="str">
        <f ca="1">C28</f>
        <v/>
      </c>
    </row>
    <row r="20" spans="2:17" ht="21.95" customHeight="1" x14ac:dyDescent="0.2">
      <c r="B20" s="113" t="str">
        <f ca="1">IF($C20="","",INDEX(Calc2!$E$4:$E$12,MATCH($C20,Calc2!$F$4:$F$12,0)))</f>
        <v/>
      </c>
      <c r="C20" s="122" t="str">
        <f ca="1">IF(Calc2!$K$13=0,"",Calc2!$AC4)</f>
        <v/>
      </c>
      <c r="D20" s="126" t="str">
        <f ca="1">IF($C20="","",VLOOKUP($C20,Calc2!$C$17:$AC$25,25,0))</f>
        <v/>
      </c>
      <c r="E20" s="109" t="str">
        <f ca="1">IF($C20="","",VLOOKUP($C20,Calc2!$C$17:$AF$25,27,0)&amp;Sprache!$E$99&amp;(VLOOKUP($C20,Calc2!$C$17:$AF$25,27,0)-$F20))</f>
        <v/>
      </c>
      <c r="F20" s="109" t="str">
        <f ca="1">IF($C20="","",VLOOKUP($C20,Calc2!$C$17:$AC$25,26,0))</f>
        <v/>
      </c>
      <c r="G20" s="389" t="str">
        <f ca="1">IF(C20="","",VLOOKUP(C20,Calc2!$C$17:$AB$25,23,0))</f>
        <v/>
      </c>
      <c r="H20" s="134"/>
      <c r="I20" s="109" t="str">
        <f ca="1">IFERROR(VLOOKUP($C20&amp;I$19,Calc2!$Z$64:$AB$207,3,0),"")</f>
        <v/>
      </c>
      <c r="J20" s="109" t="str">
        <f ca="1">IFERROR(VLOOKUP($C20&amp;J$19,Calc2!$Z$64:$AB$207,3,0),"")</f>
        <v/>
      </c>
      <c r="K20" s="109" t="str">
        <f ca="1">IFERROR(VLOOKUP($C20&amp;K$19,Calc2!$Z$64:$AB$207,3,0),"")</f>
        <v/>
      </c>
      <c r="L20" s="109" t="str">
        <f ca="1">IFERROR(VLOOKUP($C20&amp;L$19,Calc2!$Z$64:$AB$207,3,0),"")</f>
        <v/>
      </c>
      <c r="M20" s="484" t="str">
        <f ca="1">IFERROR(VLOOKUP($C20&amp;M$19,Calc2!$Z$64:$AB$207,3,0),"")</f>
        <v/>
      </c>
      <c r="N20" s="484" t="str">
        <f ca="1">IFERROR(VLOOKUP($C20&amp;N$19,Calc2!$Z$64:$AB$207,3,0),"")</f>
        <v/>
      </c>
      <c r="O20" s="484" t="str">
        <f ca="1">IFERROR(VLOOKUP($C20&amp;O$19,Calc2!$Z$64:$AB$207,3,0),"")</f>
        <v/>
      </c>
      <c r="P20" s="143" t="str">
        <f ca="1">IFERROR(VLOOKUP($C20&amp;P$19,Calc2!$Z$64:$AB$207,3,0),"")</f>
        <v/>
      </c>
      <c r="Q20" s="170" t="str">
        <f t="shared" ref="Q20:Q28" ca="1" si="1">C20</f>
        <v/>
      </c>
    </row>
    <row r="21" spans="2:17" ht="21.95" customHeight="1" x14ac:dyDescent="0.2">
      <c r="B21" s="113" t="str">
        <f ca="1">IF($C21="","",INDEX(Calc2!$E$4:$E$12,MATCH($C21,Calc2!$F$4:$F$12,0)))</f>
        <v/>
      </c>
      <c r="C21" s="123" t="str">
        <f ca="1">IF(Calc2!$K$13=0,"",Calc2!$AC5)</f>
        <v/>
      </c>
      <c r="D21" s="127" t="str">
        <f ca="1">IF($C21="","",VLOOKUP($C21,Calc2!$C$17:$AC$25,25,0))</f>
        <v/>
      </c>
      <c r="E21" s="110" t="str">
        <f ca="1">IF($C21="","",VLOOKUP($C21,Calc2!$C$17:$AF$25,27,0)&amp;Sprache!$E$99&amp;(VLOOKUP($C21,Calc2!$C$17:$AF$25,27,0)-$F21))</f>
        <v/>
      </c>
      <c r="F21" s="110" t="str">
        <f ca="1">IF($C21="","",VLOOKUP($C21,Calc2!$C$17:$AC$25,26,0))</f>
        <v/>
      </c>
      <c r="G21" s="390" t="str">
        <f ca="1">IF(C21="","",VLOOKUP(C21,Calc2!$C$17:$AB$25,23,0))</f>
        <v/>
      </c>
      <c r="H21" s="135" t="str">
        <f ca="1">IFERROR(VLOOKUP($C21&amp;H$19,Calc2!$Z$64:$AB$207,3,0),"")</f>
        <v/>
      </c>
      <c r="I21" s="120"/>
      <c r="J21" s="110" t="str">
        <f ca="1">IFERROR(VLOOKUP($C21&amp;J$19,Calc2!$Z$64:$AB$207,3,0),"")</f>
        <v/>
      </c>
      <c r="K21" s="110" t="str">
        <f ca="1">IFERROR(VLOOKUP($C21&amp;K$19,Calc2!$Z$64:$AB$207,3,0),"")</f>
        <v/>
      </c>
      <c r="L21" s="110" t="str">
        <f ca="1">IFERROR(VLOOKUP($C21&amp;L$19,Calc2!$Z$64:$AB$207,3,0),"")</f>
        <v/>
      </c>
      <c r="M21" s="485" t="str">
        <f ca="1">IFERROR(VLOOKUP($C21&amp;M$19,Calc2!$Z$64:$AB$207,3,0),"")</f>
        <v/>
      </c>
      <c r="N21" s="485" t="str">
        <f ca="1">IFERROR(VLOOKUP($C21&amp;N$19,Calc2!$Z$64:$AB$207,3,0),"")</f>
        <v/>
      </c>
      <c r="O21" s="485" t="str">
        <f ca="1">IFERROR(VLOOKUP($C21&amp;O$19,Calc2!$Z$64:$AB$207,3,0),"")</f>
        <v/>
      </c>
      <c r="P21" s="144" t="str">
        <f ca="1">IFERROR(VLOOKUP($C21&amp;P$19,Calc2!$Z$64:$AB$207,3,0),"")</f>
        <v/>
      </c>
      <c r="Q21" s="171" t="str">
        <f t="shared" ca="1" si="1"/>
        <v/>
      </c>
    </row>
    <row r="22" spans="2:17" ht="21.95" customHeight="1" x14ac:dyDescent="0.2">
      <c r="B22" s="113" t="str">
        <f ca="1">IF($C22="","",INDEX(Calc2!$E$4:$E$12,MATCH($C22,Calc2!$F$4:$F$12,0)))</f>
        <v/>
      </c>
      <c r="C22" s="123" t="str">
        <f ca="1">IF(Calc2!$K$13=0,"",Calc2!$AC6)</f>
        <v/>
      </c>
      <c r="D22" s="127" t="str">
        <f ca="1">IF($C22="","",VLOOKUP($C22,Calc2!$C$17:$AC$25,25,0))</f>
        <v/>
      </c>
      <c r="E22" s="110" t="str">
        <f ca="1">IF($C22="","",VLOOKUP($C22,Calc2!$C$17:$AF$25,27,0)&amp;Sprache!$E$99&amp;(VLOOKUP($C22,Calc2!$C$17:$AF$25,27,0)-$F22))</f>
        <v/>
      </c>
      <c r="F22" s="110" t="str">
        <f ca="1">IF($C22="","",VLOOKUP($C22,Calc2!$C$17:$AC$25,26,0))</f>
        <v/>
      </c>
      <c r="G22" s="390" t="str">
        <f ca="1">IF(C22="","",VLOOKUP(C22,Calc2!$C$17:$AB$25,23,0))</f>
        <v/>
      </c>
      <c r="H22" s="135" t="str">
        <f ca="1">IFERROR(VLOOKUP($C22&amp;H$19,Calc2!$Z$64:$AB$207,3,0),"")</f>
        <v/>
      </c>
      <c r="I22" s="110" t="str">
        <f ca="1">IFERROR(VLOOKUP($C22&amp;I$19,Calc2!$Z$64:$AB$207,3,0),"")</f>
        <v/>
      </c>
      <c r="J22" s="120"/>
      <c r="K22" s="110" t="str">
        <f ca="1">IFERROR(VLOOKUP($C22&amp;K$19,Calc2!$Z$64:$AB$207,3,0),"")</f>
        <v/>
      </c>
      <c r="L22" s="110" t="str">
        <f ca="1">IFERROR(VLOOKUP($C22&amp;L$19,Calc2!$Z$64:$AB$207,3,0),"")</f>
        <v/>
      </c>
      <c r="M22" s="485" t="str">
        <f ca="1">IFERROR(VLOOKUP($C22&amp;M$19,Calc2!$Z$64:$AB$207,3,0),"")</f>
        <v/>
      </c>
      <c r="N22" s="485" t="str">
        <f ca="1">IFERROR(VLOOKUP($C22&amp;N$19,Calc2!$Z$64:$AB$207,3,0),"")</f>
        <v/>
      </c>
      <c r="O22" s="485" t="str">
        <f ca="1">IFERROR(VLOOKUP($C22&amp;O$19,Calc2!$Z$64:$AB$207,3,0),"")</f>
        <v/>
      </c>
      <c r="P22" s="144" t="str">
        <f ca="1">IFERROR(VLOOKUP($C22&amp;P$19,Calc2!$Z$64:$AB$207,3,0),"")</f>
        <v/>
      </c>
      <c r="Q22" s="171" t="str">
        <f t="shared" ca="1" si="1"/>
        <v/>
      </c>
    </row>
    <row r="23" spans="2:17" ht="21.95" customHeight="1" x14ac:dyDescent="0.2">
      <c r="B23" s="113" t="str">
        <f ca="1">IF($C23="","",INDEX(Calc2!$E$4:$E$12,MATCH($C23,Calc2!$F$4:$F$12,0)))</f>
        <v/>
      </c>
      <c r="C23" s="123" t="str">
        <f ca="1">IF(Calc2!$K$13=0,"",Calc2!$AC7)</f>
        <v/>
      </c>
      <c r="D23" s="127" t="str">
        <f ca="1">IF($C23="","",VLOOKUP($C23,Calc2!$C$17:$AC$25,25,0))</f>
        <v/>
      </c>
      <c r="E23" s="110" t="str">
        <f ca="1">IF($C23="","",VLOOKUP($C23,Calc2!$C$17:$AF$25,27,0)&amp;Sprache!$E$99&amp;(VLOOKUP($C23,Calc2!$C$17:$AF$25,27,0)-$F23))</f>
        <v/>
      </c>
      <c r="F23" s="110" t="str">
        <f ca="1">IF($C23="","",VLOOKUP($C23,Calc2!$C$17:$AC$25,26,0))</f>
        <v/>
      </c>
      <c r="G23" s="390" t="str">
        <f ca="1">IF(C23="","",VLOOKUP(C23,Calc2!$C$17:$AB$25,23,0))</f>
        <v/>
      </c>
      <c r="H23" s="135" t="str">
        <f ca="1">IFERROR(VLOOKUP($C23&amp;H$19,Calc2!$Z$64:$AB$207,3,0),"")</f>
        <v/>
      </c>
      <c r="I23" s="110" t="str">
        <f ca="1">IFERROR(VLOOKUP($C23&amp;I$19,Calc2!$Z$64:$AB$207,3,0),"")</f>
        <v/>
      </c>
      <c r="J23" s="110" t="str">
        <f ca="1">IFERROR(VLOOKUP($C23&amp;J$19,Calc2!$Z$64:$AB$207,3,0),"")</f>
        <v/>
      </c>
      <c r="K23" s="120"/>
      <c r="L23" s="110" t="str">
        <f ca="1">IFERROR(VLOOKUP($C23&amp;L$19,Calc2!$Z$64:$AB$207,3,0),"")</f>
        <v/>
      </c>
      <c r="M23" s="485" t="str">
        <f ca="1">IFERROR(VLOOKUP($C23&amp;M$19,Calc2!$Z$64:$AB$207,3,0),"")</f>
        <v/>
      </c>
      <c r="N23" s="485" t="str">
        <f ca="1">IFERROR(VLOOKUP($C23&amp;N$19,Calc2!$Z$64:$AB$207,3,0),"")</f>
        <v/>
      </c>
      <c r="O23" s="485" t="str">
        <f ca="1">IFERROR(VLOOKUP($C23&amp;O$19,Calc2!$Z$64:$AB$207,3,0),"")</f>
        <v/>
      </c>
      <c r="P23" s="144" t="str">
        <f ca="1">IFERROR(VLOOKUP($C23&amp;P$19,Calc2!$Z$64:$AB$207,3,0),"")</f>
        <v/>
      </c>
      <c r="Q23" s="171" t="str">
        <f t="shared" ca="1" si="1"/>
        <v/>
      </c>
    </row>
    <row r="24" spans="2:17" ht="21.95" customHeight="1" x14ac:dyDescent="0.2">
      <c r="B24" s="113" t="str">
        <f ca="1">IF($C24="","",INDEX(Calc2!$E$4:$E$12,MATCH($C24,Calc2!$F$4:$F$12,0)))</f>
        <v/>
      </c>
      <c r="C24" s="123" t="str">
        <f ca="1">IF(Calc2!$K$13=0,"",Calc2!$AC8)</f>
        <v/>
      </c>
      <c r="D24" s="127" t="str">
        <f ca="1">IF($C24="","",VLOOKUP($C24,Calc2!$C$17:$AC$25,25,0))</f>
        <v/>
      </c>
      <c r="E24" s="110" t="str">
        <f ca="1">IF($C24="","",VLOOKUP($C24,Calc2!$C$17:$AF$25,27,0)&amp;Sprache!$E$99&amp;(VLOOKUP($C24,Calc2!$C$17:$AF$25,27,0)-$F24))</f>
        <v/>
      </c>
      <c r="F24" s="110" t="str">
        <f ca="1">IF($C24="","",VLOOKUP($C24,Calc2!$C$17:$AC$25,26,0))</f>
        <v/>
      </c>
      <c r="G24" s="390" t="str">
        <f ca="1">IF(C24="","",VLOOKUP(C24,Calc2!$C$17:$AB$25,23,0))</f>
        <v/>
      </c>
      <c r="H24" s="135" t="str">
        <f ca="1">IFERROR(VLOOKUP($C24&amp;H$19,Calc2!$Z$64:$AB$207,3,0),"")</f>
        <v/>
      </c>
      <c r="I24" s="110" t="str">
        <f ca="1">IFERROR(VLOOKUP($C24&amp;I$19,Calc2!$Z$64:$AB$207,3,0),"")</f>
        <v/>
      </c>
      <c r="J24" s="110" t="str">
        <f ca="1">IFERROR(VLOOKUP($C24&amp;J$19,Calc2!$Z$64:$AB$207,3,0),"")</f>
        <v/>
      </c>
      <c r="K24" s="110" t="str">
        <f ca="1">IFERROR(VLOOKUP($C24&amp;K$19,Calc2!$Z$64:$AB$207,3,0),"")</f>
        <v/>
      </c>
      <c r="L24" s="120"/>
      <c r="M24" s="485" t="str">
        <f ca="1">IFERROR(VLOOKUP($C24&amp;M$19,Calc2!$Z$64:$AB$207,3,0),"")</f>
        <v/>
      </c>
      <c r="N24" s="485" t="str">
        <f ca="1">IFERROR(VLOOKUP($C24&amp;N$19,Calc2!$Z$64:$AB$207,3,0),"")</f>
        <v/>
      </c>
      <c r="O24" s="485" t="str">
        <f ca="1">IFERROR(VLOOKUP($C24&amp;O$19,Calc2!$Z$64:$AB$207,3,0),"")</f>
        <v/>
      </c>
      <c r="P24" s="144" t="str">
        <f ca="1">IFERROR(VLOOKUP($C24&amp;P$19,Calc2!$Z$64:$AB$207,3,0),"")</f>
        <v/>
      </c>
      <c r="Q24" s="171" t="str">
        <f t="shared" ca="1" si="1"/>
        <v/>
      </c>
    </row>
    <row r="25" spans="2:17" ht="21.95" customHeight="1" x14ac:dyDescent="0.2">
      <c r="B25" s="113" t="str">
        <f ca="1">IF($C25="","",INDEX(Calc2!$E$4:$E$12,MATCH($C25,Calc2!$F$4:$F$12,0)))</f>
        <v/>
      </c>
      <c r="C25" s="123" t="str">
        <f ca="1">IF(Calc2!$K$13=0,"",Calc2!$AC9)</f>
        <v/>
      </c>
      <c r="D25" s="127" t="str">
        <f ca="1">IF($C25="","",VLOOKUP($C25,Calc2!$C$17:$AC$25,25,0))</f>
        <v/>
      </c>
      <c r="E25" s="110" t="str">
        <f ca="1">IF($C25="","",VLOOKUP($C25,Calc2!$C$17:$AF$25,27,0)&amp;Sprache!$E$99&amp;(VLOOKUP($C25,Calc2!$C$17:$AF$25,27,0)-$F25))</f>
        <v/>
      </c>
      <c r="F25" s="110" t="str">
        <f ca="1">IF($C25="","",VLOOKUP($C25,Calc2!$C$17:$AC$25,26,0))</f>
        <v/>
      </c>
      <c r="G25" s="390" t="str">
        <f ca="1">IF(C25="","",VLOOKUP(C25,Calc2!$C$17:$AB$25,23,0))</f>
        <v/>
      </c>
      <c r="H25" s="135" t="str">
        <f ca="1">IFERROR(VLOOKUP($C25&amp;H$19,Calc2!$Z$64:$AB$207,3,0),"")</f>
        <v/>
      </c>
      <c r="I25" s="110" t="str">
        <f ca="1">IFERROR(VLOOKUP($C25&amp;I$19,Calc2!$Z$64:$AB$207,3,0),"")</f>
        <v/>
      </c>
      <c r="J25" s="110" t="str">
        <f ca="1">IFERROR(VLOOKUP($C25&amp;J$19,Calc2!$Z$64:$AB$207,3,0),"")</f>
        <v/>
      </c>
      <c r="K25" s="110" t="str">
        <f ca="1">IFERROR(VLOOKUP($C25&amp;K$19,Calc2!$Z$64:$AB$207,3,0),"")</f>
        <v/>
      </c>
      <c r="L25" s="110" t="str">
        <f ca="1">IFERROR(VLOOKUP($C25&amp;L$19,Calc2!$Z$64:$AB$207,3,0),"")</f>
        <v/>
      </c>
      <c r="M25" s="486"/>
      <c r="N25" s="485" t="str">
        <f ca="1">IFERROR(VLOOKUP($C25&amp;N$19,Calc2!$Z$64:$AB$207,3,0),"")</f>
        <v/>
      </c>
      <c r="O25" s="485" t="str">
        <f ca="1">IFERROR(VLOOKUP($C25&amp;O$19,Calc2!$Z$64:$AB$207,3,0),"")</f>
        <v/>
      </c>
      <c r="P25" s="144" t="str">
        <f ca="1">IFERROR(VLOOKUP($C25&amp;P$19,Calc2!$Z$64:$AB$207,3,0),"")</f>
        <v/>
      </c>
      <c r="Q25" s="171" t="str">
        <f t="shared" ca="1" si="1"/>
        <v/>
      </c>
    </row>
    <row r="26" spans="2:17" ht="21.95" customHeight="1" x14ac:dyDescent="0.2">
      <c r="B26" s="113" t="str">
        <f ca="1">IF($C26="","",INDEX(Calc2!$E$4:$E$12,MATCH($C26,Calc2!$F$4:$F$12,0)))</f>
        <v/>
      </c>
      <c r="C26" s="123" t="str">
        <f ca="1">IF(Calc2!$K$13=0,"",Calc2!$AC10)</f>
        <v/>
      </c>
      <c r="D26" s="127" t="str">
        <f ca="1">IF($C26="","",VLOOKUP($C26,Calc2!$C$17:$AC$25,25,0))</f>
        <v/>
      </c>
      <c r="E26" s="110" t="str">
        <f ca="1">IF($C26="","",VLOOKUP($C26,Calc2!$C$17:$AF$25,27,0)&amp;Sprache!$E$99&amp;(VLOOKUP($C26,Calc2!$C$17:$AF$25,27,0)-$F26))</f>
        <v/>
      </c>
      <c r="F26" s="110" t="str">
        <f ca="1">IF($C26="","",VLOOKUP($C26,Calc2!$C$17:$AC$25,26,0))</f>
        <v/>
      </c>
      <c r="G26" s="390" t="str">
        <f ca="1">IF(C26="","",VLOOKUP(C26,Calc2!$C$17:$AB$25,23,0))</f>
        <v/>
      </c>
      <c r="H26" s="135" t="str">
        <f ca="1">IFERROR(VLOOKUP($C26&amp;H$19,Calc2!$Z$64:$AB$207,3,0),"")</f>
        <v/>
      </c>
      <c r="I26" s="110" t="str">
        <f ca="1">IFERROR(VLOOKUP($C26&amp;I$19,Calc2!$Z$64:$AB$207,3,0),"")</f>
        <v/>
      </c>
      <c r="J26" s="110" t="str">
        <f ca="1">IFERROR(VLOOKUP($C26&amp;J$19,Calc2!$Z$64:$AB$207,3,0),"")</f>
        <v/>
      </c>
      <c r="K26" s="110" t="str">
        <f ca="1">IFERROR(VLOOKUP($C26&amp;K$19,Calc2!$Z$64:$AB$207,3,0),"")</f>
        <v/>
      </c>
      <c r="L26" s="110" t="str">
        <f ca="1">IFERROR(VLOOKUP($C26&amp;L$19,Calc2!$Z$64:$AB$207,3,0),"")</f>
        <v/>
      </c>
      <c r="M26" s="485" t="str">
        <f ca="1">IFERROR(VLOOKUP($C26&amp;M$19,Calc2!$Z$64:$AB$207,3,0),"")</f>
        <v/>
      </c>
      <c r="N26" s="486"/>
      <c r="O26" s="485" t="str">
        <f ca="1">IFERROR(VLOOKUP($C26&amp;O$19,Calc2!$Z$64:$AB$207,3,0),"")</f>
        <v/>
      </c>
      <c r="P26" s="144" t="str">
        <f ca="1">IFERROR(VLOOKUP($C26&amp;P$19,Calc2!$Z$64:$AB$207,3,0),"")</f>
        <v/>
      </c>
      <c r="Q26" s="171" t="str">
        <f t="shared" ca="1" si="1"/>
        <v/>
      </c>
    </row>
    <row r="27" spans="2:17" ht="21.95" customHeight="1" x14ac:dyDescent="0.2">
      <c r="B27" s="113" t="str">
        <f ca="1">IF($C27="","",INDEX(Calc2!$E$4:$E$12,MATCH($C27,Calc2!$F$4:$F$12,0)))</f>
        <v/>
      </c>
      <c r="C27" s="123" t="str">
        <f ca="1">IF(Calc2!$K$13=0,"",Calc2!$AC11)</f>
        <v/>
      </c>
      <c r="D27" s="127" t="str">
        <f ca="1">IF($C27="","",VLOOKUP($C27,Calc2!$C$17:$AC$25,25,0))</f>
        <v/>
      </c>
      <c r="E27" s="110" t="str">
        <f ca="1">IF($C27="","",VLOOKUP($C27,Calc2!$C$17:$AF$25,27,0)&amp;Sprache!$E$99&amp;(VLOOKUP($C27,Calc2!$C$17:$AF$25,27,0)-$F27))</f>
        <v/>
      </c>
      <c r="F27" s="110" t="str">
        <f ca="1">IF($C27="","",VLOOKUP($C27,Calc2!$C$17:$AC$25,26,0))</f>
        <v/>
      </c>
      <c r="G27" s="390" t="str">
        <f ca="1">IF(C27="","",VLOOKUP(C27,Calc2!$C$17:$AB$25,23,0))</f>
        <v/>
      </c>
      <c r="H27" s="135" t="str">
        <f ca="1">IFERROR(VLOOKUP($C27&amp;H$19,Calc2!$Z$64:$AB$207,3,0),"")</f>
        <v/>
      </c>
      <c r="I27" s="110" t="str">
        <f ca="1">IFERROR(VLOOKUP($C27&amp;I$19,Calc2!$Z$64:$AB$207,3,0),"")</f>
        <v/>
      </c>
      <c r="J27" s="110" t="str">
        <f ca="1">IFERROR(VLOOKUP($C27&amp;J$19,Calc2!$Z$64:$AB$207,3,0),"")</f>
        <v/>
      </c>
      <c r="K27" s="110" t="str">
        <f ca="1">IFERROR(VLOOKUP($C27&amp;K$19,Calc2!$Z$64:$AB$207,3,0),"")</f>
        <v/>
      </c>
      <c r="L27" s="110" t="str">
        <f ca="1">IFERROR(VLOOKUP($C27&amp;L$19,Calc2!$Z$64:$AB$207,3,0),"")</f>
        <v/>
      </c>
      <c r="M27" s="485" t="str">
        <f ca="1">IFERROR(VLOOKUP($C27&amp;M$19,Calc2!$Z$64:$AB$207,3,0),"")</f>
        <v/>
      </c>
      <c r="N27" s="485" t="str">
        <f ca="1">IFERROR(VLOOKUP($C27&amp;N$19,Calc2!$Z$64:$AB$207,3,0),"")</f>
        <v/>
      </c>
      <c r="O27" s="486"/>
      <c r="P27" s="144" t="str">
        <f ca="1">IFERROR(VLOOKUP($C27&amp;P$19,Calc2!$Z$64:$AB$207,3,0),"")</f>
        <v/>
      </c>
      <c r="Q27" s="171" t="str">
        <f t="shared" ca="1" si="1"/>
        <v/>
      </c>
    </row>
    <row r="28" spans="2:17" ht="21.95" customHeight="1" thickBot="1" x14ac:dyDescent="0.25">
      <c r="B28" s="114" t="str">
        <f ca="1">IF($C28="","",INDEX(Calc2!$E$4:$E$12,MATCH($C28,Calc2!$F$4:$F$12,0)))</f>
        <v/>
      </c>
      <c r="C28" s="124" t="str">
        <f ca="1">IF(Calc2!$K$13=0,"",Calc2!$AC12)</f>
        <v/>
      </c>
      <c r="D28" s="128" t="str">
        <f ca="1">IF($C28="","",VLOOKUP($C28,Calc2!$C$17:$AC$25,25,0))</f>
        <v/>
      </c>
      <c r="E28" s="111" t="str">
        <f ca="1">IF($C28="","",VLOOKUP($C28,Calc2!$C$17:$AF$25,27,0)&amp;Sprache!$E$99&amp;(VLOOKUP($C28,Calc2!$C$17:$AF$25,27,0)-$F28))</f>
        <v/>
      </c>
      <c r="F28" s="111" t="str">
        <f ca="1">IF($C28="","",VLOOKUP($C28,Calc2!$C$17:$AC$25,26,0))</f>
        <v/>
      </c>
      <c r="G28" s="391" t="str">
        <f ca="1">IF(C28="","",VLOOKUP(C28,Calc2!$C$17:$AB$25,23,0))</f>
        <v/>
      </c>
      <c r="H28" s="136" t="str">
        <f ca="1">IFERROR(VLOOKUP($C28&amp;H$19,Calc2!$Z$64:$AB$207,3,0),"")</f>
        <v/>
      </c>
      <c r="I28" s="111" t="str">
        <f ca="1">IFERROR(VLOOKUP($C28&amp;I$19,Calc2!$Z$64:$AB$207,3,0),"")</f>
        <v/>
      </c>
      <c r="J28" s="111" t="str">
        <f ca="1">IFERROR(VLOOKUP($C28&amp;J$19,Calc2!$Z$64:$AB$207,3,0),"")</f>
        <v/>
      </c>
      <c r="K28" s="111" t="str">
        <f ca="1">IFERROR(VLOOKUP($C28&amp;K$19,Calc2!$Z$64:$AB$207,3,0),"")</f>
        <v/>
      </c>
      <c r="L28" s="111" t="str">
        <f ca="1">IFERROR(VLOOKUP($C28&amp;L$19,Calc2!$Z$64:$AB$207,3,0),"")</f>
        <v/>
      </c>
      <c r="M28" s="487" t="str">
        <f ca="1">IFERROR(VLOOKUP($C28&amp;M$19,Calc2!$Z$64:$AB$207,3,0),"")</f>
        <v/>
      </c>
      <c r="N28" s="487" t="str">
        <f ca="1">IFERROR(VLOOKUP($C28&amp;N$19,Calc2!$Z$64:$AB$207,3,0),"")</f>
        <v/>
      </c>
      <c r="O28" s="487" t="str">
        <f ca="1">IFERROR(VLOOKUP($C28&amp;O$19,Calc2!$Z$64:$AB$207,3,0),"")</f>
        <v/>
      </c>
      <c r="P28" s="145"/>
      <c r="Q28" s="172" t="str">
        <f t="shared" ca="1" si="1"/>
        <v/>
      </c>
    </row>
    <row r="29" spans="2:17" ht="42.75" customHeight="1" thickTop="1" thickBot="1" x14ac:dyDescent="0.25">
      <c r="B29" s="131"/>
      <c r="C29" s="132"/>
      <c r="D29" s="133"/>
      <c r="E29" s="119"/>
      <c r="F29" s="119"/>
      <c r="G29" s="119"/>
      <c r="H29" s="119"/>
      <c r="I29" s="119"/>
      <c r="J29" s="119"/>
      <c r="K29" s="119"/>
      <c r="L29" s="119"/>
      <c r="M29" s="119"/>
      <c r="N29" s="119"/>
      <c r="O29" s="119"/>
      <c r="P29" s="119"/>
    </row>
    <row r="30" spans="2:17" ht="21.95" customHeight="1" thickBot="1" x14ac:dyDescent="0.25">
      <c r="H30" s="489" t="str">
        <f ca="1">IF(LEN(H31)&gt;Einstellungen!$C$17,LEFT(H31,Einstellungen!$C$17)&amp;".",H31)</f>
        <v/>
      </c>
      <c r="I30" s="490" t="str">
        <f ca="1">IF(LEN(I31)&gt;Einstellungen!$C$17,LEFT(I31,Einstellungen!$C$17)&amp;".",I31)</f>
        <v/>
      </c>
      <c r="J30" s="490" t="str">
        <f ca="1">IF(LEN(J31)&gt;Einstellungen!$C$17,LEFT(J31,Einstellungen!$C$17)&amp;".",J31)</f>
        <v/>
      </c>
      <c r="K30" s="490" t="str">
        <f ca="1">IF(LEN(K31)&gt;Einstellungen!$C$17,LEFT(K31,Einstellungen!$C$17)&amp;".",K31)</f>
        <v/>
      </c>
      <c r="L30" s="490" t="str">
        <f ca="1">IF(LEN(L31)&gt;Einstellungen!$C$17,LEFT(L31,Einstellungen!$C$17)&amp;".",L31)</f>
        <v/>
      </c>
      <c r="M30" s="491" t="str">
        <f ca="1">IF(LEN(M31)&gt;Einstellungen!$C$17,LEFT(M31,Einstellungen!$C$17)&amp;".",M31)</f>
        <v/>
      </c>
      <c r="N30" s="491" t="str">
        <f ca="1">IF(LEN(N31)&gt;Einstellungen!$C$17,LEFT(N31,Einstellungen!$C$17)&amp;".",N31)</f>
        <v/>
      </c>
      <c r="O30" s="491" t="str">
        <f ca="1">IF(LEN(O31)&gt;Einstellungen!$C$17,LEFT(O31,Einstellungen!$C$17)&amp;".",O31)</f>
        <v/>
      </c>
      <c r="P30" s="492" t="str">
        <f ca="1">IF(LEN(P31)&gt;Einstellungen!$C$17,LEFT(P31,Einstellungen!$C$17)&amp;".",P31)</f>
        <v/>
      </c>
    </row>
    <row r="31" spans="2:17" ht="21.95" customHeight="1" thickTop="1" thickBot="1" x14ac:dyDescent="0.25">
      <c r="B31" s="115"/>
      <c r="C31" s="121" t="str">
        <f>Sprache!$E$10</f>
        <v>Teilnehmer bzw. Mannschaft</v>
      </c>
      <c r="D31" s="125" t="str">
        <f>Sprache!$E$80</f>
        <v>Satzpkt.</v>
      </c>
      <c r="E31" s="112" t="str">
        <f>Sprache!$E$90</f>
        <v>Bälle</v>
      </c>
      <c r="F31" s="112" t="str">
        <f>Sprache!$E$26</f>
        <v>Diff.</v>
      </c>
      <c r="G31" s="139" t="str">
        <f>Sprache!$E$49</f>
        <v>Tie-Break</v>
      </c>
      <c r="H31" s="129" t="str">
        <f ca="1">C32</f>
        <v/>
      </c>
      <c r="I31" s="130" t="str">
        <f ca="1">C33</f>
        <v/>
      </c>
      <c r="J31" s="130" t="str">
        <f ca="1">C34</f>
        <v/>
      </c>
      <c r="K31" s="130" t="str">
        <f ca="1">C35</f>
        <v/>
      </c>
      <c r="L31" s="130" t="str">
        <f ca="1">C36</f>
        <v/>
      </c>
      <c r="M31" s="483" t="str">
        <f ca="1">C37</f>
        <v/>
      </c>
      <c r="N31" s="483" t="str">
        <f ca="1">C38</f>
        <v/>
      </c>
      <c r="O31" s="483" t="str">
        <f ca="1">C39</f>
        <v/>
      </c>
      <c r="P31" s="142" t="str">
        <f ca="1">C40</f>
        <v/>
      </c>
    </row>
    <row r="32" spans="2:17" ht="21.95" customHeight="1" x14ac:dyDescent="0.2">
      <c r="B32" s="113" t="str">
        <f ca="1">IF($C32="","",INDEX(Calc2!$E$4:$E$12,MATCH($C32,Calc2!$F$4:$F$12,0)))</f>
        <v/>
      </c>
      <c r="C32" s="122" t="str">
        <f ca="1">IF(Calc2!$K$13=0,"",Calc2!$AH4)</f>
        <v/>
      </c>
      <c r="D32" s="126" t="str">
        <f ca="1">IF($C32="","",VLOOKUP($C32,Calc2!$C$17:$AC$25,25,0))</f>
        <v/>
      </c>
      <c r="E32" s="109" t="str">
        <f ca="1">IF($C32="","",VLOOKUP($C32,Calc2!$C$17:$AF$25,27,0)&amp;Sprache!$E$99&amp;(VLOOKUP($C32,Calc2!$C$17:$AF$25,27,0)-$F32))</f>
        <v/>
      </c>
      <c r="F32" s="109" t="str">
        <f ca="1">IF($C32="","",VLOOKUP($C32,Calc2!$C$17:$AC$25,26,0))</f>
        <v/>
      </c>
      <c r="G32" s="389" t="str">
        <f ca="1">IF(C32="","",VLOOKUP(C32,Calc2!$C$17:$AB$25,23,0))</f>
        <v/>
      </c>
      <c r="H32" s="134"/>
      <c r="I32" s="109" t="str">
        <f ca="1">IFERROR(VLOOKUP($C32&amp;I$31,Calc2!$Z$64:$AB$207,3,0),"")</f>
        <v/>
      </c>
      <c r="J32" s="109" t="str">
        <f ca="1">IFERROR(VLOOKUP($C32&amp;J$31,Calc2!$Z$64:$AB$207,3,0),"")</f>
        <v/>
      </c>
      <c r="K32" s="109" t="str">
        <f ca="1">IFERROR(VLOOKUP($C32&amp;K$31,Calc2!$Z$64:$AB$207,3,0),"")</f>
        <v/>
      </c>
      <c r="L32" s="109" t="str">
        <f ca="1">IFERROR(VLOOKUP($C32&amp;L$31,Calc2!$Z$64:$AB$207,3,0),"")</f>
        <v/>
      </c>
      <c r="M32" s="484" t="str">
        <f ca="1">IFERROR(VLOOKUP($C32&amp;M$31,Calc2!$Z$64:$AB$207,3,0),"")</f>
        <v/>
      </c>
      <c r="N32" s="484" t="str">
        <f ca="1">IFERROR(VLOOKUP($C32&amp;N$31,Calc2!$Z$64:$AB$207,3,0),"")</f>
        <v/>
      </c>
      <c r="O32" s="484" t="str">
        <f ca="1">IFERROR(VLOOKUP($C32&amp;O$31,Calc2!$Z$64:$AB$207,3,0),"")</f>
        <v/>
      </c>
      <c r="P32" s="143" t="str">
        <f ca="1">IFERROR(VLOOKUP($C32&amp;P$31,Calc2!$Z$64:$AB$207,3,0),"")</f>
        <v/>
      </c>
      <c r="Q32" s="170" t="str">
        <f t="shared" ref="Q32:Q40" ca="1" si="2">C32</f>
        <v/>
      </c>
    </row>
    <row r="33" spans="2:17" ht="21.95" customHeight="1" x14ac:dyDescent="0.2">
      <c r="B33" s="113" t="str">
        <f ca="1">IF($C33="","",INDEX(Calc2!$E$4:$E$12,MATCH($C33,Calc2!$F$4:$F$12,0)))</f>
        <v/>
      </c>
      <c r="C33" s="123" t="str">
        <f ca="1">IF(Calc2!$K$13=0,"",Calc2!$AH5)</f>
        <v/>
      </c>
      <c r="D33" s="127" t="str">
        <f ca="1">IF($C33="","",VLOOKUP($C33,Calc2!$C$17:$AC$25,25,0))</f>
        <v/>
      </c>
      <c r="E33" s="110" t="str">
        <f ca="1">IF($C33="","",VLOOKUP($C33,Calc2!$C$17:$AF$25,27,0)&amp;Sprache!$E$99&amp;(VLOOKUP($C33,Calc2!$C$17:$AF$25,27,0)-$F33))</f>
        <v/>
      </c>
      <c r="F33" s="110" t="str">
        <f ca="1">IF($C33="","",VLOOKUP($C33,Calc2!$C$17:$AC$25,26,0))</f>
        <v/>
      </c>
      <c r="G33" s="390" t="str">
        <f ca="1">IF(C33="","",VLOOKUP(C33,Calc2!$C$17:$AB$25,23,0))</f>
        <v/>
      </c>
      <c r="H33" s="135" t="str">
        <f ca="1">IFERROR(VLOOKUP($C33&amp;H$31,Calc2!$Z$64:$AB$207,3,0),"")</f>
        <v/>
      </c>
      <c r="I33" s="120"/>
      <c r="J33" s="110" t="str">
        <f ca="1">IFERROR(VLOOKUP($C33&amp;J$31,Calc2!$Z$64:$AB$207,3,0),"")</f>
        <v/>
      </c>
      <c r="K33" s="110" t="str">
        <f ca="1">IFERROR(VLOOKUP($C33&amp;K$31,Calc2!$Z$64:$AB$207,3,0),"")</f>
        <v/>
      </c>
      <c r="L33" s="110" t="str">
        <f ca="1">IFERROR(VLOOKUP($C33&amp;L$31,Calc2!$Z$64:$AB$207,3,0),"")</f>
        <v/>
      </c>
      <c r="M33" s="485" t="str">
        <f ca="1">IFERROR(VLOOKUP($C33&amp;M$31,Calc2!$Z$64:$AB$207,3,0),"")</f>
        <v/>
      </c>
      <c r="N33" s="485" t="str">
        <f ca="1">IFERROR(VLOOKUP($C33&amp;N$31,Calc2!$Z$64:$AB$207,3,0),"")</f>
        <v/>
      </c>
      <c r="O33" s="485" t="str">
        <f ca="1">IFERROR(VLOOKUP($C33&amp;O$31,Calc2!$Z$64:$AB$207,3,0),"")</f>
        <v/>
      </c>
      <c r="P33" s="144" t="str">
        <f ca="1">IFERROR(VLOOKUP($C33&amp;P$31,Calc2!$Z$64:$AB$207,3,0),"")</f>
        <v/>
      </c>
      <c r="Q33" s="171" t="str">
        <f t="shared" ca="1" si="2"/>
        <v/>
      </c>
    </row>
    <row r="34" spans="2:17" ht="21.95" customHeight="1" x14ac:dyDescent="0.2">
      <c r="B34" s="113" t="str">
        <f ca="1">IF($C34="","",INDEX(Calc2!$E$4:$E$12,MATCH($C34,Calc2!$F$4:$F$12,0)))</f>
        <v/>
      </c>
      <c r="C34" s="123" t="str">
        <f ca="1">IF(Calc2!$K$13=0,"",Calc2!$AH6)</f>
        <v/>
      </c>
      <c r="D34" s="127" t="str">
        <f ca="1">IF($C34="","",VLOOKUP($C34,Calc2!$C$17:$AC$25,25,0))</f>
        <v/>
      </c>
      <c r="E34" s="110" t="str">
        <f ca="1">IF($C34="","",VLOOKUP($C34,Calc2!$C$17:$AF$25,27,0)&amp;Sprache!$E$99&amp;(VLOOKUP($C34,Calc2!$C$17:$AF$25,27,0)-$F34))</f>
        <v/>
      </c>
      <c r="F34" s="110" t="str">
        <f ca="1">IF($C34="","",VLOOKUP($C34,Calc2!$C$17:$AC$25,26,0))</f>
        <v/>
      </c>
      <c r="G34" s="390" t="str">
        <f ca="1">IF(C34="","",VLOOKUP(C34,Calc2!$C$17:$AB$25,23,0))</f>
        <v/>
      </c>
      <c r="H34" s="135" t="str">
        <f ca="1">IFERROR(VLOOKUP($C34&amp;H$31,Calc2!$Z$64:$AB$207,3,0),"")</f>
        <v/>
      </c>
      <c r="I34" s="110" t="str">
        <f ca="1">IFERROR(VLOOKUP($C34&amp;I$31,Calc2!$Z$64:$AB$207,3,0),"")</f>
        <v/>
      </c>
      <c r="J34" s="120"/>
      <c r="K34" s="110" t="str">
        <f ca="1">IFERROR(VLOOKUP($C34&amp;K$31,Calc2!$Z$64:$AB$207,3,0),"")</f>
        <v/>
      </c>
      <c r="L34" s="110" t="str">
        <f ca="1">IFERROR(VLOOKUP($C34&amp;L$31,Calc2!$Z$64:$AB$207,3,0),"")</f>
        <v/>
      </c>
      <c r="M34" s="485" t="str">
        <f ca="1">IFERROR(VLOOKUP($C34&amp;M$31,Calc2!$Z$64:$AB$207,3,0),"")</f>
        <v/>
      </c>
      <c r="N34" s="485" t="str">
        <f ca="1">IFERROR(VLOOKUP($C34&amp;N$31,Calc2!$Z$64:$AB$207,3,0),"")</f>
        <v/>
      </c>
      <c r="O34" s="485" t="str">
        <f ca="1">IFERROR(VLOOKUP($C34&amp;O$31,Calc2!$Z$64:$AB$207,3,0),"")</f>
        <v/>
      </c>
      <c r="P34" s="144" t="str">
        <f ca="1">IFERROR(VLOOKUP($C34&amp;P$31,Calc2!$Z$64:$AB$207,3,0),"")</f>
        <v/>
      </c>
      <c r="Q34" s="171" t="str">
        <f t="shared" ca="1" si="2"/>
        <v/>
      </c>
    </row>
    <row r="35" spans="2:17" ht="21.95" customHeight="1" x14ac:dyDescent="0.2">
      <c r="B35" s="113" t="str">
        <f ca="1">IF($C35="","",INDEX(Calc2!$E$4:$E$12,MATCH($C35,Calc2!$F$4:$F$12,0)))</f>
        <v/>
      </c>
      <c r="C35" s="123" t="str">
        <f ca="1">IF(Calc2!$K$13=0,"",Calc2!$AH7)</f>
        <v/>
      </c>
      <c r="D35" s="127" t="str">
        <f ca="1">IF($C35="","",VLOOKUP($C35,Calc2!$C$17:$AC$25,25,0))</f>
        <v/>
      </c>
      <c r="E35" s="110" t="str">
        <f ca="1">IF($C35="","",VLOOKUP($C35,Calc2!$C$17:$AF$25,27,0)&amp;Sprache!$E$99&amp;(VLOOKUP($C35,Calc2!$C$17:$AF$25,27,0)-$F35))</f>
        <v/>
      </c>
      <c r="F35" s="110" t="str">
        <f ca="1">IF($C35="","",VLOOKUP($C35,Calc2!$C$17:$AC$25,26,0))</f>
        <v/>
      </c>
      <c r="G35" s="390" t="str">
        <f ca="1">IF(C35="","",VLOOKUP(C35,Calc2!$C$17:$AB$25,23,0))</f>
        <v/>
      </c>
      <c r="H35" s="135" t="str">
        <f ca="1">IFERROR(VLOOKUP($C35&amp;H$31,Calc2!$Z$64:$AB$207,3,0),"")</f>
        <v/>
      </c>
      <c r="I35" s="110" t="str">
        <f ca="1">IFERROR(VLOOKUP($C35&amp;I$31,Calc2!$Z$64:$AB$207,3,0),"")</f>
        <v/>
      </c>
      <c r="J35" s="110" t="str">
        <f ca="1">IFERROR(VLOOKUP($C35&amp;J$31,Calc2!$Z$64:$AB$207,3,0),"")</f>
        <v/>
      </c>
      <c r="K35" s="120"/>
      <c r="L35" s="110" t="str">
        <f ca="1">IFERROR(VLOOKUP($C35&amp;L$31,Calc2!$Z$64:$AB$207,3,0),"")</f>
        <v/>
      </c>
      <c r="M35" s="485" t="str">
        <f ca="1">IFERROR(VLOOKUP($C35&amp;M$31,Calc2!$Z$64:$AB$207,3,0),"")</f>
        <v/>
      </c>
      <c r="N35" s="485" t="str">
        <f ca="1">IFERROR(VLOOKUP($C35&amp;N$31,Calc2!$Z$64:$AB$207,3,0),"")</f>
        <v/>
      </c>
      <c r="O35" s="485" t="str">
        <f ca="1">IFERROR(VLOOKUP($C35&amp;O$31,Calc2!$Z$64:$AB$207,3,0),"")</f>
        <v/>
      </c>
      <c r="P35" s="144" t="str">
        <f ca="1">IFERROR(VLOOKUP($C35&amp;P$31,Calc2!$Z$64:$AB$207,3,0),"")</f>
        <v/>
      </c>
      <c r="Q35" s="171" t="str">
        <f t="shared" ca="1" si="2"/>
        <v/>
      </c>
    </row>
    <row r="36" spans="2:17" ht="21.95" customHeight="1" x14ac:dyDescent="0.2">
      <c r="B36" s="113" t="str">
        <f ca="1">IF($C36="","",INDEX(Calc2!$E$4:$E$12,MATCH($C36,Calc2!$F$4:$F$12,0)))</f>
        <v/>
      </c>
      <c r="C36" s="123" t="str">
        <f ca="1">IF(Calc2!$K$13=0,"",Calc2!$AH8)</f>
        <v/>
      </c>
      <c r="D36" s="127" t="str">
        <f ca="1">IF($C36="","",VLOOKUP($C36,Calc2!$C$17:$AC$25,25,0))</f>
        <v/>
      </c>
      <c r="E36" s="110" t="str">
        <f ca="1">IF($C36="","",VLOOKUP($C36,Calc2!$C$17:$AF$25,27,0)&amp;Sprache!$E$99&amp;(VLOOKUP($C36,Calc2!$C$17:$AF$25,27,0)-$F36))</f>
        <v/>
      </c>
      <c r="F36" s="110" t="str">
        <f ca="1">IF($C36="","",VLOOKUP($C36,Calc2!$C$17:$AC$25,26,0))</f>
        <v/>
      </c>
      <c r="G36" s="390" t="str">
        <f ca="1">IF(C36="","",VLOOKUP(C36,Calc2!$C$17:$AB$25,23,0))</f>
        <v/>
      </c>
      <c r="H36" s="135" t="str">
        <f ca="1">IFERROR(VLOOKUP($C36&amp;H$31,Calc2!$Z$64:$AB$207,3,0),"")</f>
        <v/>
      </c>
      <c r="I36" s="110" t="str">
        <f ca="1">IFERROR(VLOOKUP($C36&amp;I$31,Calc2!$Z$64:$AB$207,3,0),"")</f>
        <v/>
      </c>
      <c r="J36" s="110" t="str">
        <f ca="1">IFERROR(VLOOKUP($C36&amp;J$31,Calc2!$Z$64:$AB$207,3,0),"")</f>
        <v/>
      </c>
      <c r="K36" s="110" t="str">
        <f ca="1">IFERROR(VLOOKUP($C36&amp;K$31,Calc2!$Z$64:$AB$207,3,0),"")</f>
        <v/>
      </c>
      <c r="L36" s="120"/>
      <c r="M36" s="485" t="str">
        <f ca="1">IFERROR(VLOOKUP($C36&amp;M$31,Calc2!$Z$64:$AB$207,3,0),"")</f>
        <v/>
      </c>
      <c r="N36" s="485" t="str">
        <f ca="1">IFERROR(VLOOKUP($C36&amp;N$31,Calc2!$Z$64:$AB$207,3,0),"")</f>
        <v/>
      </c>
      <c r="O36" s="485" t="str">
        <f ca="1">IFERROR(VLOOKUP($C36&amp;O$31,Calc2!$Z$64:$AB$207,3,0),"")</f>
        <v/>
      </c>
      <c r="P36" s="144" t="str">
        <f ca="1">IFERROR(VLOOKUP($C36&amp;P$31,Calc2!$Z$64:$AB$207,3,0),"")</f>
        <v/>
      </c>
      <c r="Q36" s="171" t="str">
        <f t="shared" ca="1" si="2"/>
        <v/>
      </c>
    </row>
    <row r="37" spans="2:17" ht="21.95" customHeight="1" x14ac:dyDescent="0.2">
      <c r="B37" s="113" t="str">
        <f ca="1">IF($C37="","",INDEX(Calc2!$E$4:$E$12,MATCH($C37,Calc2!$F$4:$F$12,0)))</f>
        <v/>
      </c>
      <c r="C37" s="123" t="str">
        <f ca="1">IF(Calc2!$K$13=0,"",Calc2!$AH9)</f>
        <v/>
      </c>
      <c r="D37" s="127" t="str">
        <f ca="1">IF($C37="","",VLOOKUP($C37,Calc2!$C$17:$AC$25,25,0))</f>
        <v/>
      </c>
      <c r="E37" s="110" t="str">
        <f ca="1">IF($C37="","",VLOOKUP($C37,Calc2!$C$17:$AF$25,27,0)&amp;Sprache!$E$99&amp;(VLOOKUP($C37,Calc2!$C$17:$AF$25,27,0)-$F37))</f>
        <v/>
      </c>
      <c r="F37" s="110" t="str">
        <f ca="1">IF($C37="","",VLOOKUP($C37,Calc2!$C$17:$AC$25,26,0))</f>
        <v/>
      </c>
      <c r="G37" s="390" t="str">
        <f ca="1">IF(C37="","",VLOOKUP(C37,Calc2!$C$17:$AB$25,23,0))</f>
        <v/>
      </c>
      <c r="H37" s="135" t="str">
        <f ca="1">IFERROR(VLOOKUP($C37&amp;H$31,Calc2!$Z$64:$AB$207,3,0),"")</f>
        <v/>
      </c>
      <c r="I37" s="110" t="str">
        <f ca="1">IFERROR(VLOOKUP($C37&amp;I$31,Calc2!$Z$64:$AB$207,3,0),"")</f>
        <v/>
      </c>
      <c r="J37" s="110" t="str">
        <f ca="1">IFERROR(VLOOKUP($C37&amp;J$31,Calc2!$Z$64:$AB$207,3,0),"")</f>
        <v/>
      </c>
      <c r="K37" s="110" t="str">
        <f ca="1">IFERROR(VLOOKUP($C37&amp;K$31,Calc2!$Z$64:$AB$207,3,0),"")</f>
        <v/>
      </c>
      <c r="L37" s="110" t="str">
        <f ca="1">IFERROR(VLOOKUP($C37&amp;L$31,Calc2!$Z$64:$AB$207,3,0),"")</f>
        <v/>
      </c>
      <c r="M37" s="486"/>
      <c r="N37" s="485" t="str">
        <f ca="1">IFERROR(VLOOKUP($C37&amp;N$31,Calc2!$Z$64:$AB$207,3,0),"")</f>
        <v/>
      </c>
      <c r="O37" s="485" t="str">
        <f ca="1">IFERROR(VLOOKUP($C37&amp;O$31,Calc2!$Z$64:$AB$207,3,0),"")</f>
        <v/>
      </c>
      <c r="P37" s="144" t="str">
        <f ca="1">IFERROR(VLOOKUP($C37&amp;P$31,Calc2!$Z$64:$AB$207,3,0),"")</f>
        <v/>
      </c>
      <c r="Q37" s="171" t="str">
        <f t="shared" ca="1" si="2"/>
        <v/>
      </c>
    </row>
    <row r="38" spans="2:17" ht="21.95" customHeight="1" x14ac:dyDescent="0.2">
      <c r="B38" s="113" t="str">
        <f ca="1">IF($C38="","",INDEX(Calc2!$E$4:$E$12,MATCH($C38,Calc2!$F$4:$F$12,0)))</f>
        <v/>
      </c>
      <c r="C38" s="123" t="str">
        <f ca="1">IF(Calc2!$K$13=0,"",Calc2!$AH10)</f>
        <v/>
      </c>
      <c r="D38" s="127" t="str">
        <f ca="1">IF($C38="","",VLOOKUP($C38,Calc2!$C$17:$AC$25,25,0))</f>
        <v/>
      </c>
      <c r="E38" s="110" t="str">
        <f ca="1">IF($C38="","",VLOOKUP($C38,Calc2!$C$17:$AF$25,27,0)&amp;Sprache!$E$99&amp;(VLOOKUP($C38,Calc2!$C$17:$AF$25,27,0)-$F38))</f>
        <v/>
      </c>
      <c r="F38" s="110" t="str">
        <f ca="1">IF($C38="","",VLOOKUP($C38,Calc2!$C$17:$AC$25,26,0))</f>
        <v/>
      </c>
      <c r="G38" s="390" t="str">
        <f ca="1">IF(C38="","",VLOOKUP(C38,Calc2!$C$17:$AB$25,23,0))</f>
        <v/>
      </c>
      <c r="H38" s="135" t="str">
        <f ca="1">IFERROR(VLOOKUP($C38&amp;H$31,Calc2!$Z$64:$AB$207,3,0),"")</f>
        <v/>
      </c>
      <c r="I38" s="110" t="str">
        <f ca="1">IFERROR(VLOOKUP($C38&amp;I$31,Calc2!$Z$64:$AB$207,3,0),"")</f>
        <v/>
      </c>
      <c r="J38" s="110" t="str">
        <f ca="1">IFERROR(VLOOKUP($C38&amp;J$31,Calc2!$Z$64:$AB$207,3,0),"")</f>
        <v/>
      </c>
      <c r="K38" s="110" t="str">
        <f ca="1">IFERROR(VLOOKUP($C38&amp;K$31,Calc2!$Z$64:$AB$207,3,0),"")</f>
        <v/>
      </c>
      <c r="L38" s="110" t="str">
        <f ca="1">IFERROR(VLOOKUP($C38&amp;L$31,Calc2!$Z$64:$AB$207,3,0),"")</f>
        <v/>
      </c>
      <c r="M38" s="485" t="str">
        <f ca="1">IFERROR(VLOOKUP($C38&amp;M$31,Calc2!$Z$64:$AB$207,3,0),"")</f>
        <v/>
      </c>
      <c r="N38" s="486"/>
      <c r="O38" s="485" t="str">
        <f ca="1">IFERROR(VLOOKUP($C38&amp;O$31,Calc2!$Z$64:$AB$207,3,0),"")</f>
        <v/>
      </c>
      <c r="P38" s="144" t="str">
        <f ca="1">IFERROR(VLOOKUP($C38&amp;P$31,Calc2!$Z$64:$AB$207,3,0),"")</f>
        <v/>
      </c>
      <c r="Q38" s="171" t="str">
        <f t="shared" ca="1" si="2"/>
        <v/>
      </c>
    </row>
    <row r="39" spans="2:17" ht="21.95" customHeight="1" x14ac:dyDescent="0.2">
      <c r="B39" s="113" t="str">
        <f ca="1">IF($C39="","",INDEX(Calc2!$E$4:$E$12,MATCH($C39,Calc2!$F$4:$F$12,0)))</f>
        <v/>
      </c>
      <c r="C39" s="123" t="str">
        <f ca="1">IF(Calc2!$K$13=0,"",Calc2!$AH11)</f>
        <v/>
      </c>
      <c r="D39" s="127" t="str">
        <f ca="1">IF($C39="","",VLOOKUP($C39,Calc2!$C$17:$AC$25,25,0))</f>
        <v/>
      </c>
      <c r="E39" s="110" t="str">
        <f ca="1">IF($C39="","",VLOOKUP($C39,Calc2!$C$17:$AF$25,27,0)&amp;Sprache!$E$99&amp;(VLOOKUP($C39,Calc2!$C$17:$AF$25,27,0)-$F39))</f>
        <v/>
      </c>
      <c r="F39" s="110" t="str">
        <f ca="1">IF($C39="","",VLOOKUP($C39,Calc2!$C$17:$AC$25,26,0))</f>
        <v/>
      </c>
      <c r="G39" s="390" t="str">
        <f ca="1">IF(C39="","",VLOOKUP(C39,Calc2!$C$17:$AB$25,23,0))</f>
        <v/>
      </c>
      <c r="H39" s="135" t="str">
        <f ca="1">IFERROR(VLOOKUP($C39&amp;H$31,Calc2!$Z$64:$AB$207,3,0),"")</f>
        <v/>
      </c>
      <c r="I39" s="110" t="str">
        <f ca="1">IFERROR(VLOOKUP($C39&amp;I$31,Calc2!$Z$64:$AB$207,3,0),"")</f>
        <v/>
      </c>
      <c r="J39" s="110" t="str">
        <f ca="1">IFERROR(VLOOKUP($C39&amp;J$31,Calc2!$Z$64:$AB$207,3,0),"")</f>
        <v/>
      </c>
      <c r="K39" s="110" t="str">
        <f ca="1">IFERROR(VLOOKUP($C39&amp;K$31,Calc2!$Z$64:$AB$207,3,0),"")</f>
        <v/>
      </c>
      <c r="L39" s="110" t="str">
        <f ca="1">IFERROR(VLOOKUP($C39&amp;L$31,Calc2!$Z$64:$AB$207,3,0),"")</f>
        <v/>
      </c>
      <c r="M39" s="485" t="str">
        <f ca="1">IFERROR(VLOOKUP($C39&amp;M$31,Calc2!$Z$64:$AB$207,3,0),"")</f>
        <v/>
      </c>
      <c r="N39" s="485" t="str">
        <f ca="1">IFERROR(VLOOKUP($C39&amp;N$31,Calc2!$Z$64:$AB$207,3,0),"")</f>
        <v/>
      </c>
      <c r="O39" s="486"/>
      <c r="P39" s="144" t="str">
        <f ca="1">IFERROR(VLOOKUP($C39&amp;P$31,Calc2!$Z$64:$AB$207,3,0),"")</f>
        <v/>
      </c>
      <c r="Q39" s="171" t="str">
        <f t="shared" ca="1" si="2"/>
        <v/>
      </c>
    </row>
    <row r="40" spans="2:17" ht="21.95" customHeight="1" thickBot="1" x14ac:dyDescent="0.25">
      <c r="B40" s="114" t="str">
        <f ca="1">IF($C40="","",INDEX(Calc2!$E$4:$E$12,MATCH($C40,Calc2!$F$4:$F$12,0)))</f>
        <v/>
      </c>
      <c r="C40" s="124" t="str">
        <f ca="1">IF(Calc2!$K$13=0,"",Calc2!$AH12)</f>
        <v/>
      </c>
      <c r="D40" s="128" t="str">
        <f ca="1">IF($C40="","",VLOOKUP($C40,Calc2!$C$17:$AC$25,25,0))</f>
        <v/>
      </c>
      <c r="E40" s="111" t="str">
        <f ca="1">IF($C40="","",VLOOKUP($C40,Calc2!$C$17:$AF$25,27,0)&amp;Sprache!$E$99&amp;(VLOOKUP($C40,Calc2!$C$17:$AF$25,27,0)-$F40))</f>
        <v/>
      </c>
      <c r="F40" s="111" t="str">
        <f ca="1">IF($C40="","",VLOOKUP($C40,Calc2!$C$17:$AC$25,26,0))</f>
        <v/>
      </c>
      <c r="G40" s="391" t="str">
        <f ca="1">IF(C40="","",VLOOKUP(C40,Calc2!$C$17:$AB$25,23,0))</f>
        <v/>
      </c>
      <c r="H40" s="136" t="str">
        <f ca="1">IFERROR(VLOOKUP($C40&amp;H$31,Calc2!$Z$64:$AB$207,3,0),"")</f>
        <v/>
      </c>
      <c r="I40" s="111" t="str">
        <f ca="1">IFERROR(VLOOKUP($C40&amp;I$31,Calc2!$Z$64:$AB$207,3,0),"")</f>
        <v/>
      </c>
      <c r="J40" s="111" t="str">
        <f ca="1">IFERROR(VLOOKUP($C40&amp;J$31,Calc2!$Z$64:$AB$207,3,0),"")</f>
        <v/>
      </c>
      <c r="K40" s="111" t="str">
        <f ca="1">IFERROR(VLOOKUP($C40&amp;K$31,Calc2!$Z$64:$AB$207,3,0),"")</f>
        <v/>
      </c>
      <c r="L40" s="111" t="str">
        <f ca="1">IFERROR(VLOOKUP($C40&amp;L$31,Calc2!$Z$64:$AB$207,3,0),"")</f>
        <v/>
      </c>
      <c r="M40" s="487" t="str">
        <f ca="1">IFERROR(VLOOKUP($C40&amp;M$31,Calc2!$Z$64:$AB$207,3,0),"")</f>
        <v/>
      </c>
      <c r="N40" s="487" t="str">
        <f ca="1">IFERROR(VLOOKUP($C40&amp;N$31,Calc2!$Z$64:$AB$207,3,0),"")</f>
        <v/>
      </c>
      <c r="O40" s="487" t="str">
        <f ca="1">IFERROR(VLOOKUP($C40&amp;O$31,Calc2!$Z$64:$AB$207,3,0),"")</f>
        <v/>
      </c>
      <c r="P40" s="145"/>
      <c r="Q40" s="172" t="str">
        <f t="shared" ca="1" si="2"/>
        <v/>
      </c>
    </row>
    <row r="41" spans="2:17" ht="42.75" customHeight="1" thickTop="1" thickBot="1" x14ac:dyDescent="0.25"/>
    <row r="42" spans="2:17" ht="21.95" customHeight="1" thickBot="1" x14ac:dyDescent="0.25">
      <c r="H42" s="489" t="str">
        <f ca="1">IF(LEN(H43)&gt;Einstellungen!$C$17,LEFT(H43,Einstellungen!$C$17)&amp;".",H43)</f>
        <v/>
      </c>
      <c r="I42" s="490" t="str">
        <f ca="1">IF(LEN(I43)&gt;Einstellungen!$C$17,LEFT(I43,Einstellungen!$C$17)&amp;".",I43)</f>
        <v/>
      </c>
      <c r="J42" s="490" t="str">
        <f ca="1">IF(LEN(J43)&gt;Einstellungen!$C$17,LEFT(J43,Einstellungen!$C$17)&amp;".",J43)</f>
        <v/>
      </c>
      <c r="K42" s="490" t="str">
        <f ca="1">IF(LEN(K43)&gt;Einstellungen!$C$17,LEFT(K43,Einstellungen!$C$17)&amp;".",K43)</f>
        <v/>
      </c>
      <c r="L42" s="490" t="str">
        <f ca="1">IF(LEN(L43)&gt;Einstellungen!$C$17,LEFT(L43,Einstellungen!$C$17)&amp;".",L43)</f>
        <v/>
      </c>
      <c r="M42" s="491" t="str">
        <f ca="1">IF(LEN(M43)&gt;Einstellungen!$C$17,LEFT(M43,Einstellungen!$C$17)&amp;".",M43)</f>
        <v/>
      </c>
      <c r="N42" s="491" t="str">
        <f ca="1">IF(LEN(N43)&gt;Einstellungen!$C$17,LEFT(N43,Einstellungen!$C$17)&amp;".",N43)</f>
        <v/>
      </c>
      <c r="O42" s="491" t="str">
        <f ca="1">IF(LEN(O43)&gt;Einstellungen!$C$17,LEFT(O43,Einstellungen!$C$17)&amp;".",O43)</f>
        <v/>
      </c>
      <c r="P42" s="492" t="str">
        <f ca="1">IF(LEN(P43)&gt;Einstellungen!$C$17,LEFT(P43,Einstellungen!$C$17)&amp;".",P43)</f>
        <v/>
      </c>
    </row>
    <row r="43" spans="2:17" ht="21.95" customHeight="1" thickTop="1" thickBot="1" x14ac:dyDescent="0.25">
      <c r="B43" s="115"/>
      <c r="C43" s="121" t="str">
        <f>Sprache!$E$10</f>
        <v>Teilnehmer bzw. Mannschaft</v>
      </c>
      <c r="D43" s="125" t="str">
        <f>Sprache!$E$80</f>
        <v>Satzpkt.</v>
      </c>
      <c r="E43" s="112" t="str">
        <f>Sprache!$E$90</f>
        <v>Bälle</v>
      </c>
      <c r="F43" s="112" t="str">
        <f>Sprache!$E$26</f>
        <v>Diff.</v>
      </c>
      <c r="G43" s="139" t="str">
        <f>Sprache!$E$49</f>
        <v>Tie-Break</v>
      </c>
      <c r="H43" s="129" t="str">
        <f ca="1">C44</f>
        <v/>
      </c>
      <c r="I43" s="130" t="str">
        <f ca="1">C45</f>
        <v/>
      </c>
      <c r="J43" s="130" t="str">
        <f ca="1">C46</f>
        <v/>
      </c>
      <c r="K43" s="130" t="str">
        <f ca="1">C47</f>
        <v/>
      </c>
      <c r="L43" s="130" t="str">
        <f ca="1">C48</f>
        <v/>
      </c>
      <c r="M43" s="483" t="str">
        <f ca="1">C49</f>
        <v/>
      </c>
      <c r="N43" s="483" t="str">
        <f ca="1">C50</f>
        <v/>
      </c>
      <c r="O43" s="483" t="str">
        <f ca="1">C51</f>
        <v/>
      </c>
      <c r="P43" s="142" t="str">
        <f ca="1">C52</f>
        <v/>
      </c>
    </row>
    <row r="44" spans="2:17" ht="21.95" customHeight="1" x14ac:dyDescent="0.2">
      <c r="B44" s="113" t="str">
        <f ca="1">IF($C44="","",INDEX(Calc2!$E$4:$E$12,MATCH($C44,Calc2!$F$4:$F$12,0)))</f>
        <v/>
      </c>
      <c r="C44" s="122" t="str">
        <f ca="1">IF(Calc2!$K$13=0,"",Calc2!$AM4)</f>
        <v/>
      </c>
      <c r="D44" s="126" t="str">
        <f ca="1">IF($C44="","",VLOOKUP($C44,Calc2!$C$17:$AC$25,25,0))</f>
        <v/>
      </c>
      <c r="E44" s="109" t="str">
        <f ca="1">IF($C44="","",VLOOKUP($C44,Calc2!$C$17:$AF$25,27,0)&amp;Sprache!$E$99&amp;(VLOOKUP($C44,Calc2!$C$17:$AF$25,27,0)-$F44))</f>
        <v/>
      </c>
      <c r="F44" s="109" t="str">
        <f ca="1">IF($C44="","",VLOOKUP($C44,Calc2!$C$17:$AC$25,26,0))</f>
        <v/>
      </c>
      <c r="G44" s="389" t="str">
        <f ca="1">IF(C44="","",VLOOKUP(C44,Calc2!$C$17:$AB$25,23,0))</f>
        <v/>
      </c>
      <c r="H44" s="134"/>
      <c r="I44" s="109" t="str">
        <f ca="1">IFERROR(VLOOKUP($C44&amp;I$43,Calc2!$Z$64:$AB$207,3,0),"")</f>
        <v/>
      </c>
      <c r="J44" s="109" t="str">
        <f ca="1">IFERROR(VLOOKUP($C44&amp;J$43,Calc2!$Z$64:$AB$207,3,0),"")</f>
        <v/>
      </c>
      <c r="K44" s="109" t="str">
        <f ca="1">IFERROR(VLOOKUP($C44&amp;K$43,Calc2!$Z$64:$AB$207,3,0),"")</f>
        <v/>
      </c>
      <c r="L44" s="109" t="str">
        <f ca="1">IFERROR(VLOOKUP($C44&amp;L$43,Calc2!$Z$64:$AB$207,3,0),"")</f>
        <v/>
      </c>
      <c r="M44" s="484" t="str">
        <f ca="1">IFERROR(VLOOKUP($C44&amp;M$43,Calc2!$Z$64:$AB$207,3,0),"")</f>
        <v/>
      </c>
      <c r="N44" s="484" t="str">
        <f ca="1">IFERROR(VLOOKUP($C44&amp;N$43,Calc2!$Z$64:$AB$207,3,0),"")</f>
        <v/>
      </c>
      <c r="O44" s="484" t="str">
        <f ca="1">IFERROR(VLOOKUP($C44&amp;O$43,Calc2!$Z$64:$AB$207,3,0),"")</f>
        <v/>
      </c>
      <c r="P44" s="143" t="str">
        <f ca="1">IFERROR(VLOOKUP($C44&amp;P$43,Calc2!$Z$64:$AB$207,3,0),"")</f>
        <v/>
      </c>
      <c r="Q44" s="170" t="str">
        <f t="shared" ref="Q44:Q52" ca="1" si="3">C44</f>
        <v/>
      </c>
    </row>
    <row r="45" spans="2:17" ht="21.95" customHeight="1" x14ac:dyDescent="0.2">
      <c r="B45" s="113" t="str">
        <f ca="1">IF($C45="","",INDEX(Calc2!$E$4:$E$12,MATCH($C45,Calc2!$F$4:$F$12,0)))</f>
        <v/>
      </c>
      <c r="C45" s="123" t="str">
        <f ca="1">IF(Calc2!$K$13=0,"",Calc2!$AM5)</f>
        <v/>
      </c>
      <c r="D45" s="127" t="str">
        <f ca="1">IF($C45="","",VLOOKUP($C45,Calc2!$C$17:$AC$25,25,0))</f>
        <v/>
      </c>
      <c r="E45" s="110" t="str">
        <f ca="1">IF($C45="","",VLOOKUP($C45,Calc2!$C$17:$AF$25,27,0)&amp;Sprache!$E$99&amp;(VLOOKUP($C45,Calc2!$C$17:$AF$25,27,0)-$F45))</f>
        <v/>
      </c>
      <c r="F45" s="110" t="str">
        <f ca="1">IF($C45="","",VLOOKUP($C45,Calc2!$C$17:$AC$25,26,0))</f>
        <v/>
      </c>
      <c r="G45" s="390" t="str">
        <f ca="1">IF(C45="","",VLOOKUP(C45,Calc2!$C$17:$AB$25,23,0))</f>
        <v/>
      </c>
      <c r="H45" s="135" t="str">
        <f ca="1">IFERROR(VLOOKUP($C45&amp;H$43,Calc2!$Z$64:$AB$207,3,0),"")</f>
        <v/>
      </c>
      <c r="I45" s="120"/>
      <c r="J45" s="110" t="str">
        <f ca="1">IFERROR(VLOOKUP($C45&amp;J$43,Calc2!$Z$64:$AB$207,3,0),"")</f>
        <v/>
      </c>
      <c r="K45" s="110" t="str">
        <f ca="1">IFERROR(VLOOKUP($C45&amp;K$43,Calc2!$Z$64:$AB$207,3,0),"")</f>
        <v/>
      </c>
      <c r="L45" s="110" t="str">
        <f ca="1">IFERROR(VLOOKUP($C45&amp;L$43,Calc2!$Z$64:$AB$207,3,0),"")</f>
        <v/>
      </c>
      <c r="M45" s="485" t="str">
        <f ca="1">IFERROR(VLOOKUP($C45&amp;M$43,Calc2!$Z$64:$AB$207,3,0),"")</f>
        <v/>
      </c>
      <c r="N45" s="485" t="str">
        <f ca="1">IFERROR(VLOOKUP($C45&amp;N$43,Calc2!$Z$64:$AB$207,3,0),"")</f>
        <v/>
      </c>
      <c r="O45" s="485" t="str">
        <f ca="1">IFERROR(VLOOKUP($C45&amp;O$43,Calc2!$Z$64:$AB$207,3,0),"")</f>
        <v/>
      </c>
      <c r="P45" s="144" t="str">
        <f ca="1">IFERROR(VLOOKUP($C45&amp;P$43,Calc2!$Z$64:$AB$207,3,0),"")</f>
        <v/>
      </c>
      <c r="Q45" s="171" t="str">
        <f t="shared" ca="1" si="3"/>
        <v/>
      </c>
    </row>
    <row r="46" spans="2:17" ht="21.95" customHeight="1" x14ac:dyDescent="0.2">
      <c r="B46" s="113" t="str">
        <f ca="1">IF($C46="","",INDEX(Calc2!$E$4:$E$12,MATCH($C46,Calc2!$F$4:$F$12,0)))</f>
        <v/>
      </c>
      <c r="C46" s="123" t="str">
        <f ca="1">IF(Calc2!$K$13=0,"",Calc2!$AM6)</f>
        <v/>
      </c>
      <c r="D46" s="127" t="str">
        <f ca="1">IF($C46="","",VLOOKUP($C46,Calc2!$C$17:$AC$25,25,0))</f>
        <v/>
      </c>
      <c r="E46" s="110" t="str">
        <f ca="1">IF($C46="","",VLOOKUP($C46,Calc2!$C$17:$AF$25,27,0)&amp;Sprache!$E$99&amp;(VLOOKUP($C46,Calc2!$C$17:$AF$25,27,0)-$F46))</f>
        <v/>
      </c>
      <c r="F46" s="110" t="str">
        <f ca="1">IF($C46="","",VLOOKUP($C46,Calc2!$C$17:$AC$25,26,0))</f>
        <v/>
      </c>
      <c r="G46" s="390" t="str">
        <f ca="1">IF(C46="","",VLOOKUP(C46,Calc2!$C$17:$AB$25,23,0))</f>
        <v/>
      </c>
      <c r="H46" s="135" t="str">
        <f ca="1">IFERROR(VLOOKUP($C46&amp;H$43,Calc2!$Z$64:$AB$207,3,0),"")</f>
        <v/>
      </c>
      <c r="I46" s="110" t="str">
        <f ca="1">IFERROR(VLOOKUP($C46&amp;I$43,Calc2!$Z$64:$AB$207,3,0),"")</f>
        <v/>
      </c>
      <c r="J46" s="120"/>
      <c r="K46" s="110" t="str">
        <f ca="1">IFERROR(VLOOKUP($C46&amp;K$43,Calc2!$Z$64:$AB$207,3,0),"")</f>
        <v/>
      </c>
      <c r="L46" s="110" t="str">
        <f ca="1">IFERROR(VLOOKUP($C46&amp;L$43,Calc2!$Z$64:$AB$207,3,0),"")</f>
        <v/>
      </c>
      <c r="M46" s="485" t="str">
        <f ca="1">IFERROR(VLOOKUP($C46&amp;M$43,Calc2!$Z$64:$AB$207,3,0),"")</f>
        <v/>
      </c>
      <c r="N46" s="485" t="str">
        <f ca="1">IFERROR(VLOOKUP($C46&amp;N$43,Calc2!$Z$64:$AB$207,3,0),"")</f>
        <v/>
      </c>
      <c r="O46" s="485" t="str">
        <f ca="1">IFERROR(VLOOKUP($C46&amp;O$43,Calc2!$Z$64:$AB$207,3,0),"")</f>
        <v/>
      </c>
      <c r="P46" s="144" t="str">
        <f ca="1">IFERROR(VLOOKUP($C46&amp;P$43,Calc2!$Z$64:$AB$207,3,0),"")</f>
        <v/>
      </c>
      <c r="Q46" s="171" t="str">
        <f t="shared" ca="1" si="3"/>
        <v/>
      </c>
    </row>
    <row r="47" spans="2:17" ht="21.95" customHeight="1" x14ac:dyDescent="0.2">
      <c r="B47" s="113" t="str">
        <f ca="1">IF($C47="","",INDEX(Calc2!$E$4:$E$12,MATCH($C47,Calc2!$F$4:$F$12,0)))</f>
        <v/>
      </c>
      <c r="C47" s="123" t="str">
        <f ca="1">IF(Calc2!$K$13=0,"",Calc2!$AM7)</f>
        <v/>
      </c>
      <c r="D47" s="127" t="str">
        <f ca="1">IF($C47="","",VLOOKUP($C47,Calc2!$C$17:$AC$25,25,0))</f>
        <v/>
      </c>
      <c r="E47" s="110" t="str">
        <f ca="1">IF($C47="","",VLOOKUP($C47,Calc2!$C$17:$AF$25,27,0)&amp;Sprache!$E$99&amp;(VLOOKUP($C47,Calc2!$C$17:$AF$25,27,0)-$F47))</f>
        <v/>
      </c>
      <c r="F47" s="110" t="str">
        <f ca="1">IF($C47="","",VLOOKUP($C47,Calc2!$C$17:$AC$25,26,0))</f>
        <v/>
      </c>
      <c r="G47" s="390" t="str">
        <f ca="1">IF(C47="","",VLOOKUP(C47,Calc2!$C$17:$AB$25,23,0))</f>
        <v/>
      </c>
      <c r="H47" s="135" t="str">
        <f ca="1">IFERROR(VLOOKUP($C47&amp;H$43,Calc2!$Z$64:$AB$207,3,0),"")</f>
        <v/>
      </c>
      <c r="I47" s="110" t="str">
        <f ca="1">IFERROR(VLOOKUP($C47&amp;I$43,Calc2!$Z$64:$AB$207,3,0),"")</f>
        <v/>
      </c>
      <c r="J47" s="110" t="str">
        <f ca="1">IFERROR(VLOOKUP($C47&amp;J$43,Calc2!$Z$64:$AB$207,3,0),"")</f>
        <v/>
      </c>
      <c r="K47" s="120"/>
      <c r="L47" s="110" t="str">
        <f ca="1">IFERROR(VLOOKUP($C47&amp;L$43,Calc2!$Z$64:$AB$207,3,0),"")</f>
        <v/>
      </c>
      <c r="M47" s="485" t="str">
        <f ca="1">IFERROR(VLOOKUP($C47&amp;M$43,Calc2!$Z$64:$AB$207,3,0),"")</f>
        <v/>
      </c>
      <c r="N47" s="485" t="str">
        <f ca="1">IFERROR(VLOOKUP($C47&amp;N$43,Calc2!$Z$64:$AB$207,3,0),"")</f>
        <v/>
      </c>
      <c r="O47" s="485" t="str">
        <f ca="1">IFERROR(VLOOKUP($C47&amp;O$43,Calc2!$Z$64:$AB$207,3,0),"")</f>
        <v/>
      </c>
      <c r="P47" s="144" t="str">
        <f ca="1">IFERROR(VLOOKUP($C47&amp;P$43,Calc2!$Z$64:$AB$207,3,0),"")</f>
        <v/>
      </c>
      <c r="Q47" s="171" t="str">
        <f t="shared" ca="1" si="3"/>
        <v/>
      </c>
    </row>
    <row r="48" spans="2:17" ht="21.95" customHeight="1" x14ac:dyDescent="0.2">
      <c r="B48" s="113" t="str">
        <f ca="1">IF($C48="","",INDEX(Calc2!$E$4:$E$12,MATCH($C48,Calc2!$F$4:$F$12,0)))</f>
        <v/>
      </c>
      <c r="C48" s="123" t="str">
        <f ca="1">IF(Calc2!$K$13=0,"",Calc2!$AM8)</f>
        <v/>
      </c>
      <c r="D48" s="127" t="str">
        <f ca="1">IF($C48="","",VLOOKUP($C48,Calc2!$C$17:$AC$25,25,0))</f>
        <v/>
      </c>
      <c r="E48" s="110" t="str">
        <f ca="1">IF($C48="","",VLOOKUP($C48,Calc2!$C$17:$AF$25,27,0)&amp;Sprache!$E$99&amp;(VLOOKUP($C48,Calc2!$C$17:$AF$25,27,0)-$F48))</f>
        <v/>
      </c>
      <c r="F48" s="110" t="str">
        <f ca="1">IF($C48="","",VLOOKUP($C48,Calc2!$C$17:$AC$25,26,0))</f>
        <v/>
      </c>
      <c r="G48" s="390" t="str">
        <f ca="1">IF(C48="","",VLOOKUP(C48,Calc2!$C$17:$AB$25,23,0))</f>
        <v/>
      </c>
      <c r="H48" s="135" t="str">
        <f ca="1">IFERROR(VLOOKUP($C48&amp;H$43,Calc2!$Z$64:$AB$207,3,0),"")</f>
        <v/>
      </c>
      <c r="I48" s="110" t="str">
        <f ca="1">IFERROR(VLOOKUP($C48&amp;I$43,Calc2!$Z$64:$AB$207,3,0),"")</f>
        <v/>
      </c>
      <c r="J48" s="110" t="str">
        <f ca="1">IFERROR(VLOOKUP($C48&amp;J$43,Calc2!$Z$64:$AB$207,3,0),"")</f>
        <v/>
      </c>
      <c r="K48" s="110" t="str">
        <f ca="1">IFERROR(VLOOKUP($C48&amp;K$43,Calc2!$Z$64:$AB$207,3,0),"")</f>
        <v/>
      </c>
      <c r="L48" s="120"/>
      <c r="M48" s="485" t="str">
        <f ca="1">IFERROR(VLOOKUP($C48&amp;M$43,Calc2!$Z$64:$AB$207,3,0),"")</f>
        <v/>
      </c>
      <c r="N48" s="485" t="str">
        <f ca="1">IFERROR(VLOOKUP($C48&amp;N$43,Calc2!$Z$64:$AB$207,3,0),"")</f>
        <v/>
      </c>
      <c r="O48" s="485" t="str">
        <f ca="1">IFERROR(VLOOKUP($C48&amp;O$43,Calc2!$Z$64:$AB$207,3,0),"")</f>
        <v/>
      </c>
      <c r="P48" s="144" t="str">
        <f ca="1">IFERROR(VLOOKUP($C48&amp;P$43,Calc2!$Z$64:$AB$207,3,0),"")</f>
        <v/>
      </c>
      <c r="Q48" s="171" t="str">
        <f t="shared" ca="1" si="3"/>
        <v/>
      </c>
    </row>
    <row r="49" spans="2:17" ht="21.95" customHeight="1" x14ac:dyDescent="0.2">
      <c r="B49" s="113" t="str">
        <f ca="1">IF($C49="","",INDEX(Calc2!$E$4:$E$12,MATCH($C49,Calc2!$F$4:$F$12,0)))</f>
        <v/>
      </c>
      <c r="C49" s="123" t="str">
        <f ca="1">IF(Calc2!$K$13=0,"",Calc2!$AM9)</f>
        <v/>
      </c>
      <c r="D49" s="127" t="str">
        <f ca="1">IF($C49="","",VLOOKUP($C49,Calc2!$C$17:$AC$25,25,0))</f>
        <v/>
      </c>
      <c r="E49" s="110" t="str">
        <f ca="1">IF($C49="","",VLOOKUP($C49,Calc2!$C$17:$AF$25,27,0)&amp;Sprache!$E$99&amp;(VLOOKUP($C49,Calc2!$C$17:$AF$25,27,0)-$F49))</f>
        <v/>
      </c>
      <c r="F49" s="110" t="str">
        <f ca="1">IF($C49="","",VLOOKUP($C49,Calc2!$C$17:$AC$25,26,0))</f>
        <v/>
      </c>
      <c r="G49" s="390" t="str">
        <f ca="1">IF(C49="","",VLOOKUP(C49,Calc2!$C$17:$AB$25,23,0))</f>
        <v/>
      </c>
      <c r="H49" s="135" t="str">
        <f ca="1">IFERROR(VLOOKUP($C49&amp;H$43,Calc2!$Z$64:$AB$207,3,0),"")</f>
        <v/>
      </c>
      <c r="I49" s="110" t="str">
        <f ca="1">IFERROR(VLOOKUP($C49&amp;I$43,Calc2!$Z$64:$AB$207,3,0),"")</f>
        <v/>
      </c>
      <c r="J49" s="110" t="str">
        <f ca="1">IFERROR(VLOOKUP($C49&amp;J$43,Calc2!$Z$64:$AB$207,3,0),"")</f>
        <v/>
      </c>
      <c r="K49" s="110" t="str">
        <f ca="1">IFERROR(VLOOKUP($C49&amp;K$43,Calc2!$Z$64:$AB$207,3,0),"")</f>
        <v/>
      </c>
      <c r="L49" s="110" t="str">
        <f ca="1">IFERROR(VLOOKUP($C49&amp;L$43,Calc2!$Z$64:$AB$207,3,0),"")</f>
        <v/>
      </c>
      <c r="M49" s="486"/>
      <c r="N49" s="485" t="str">
        <f ca="1">IFERROR(VLOOKUP($C49&amp;N$43,Calc2!$Z$64:$AB$207,3,0),"")</f>
        <v/>
      </c>
      <c r="O49" s="485" t="str">
        <f ca="1">IFERROR(VLOOKUP($C49&amp;O$43,Calc2!$Z$64:$AB$207,3,0),"")</f>
        <v/>
      </c>
      <c r="P49" s="144" t="str">
        <f ca="1">IFERROR(VLOOKUP($C49&amp;P$43,Calc2!$Z$64:$AB$207,3,0),"")</f>
        <v/>
      </c>
      <c r="Q49" s="171" t="str">
        <f t="shared" ca="1" si="3"/>
        <v/>
      </c>
    </row>
    <row r="50" spans="2:17" ht="21.95" customHeight="1" x14ac:dyDescent="0.2">
      <c r="B50" s="113" t="str">
        <f ca="1">IF($C50="","",INDEX(Calc2!$E$4:$E$12,MATCH($C50,Calc2!$F$4:$F$12,0)))</f>
        <v/>
      </c>
      <c r="C50" s="123" t="str">
        <f ca="1">IF(Calc2!$K$13=0,"",Calc2!$AM10)</f>
        <v/>
      </c>
      <c r="D50" s="127" t="str">
        <f ca="1">IF($C50="","",VLOOKUP($C50,Calc2!$C$17:$AC$25,25,0))</f>
        <v/>
      </c>
      <c r="E50" s="110" t="str">
        <f ca="1">IF($C50="","",VLOOKUP($C50,Calc2!$C$17:$AF$25,27,0)&amp;Sprache!$E$99&amp;(VLOOKUP($C50,Calc2!$C$17:$AF$25,27,0)-$F50))</f>
        <v/>
      </c>
      <c r="F50" s="110" t="str">
        <f ca="1">IF($C50="","",VLOOKUP($C50,Calc2!$C$17:$AC$25,26,0))</f>
        <v/>
      </c>
      <c r="G50" s="390" t="str">
        <f ca="1">IF(C50="","",VLOOKUP(C50,Calc2!$C$17:$AB$25,23,0))</f>
        <v/>
      </c>
      <c r="H50" s="135" t="str">
        <f ca="1">IFERROR(VLOOKUP($C50&amp;H$43,Calc2!$Z$64:$AB$207,3,0),"")</f>
        <v/>
      </c>
      <c r="I50" s="110" t="str">
        <f ca="1">IFERROR(VLOOKUP($C50&amp;I$43,Calc2!$Z$64:$AB$207,3,0),"")</f>
        <v/>
      </c>
      <c r="J50" s="110" t="str">
        <f ca="1">IFERROR(VLOOKUP($C50&amp;J$43,Calc2!$Z$64:$AB$207,3,0),"")</f>
        <v/>
      </c>
      <c r="K50" s="110" t="str">
        <f ca="1">IFERROR(VLOOKUP($C50&amp;K$43,Calc2!$Z$64:$AB$207,3,0),"")</f>
        <v/>
      </c>
      <c r="L50" s="110" t="str">
        <f ca="1">IFERROR(VLOOKUP($C50&amp;L$43,Calc2!$Z$64:$AB$207,3,0),"")</f>
        <v/>
      </c>
      <c r="M50" s="485" t="str">
        <f ca="1">IFERROR(VLOOKUP($C50&amp;M$43,Calc2!$Z$64:$AB$207,3,0),"")</f>
        <v/>
      </c>
      <c r="N50" s="486"/>
      <c r="O50" s="485" t="str">
        <f ca="1">IFERROR(VLOOKUP($C50&amp;O$43,Calc2!$Z$64:$AB$207,3,0),"")</f>
        <v/>
      </c>
      <c r="P50" s="144" t="str">
        <f ca="1">IFERROR(VLOOKUP($C50&amp;P$43,Calc2!$Z$64:$AB$207,3,0),"")</f>
        <v/>
      </c>
      <c r="Q50" s="171" t="str">
        <f t="shared" ca="1" si="3"/>
        <v/>
      </c>
    </row>
    <row r="51" spans="2:17" ht="21.95" customHeight="1" x14ac:dyDescent="0.2">
      <c r="B51" s="113" t="str">
        <f ca="1">IF($C51="","",INDEX(Calc2!$E$4:$E$12,MATCH($C51,Calc2!$F$4:$F$12,0)))</f>
        <v/>
      </c>
      <c r="C51" s="123" t="str">
        <f ca="1">IF(Calc2!$K$13=0,"",Calc2!$AM11)</f>
        <v/>
      </c>
      <c r="D51" s="127" t="str">
        <f ca="1">IF($C51="","",VLOOKUP($C51,Calc2!$C$17:$AC$25,25,0))</f>
        <v/>
      </c>
      <c r="E51" s="110" t="str">
        <f ca="1">IF($C51="","",VLOOKUP($C51,Calc2!$C$17:$AF$25,27,0)&amp;Sprache!$E$99&amp;(VLOOKUP($C51,Calc2!$C$17:$AF$25,27,0)-$F51))</f>
        <v/>
      </c>
      <c r="F51" s="110" t="str">
        <f ca="1">IF($C51="","",VLOOKUP($C51,Calc2!$C$17:$AC$25,26,0))</f>
        <v/>
      </c>
      <c r="G51" s="390" t="str">
        <f ca="1">IF(C51="","",VLOOKUP(C51,Calc2!$C$17:$AB$25,23,0))</f>
        <v/>
      </c>
      <c r="H51" s="135" t="str">
        <f ca="1">IFERROR(VLOOKUP($C51&amp;H$43,Calc2!$Z$64:$AB$207,3,0),"")</f>
        <v/>
      </c>
      <c r="I51" s="110" t="str">
        <f ca="1">IFERROR(VLOOKUP($C51&amp;I$43,Calc2!$Z$64:$AB$207,3,0),"")</f>
        <v/>
      </c>
      <c r="J51" s="110" t="str">
        <f ca="1">IFERROR(VLOOKUP($C51&amp;J$43,Calc2!$Z$64:$AB$207,3,0),"")</f>
        <v/>
      </c>
      <c r="K51" s="110" t="str">
        <f ca="1">IFERROR(VLOOKUP($C51&amp;K$43,Calc2!$Z$64:$AB$207,3,0),"")</f>
        <v/>
      </c>
      <c r="L51" s="110" t="str">
        <f ca="1">IFERROR(VLOOKUP($C51&amp;L$43,Calc2!$Z$64:$AB$207,3,0),"")</f>
        <v/>
      </c>
      <c r="M51" s="485" t="str">
        <f ca="1">IFERROR(VLOOKUP($C51&amp;M$43,Calc2!$Z$64:$AB$207,3,0),"")</f>
        <v/>
      </c>
      <c r="N51" s="485" t="str">
        <f ca="1">IFERROR(VLOOKUP($C51&amp;N$43,Calc2!$Z$64:$AB$207,3,0),"")</f>
        <v/>
      </c>
      <c r="O51" s="486"/>
      <c r="P51" s="144" t="str">
        <f ca="1">IFERROR(VLOOKUP($C51&amp;P$43,Calc2!$Z$64:$AB$207,3,0),"")</f>
        <v/>
      </c>
      <c r="Q51" s="171" t="str">
        <f t="shared" ca="1" si="3"/>
        <v/>
      </c>
    </row>
    <row r="52" spans="2:17" ht="21.95" customHeight="1" thickBot="1" x14ac:dyDescent="0.25">
      <c r="B52" s="114" t="str">
        <f ca="1">IF($C52="","",INDEX(Calc2!$E$4:$E$12,MATCH($C52,Calc2!$F$4:$F$12,0)))</f>
        <v/>
      </c>
      <c r="C52" s="124" t="str">
        <f ca="1">IF(Calc2!$K$13=0,"",Calc2!$AM12)</f>
        <v/>
      </c>
      <c r="D52" s="128" t="str">
        <f ca="1">IF($C52="","",VLOOKUP($C52,Calc2!$C$17:$AC$25,25,0))</f>
        <v/>
      </c>
      <c r="E52" s="111" t="str">
        <f ca="1">IF($C52="","",VLOOKUP($C52,Calc2!$C$17:$AF$25,27,0)&amp;Sprache!$E$99&amp;(VLOOKUP($C52,Calc2!$C$17:$AF$25,27,0)-$F52))</f>
        <v/>
      </c>
      <c r="F52" s="111" t="str">
        <f ca="1">IF($C52="","",VLOOKUP($C52,Calc2!$C$17:$AC$25,26,0))</f>
        <v/>
      </c>
      <c r="G52" s="391" t="str">
        <f ca="1">IF(C52="","",VLOOKUP(C52,Calc2!$C$17:$AB$25,23,0))</f>
        <v/>
      </c>
      <c r="H52" s="136" t="str">
        <f ca="1">IFERROR(VLOOKUP($C52&amp;H$43,Calc2!$Z$64:$AB$207,3,0),"")</f>
        <v/>
      </c>
      <c r="I52" s="111" t="str">
        <f ca="1">IFERROR(VLOOKUP($C52&amp;I$43,Calc2!$Z$64:$AB$207,3,0),"")</f>
        <v/>
      </c>
      <c r="J52" s="111" t="str">
        <f ca="1">IFERROR(VLOOKUP($C52&amp;J$43,Calc2!$Z$64:$AB$207,3,0),"")</f>
        <v/>
      </c>
      <c r="K52" s="111" t="str">
        <f ca="1">IFERROR(VLOOKUP($C52&amp;K$43,Calc2!$Z$64:$AB$207,3,0),"")</f>
        <v/>
      </c>
      <c r="L52" s="111" t="str">
        <f ca="1">IFERROR(VLOOKUP($C52&amp;L$43,Calc2!$Z$64:$AB$207,3,0),"")</f>
        <v/>
      </c>
      <c r="M52" s="487" t="str">
        <f ca="1">IFERROR(VLOOKUP($C52&amp;M$43,Calc2!$Z$64:$AB$207,3,0),"")</f>
        <v/>
      </c>
      <c r="N52" s="487" t="str">
        <f ca="1">IFERROR(VLOOKUP($C52&amp;N$43,Calc2!$Z$64:$AB$207,3,0),"")</f>
        <v/>
      </c>
      <c r="O52" s="487" t="str">
        <f ca="1">IFERROR(VLOOKUP($C52&amp;O$43,Calc2!$Z$64:$AB$207,3,0),"")</f>
        <v/>
      </c>
      <c r="P52" s="145"/>
      <c r="Q52" s="172" t="str">
        <f t="shared" ca="1" si="3"/>
        <v/>
      </c>
    </row>
    <row r="53" spans="2:17" ht="48" customHeight="1" thickTop="1" x14ac:dyDescent="0.2"/>
  </sheetData>
  <sheetProtection sheet="1" selectLockedCells="1"/>
  <mergeCells count="3">
    <mergeCell ref="B2:P2"/>
    <mergeCell ref="B3:P3"/>
    <mergeCell ref="B4:P4"/>
  </mergeCells>
  <conditionalFormatting sqref="B8:Q16 B20:Q28 B32:Q40 B44:Q52">
    <cfRule type="expression" dxfId="40" priority="1">
      <formula>OR(AND($B8=$B7,$C7&lt;&gt;""),AND($B8=$B9,$C9&lt;&gt;""))</formula>
    </cfRule>
  </conditionalFormatting>
  <pageMargins left="0.7" right="0.7" top="0.78740157499999996" bottom="0.78740157499999996"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A0E91-86AA-40EF-8716-332BD7E772D1}">
  <dimension ref="A1:AO46"/>
  <sheetViews>
    <sheetView showGridLines="0" showRowColHeaders="0" zoomScaleNormal="100" workbookViewId="0">
      <selection activeCell="J12" sqref="J12"/>
    </sheetView>
  </sheetViews>
  <sheetFormatPr baseColWidth="10" defaultColWidth="0" defaultRowHeight="12.75" zeroHeight="1" x14ac:dyDescent="0.2"/>
  <cols>
    <col min="1" max="1" width="10.42578125" style="47" customWidth="1"/>
    <col min="2" max="2" width="5.28515625" style="47" customWidth="1"/>
    <col min="3" max="3" width="6.85546875" style="47" customWidth="1"/>
    <col min="4" max="4" width="11.42578125" style="47" customWidth="1"/>
    <col min="5" max="5" width="8.42578125" style="47" customWidth="1"/>
    <col min="6" max="6" width="11.42578125" style="47" customWidth="1"/>
    <col min="7" max="7" width="28.7109375" style="47" customWidth="1"/>
    <col min="8" max="8" width="2.85546875" style="47" customWidth="1"/>
    <col min="9" max="9" width="28.7109375" style="47" customWidth="1"/>
    <col min="10" max="10" width="4.7109375" style="47" customWidth="1"/>
    <col min="11" max="11" width="2.28515625" style="47" customWidth="1"/>
    <col min="12" max="13" width="4.7109375" style="47" customWidth="1"/>
    <col min="14" max="14" width="2" style="47" customWidth="1"/>
    <col min="15" max="16" width="4.7109375" style="47" customWidth="1"/>
    <col min="17" max="17" width="2.28515625" style="47" customWidth="1"/>
    <col min="18" max="18" width="4.7109375" style="47" customWidth="1"/>
    <col min="19" max="19" width="16.7109375" style="47" customWidth="1"/>
    <col min="20" max="20" width="8" style="47" customWidth="1"/>
    <col min="21" max="21" width="6.140625" style="47" customWidth="1"/>
    <col min="22" max="22" width="11.42578125" style="47" customWidth="1"/>
    <col min="23" max="23" width="16.7109375" style="47" hidden="1" customWidth="1"/>
    <col min="24" max="24" width="17.42578125" style="47" hidden="1" customWidth="1"/>
    <col min="25" max="25" width="10.140625" style="47" hidden="1" customWidth="1"/>
    <col min="26" max="26" width="9.7109375" style="47" hidden="1" customWidth="1"/>
    <col min="27" max="27" width="11.42578125" style="47" hidden="1" customWidth="1"/>
    <col min="28" max="29" width="5.7109375" style="47" hidden="1" customWidth="1"/>
    <col min="30" max="30" width="3.140625" style="47" hidden="1" customWidth="1"/>
    <col min="31" max="32" width="11.42578125" style="47" hidden="1" customWidth="1"/>
    <col min="33" max="33" width="2.7109375" style="47" hidden="1" customWidth="1"/>
    <col min="34" max="36" width="11.42578125" style="47" hidden="1" customWidth="1"/>
    <col min="37" max="37" width="5.140625" style="47" hidden="1" customWidth="1"/>
    <col min="38" max="38" width="4.7109375" style="47" hidden="1" customWidth="1"/>
    <col min="39" max="39" width="2.140625" style="47" hidden="1" customWidth="1"/>
    <col min="40" max="40" width="4.85546875" style="47" hidden="1" customWidth="1"/>
    <col min="41" max="41" width="4.28515625" style="47" hidden="1" customWidth="1"/>
    <col min="42" max="16384" width="11.42578125" style="47" hidden="1"/>
  </cols>
  <sheetData>
    <row r="1" spans="2:41" ht="13.5" thickBot="1" x14ac:dyDescent="0.25"/>
    <row r="2" spans="2:41" ht="36" customHeight="1" thickTop="1" x14ac:dyDescent="0.2">
      <c r="E2" s="902" t="str">
        <f>Vorrunde!$H$2</f>
        <v>Internationales U10-Turnier am 27.01.2026</v>
      </c>
      <c r="F2" s="903"/>
      <c r="G2" s="903"/>
      <c r="H2" s="903"/>
      <c r="I2" s="903"/>
      <c r="J2" s="903"/>
      <c r="K2" s="903"/>
      <c r="L2" s="903"/>
      <c r="M2" s="903"/>
      <c r="N2" s="903"/>
      <c r="O2" s="903"/>
      <c r="P2" s="903"/>
      <c r="Q2" s="903"/>
      <c r="R2" s="903"/>
      <c r="S2" s="903"/>
      <c r="T2" s="904"/>
    </row>
    <row r="3" spans="2:41" ht="30" customHeight="1" x14ac:dyDescent="0.2">
      <c r="E3" s="905" t="str">
        <f>Vorrunde!$H$3</f>
        <v>Veranstalter:  1. FC Riedwald</v>
      </c>
      <c r="F3" s="906"/>
      <c r="G3" s="906"/>
      <c r="H3" s="906"/>
      <c r="I3" s="906"/>
      <c r="J3" s="906"/>
      <c r="K3" s="906"/>
      <c r="L3" s="906"/>
      <c r="M3" s="906"/>
      <c r="N3" s="906"/>
      <c r="O3" s="906"/>
      <c r="P3" s="906"/>
      <c r="Q3" s="906"/>
      <c r="R3" s="906"/>
      <c r="S3" s="906"/>
      <c r="T3" s="907"/>
    </row>
    <row r="4" spans="2:41" ht="30" customHeight="1" x14ac:dyDescent="0.2">
      <c r="E4" s="908" t="str">
        <f>Vorrunde!$H$4</f>
        <v>Sporthalle Wiesengrund, Wendiger Str. 51, 65432 Riedwald</v>
      </c>
      <c r="F4" s="909"/>
      <c r="G4" s="909"/>
      <c r="H4" s="909"/>
      <c r="I4" s="909"/>
      <c r="J4" s="909"/>
      <c r="K4" s="909"/>
      <c r="L4" s="909"/>
      <c r="M4" s="909"/>
      <c r="N4" s="909"/>
      <c r="O4" s="909"/>
      <c r="P4" s="909"/>
      <c r="Q4" s="909"/>
      <c r="R4" s="909"/>
      <c r="S4" s="909"/>
      <c r="T4" s="910"/>
    </row>
    <row r="5" spans="2:41" ht="30" customHeight="1" thickBot="1" x14ac:dyDescent="0.25">
      <c r="E5" s="911" t="str">
        <f>Vorrunde!$H$5</f>
        <v>Beginn:  9:00 Uhr</v>
      </c>
      <c r="F5" s="912"/>
      <c r="G5" s="912"/>
      <c r="H5" s="912"/>
      <c r="I5" s="912"/>
      <c r="J5" s="912"/>
      <c r="K5" s="912"/>
      <c r="L5" s="912"/>
      <c r="M5" s="912"/>
      <c r="N5" s="912"/>
      <c r="O5" s="912"/>
      <c r="P5" s="912"/>
      <c r="Q5" s="912"/>
      <c r="R5" s="912"/>
      <c r="S5" s="912"/>
      <c r="T5" s="913"/>
    </row>
    <row r="6" spans="2:41" ht="18" customHeight="1" thickTop="1" thickBot="1" x14ac:dyDescent="0.25"/>
    <row r="7" spans="2:41" ht="30" customHeight="1" thickTop="1" x14ac:dyDescent="0.2">
      <c r="G7" s="914" t="str">
        <f>Sprache!$E$19</f>
        <v>Endrunde</v>
      </c>
      <c r="H7" s="915"/>
      <c r="I7" s="915"/>
      <c r="J7" s="915"/>
      <c r="K7" s="915"/>
      <c r="L7" s="915"/>
      <c r="M7" s="915"/>
      <c r="N7" s="915"/>
      <c r="O7" s="915"/>
      <c r="P7" s="915"/>
      <c r="Q7" s="916"/>
    </row>
    <row r="8" spans="2:41" ht="30" customHeight="1" thickBot="1" x14ac:dyDescent="0.25">
      <c r="G8" s="917"/>
      <c r="H8" s="918"/>
      <c r="I8" s="918"/>
      <c r="J8" s="918"/>
      <c r="K8" s="918"/>
      <c r="L8" s="918"/>
      <c r="M8" s="918"/>
      <c r="N8" s="918"/>
      <c r="O8" s="918"/>
      <c r="P8" s="918"/>
      <c r="Q8" s="919"/>
    </row>
    <row r="9" spans="2:41" ht="12.6" customHeight="1" thickTop="1" x14ac:dyDescent="0.2">
      <c r="T9" s="809" t="str">
        <f>Sprache!$E$20</f>
        <v>Zusätzl. Pause (min)</v>
      </c>
      <c r="W9" s="779" t="s">
        <v>471</v>
      </c>
    </row>
    <row r="10" spans="2:41" ht="27.95" customHeight="1" thickBot="1" x14ac:dyDescent="0.35">
      <c r="C10" s="920" t="str">
        <f>Sprache!$E$62&amp;IF(MIN(Calc1!$F$13,Calc2!$F$13)*2&lt;2,""," 1 - "&amp;MIN(Calc1!$F$13,Calc2!$F$13)*2)</f>
        <v>Spiele um die Plätze  1 - 10</v>
      </c>
      <c r="D10" s="920"/>
      <c r="E10" s="920"/>
      <c r="F10" s="920"/>
      <c r="T10" s="809"/>
      <c r="W10" s="777" t="b">
        <f>Einstellungen!$B$43=Sprache!$E$79</f>
        <v>1</v>
      </c>
      <c r="Y10" s="930" t="s">
        <v>468</v>
      </c>
      <c r="Z10" s="930"/>
      <c r="AA10" s="930"/>
      <c r="AB10" s="930"/>
      <c r="AC10" s="930"/>
      <c r="AE10" s="931" t="s">
        <v>469</v>
      </c>
      <c r="AF10" s="931"/>
      <c r="AH10" s="930" t="s">
        <v>470</v>
      </c>
      <c r="AI10" s="930"/>
      <c r="AJ10" s="930"/>
      <c r="AK10" s="930"/>
      <c r="AL10" s="930"/>
    </row>
    <row r="11" spans="2:41" ht="24" customHeight="1" thickTop="1" thickBot="1" x14ac:dyDescent="0.25">
      <c r="B11" s="304"/>
      <c r="C11" s="339" t="str">
        <f>Sprache!$E$9</f>
        <v>Nr.</v>
      </c>
      <c r="D11" s="300" t="str">
        <f>Sprache!$E$39</f>
        <v>Beginn</v>
      </c>
      <c r="E11" s="294" t="str">
        <f>Sprache!$E$48</f>
        <v>Feld</v>
      </c>
      <c r="F11" s="294"/>
      <c r="G11" s="830" t="str">
        <f>Sprache!$E$14</f>
        <v>Spielpaarung</v>
      </c>
      <c r="H11" s="830"/>
      <c r="I11" s="830"/>
      <c r="J11" s="830" t="str">
        <f>Sprache!$E$91</f>
        <v>1. Satz</v>
      </c>
      <c r="K11" s="830"/>
      <c r="L11" s="830"/>
      <c r="M11" s="830" t="str">
        <f>Sprache!$E$92</f>
        <v>2. Satz</v>
      </c>
      <c r="N11" s="830"/>
      <c r="O11" s="830"/>
      <c r="P11" s="830" t="str">
        <f>Sprache!$E$93</f>
        <v>3. Satz</v>
      </c>
      <c r="Q11" s="830"/>
      <c r="R11" s="830"/>
      <c r="S11" s="574" t="str">
        <f>Sprache!$E$59</f>
        <v>Schiedsrichter</v>
      </c>
      <c r="T11" s="810"/>
      <c r="W11" s="778" t="s">
        <v>448</v>
      </c>
      <c r="X11" s="778" t="s">
        <v>449</v>
      </c>
      <c r="Y11" s="737" t="s">
        <v>450</v>
      </c>
      <c r="Z11" s="737" t="s">
        <v>451</v>
      </c>
      <c r="AA11" s="737" t="s">
        <v>452</v>
      </c>
      <c r="AB11" s="929" t="s">
        <v>453</v>
      </c>
      <c r="AC11" s="929"/>
      <c r="AE11" s="737" t="s">
        <v>463</v>
      </c>
      <c r="AF11" s="737" t="s">
        <v>464</v>
      </c>
      <c r="AH11" s="737" t="s">
        <v>465</v>
      </c>
      <c r="AI11" s="737" t="s">
        <v>466</v>
      </c>
      <c r="AJ11" s="737" t="s">
        <v>452</v>
      </c>
      <c r="AK11" s="929" t="s">
        <v>453</v>
      </c>
      <c r="AL11" s="929"/>
      <c r="AN11" s="929" t="s">
        <v>467</v>
      </c>
      <c r="AO11" s="929"/>
    </row>
    <row r="12" spans="2:41" s="283" customFormat="1" ht="24" customHeight="1" x14ac:dyDescent="0.2">
      <c r="B12" s="330"/>
      <c r="C12" s="517">
        <f t="array" aca="1" ref="C12" ca="1">73-SUM(((Planung!$L$6:$L$77="")+(Planung!$N$6:$N$77="")&gt;0)*1)</f>
        <v>21</v>
      </c>
      <c r="D12" s="518">
        <f ca="1">IF(Planung!$V$16,"",Planung!$S$13+(Planung!$S$9+Planung!$Q$77)/1440)</f>
        <v>0.49652777777777779</v>
      </c>
      <c r="E12" s="519">
        <f>IF(Planung!$V$16,"",1)</f>
        <v>1</v>
      </c>
      <c r="F12" s="520" t="s">
        <v>331</v>
      </c>
      <c r="G12" s="521" t="str">
        <f ca="1">Vorrunde!$X$20</f>
        <v/>
      </c>
      <c r="H12" s="292" t="s">
        <v>5</v>
      </c>
      <c r="I12" s="293" t="str">
        <f ca="1">Vorrunde!$X$33</f>
        <v/>
      </c>
      <c r="J12" s="697"/>
      <c r="K12" s="295" t="str">
        <f>Sprache!$E$108</f>
        <v xml:space="preserve"> : </v>
      </c>
      <c r="L12" s="704"/>
      <c r="M12" s="700"/>
      <c r="N12" s="727" t="str">
        <f>Sprache!$E$108</f>
        <v xml:space="preserve"> : </v>
      </c>
      <c r="O12" s="704"/>
      <c r="P12" s="701"/>
      <c r="Q12" s="295" t="str">
        <f>Sprache!$E$108</f>
        <v xml:space="preserve"> : </v>
      </c>
      <c r="R12" s="707"/>
      <c r="S12" s="713"/>
      <c r="T12" s="710"/>
      <c r="W12" s="283" t="str">
        <f ca="1">IF(AN12&gt;AO12,$G12,IF(AN12&lt;AO12,$I12,""))</f>
        <v/>
      </c>
      <c r="X12" s="283" t="str">
        <f ca="1">IF(AN12&lt;AO12,$G12,IF(AN12&gt;AO12,$I12,""))</f>
        <v/>
      </c>
      <c r="Y12" s="283" t="b">
        <f>OR(NOT($W$10),AND($J12&lt;&gt;"",$L12&lt;&gt;"",$M12&lt;&gt;"",$O12&lt;&gt;"",$J12&lt;&gt;$L12,$M12&lt;&gt;$O12,($J12&gt;$L12)+($M12&gt;$O12)=1))</f>
        <v>0</v>
      </c>
      <c r="Z12" s="716" t="b">
        <f ca="1">AND($J12&lt;&gt;"",$L12&lt;&gt;"",$J12&lt;&gt;$L12,OR(AND($M12="",$O12=""),AND($M12&lt;&gt;"",$O12&lt;&gt;"",$M12&lt;&gt;$O12)),$G12&lt;&gt;"",$I12&lt;&gt;"",$G12&lt;&gt;$I12)</f>
        <v>0</v>
      </c>
      <c r="AA12" s="283" t="b">
        <f>AND(Y12,$P12&lt;&gt;"",$R12&lt;&gt;"",$P12&lt;&gt;$R12)</f>
        <v>0</v>
      </c>
      <c r="AB12" s="716">
        <f ca="1">(($J12&gt;$L12)+($M12&gt;$O12)+($P12&gt;$R12)*AA12)*Z12</f>
        <v>0</v>
      </c>
      <c r="AC12" s="716">
        <f ca="1">(($J12&lt;$L12)+($M12&lt;$O12)+($P12&lt;$R12)*AA12)*Z12</f>
        <v>0</v>
      </c>
      <c r="AE12" s="283" t="b">
        <f>AND($W$10,OR(AND($J12&lt;&gt;"",$J12=$L12),AND($M12&lt;&gt;"",$M12=$O12)))</f>
        <v>0</v>
      </c>
      <c r="AF12" s="283" t="b">
        <f>AND($W$10,$P12&lt;&gt;"",$R12&lt;&gt;"",$P12=$R12,$Y12)</f>
        <v>0</v>
      </c>
      <c r="AH12" s="283" t="b">
        <f ca="1">AND($J12&lt;&gt;"",$L12&lt;&gt;"",$G12&lt;&gt;"",$I12&lt;&gt;"",$G12&lt;&gt;$I12)</f>
        <v>0</v>
      </c>
      <c r="AI12" s="283" t="b">
        <f ca="1">AND($M12&lt;&gt;"",$O12&lt;&gt;"",$G12&lt;&gt;"",$I12&lt;&gt;"",$G12&lt;&gt;$I12)</f>
        <v>0</v>
      </c>
      <c r="AJ12" s="283" t="b">
        <f ca="1">AND($P12&lt;&gt;"",$R12&lt;&gt;"",$G12&lt;&gt;"",$I12&lt;&gt;"",$G12&lt;&gt;$I12)</f>
        <v>0</v>
      </c>
      <c r="AK12" s="716">
        <f ca="1">(($J12&gt;$L12)+($J12=$L12)*0.5)*$AH12+(($M12&gt;$O12)+($M12=$O12)*0.5)*$AI12+(($P12&gt;$R12)+($P12=$R12)*0.5)*$AJ12</f>
        <v>0</v>
      </c>
      <c r="AL12" s="716">
        <f ca="1">(($J12&lt;$L12)+($J12=$L12)*0.5)*$AH12+(($M12&lt;$O12)+($M12=$O12)*0.5)*$AI12+(($P12&lt;$R12)+($P12=$R12)*0.5)*$AJ12</f>
        <v>0</v>
      </c>
      <c r="AN12" s="716">
        <f ca="1">IF($W$10,$AB12,$AK12)</f>
        <v>0</v>
      </c>
      <c r="AO12" s="716">
        <f ca="1">IF($W$10,$AC12,$AL12)</f>
        <v>0</v>
      </c>
    </row>
    <row r="13" spans="2:41" s="283" customFormat="1" ht="24" customHeight="1" x14ac:dyDescent="0.2">
      <c r="B13" s="330"/>
      <c r="C13" s="332">
        <f t="array" aca="1" ref="C13" ca="1">ROW($A74)-SUM(((Planung!$L$6:$L$77="")+(Planung!$N$6:$N$77="")&gt;0)*1)-SUM((($G$12:$G12="")+($I$12:$I12="")&gt;0)*1)</f>
        <v>21</v>
      </c>
      <c r="D13" s="522">
        <f t="array" aca="1" ref="D13" ca="1">IF(Planung!$V$16,"",$D$12+QUOTIENT(($C13-$C$12),Planung!$V$18)*(Planung!$S$7+Planung!$S$9)/1440+SUM($T$12:$T12)/1440)</f>
        <v>0.49652777777777779</v>
      </c>
      <c r="E13" s="443">
        <f ca="1">IF(Planung!$V$16,"",MOD($C13-$C$12,Planung!$V$18)+1)</f>
        <v>1</v>
      </c>
      <c r="F13" s="288" t="s">
        <v>332</v>
      </c>
      <c r="G13" s="284" t="str">
        <f ca="1">Vorrunde!$X$19</f>
        <v/>
      </c>
      <c r="H13" s="140" t="s">
        <v>5</v>
      </c>
      <c r="I13" s="286" t="str">
        <f ca="1">Vorrunde!$X$32</f>
        <v/>
      </c>
      <c r="J13" s="698"/>
      <c r="K13" s="296" t="str">
        <f>Sprache!$E$108</f>
        <v xml:space="preserve"> : </v>
      </c>
      <c r="L13" s="705"/>
      <c r="M13" s="698"/>
      <c r="N13" s="724" t="str">
        <f>Sprache!$E$108</f>
        <v xml:space="preserve"> : </v>
      </c>
      <c r="O13" s="705"/>
      <c r="P13" s="702"/>
      <c r="Q13" s="296" t="str">
        <f>Sprache!$E$108</f>
        <v xml:space="preserve"> : </v>
      </c>
      <c r="R13" s="708"/>
      <c r="S13" s="714"/>
      <c r="T13" s="711"/>
      <c r="W13" s="283" t="str">
        <f t="shared" ref="W13:W20" ca="1" si="0">IF(AN13&gt;AO13,$G13,IF(AN13&lt;AO13,$I13,""))</f>
        <v/>
      </c>
      <c r="X13" s="283" t="str">
        <f t="shared" ref="X13:X20" ca="1" si="1">IF(AN13&lt;AO13,$G13,IF(AN13&gt;AO13,$I13,""))</f>
        <v/>
      </c>
      <c r="Y13" s="283" t="b">
        <f t="shared" ref="Y13:Y20" si="2">OR(NOT($W$10),AND($J13&lt;&gt;"",$L13&lt;&gt;"",$M13&lt;&gt;"",$O13&lt;&gt;"",$J13&lt;&gt;$L13,$M13&lt;&gt;$O13,($J13&gt;$L13)+($M13&gt;$O13)=1))</f>
        <v>0</v>
      </c>
      <c r="Z13" s="716" t="b">
        <f t="shared" ref="Z13:Z20" ca="1" si="3">AND($J13&lt;&gt;"",$L13&lt;&gt;"",$J13&lt;&gt;$L13,OR(AND($M13="",$O13=""),AND($M13&lt;&gt;"",$O13&lt;&gt;"",$M13&lt;&gt;$O13)),$G13&lt;&gt;"",$I13&lt;&gt;"",$G13&lt;&gt;$I13)</f>
        <v>0</v>
      </c>
      <c r="AA13" s="283" t="b">
        <f t="shared" ref="AA13:AA20" si="4">AND(Y13,$P13&lt;&gt;"",$R13&lt;&gt;"",$P13&lt;&gt;$R13)</f>
        <v>0</v>
      </c>
      <c r="AB13" s="716">
        <f t="shared" ref="AB13:AB20" ca="1" si="5">(($J13&gt;$L13)+($M13&gt;$O13)+($P13&gt;$R13)*AA13)*Z13</f>
        <v>0</v>
      </c>
      <c r="AC13" s="716">
        <f t="shared" ref="AC13:AC20" ca="1" si="6">(($J13&lt;$L13)+($M13&lt;$O13)+($P13&lt;$R13)*AA13)*Z13</f>
        <v>0</v>
      </c>
      <c r="AE13" s="283" t="b">
        <f t="shared" ref="AE13:AE20" si="7">AND($W$10,OR(AND($J13&lt;&gt;"",$J13=$L13),AND($M13&lt;&gt;"",$M13=$O13)))</f>
        <v>0</v>
      </c>
      <c r="AF13" s="283" t="b">
        <f t="shared" ref="AF13:AF20" si="8">AND($W$10,$P13&lt;&gt;"",$R13&lt;&gt;"",$P13=$R13,$Y13)</f>
        <v>0</v>
      </c>
      <c r="AH13" s="283" t="b">
        <f t="shared" ref="AH13:AH20" ca="1" si="9">AND($J13&lt;&gt;"",$L13&lt;&gt;"",$G13&lt;&gt;"",$I13&lt;&gt;"",$G13&lt;&gt;$I13)</f>
        <v>0</v>
      </c>
      <c r="AI13" s="283" t="b">
        <f t="shared" ref="AI13:AI20" ca="1" si="10">AND($M13&lt;&gt;"",$O13&lt;&gt;"",$G13&lt;&gt;"",$I13&lt;&gt;"",$G13&lt;&gt;$I13)</f>
        <v>0</v>
      </c>
      <c r="AJ13" s="283" t="b">
        <f t="shared" ref="AJ13:AJ20" ca="1" si="11">AND($P13&lt;&gt;"",$R13&lt;&gt;"",$G13&lt;&gt;"",$I13&lt;&gt;"",$G13&lt;&gt;$I13)</f>
        <v>0</v>
      </c>
      <c r="AK13" s="716">
        <f t="shared" ref="AK13:AK20" ca="1" si="12">(($J13&gt;$L13)+($J13=$L13)*0.5)*$AH13+(($M13&gt;$O13)+($M13=$O13)*0.5)*$AI13+(($P13&gt;$R13)+($P13=$R13)*0.5)*$AJ13</f>
        <v>0</v>
      </c>
      <c r="AL13" s="716">
        <f t="shared" ref="AL13:AL20" ca="1" si="13">(($J13&lt;$L13)+($J13=$L13)*0.5)*$AH13+(($M13&lt;$O13)+($M13=$O13)*0.5)*$AI13+(($P13&lt;$R13)+($P13=$R13)*0.5)*$AJ13</f>
        <v>0</v>
      </c>
      <c r="AN13" s="716">
        <f t="shared" ref="AN13:AN20" ca="1" si="14">IF($W$10,$AB13,$AK13)</f>
        <v>0</v>
      </c>
      <c r="AO13" s="716">
        <f t="shared" ref="AO13:AO20" ca="1" si="15">IF($W$10,$AC13,$AL13)</f>
        <v>0</v>
      </c>
    </row>
    <row r="14" spans="2:41" s="283" customFormat="1" ht="24" customHeight="1" x14ac:dyDescent="0.2">
      <c r="B14" s="330"/>
      <c r="C14" s="332">
        <f t="array" aca="1" ref="C14" ca="1">ROW($A75)-SUM(((Planung!$L$6:$L$77="")+(Planung!$N$6:$N$77="")&gt;0)*1)-SUM((($G$12:$G13="")+($I$12:$I13="")&gt;0)*1)</f>
        <v>21</v>
      </c>
      <c r="D14" s="522">
        <f t="array" aca="1" ref="D14" ca="1">IF(Planung!$V$16,"",$D$12+QUOTIENT(($C14-$C$12),Planung!$V$18)*(Planung!$S$7+Planung!$S$9)/1440+SUM($T$12:$T13)/1440)</f>
        <v>0.49652777777777779</v>
      </c>
      <c r="E14" s="443">
        <f ca="1">IF(Planung!$V$16,"",MOD($C14-$C$12,Planung!$V$18)+1)</f>
        <v>1</v>
      </c>
      <c r="F14" s="288" t="s">
        <v>333</v>
      </c>
      <c r="G14" s="284" t="str">
        <f ca="1">Vorrunde!$X$18</f>
        <v/>
      </c>
      <c r="H14" s="140" t="s">
        <v>5</v>
      </c>
      <c r="I14" s="286" t="str">
        <f ca="1">Vorrunde!$X$31</f>
        <v/>
      </c>
      <c r="J14" s="698"/>
      <c r="K14" s="296" t="str">
        <f>Sprache!$E$108</f>
        <v xml:space="preserve"> : </v>
      </c>
      <c r="L14" s="705"/>
      <c r="M14" s="698"/>
      <c r="N14" s="724" t="str">
        <f>Sprache!$E$108</f>
        <v xml:space="preserve"> : </v>
      </c>
      <c r="O14" s="705"/>
      <c r="P14" s="702"/>
      <c r="Q14" s="296" t="str">
        <f>Sprache!$E$108</f>
        <v xml:space="preserve"> : </v>
      </c>
      <c r="R14" s="708"/>
      <c r="S14" s="714"/>
      <c r="T14" s="711"/>
      <c r="W14" s="283" t="str">
        <f t="shared" ca="1" si="0"/>
        <v/>
      </c>
      <c r="X14" s="283" t="str">
        <f t="shared" ca="1" si="1"/>
        <v/>
      </c>
      <c r="Y14" s="283" t="b">
        <f t="shared" si="2"/>
        <v>0</v>
      </c>
      <c r="Z14" s="716" t="b">
        <f t="shared" ca="1" si="3"/>
        <v>0</v>
      </c>
      <c r="AA14" s="283" t="b">
        <f t="shared" si="4"/>
        <v>0</v>
      </c>
      <c r="AB14" s="716">
        <f t="shared" ca="1" si="5"/>
        <v>0</v>
      </c>
      <c r="AC14" s="716">
        <f t="shared" ca="1" si="6"/>
        <v>0</v>
      </c>
      <c r="AE14" s="283" t="b">
        <f t="shared" si="7"/>
        <v>0</v>
      </c>
      <c r="AF14" s="283" t="b">
        <f t="shared" si="8"/>
        <v>0</v>
      </c>
      <c r="AH14" s="283" t="b">
        <f t="shared" ca="1" si="9"/>
        <v>0</v>
      </c>
      <c r="AI14" s="283" t="b">
        <f t="shared" ca="1" si="10"/>
        <v>0</v>
      </c>
      <c r="AJ14" s="283" t="b">
        <f t="shared" ca="1" si="11"/>
        <v>0</v>
      </c>
      <c r="AK14" s="716">
        <f t="shared" ca="1" si="12"/>
        <v>0</v>
      </c>
      <c r="AL14" s="716">
        <f t="shared" ca="1" si="13"/>
        <v>0</v>
      </c>
      <c r="AN14" s="716">
        <f t="shared" ca="1" si="14"/>
        <v>0</v>
      </c>
      <c r="AO14" s="716">
        <f t="shared" ca="1" si="15"/>
        <v>0</v>
      </c>
    </row>
    <row r="15" spans="2:41" s="283" customFormat="1" ht="24" customHeight="1" x14ac:dyDescent="0.2">
      <c r="B15" s="330"/>
      <c r="C15" s="332">
        <f t="array" aca="1" ref="C15" ca="1">ROW($A76)-SUM(((Planung!$L$6:$L$77="")+(Planung!$N$6:$N$77="")&gt;0)*1)-SUM((($G$12:$G14="")+($I$12:$I14="")&gt;0)*1)</f>
        <v>21</v>
      </c>
      <c r="D15" s="522">
        <f t="array" aca="1" ref="D15" ca="1">IF(Planung!$V$16,"",$D$12+QUOTIENT(($C15-$C$12),Planung!$V$18)*(Planung!$S$7+Planung!$S$9)/1440+SUM($T$12:$T14)/1440)</f>
        <v>0.49652777777777779</v>
      </c>
      <c r="E15" s="443">
        <f ca="1">IF(Planung!$V$16,"",MOD($C15-$C$12,Planung!$V$18)+1)</f>
        <v>1</v>
      </c>
      <c r="F15" s="288" t="s">
        <v>213</v>
      </c>
      <c r="G15" s="284" t="str">
        <f ca="1">Vorrunde!$X$17</f>
        <v/>
      </c>
      <c r="H15" s="140" t="s">
        <v>5</v>
      </c>
      <c r="I15" s="286" t="str">
        <f ca="1">Vorrunde!$X$30</f>
        <v/>
      </c>
      <c r="J15" s="698"/>
      <c r="K15" s="296" t="str">
        <f>Sprache!$E$108</f>
        <v xml:space="preserve"> : </v>
      </c>
      <c r="L15" s="705"/>
      <c r="M15" s="698"/>
      <c r="N15" s="724" t="str">
        <f>Sprache!$E$108</f>
        <v xml:space="preserve"> : </v>
      </c>
      <c r="O15" s="705"/>
      <c r="P15" s="702"/>
      <c r="Q15" s="296" t="str">
        <f>Sprache!$E$108</f>
        <v xml:space="preserve"> : </v>
      </c>
      <c r="R15" s="708"/>
      <c r="S15" s="714"/>
      <c r="T15" s="711"/>
      <c r="W15" s="283" t="str">
        <f t="shared" ca="1" si="0"/>
        <v/>
      </c>
      <c r="X15" s="283" t="str">
        <f t="shared" ca="1" si="1"/>
        <v/>
      </c>
      <c r="Y15" s="283" t="b">
        <f t="shared" si="2"/>
        <v>0</v>
      </c>
      <c r="Z15" s="716" t="b">
        <f t="shared" ca="1" si="3"/>
        <v>0</v>
      </c>
      <c r="AA15" s="283" t="b">
        <f t="shared" si="4"/>
        <v>0</v>
      </c>
      <c r="AB15" s="716">
        <f t="shared" ca="1" si="5"/>
        <v>0</v>
      </c>
      <c r="AC15" s="716">
        <f t="shared" ca="1" si="6"/>
        <v>0</v>
      </c>
      <c r="AE15" s="283" t="b">
        <f t="shared" si="7"/>
        <v>0</v>
      </c>
      <c r="AF15" s="283" t="b">
        <f t="shared" si="8"/>
        <v>0</v>
      </c>
      <c r="AH15" s="283" t="b">
        <f t="shared" ca="1" si="9"/>
        <v>0</v>
      </c>
      <c r="AI15" s="283" t="b">
        <f t="shared" ca="1" si="10"/>
        <v>0</v>
      </c>
      <c r="AJ15" s="283" t="b">
        <f t="shared" ca="1" si="11"/>
        <v>0</v>
      </c>
      <c r="AK15" s="716">
        <f t="shared" ca="1" si="12"/>
        <v>0</v>
      </c>
      <c r="AL15" s="716">
        <f t="shared" ca="1" si="13"/>
        <v>0</v>
      </c>
      <c r="AN15" s="716">
        <f t="shared" ca="1" si="14"/>
        <v>0</v>
      </c>
      <c r="AO15" s="716">
        <f t="shared" ca="1" si="15"/>
        <v>0</v>
      </c>
    </row>
    <row r="16" spans="2:41" s="283" customFormat="1" ht="24" customHeight="1" x14ac:dyDescent="0.2">
      <c r="B16" s="330"/>
      <c r="C16" s="332">
        <f t="array" aca="1" ref="C16" ca="1">ROW($A77)-SUM(((Planung!$L$6:$L$77="")+(Planung!$N$6:$N$77="")&gt;0)*1)-SUM((($G$12:$G15="")+($I$12:$I15="")&gt;0)*1)</f>
        <v>21</v>
      </c>
      <c r="D16" s="522">
        <f t="array" aca="1" ref="D16" ca="1">IF(Planung!$V$16,"",$D$12+QUOTIENT(($C16-$C$12),Planung!$V$18)*(Planung!$S$7+Planung!$S$9)/1440+SUM($T$12:$T15)/1440)</f>
        <v>0.49652777777777779</v>
      </c>
      <c r="E16" s="443">
        <f ca="1">IF(Planung!$V$16,"",MOD($C16-$C$12,Planung!$V$18)+1)</f>
        <v>1</v>
      </c>
      <c r="F16" s="288" t="s">
        <v>214</v>
      </c>
      <c r="G16" s="284" t="str">
        <f ca="1">Vorrunde!$X$16</f>
        <v>FC Barcelona</v>
      </c>
      <c r="H16" s="140" t="s">
        <v>5</v>
      </c>
      <c r="I16" s="286" t="str">
        <f ca="1">Vorrunde!$X$29</f>
        <v>Inter Mailand</v>
      </c>
      <c r="J16" s="698">
        <v>25</v>
      </c>
      <c r="K16" s="296" t="str">
        <f>Sprache!$E$108</f>
        <v xml:space="preserve"> : </v>
      </c>
      <c r="L16" s="705">
        <v>22</v>
      </c>
      <c r="M16" s="698">
        <v>25</v>
      </c>
      <c r="N16" s="724" t="str">
        <f>Sprache!$E$108</f>
        <v xml:space="preserve"> : </v>
      </c>
      <c r="O16" s="705">
        <v>21</v>
      </c>
      <c r="P16" s="702"/>
      <c r="Q16" s="296" t="str">
        <f>Sprache!$E$108</f>
        <v xml:space="preserve"> : </v>
      </c>
      <c r="R16" s="708"/>
      <c r="S16" s="714"/>
      <c r="T16" s="711"/>
      <c r="W16" s="283" t="str">
        <f t="shared" ca="1" si="0"/>
        <v>FC Barcelona</v>
      </c>
      <c r="X16" s="283" t="str">
        <f t="shared" ca="1" si="1"/>
        <v>Inter Mailand</v>
      </c>
      <c r="Y16" s="283" t="b">
        <f t="shared" si="2"/>
        <v>0</v>
      </c>
      <c r="Z16" s="716" t="b">
        <f t="shared" ca="1" si="3"/>
        <v>1</v>
      </c>
      <c r="AA16" s="283" t="b">
        <f t="shared" si="4"/>
        <v>0</v>
      </c>
      <c r="AB16" s="716">
        <f t="shared" ca="1" si="5"/>
        <v>2</v>
      </c>
      <c r="AC16" s="716">
        <f t="shared" ca="1" si="6"/>
        <v>0</v>
      </c>
      <c r="AE16" s="283" t="b">
        <f t="shared" si="7"/>
        <v>0</v>
      </c>
      <c r="AF16" s="283" t="b">
        <f t="shared" si="8"/>
        <v>0</v>
      </c>
      <c r="AH16" s="283" t="b">
        <f t="shared" ca="1" si="9"/>
        <v>1</v>
      </c>
      <c r="AI16" s="283" t="b">
        <f t="shared" ca="1" si="10"/>
        <v>1</v>
      </c>
      <c r="AJ16" s="283" t="b">
        <f t="shared" ca="1" si="11"/>
        <v>0</v>
      </c>
      <c r="AK16" s="716">
        <f t="shared" ca="1" si="12"/>
        <v>2</v>
      </c>
      <c r="AL16" s="716">
        <f t="shared" ca="1" si="13"/>
        <v>0</v>
      </c>
      <c r="AN16" s="716">
        <f t="shared" ca="1" si="14"/>
        <v>2</v>
      </c>
      <c r="AO16" s="716">
        <f t="shared" ca="1" si="15"/>
        <v>0</v>
      </c>
    </row>
    <row r="17" spans="2:41" s="283" customFormat="1" ht="24" customHeight="1" x14ac:dyDescent="0.2">
      <c r="B17" s="330"/>
      <c r="C17" s="332">
        <f t="array" aca="1" ref="C17" ca="1">ROW($A78)-SUM(((Planung!$L$6:$L$77="")+(Planung!$N$6:$N$77="")&gt;0)*1)-SUM((($G$12:$G16="")+($I$12:$I16="")&gt;0)*1)</f>
        <v>22</v>
      </c>
      <c r="D17" s="522">
        <f t="array" aca="1" ref="D17" ca="1">IF(Planung!$V$16,"",$D$12+QUOTIENT(($C17-$C$12),Planung!$V$18)*(Planung!$S$7+Planung!$S$9)/1440+SUM($T$12:$T16)/1440)</f>
        <v>0.49652777777777779</v>
      </c>
      <c r="E17" s="443">
        <f ca="1">IF(Planung!$V$16,"",MOD($C17-$C$12,Planung!$V$18)+1)</f>
        <v>2</v>
      </c>
      <c r="F17" s="288" t="s">
        <v>215</v>
      </c>
      <c r="G17" s="284" t="str">
        <f ca="1">Vorrunde!$X$15</f>
        <v>1. FC Riedwald</v>
      </c>
      <c r="H17" s="140" t="s">
        <v>5</v>
      </c>
      <c r="I17" s="286" t="str">
        <f ca="1">Vorrunde!$X$28</f>
        <v>SSV Wildbach</v>
      </c>
      <c r="J17" s="698">
        <v>19</v>
      </c>
      <c r="K17" s="296" t="str">
        <f>Sprache!$E$108</f>
        <v xml:space="preserve"> : </v>
      </c>
      <c r="L17" s="705">
        <v>25</v>
      </c>
      <c r="M17" s="698">
        <v>25</v>
      </c>
      <c r="N17" s="724" t="str">
        <f>Sprache!$E$108</f>
        <v xml:space="preserve"> : </v>
      </c>
      <c r="O17" s="705">
        <v>22</v>
      </c>
      <c r="P17" s="702">
        <v>12</v>
      </c>
      <c r="Q17" s="296" t="str">
        <f>Sprache!$E$108</f>
        <v xml:space="preserve"> : </v>
      </c>
      <c r="R17" s="708">
        <v>15</v>
      </c>
      <c r="S17" s="714"/>
      <c r="T17" s="711"/>
      <c r="W17" s="283" t="str">
        <f t="shared" ca="1" si="0"/>
        <v>SSV Wildbach</v>
      </c>
      <c r="X17" s="283" t="str">
        <f t="shared" ca="1" si="1"/>
        <v>1. FC Riedwald</v>
      </c>
      <c r="Y17" s="283" t="b">
        <f t="shared" si="2"/>
        <v>1</v>
      </c>
      <c r="Z17" s="716" t="b">
        <f t="shared" ca="1" si="3"/>
        <v>1</v>
      </c>
      <c r="AA17" s="283" t="b">
        <f t="shared" si="4"/>
        <v>1</v>
      </c>
      <c r="AB17" s="716">
        <f t="shared" ca="1" si="5"/>
        <v>1</v>
      </c>
      <c r="AC17" s="716">
        <f t="shared" ca="1" si="6"/>
        <v>2</v>
      </c>
      <c r="AE17" s="283" t="b">
        <f t="shared" si="7"/>
        <v>0</v>
      </c>
      <c r="AF17" s="283" t="b">
        <f t="shared" si="8"/>
        <v>0</v>
      </c>
      <c r="AH17" s="283" t="b">
        <f t="shared" ca="1" si="9"/>
        <v>1</v>
      </c>
      <c r="AI17" s="283" t="b">
        <f t="shared" ca="1" si="10"/>
        <v>1</v>
      </c>
      <c r="AJ17" s="283" t="b">
        <f t="shared" ca="1" si="11"/>
        <v>1</v>
      </c>
      <c r="AK17" s="716">
        <f t="shared" ca="1" si="12"/>
        <v>1</v>
      </c>
      <c r="AL17" s="716">
        <f t="shared" ca="1" si="13"/>
        <v>2</v>
      </c>
      <c r="AN17" s="716">
        <f t="shared" ca="1" si="14"/>
        <v>1</v>
      </c>
      <c r="AO17" s="716">
        <f t="shared" ca="1" si="15"/>
        <v>2</v>
      </c>
    </row>
    <row r="18" spans="2:41" s="283" customFormat="1" ht="24" customHeight="1" x14ac:dyDescent="0.2">
      <c r="B18" s="331"/>
      <c r="C18" s="332">
        <f t="array" aca="1" ref="C18" ca="1">ROW($A79)-SUM(((Planung!$L$6:$L$77="")+(Planung!$N$6:$N$77="")&gt;0)*1)-SUM((($G$12:$G17="")+($I$12:$I17="")&gt;0)*1)</f>
        <v>23</v>
      </c>
      <c r="D18" s="522">
        <f t="array" aca="1" ref="D18" ca="1">IF(Planung!$V$16,"",$D$12+QUOTIENT(($C18-$C$12),Planung!$V$18)*(Planung!$S$7+Planung!$S$9)/1440+SUM($T$12:$T17)/1440)</f>
        <v>0.49652777777777779</v>
      </c>
      <c r="E18" s="443">
        <f ca="1">IF(Planung!$V$16,"",MOD($C18-$C$12,Planung!$V$18)+1)</f>
        <v>3</v>
      </c>
      <c r="F18" s="288" t="s">
        <v>216</v>
      </c>
      <c r="G18" s="284" t="str">
        <f ca="1">Vorrunde!$X$14</f>
        <v>VFB Essenheim</v>
      </c>
      <c r="H18" s="140" t="s">
        <v>5</v>
      </c>
      <c r="I18" s="286" t="str">
        <f ca="1">Vorrunde!$X$27</f>
        <v>FC Grönlingen</v>
      </c>
      <c r="J18" s="698">
        <v>25</v>
      </c>
      <c r="K18" s="296" t="str">
        <f>Sprache!$E$108</f>
        <v xml:space="preserve"> : </v>
      </c>
      <c r="L18" s="705">
        <v>23</v>
      </c>
      <c r="M18" s="698">
        <v>25</v>
      </c>
      <c r="N18" s="724" t="str">
        <f>Sprache!$E$108</f>
        <v xml:space="preserve"> : </v>
      </c>
      <c r="O18" s="705">
        <v>21</v>
      </c>
      <c r="P18" s="702"/>
      <c r="Q18" s="296" t="str">
        <f>Sprache!$E$108</f>
        <v xml:space="preserve"> : </v>
      </c>
      <c r="R18" s="708"/>
      <c r="S18" s="714"/>
      <c r="T18" s="711"/>
      <c r="W18" s="283" t="str">
        <f t="shared" ca="1" si="0"/>
        <v>VFB Essenheim</v>
      </c>
      <c r="X18" s="283" t="str">
        <f t="shared" ca="1" si="1"/>
        <v>FC Grönlingen</v>
      </c>
      <c r="Y18" s="283" t="b">
        <f t="shared" si="2"/>
        <v>0</v>
      </c>
      <c r="Z18" s="716" t="b">
        <f t="shared" ca="1" si="3"/>
        <v>1</v>
      </c>
      <c r="AA18" s="283" t="b">
        <f t="shared" si="4"/>
        <v>0</v>
      </c>
      <c r="AB18" s="716">
        <f t="shared" ca="1" si="5"/>
        <v>2</v>
      </c>
      <c r="AC18" s="716">
        <f t="shared" ca="1" si="6"/>
        <v>0</v>
      </c>
      <c r="AE18" s="283" t="b">
        <f t="shared" si="7"/>
        <v>0</v>
      </c>
      <c r="AF18" s="283" t="b">
        <f t="shared" si="8"/>
        <v>0</v>
      </c>
      <c r="AH18" s="283" t="b">
        <f t="shared" ca="1" si="9"/>
        <v>1</v>
      </c>
      <c r="AI18" s="283" t="b">
        <f t="shared" ca="1" si="10"/>
        <v>1</v>
      </c>
      <c r="AJ18" s="283" t="b">
        <f t="shared" ca="1" si="11"/>
        <v>0</v>
      </c>
      <c r="AK18" s="716">
        <f t="shared" ca="1" si="12"/>
        <v>2</v>
      </c>
      <c r="AL18" s="716">
        <f t="shared" ca="1" si="13"/>
        <v>0</v>
      </c>
      <c r="AN18" s="716">
        <f t="shared" ca="1" si="14"/>
        <v>2</v>
      </c>
      <c r="AO18" s="716">
        <f t="shared" ca="1" si="15"/>
        <v>0</v>
      </c>
    </row>
    <row r="19" spans="2:41" s="283" customFormat="1" ht="24" customHeight="1" x14ac:dyDescent="0.2">
      <c r="B19" s="331"/>
      <c r="C19" s="332">
        <f t="array" aca="1" ref="C19" ca="1">ROW($A80)-SUM(((Planung!$L$6:$L$77="")+(Planung!$N$6:$N$77="")&gt;0)*1)-SUM((($G$12:$G18="")+($I$12:$I18="")&gt;0)*1)</f>
        <v>24</v>
      </c>
      <c r="D19" s="522">
        <f t="array" aca="1" ref="D19" ca="1">IF(Planung!$V$16,"",$D$12+QUOTIENT(($C19-$C$12),Planung!$V$18)*(Planung!$S$7+Planung!$S$9)/1440+SUM($T$12:$T18)/1440)</f>
        <v>0.49652777777777779</v>
      </c>
      <c r="E19" s="443">
        <f ca="1">IF(Planung!$V$16,"",MOD($C19-$C$12,Planung!$V$18)+1)</f>
        <v>4</v>
      </c>
      <c r="F19" s="288" t="s">
        <v>217</v>
      </c>
      <c r="G19" s="284" t="str">
        <f ca="1">Vorrunde!$X$13</f>
        <v>Maibach 1822 eV</v>
      </c>
      <c r="H19" s="140" t="s">
        <v>5</v>
      </c>
      <c r="I19" s="286" t="str">
        <f ca="1">Vorrunde!$X$26</f>
        <v>Manchester City</v>
      </c>
      <c r="J19" s="698">
        <v>26</v>
      </c>
      <c r="K19" s="296" t="str">
        <f>Sprache!$E$108</f>
        <v xml:space="preserve"> : </v>
      </c>
      <c r="L19" s="705">
        <v>24</v>
      </c>
      <c r="M19" s="698">
        <v>25</v>
      </c>
      <c r="N19" s="724" t="str">
        <f>Sprache!$E$108</f>
        <v xml:space="preserve"> : </v>
      </c>
      <c r="O19" s="705">
        <v>23</v>
      </c>
      <c r="P19" s="702"/>
      <c r="Q19" s="296" t="str">
        <f>Sprache!$E$108</f>
        <v xml:space="preserve"> : </v>
      </c>
      <c r="R19" s="708"/>
      <c r="S19" s="714"/>
      <c r="T19" s="711"/>
      <c r="W19" s="283" t="str">
        <f t="shared" ca="1" si="0"/>
        <v>Maibach 1822 eV</v>
      </c>
      <c r="X19" s="283" t="str">
        <f t="shared" ca="1" si="1"/>
        <v>Manchester City</v>
      </c>
      <c r="Y19" s="283" t="b">
        <f t="shared" si="2"/>
        <v>0</v>
      </c>
      <c r="Z19" s="716" t="b">
        <f t="shared" ca="1" si="3"/>
        <v>1</v>
      </c>
      <c r="AA19" s="283" t="b">
        <f t="shared" si="4"/>
        <v>0</v>
      </c>
      <c r="AB19" s="716">
        <f t="shared" ca="1" si="5"/>
        <v>2</v>
      </c>
      <c r="AC19" s="716">
        <f t="shared" ca="1" si="6"/>
        <v>0</v>
      </c>
      <c r="AE19" s="283" t="b">
        <f t="shared" si="7"/>
        <v>0</v>
      </c>
      <c r="AF19" s="283" t="b">
        <f t="shared" si="8"/>
        <v>0</v>
      </c>
      <c r="AH19" s="283" t="b">
        <f t="shared" ca="1" si="9"/>
        <v>1</v>
      </c>
      <c r="AI19" s="283" t="b">
        <f t="shared" ca="1" si="10"/>
        <v>1</v>
      </c>
      <c r="AJ19" s="283" t="b">
        <f t="shared" ca="1" si="11"/>
        <v>0</v>
      </c>
      <c r="AK19" s="716">
        <f t="shared" ca="1" si="12"/>
        <v>2</v>
      </c>
      <c r="AL19" s="716">
        <f t="shared" ca="1" si="13"/>
        <v>0</v>
      </c>
      <c r="AN19" s="716">
        <f t="shared" ca="1" si="14"/>
        <v>2</v>
      </c>
      <c r="AO19" s="716">
        <f t="shared" ca="1" si="15"/>
        <v>0</v>
      </c>
    </row>
    <row r="20" spans="2:41" s="283" customFormat="1" ht="24" customHeight="1" thickBot="1" x14ac:dyDescent="0.25">
      <c r="B20" s="331"/>
      <c r="C20" s="333">
        <f t="array" aca="1" ref="C20" ca="1">ROW($A81)-SUM(((Planung!$L$6:$L$77="")+(Planung!$N$6:$N$77="")&gt;0)*1)-SUM((($G$12:$G19="")+($I$12:$I19="")&gt;0)*1)</f>
        <v>25</v>
      </c>
      <c r="D20" s="335">
        <f t="array" aca="1" ref="D20" ca="1">IF(Planung!$V$16,"",$D$12+QUOTIENT(($C20-$C$12),Planung!$V$18)*(Planung!$S$7+Planung!$S$9)/1440+SUM($T$12:$T19)/1440)</f>
        <v>0.52083333333333337</v>
      </c>
      <c r="E20" s="321">
        <f ca="1">IF(Planung!$V$16,"",MOD($C20-$C$12,Planung!$V$18)+1)</f>
        <v>1</v>
      </c>
      <c r="F20" s="289" t="s">
        <v>218</v>
      </c>
      <c r="G20" s="285" t="str">
        <f ca="1">Vorrunde!$X$12</f>
        <v>Eintracht Frankfurt</v>
      </c>
      <c r="H20" s="141" t="s">
        <v>5</v>
      </c>
      <c r="I20" s="287" t="str">
        <f ca="1">Vorrunde!$X$25</f>
        <v>Mainz 05</v>
      </c>
      <c r="J20" s="699">
        <v>14</v>
      </c>
      <c r="K20" s="322" t="s">
        <v>219</v>
      </c>
      <c r="L20" s="706">
        <v>25</v>
      </c>
      <c r="M20" s="699">
        <v>12</v>
      </c>
      <c r="N20" s="725" t="str">
        <f>Sprache!$E$108</f>
        <v xml:space="preserve"> : </v>
      </c>
      <c r="O20" s="706">
        <v>25</v>
      </c>
      <c r="P20" s="703"/>
      <c r="Q20" s="322" t="str">
        <f>Sprache!$E$108</f>
        <v xml:space="preserve"> : </v>
      </c>
      <c r="R20" s="709"/>
      <c r="S20" s="715"/>
      <c r="T20" s="712"/>
      <c r="W20" s="283" t="str">
        <f t="shared" ca="1" si="0"/>
        <v>Mainz 05</v>
      </c>
      <c r="X20" s="283" t="str">
        <f t="shared" ca="1" si="1"/>
        <v>Eintracht Frankfurt</v>
      </c>
      <c r="Y20" s="283" t="b">
        <f t="shared" si="2"/>
        <v>0</v>
      </c>
      <c r="Z20" s="716" t="b">
        <f t="shared" ca="1" si="3"/>
        <v>1</v>
      </c>
      <c r="AA20" s="283" t="b">
        <f t="shared" si="4"/>
        <v>0</v>
      </c>
      <c r="AB20" s="716">
        <f t="shared" ca="1" si="5"/>
        <v>0</v>
      </c>
      <c r="AC20" s="716">
        <f t="shared" ca="1" si="6"/>
        <v>2</v>
      </c>
      <c r="AE20" s="283" t="b">
        <f t="shared" si="7"/>
        <v>0</v>
      </c>
      <c r="AF20" s="283" t="b">
        <f t="shared" si="8"/>
        <v>0</v>
      </c>
      <c r="AH20" s="283" t="b">
        <f t="shared" ca="1" si="9"/>
        <v>1</v>
      </c>
      <c r="AI20" s="283" t="b">
        <f t="shared" ca="1" si="10"/>
        <v>1</v>
      </c>
      <c r="AJ20" s="283" t="b">
        <f t="shared" ca="1" si="11"/>
        <v>0</v>
      </c>
      <c r="AK20" s="716">
        <f t="shared" ca="1" si="12"/>
        <v>0</v>
      </c>
      <c r="AL20" s="716">
        <f t="shared" ca="1" si="13"/>
        <v>2</v>
      </c>
      <c r="AN20" s="716">
        <f t="shared" ca="1" si="14"/>
        <v>0</v>
      </c>
      <c r="AO20" s="716">
        <f t="shared" ca="1" si="15"/>
        <v>2</v>
      </c>
    </row>
    <row r="21" spans="2:41" ht="13.5" thickTop="1" x14ac:dyDescent="0.2"/>
    <row r="22" spans="2:41" ht="24" customHeight="1" x14ac:dyDescent="0.2">
      <c r="C22" s="307"/>
      <c r="D22" s="307"/>
      <c r="E22" s="307"/>
      <c r="F22" s="307"/>
      <c r="G22" s="901" t="str">
        <f>Sprache!$E$29</f>
        <v>Turnierende:</v>
      </c>
      <c r="H22" s="901"/>
      <c r="I22" s="308">
        <f ca="1">IF(Planung!$S$13="","",$D$20+Planung!$S$7/1440)</f>
        <v>0.54166666666666674</v>
      </c>
      <c r="J22" s="309"/>
      <c r="K22" s="309"/>
      <c r="L22" s="309"/>
      <c r="M22" s="309"/>
      <c r="N22" s="309"/>
      <c r="O22" s="309"/>
      <c r="P22" s="309"/>
      <c r="Q22" s="309"/>
      <c r="R22" s="309"/>
      <c r="S22" s="309"/>
      <c r="T22" s="309"/>
    </row>
    <row r="23" spans="2:41" x14ac:dyDescent="0.2">
      <c r="D23" s="305"/>
    </row>
    <row r="24" spans="2:41" ht="13.5" thickBot="1" x14ac:dyDescent="0.25">
      <c r="D24" s="305"/>
    </row>
    <row r="25" spans="2:41" ht="22.5" customHeight="1" thickBot="1" x14ac:dyDescent="0.25">
      <c r="F25" s="386" t="str">
        <f>Sprache!$E$116</f>
        <v>Rang</v>
      </c>
      <c r="G25" s="923" t="str">
        <f>"  "&amp;Sprache!$E$10</f>
        <v xml:space="preserve">  Teilnehmer bzw. Mannschaft</v>
      </c>
      <c r="H25" s="923"/>
      <c r="I25" s="924"/>
    </row>
    <row r="26" spans="2:41" ht="22.5" customHeight="1" thickTop="1" x14ac:dyDescent="0.2">
      <c r="F26" s="340">
        <v>1</v>
      </c>
      <c r="G26" s="925" t="str">
        <f ca="1">$W20</f>
        <v>Mainz 05</v>
      </c>
      <c r="H26" s="925"/>
      <c r="I26" s="926"/>
    </row>
    <row r="27" spans="2:41" ht="22.5" customHeight="1" x14ac:dyDescent="0.2">
      <c r="F27" s="341">
        <v>2</v>
      </c>
      <c r="G27" s="927" t="str">
        <f ca="1">$X20</f>
        <v>Eintracht Frankfurt</v>
      </c>
      <c r="H27" s="927"/>
      <c r="I27" s="928"/>
    </row>
    <row r="28" spans="2:41" ht="22.5" customHeight="1" x14ac:dyDescent="0.2">
      <c r="F28" s="342">
        <v>3</v>
      </c>
      <c r="G28" s="897" t="str">
        <f ca="1">$W19</f>
        <v>Maibach 1822 eV</v>
      </c>
      <c r="H28" s="897"/>
      <c r="I28" s="898"/>
    </row>
    <row r="29" spans="2:41" ht="22.5" customHeight="1" x14ac:dyDescent="0.2">
      <c r="F29" s="343">
        <v>4</v>
      </c>
      <c r="G29" s="899" t="str">
        <f ca="1">$X19</f>
        <v>Manchester City</v>
      </c>
      <c r="H29" s="899"/>
      <c r="I29" s="900"/>
    </row>
    <row r="30" spans="2:41" ht="22.5" customHeight="1" x14ac:dyDescent="0.2">
      <c r="F30" s="343">
        <v>5</v>
      </c>
      <c r="G30" s="899" t="str">
        <f ca="1">$W18</f>
        <v>VFB Essenheim</v>
      </c>
      <c r="H30" s="899"/>
      <c r="I30" s="900"/>
    </row>
    <row r="31" spans="2:41" ht="22.5" customHeight="1" x14ac:dyDescent="0.2">
      <c r="F31" s="343">
        <v>6</v>
      </c>
      <c r="G31" s="899" t="str">
        <f ca="1">$X18</f>
        <v>FC Grönlingen</v>
      </c>
      <c r="H31" s="899"/>
      <c r="I31" s="900"/>
    </row>
    <row r="32" spans="2:41" ht="24" customHeight="1" x14ac:dyDescent="0.2">
      <c r="E32" s="306">
        <v>1</v>
      </c>
      <c r="F32" s="343">
        <v>7</v>
      </c>
      <c r="G32" s="899" t="str">
        <f ca="1">$W17</f>
        <v>SSV Wildbach</v>
      </c>
      <c r="H32" s="899"/>
      <c r="I32" s="900"/>
    </row>
    <row r="33" spans="5:9" ht="24" customHeight="1" x14ac:dyDescent="0.2">
      <c r="E33" s="306">
        <v>2</v>
      </c>
      <c r="F33" s="343">
        <v>8</v>
      </c>
      <c r="G33" s="899" t="str">
        <f ca="1">$X17</f>
        <v>1. FC Riedwald</v>
      </c>
      <c r="H33" s="899"/>
      <c r="I33" s="900"/>
    </row>
    <row r="34" spans="5:9" ht="24" customHeight="1" x14ac:dyDescent="0.2">
      <c r="E34" s="306">
        <v>3</v>
      </c>
      <c r="F34" s="343">
        <v>9</v>
      </c>
      <c r="G34" s="899" t="str">
        <f ca="1">$W16</f>
        <v>FC Barcelona</v>
      </c>
      <c r="H34" s="899"/>
      <c r="I34" s="900"/>
    </row>
    <row r="35" spans="5:9" ht="24" customHeight="1" x14ac:dyDescent="0.2">
      <c r="E35" s="306">
        <v>4</v>
      </c>
      <c r="F35" s="343">
        <v>10</v>
      </c>
      <c r="G35" s="899" t="str">
        <f ca="1">$X16</f>
        <v>Inter Mailand</v>
      </c>
      <c r="H35" s="899"/>
      <c r="I35" s="900"/>
    </row>
    <row r="36" spans="5:9" ht="24" customHeight="1" x14ac:dyDescent="0.2">
      <c r="E36" s="306">
        <v>5</v>
      </c>
      <c r="F36" s="343">
        <v>11</v>
      </c>
      <c r="G36" s="899" t="str">
        <f ca="1">$W15</f>
        <v/>
      </c>
      <c r="H36" s="899"/>
      <c r="I36" s="900"/>
    </row>
    <row r="37" spans="5:9" ht="24" customHeight="1" x14ac:dyDescent="0.2">
      <c r="E37" s="306">
        <v>6</v>
      </c>
      <c r="F37" s="343">
        <v>12</v>
      </c>
      <c r="G37" s="899" t="str">
        <f ca="1">$X15</f>
        <v/>
      </c>
      <c r="H37" s="899"/>
      <c r="I37" s="900"/>
    </row>
    <row r="38" spans="5:9" ht="24" customHeight="1" x14ac:dyDescent="0.2">
      <c r="E38" s="306">
        <v>7</v>
      </c>
      <c r="F38" s="343">
        <v>13</v>
      </c>
      <c r="G38" s="899" t="str">
        <f ca="1">$W14</f>
        <v/>
      </c>
      <c r="H38" s="899"/>
      <c r="I38" s="900"/>
    </row>
    <row r="39" spans="5:9" ht="24" customHeight="1" x14ac:dyDescent="0.2">
      <c r="E39" s="306">
        <v>8</v>
      </c>
      <c r="F39" s="343">
        <v>14</v>
      </c>
      <c r="G39" s="899" t="str">
        <f ca="1">$X14</f>
        <v/>
      </c>
      <c r="H39" s="899"/>
      <c r="I39" s="900"/>
    </row>
    <row r="40" spans="5:9" ht="24" customHeight="1" x14ac:dyDescent="0.2">
      <c r="E40" s="306">
        <v>9</v>
      </c>
      <c r="F40" s="343">
        <v>15</v>
      </c>
      <c r="G40" s="899" t="str">
        <f ca="1">$W13</f>
        <v/>
      </c>
      <c r="H40" s="899"/>
      <c r="I40" s="900"/>
    </row>
    <row r="41" spans="5:9" ht="24" customHeight="1" x14ac:dyDescent="0.2">
      <c r="E41" s="306">
        <v>10</v>
      </c>
      <c r="F41" s="343">
        <v>16</v>
      </c>
      <c r="G41" s="899" t="str">
        <f ca="1">$X13</f>
        <v/>
      </c>
      <c r="H41" s="899"/>
      <c r="I41" s="900"/>
    </row>
    <row r="42" spans="5:9" ht="24" customHeight="1" x14ac:dyDescent="0.2">
      <c r="E42" s="306">
        <v>11</v>
      </c>
      <c r="F42" s="343">
        <v>17</v>
      </c>
      <c r="G42" s="899" t="str">
        <f ca="1">$W12</f>
        <v/>
      </c>
      <c r="H42" s="899"/>
      <c r="I42" s="900"/>
    </row>
    <row r="43" spans="5:9" ht="24" customHeight="1" thickBot="1" x14ac:dyDescent="0.25">
      <c r="E43" s="306">
        <v>12</v>
      </c>
      <c r="F43" s="344">
        <v>18</v>
      </c>
      <c r="G43" s="921" t="str">
        <f ca="1">$X12</f>
        <v/>
      </c>
      <c r="H43" s="921"/>
      <c r="I43" s="922"/>
    </row>
    <row r="44" spans="5:9" ht="13.5" thickTop="1" x14ac:dyDescent="0.2"/>
    <row r="45" spans="5:9" x14ac:dyDescent="0.2"/>
    <row r="46" spans="5:9" x14ac:dyDescent="0.2"/>
  </sheetData>
  <sheetProtection sheet="1" selectLockedCells="1"/>
  <mergeCells count="37">
    <mergeCell ref="AK11:AL11"/>
    <mergeCell ref="AN11:AO11"/>
    <mergeCell ref="Y10:AC10"/>
    <mergeCell ref="AE10:AF10"/>
    <mergeCell ref="AH10:AL10"/>
    <mergeCell ref="AB11:AC11"/>
    <mergeCell ref="G43:I43"/>
    <mergeCell ref="G25:I25"/>
    <mergeCell ref="G37:I37"/>
    <mergeCell ref="G38:I38"/>
    <mergeCell ref="G39:I39"/>
    <mergeCell ref="G40:I40"/>
    <mergeCell ref="G41:I41"/>
    <mergeCell ref="G42:I42"/>
    <mergeCell ref="G32:I32"/>
    <mergeCell ref="G33:I33"/>
    <mergeCell ref="G34:I34"/>
    <mergeCell ref="G35:I35"/>
    <mergeCell ref="G36:I36"/>
    <mergeCell ref="G31:I31"/>
    <mergeCell ref="G26:I26"/>
    <mergeCell ref="G27:I27"/>
    <mergeCell ref="G28:I28"/>
    <mergeCell ref="G29:I29"/>
    <mergeCell ref="G30:I30"/>
    <mergeCell ref="G22:H22"/>
    <mergeCell ref="E2:T2"/>
    <mergeCell ref="E3:T3"/>
    <mergeCell ref="E4:T4"/>
    <mergeCell ref="E5:T5"/>
    <mergeCell ref="T9:T11"/>
    <mergeCell ref="M11:O11"/>
    <mergeCell ref="P11:R11"/>
    <mergeCell ref="G11:I11"/>
    <mergeCell ref="G7:Q8"/>
    <mergeCell ref="J11:L11"/>
    <mergeCell ref="C10:F10"/>
  </mergeCells>
  <conditionalFormatting sqref="P12:R20">
    <cfRule type="expression" dxfId="39" priority="3">
      <formula>$AF12</formula>
    </cfRule>
    <cfRule type="expression" dxfId="38" priority="4">
      <formula>NOT($Y12)</formula>
    </cfRule>
  </conditionalFormatting>
  <conditionalFormatting sqref="J12:O20">
    <cfRule type="expression" dxfId="37" priority="2">
      <formula>$AE12</formula>
    </cfRule>
  </conditionalFormatting>
  <conditionalFormatting sqref="C12:R20">
    <cfRule type="expression" dxfId="36" priority="1">
      <formula>OR($G12="",$I12="")</formula>
    </cfRule>
  </conditionalFormatting>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7" id="{62103FBE-9245-4C16-947C-5C0A4CBCE1DE}">
            <xm:f>$F43&gt;2*Calc1!$F$14-MOD((Calc1!$F$13+Calc2!$F$13),2)</xm:f>
            <x14:dxf>
              <numFmt numFmtId="165" formatCode=";;;"/>
            </x14:dxf>
          </x14:cfRule>
          <xm:sqref>F43</xm:sqref>
        </x14:conditionalFormatting>
        <x14:conditionalFormatting xmlns:xm="http://schemas.microsoft.com/office/excel/2006/main">
          <x14:cfRule type="expression" priority="9" id="{68247348-F0A9-4092-B76B-1E541E29B355}">
            <xm:f>$F29&gt;2*Calc1!$F$14-MOD((Calc1!$F$13+Calc2!$F$13),2)</xm:f>
            <x14:dxf>
              <numFmt numFmtId="165" formatCode=";;;"/>
            </x14:dxf>
          </x14:cfRule>
          <xm:sqref>F29 F31 F33 F35 F37 F39 F41</xm:sqref>
        </x14:conditionalFormatting>
        <x14:conditionalFormatting xmlns:xm="http://schemas.microsoft.com/office/excel/2006/main">
          <x14:cfRule type="expression" priority="8" id="{FE848D01-E50E-49D2-A24B-0F5A73FAA467}">
            <xm:f>$F30&gt;2*Calc1!$F$14-MOD((Calc1!$F$13+Calc2!$F$13),2)</xm:f>
            <x14:dxf>
              <numFmt numFmtId="165" formatCode=";;;"/>
            </x14:dxf>
          </x14:cfRule>
          <xm:sqref>F30 F32 F34 F36 F38 F40 F42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139E1-57E8-42AF-9E1E-127DFFA04595}">
  <dimension ref="A1:AO50"/>
  <sheetViews>
    <sheetView showGridLines="0" showRowColHeaders="0" zoomScaleNormal="100" workbookViewId="0">
      <selection activeCell="J12" sqref="J12"/>
    </sheetView>
  </sheetViews>
  <sheetFormatPr baseColWidth="10" defaultColWidth="0" defaultRowHeight="12.75" zeroHeight="1" x14ac:dyDescent="0.2"/>
  <cols>
    <col min="1" max="1" width="10.42578125" style="47" customWidth="1"/>
    <col min="2" max="2" width="5.28515625" style="47" customWidth="1"/>
    <col min="3" max="3" width="6.85546875" style="47" customWidth="1"/>
    <col min="4" max="4" width="11.42578125" style="47" customWidth="1"/>
    <col min="5" max="5" width="8.42578125" style="47" customWidth="1"/>
    <col min="6" max="6" width="11.42578125" style="47" customWidth="1"/>
    <col min="7" max="7" width="28.7109375" style="47" customWidth="1"/>
    <col min="8" max="8" width="2.85546875" style="47" customWidth="1"/>
    <col min="9" max="9" width="28.7109375" style="47" customWidth="1"/>
    <col min="10" max="10" width="4.7109375" style="47" customWidth="1"/>
    <col min="11" max="11" width="2.28515625" style="47" customWidth="1"/>
    <col min="12" max="13" width="4.7109375" style="47" customWidth="1"/>
    <col min="14" max="14" width="2" style="47" customWidth="1"/>
    <col min="15" max="16" width="4.7109375" style="47" customWidth="1"/>
    <col min="17" max="17" width="2.28515625" style="47" customWidth="1"/>
    <col min="18" max="18" width="4.7109375" style="47" customWidth="1"/>
    <col min="19" max="19" width="18.140625" style="47" customWidth="1"/>
    <col min="20" max="20" width="8" style="47" customWidth="1"/>
    <col min="21" max="21" width="6.140625" style="47" customWidth="1"/>
    <col min="22" max="22" width="11.42578125" style="47" customWidth="1"/>
    <col min="23" max="23" width="16.28515625" style="47" hidden="1" customWidth="1"/>
    <col min="24" max="24" width="16.85546875" style="47" hidden="1" customWidth="1"/>
    <col min="25" max="25" width="10.140625" style="47" hidden="1" customWidth="1"/>
    <col min="26" max="26" width="9.5703125" style="47" hidden="1" customWidth="1"/>
    <col min="27" max="27" width="10" style="47" hidden="1" customWidth="1"/>
    <col min="28" max="28" width="5.85546875" style="47" hidden="1" customWidth="1"/>
    <col min="29" max="29" width="5.7109375" style="47" hidden="1" customWidth="1"/>
    <col min="30" max="30" width="3.5703125" style="47" hidden="1" customWidth="1"/>
    <col min="31" max="32" width="11.42578125" style="47" hidden="1" customWidth="1"/>
    <col min="33" max="33" width="3.140625" style="47" hidden="1" customWidth="1"/>
    <col min="34" max="36" width="11.42578125" style="47" hidden="1" customWidth="1"/>
    <col min="37" max="37" width="5.7109375" style="47" hidden="1" customWidth="1"/>
    <col min="38" max="38" width="6" style="47" hidden="1" customWidth="1"/>
    <col min="39" max="39" width="3.28515625" style="47" hidden="1" customWidth="1"/>
    <col min="40" max="40" width="5" style="47" hidden="1" customWidth="1"/>
    <col min="41" max="41" width="5.42578125" style="47" hidden="1" customWidth="1"/>
    <col min="42" max="16384" width="11.42578125" style="47" hidden="1"/>
  </cols>
  <sheetData>
    <row r="1" spans="2:41" ht="13.5" thickBot="1" x14ac:dyDescent="0.25"/>
    <row r="2" spans="2:41" ht="36" customHeight="1" thickTop="1" x14ac:dyDescent="0.2">
      <c r="E2" s="902" t="str">
        <f>Vorrunde!$H$2</f>
        <v>Internationales U10-Turnier am 27.01.2026</v>
      </c>
      <c r="F2" s="903"/>
      <c r="G2" s="903"/>
      <c r="H2" s="903"/>
      <c r="I2" s="903"/>
      <c r="J2" s="903"/>
      <c r="K2" s="903"/>
      <c r="L2" s="903"/>
      <c r="M2" s="903"/>
      <c r="N2" s="903"/>
      <c r="O2" s="903"/>
      <c r="P2" s="903"/>
      <c r="Q2" s="903"/>
      <c r="R2" s="903"/>
      <c r="S2" s="903"/>
      <c r="T2" s="904"/>
    </row>
    <row r="3" spans="2:41" ht="30" customHeight="1" x14ac:dyDescent="0.2">
      <c r="E3" s="905" t="str">
        <f>Vorrunde!$H$3</f>
        <v>Veranstalter:  1. FC Riedwald</v>
      </c>
      <c r="F3" s="906"/>
      <c r="G3" s="906"/>
      <c r="H3" s="906"/>
      <c r="I3" s="906"/>
      <c r="J3" s="906"/>
      <c r="K3" s="906"/>
      <c r="L3" s="906"/>
      <c r="M3" s="906"/>
      <c r="N3" s="906"/>
      <c r="O3" s="906"/>
      <c r="P3" s="906"/>
      <c r="Q3" s="906"/>
      <c r="R3" s="906"/>
      <c r="S3" s="906"/>
      <c r="T3" s="907"/>
    </row>
    <row r="4" spans="2:41" ht="30" customHeight="1" x14ac:dyDescent="0.2">
      <c r="E4" s="908" t="str">
        <f>Vorrunde!$H$4</f>
        <v>Sporthalle Wiesengrund, Wendiger Str. 51, 65432 Riedwald</v>
      </c>
      <c r="F4" s="909"/>
      <c r="G4" s="909"/>
      <c r="H4" s="909"/>
      <c r="I4" s="909"/>
      <c r="J4" s="909"/>
      <c r="K4" s="909"/>
      <c r="L4" s="909"/>
      <c r="M4" s="909"/>
      <c r="N4" s="909"/>
      <c r="O4" s="909"/>
      <c r="P4" s="909"/>
      <c r="Q4" s="909"/>
      <c r="R4" s="909"/>
      <c r="S4" s="909"/>
      <c r="T4" s="910"/>
    </row>
    <row r="5" spans="2:41" ht="30" customHeight="1" thickBot="1" x14ac:dyDescent="0.25">
      <c r="E5" s="911" t="str">
        <f>Vorrunde!$H$5</f>
        <v>Beginn:  9:00 Uhr</v>
      </c>
      <c r="F5" s="912"/>
      <c r="G5" s="912"/>
      <c r="H5" s="912"/>
      <c r="I5" s="912"/>
      <c r="J5" s="912"/>
      <c r="K5" s="912"/>
      <c r="L5" s="912"/>
      <c r="M5" s="912"/>
      <c r="N5" s="912"/>
      <c r="O5" s="912"/>
      <c r="P5" s="912"/>
      <c r="Q5" s="912"/>
      <c r="R5" s="912"/>
      <c r="S5" s="912"/>
      <c r="T5" s="913"/>
    </row>
    <row r="6" spans="2:41" ht="18" customHeight="1" thickTop="1" thickBot="1" x14ac:dyDescent="0.25"/>
    <row r="7" spans="2:41" ht="30" customHeight="1" thickTop="1" x14ac:dyDescent="0.2">
      <c r="G7" s="914" t="str">
        <f>Sprache!$E$19</f>
        <v>Endrunde</v>
      </c>
      <c r="H7" s="915"/>
      <c r="I7" s="915"/>
      <c r="J7" s="915"/>
      <c r="K7" s="915"/>
      <c r="L7" s="915"/>
      <c r="M7" s="915"/>
      <c r="N7" s="915"/>
      <c r="O7" s="915"/>
      <c r="P7" s="915"/>
      <c r="Q7" s="916"/>
    </row>
    <row r="8" spans="2:41" ht="30" customHeight="1" thickBot="1" x14ac:dyDescent="0.25">
      <c r="G8" s="917"/>
      <c r="H8" s="918"/>
      <c r="I8" s="918"/>
      <c r="J8" s="918"/>
      <c r="K8" s="918"/>
      <c r="L8" s="918"/>
      <c r="M8" s="918"/>
      <c r="N8" s="918"/>
      <c r="O8" s="918"/>
      <c r="P8" s="918"/>
      <c r="Q8" s="919"/>
    </row>
    <row r="9" spans="2:41" ht="12.6" customHeight="1" thickTop="1" x14ac:dyDescent="0.2">
      <c r="T9" s="809" t="str">
        <f>Sprache!$E$20</f>
        <v>Zusätzl. Pause (min)</v>
      </c>
      <c r="W9" s="779" t="s">
        <v>471</v>
      </c>
    </row>
    <row r="10" spans="2:41" ht="27.95" customHeight="1" thickBot="1" x14ac:dyDescent="0.35">
      <c r="C10" s="920" t="str">
        <f>Sprache!$E$62&amp;IF(MIN(Calc1!$F$13,Calc2!$F$13)*2&lt;6,""," 5 - "&amp;MIN(Calc1!$F$13,Calc2!$F$13)*2)</f>
        <v>Spiele um die Plätze  5 - 10</v>
      </c>
      <c r="D10" s="920"/>
      <c r="E10" s="920"/>
      <c r="F10" s="920"/>
      <c r="T10" s="809"/>
      <c r="W10" s="777" t="b">
        <f>Einstellungen!$B$43=Sprache!$E$79</f>
        <v>1</v>
      </c>
      <c r="Y10" s="930" t="s">
        <v>468</v>
      </c>
      <c r="Z10" s="930"/>
      <c r="AA10" s="930"/>
      <c r="AB10" s="930"/>
      <c r="AC10" s="930"/>
      <c r="AE10" s="931" t="s">
        <v>469</v>
      </c>
      <c r="AF10" s="931"/>
      <c r="AH10" s="930" t="s">
        <v>470</v>
      </c>
      <c r="AI10" s="930"/>
      <c r="AJ10" s="930"/>
      <c r="AK10" s="930"/>
      <c r="AL10" s="930"/>
    </row>
    <row r="11" spans="2:41" ht="24" customHeight="1" thickTop="1" thickBot="1" x14ac:dyDescent="0.25">
      <c r="B11" s="304"/>
      <c r="C11" s="339" t="str">
        <f>Sprache!$E$9</f>
        <v>Nr.</v>
      </c>
      <c r="D11" s="300" t="str">
        <f>Sprache!$E$39</f>
        <v>Beginn</v>
      </c>
      <c r="E11" s="294" t="str">
        <f>Sprache!$E$48</f>
        <v>Feld</v>
      </c>
      <c r="F11" s="294"/>
      <c r="G11" s="830" t="str">
        <f>Sprache!$E$14</f>
        <v>Spielpaarung</v>
      </c>
      <c r="H11" s="830"/>
      <c r="I11" s="830"/>
      <c r="J11" s="830" t="str">
        <f>Sprache!$E$91</f>
        <v>1. Satz</v>
      </c>
      <c r="K11" s="830"/>
      <c r="L11" s="830"/>
      <c r="M11" s="830" t="str">
        <f>Sprache!$E$92</f>
        <v>2. Satz</v>
      </c>
      <c r="N11" s="830"/>
      <c r="O11" s="830"/>
      <c r="P11" s="830" t="str">
        <f>Sprache!$E$93</f>
        <v>3. Satz</v>
      </c>
      <c r="Q11" s="830"/>
      <c r="R11" s="830"/>
      <c r="S11" s="574" t="str">
        <f>Sprache!$E$59</f>
        <v>Schiedsrichter</v>
      </c>
      <c r="T11" s="810"/>
      <c r="W11" s="778" t="s">
        <v>448</v>
      </c>
      <c r="X11" s="778" t="s">
        <v>449</v>
      </c>
      <c r="Y11" s="737" t="s">
        <v>450</v>
      </c>
      <c r="Z11" s="737" t="s">
        <v>451</v>
      </c>
      <c r="AA11" s="737" t="s">
        <v>452</v>
      </c>
      <c r="AB11" s="929" t="s">
        <v>453</v>
      </c>
      <c r="AC11" s="929"/>
      <c r="AE11" s="737" t="s">
        <v>463</v>
      </c>
      <c r="AF11" s="737" t="s">
        <v>464</v>
      </c>
      <c r="AH11" s="737" t="s">
        <v>465</v>
      </c>
      <c r="AI11" s="737" t="s">
        <v>466</v>
      </c>
      <c r="AJ11" s="737" t="s">
        <v>452</v>
      </c>
      <c r="AK11" s="929" t="s">
        <v>453</v>
      </c>
      <c r="AL11" s="929"/>
      <c r="AN11" s="929" t="s">
        <v>467</v>
      </c>
      <c r="AO11" s="929"/>
    </row>
    <row r="12" spans="2:41" s="283" customFormat="1" ht="24" customHeight="1" x14ac:dyDescent="0.2">
      <c r="B12" s="330"/>
      <c r="C12" s="338">
        <f t="array" aca="1" ref="C12" ca="1">73-SUM(((Planung!$L$6:$L$77="")+(Planung!$N$6:$N$77="")&gt;0)*1)</f>
        <v>21</v>
      </c>
      <c r="D12" s="301">
        <f ca="1">IF(Planung!$V$16,"",Planung!$S$13+(Planung!$S$9+Planung!$Q$77)/1440)</f>
        <v>0.49652777777777779</v>
      </c>
      <c r="E12" s="519">
        <f>IF(Planung!$V$16,"",1)</f>
        <v>1</v>
      </c>
      <c r="F12" s="520" t="s">
        <v>331</v>
      </c>
      <c r="G12" s="291" t="str">
        <f ca="1">Vorrunde!$X$20</f>
        <v/>
      </c>
      <c r="H12" s="292" t="s">
        <v>5</v>
      </c>
      <c r="I12" s="293" t="str">
        <f ca="1">Vorrunde!$X$33</f>
        <v/>
      </c>
      <c r="J12" s="697"/>
      <c r="K12" s="295" t="str">
        <f>Sprache!$E$108</f>
        <v xml:space="preserve"> : </v>
      </c>
      <c r="L12" s="733"/>
      <c r="M12" s="697"/>
      <c r="N12" s="723" t="str">
        <f>Sprache!$E$108</f>
        <v xml:space="preserve"> : </v>
      </c>
      <c r="O12" s="733"/>
      <c r="P12" s="701"/>
      <c r="Q12" s="295" t="str">
        <f>Sprache!$E$108</f>
        <v xml:space="preserve"> : </v>
      </c>
      <c r="R12" s="707"/>
      <c r="S12" s="713"/>
      <c r="T12" s="710"/>
      <c r="W12" s="283" t="str">
        <f ca="1">IF(AN12&gt;AO12,$G12,IF(AN12&lt;AO12,$I12,""))</f>
        <v/>
      </c>
      <c r="X12" s="283" t="str">
        <f ca="1">IF(AN12&lt;AO12,$G12,IF(AN12&gt;AO12,$I12,""))</f>
        <v/>
      </c>
      <c r="Y12" s="283" t="b">
        <f>OR(NOT($W$10),AND($J12&lt;&gt;"",$L12&lt;&gt;"",$M12&lt;&gt;"",$O12&lt;&gt;"",$J12&lt;&gt;$L12,$M12&lt;&gt;$O12,($J12&gt;$L12)+($M12&gt;$O12)=1))</f>
        <v>0</v>
      </c>
      <c r="Z12" s="716" t="b">
        <f ca="1">AND($J12&lt;&gt;"",$L12&lt;&gt;"",$J12&lt;&gt;$L12,OR(AND($M12="",$O12=""),AND($M12&lt;&gt;"",$O12&lt;&gt;"",$M12&lt;&gt;$O12)),$G12&lt;&gt;"",$I12&lt;&gt;"",$G12&lt;&gt;$I12)</f>
        <v>0</v>
      </c>
      <c r="AA12" s="283" t="b">
        <f>AND(Y12,$P12&lt;&gt;"",$R12&lt;&gt;"",$P12&lt;&gt;$R12)</f>
        <v>0</v>
      </c>
      <c r="AB12" s="716">
        <f ca="1">(($J12&gt;$L12)+($M12&gt;$O12)+($P12&gt;$R12)*AA12)*Z12</f>
        <v>0</v>
      </c>
      <c r="AC12" s="716">
        <f ca="1">(($J12&lt;$L12)+($M12&lt;$O12)+($P12&lt;$R12)*AA12)*Z12</f>
        <v>0</v>
      </c>
      <c r="AE12" s="283" t="b">
        <f>AND($W$10,OR(AND($J12&lt;&gt;"",$J12=$L12),AND($M12&lt;&gt;"",$M12=$O12)))</f>
        <v>0</v>
      </c>
      <c r="AF12" s="283" t="b">
        <f>AND($W$10,$P12&lt;&gt;"",$R12&lt;&gt;"",$P12=$R12,$Y12)</f>
        <v>0</v>
      </c>
      <c r="AH12" s="283" t="b">
        <f ca="1">AND($J12&lt;&gt;"",$L12&lt;&gt;"",$G12&lt;&gt;"",$I12&lt;&gt;"",$G12&lt;&gt;$I12)</f>
        <v>0</v>
      </c>
      <c r="AI12" s="283" t="b">
        <f ca="1">AND($M12&lt;&gt;"",$O12&lt;&gt;"",$G12&lt;&gt;"",$I12&lt;&gt;"",$G12&lt;&gt;$I12)</f>
        <v>0</v>
      </c>
      <c r="AJ12" s="283" t="b">
        <f ca="1">AND($P12&lt;&gt;"",$R12&lt;&gt;"",$G12&lt;&gt;"",$I12&lt;&gt;"",$G12&lt;&gt;$I12)</f>
        <v>0</v>
      </c>
      <c r="AK12" s="716">
        <f ca="1">(($J12&gt;$L12)+($J12=$L12)*0.5)*$AH12+(($M12&gt;$O12)+($M12=$O12)*0.5)*$AI12+(($P12&gt;$R12)+($P12=$R12)*0.5)*$AJ12</f>
        <v>0</v>
      </c>
      <c r="AL12" s="716">
        <f ca="1">(($J12&lt;$L12)+($J12=$L12)*0.5)*$AH12+(($M12&lt;$O12)+($M12=$O12)*0.5)*$AI12+(($P12&lt;$R12)+($P12=$R12)*0.5)*$AJ12</f>
        <v>0</v>
      </c>
      <c r="AN12" s="716">
        <f ca="1">IF($W$10,$AB12,$AK12)</f>
        <v>0</v>
      </c>
      <c r="AO12" s="716">
        <f ca="1">IF($W$10,$AC12,$AL12)</f>
        <v>0</v>
      </c>
    </row>
    <row r="13" spans="2:41" s="283" customFormat="1" ht="24" customHeight="1" x14ac:dyDescent="0.2">
      <c r="B13" s="330"/>
      <c r="C13" s="338">
        <f t="array" aca="1" ref="C13" ca="1">ROW($A74)-SUM(((Planung!$L$6:$L$77="")+(Planung!$N$6:$N$77="")&gt;0)*1)-SUM((($G$12:$G12="")+($I$12:$I12="")&gt;0)*1)</f>
        <v>21</v>
      </c>
      <c r="D13" s="302">
        <f t="array" aca="1" ref="D13" ca="1">IF(Planung!$V$16,"",$D$12+QUOTIENT(($C13-$C$12),Planung!$V$18)*(Planung!$S$7+Planung!$S$9)/1440+SUM($T$12:$T12)/1440)</f>
        <v>0.49652777777777779</v>
      </c>
      <c r="E13" s="297">
        <f ca="1">IF(Planung!$V$16,"",MOD($C13-$C$12,Planung!$V$18)+1)</f>
        <v>1</v>
      </c>
      <c r="F13" s="288" t="s">
        <v>332</v>
      </c>
      <c r="G13" s="284" t="str">
        <f ca="1">Vorrunde!$X$19</f>
        <v/>
      </c>
      <c r="H13" s="140" t="s">
        <v>5</v>
      </c>
      <c r="I13" s="286" t="str">
        <f ca="1">Vorrunde!$X$32</f>
        <v/>
      </c>
      <c r="J13" s="698"/>
      <c r="K13" s="295" t="str">
        <f>Sprache!$E$108</f>
        <v xml:space="preserve"> : </v>
      </c>
      <c r="L13" s="705"/>
      <c r="M13" s="698"/>
      <c r="N13" s="723" t="str">
        <f>Sprache!$E$108</f>
        <v xml:space="preserve"> : </v>
      </c>
      <c r="O13" s="733"/>
      <c r="P13" s="701"/>
      <c r="Q13" s="295" t="str">
        <f>Sprache!$E$108</f>
        <v xml:space="preserve"> : </v>
      </c>
      <c r="R13" s="708"/>
      <c r="S13" s="714"/>
      <c r="T13" s="711"/>
      <c r="W13" s="283" t="str">
        <f t="shared" ref="W13:W24" ca="1" si="0">IF(AN13&gt;AO13,$G13,IF(AN13&lt;AO13,$I13,""))</f>
        <v/>
      </c>
      <c r="X13" s="283" t="str">
        <f t="shared" ref="X13:X24" ca="1" si="1">IF(AN13&lt;AO13,$G13,IF(AN13&gt;AO13,$I13,""))</f>
        <v/>
      </c>
      <c r="Y13" s="283" t="b">
        <f t="shared" ref="Y13:Y24" si="2">OR(NOT($W$10),AND($J13&lt;&gt;"",$L13&lt;&gt;"",$M13&lt;&gt;"",$O13&lt;&gt;"",$J13&lt;&gt;$L13,$M13&lt;&gt;$O13,($J13&gt;$L13)+($M13&gt;$O13)=1))</f>
        <v>0</v>
      </c>
      <c r="Z13" s="716" t="b">
        <f t="shared" ref="Z13:Z24" ca="1" si="3">AND($J13&lt;&gt;"",$L13&lt;&gt;"",$J13&lt;&gt;$L13,OR(AND($M13="",$O13=""),AND($M13&lt;&gt;"",$O13&lt;&gt;"",$M13&lt;&gt;$O13)),$G13&lt;&gt;"",$I13&lt;&gt;"",$G13&lt;&gt;$I13)</f>
        <v>0</v>
      </c>
      <c r="AA13" s="283" t="b">
        <f t="shared" ref="AA13:AA24" si="4">AND(Y13,$P13&lt;&gt;"",$R13&lt;&gt;"",$P13&lt;&gt;$R13)</f>
        <v>0</v>
      </c>
      <c r="AB13" s="716">
        <f t="shared" ref="AB13:AB24" ca="1" si="5">(($J13&gt;$L13)+($M13&gt;$O13)+($P13&gt;$R13)*AA13)*Z13</f>
        <v>0</v>
      </c>
      <c r="AC13" s="716">
        <f t="shared" ref="AC13:AC24" ca="1" si="6">(($J13&lt;$L13)+($M13&lt;$O13)+($P13&lt;$R13)*AA13)*Z13</f>
        <v>0</v>
      </c>
      <c r="AE13" s="283" t="b">
        <f t="shared" ref="AE13:AE24" si="7">AND($W$10,OR(AND($J13&lt;&gt;"",$J13=$L13),AND($M13&lt;&gt;"",$M13=$O13)))</f>
        <v>0</v>
      </c>
      <c r="AF13" s="283" t="b">
        <f t="shared" ref="AF13:AF24" si="8">AND($W$10,$P13&lt;&gt;"",$R13&lt;&gt;"",$P13=$R13,$Y13)</f>
        <v>0</v>
      </c>
      <c r="AH13" s="283" t="b">
        <f t="shared" ref="AH13:AH24" ca="1" si="9">AND($J13&lt;&gt;"",$L13&lt;&gt;"",$G13&lt;&gt;"",$I13&lt;&gt;"",$G13&lt;&gt;$I13)</f>
        <v>0</v>
      </c>
      <c r="AI13" s="283" t="b">
        <f t="shared" ref="AI13:AI24" ca="1" si="10">AND($M13&lt;&gt;"",$O13&lt;&gt;"",$G13&lt;&gt;"",$I13&lt;&gt;"",$G13&lt;&gt;$I13)</f>
        <v>0</v>
      </c>
      <c r="AJ13" s="283" t="b">
        <f t="shared" ref="AJ13:AJ24" ca="1" si="11">AND($P13&lt;&gt;"",$R13&lt;&gt;"",$G13&lt;&gt;"",$I13&lt;&gt;"",$G13&lt;&gt;$I13)</f>
        <v>0</v>
      </c>
      <c r="AK13" s="716">
        <f t="shared" ref="AK13:AK24" ca="1" si="12">(($J13&gt;$L13)+($J13=$L13)*0.5)*$AH13+(($M13&gt;$O13)+($M13=$O13)*0.5)*$AI13+(($P13&gt;$R13)+($P13=$R13)*0.5)*$AJ13</f>
        <v>0</v>
      </c>
      <c r="AL13" s="716">
        <f t="shared" ref="AL13:AL24" ca="1" si="13">(($J13&lt;$L13)+($J13=$L13)*0.5)*$AH13+(($M13&lt;$O13)+($M13=$O13)*0.5)*$AI13+(($P13&lt;$R13)+($P13=$R13)*0.5)*$AJ13</f>
        <v>0</v>
      </c>
      <c r="AN13" s="716">
        <f t="shared" ref="AN13:AN24" ca="1" si="14">IF($W$10,$AB13,$AK13)</f>
        <v>0</v>
      </c>
      <c r="AO13" s="716">
        <f t="shared" ref="AO13:AO24" ca="1" si="15">IF($W$10,$AC13,$AL13)</f>
        <v>0</v>
      </c>
    </row>
    <row r="14" spans="2:41" s="283" customFormat="1" ht="24" customHeight="1" x14ac:dyDescent="0.2">
      <c r="B14" s="330"/>
      <c r="C14" s="338">
        <f t="array" aca="1" ref="C14" ca="1">ROW($A75)-SUM(((Planung!$L$6:$L$77="")+(Planung!$N$6:$N$77="")&gt;0)*1)-SUM((($G$12:$G13="")+($I$12:$I13="")&gt;0)*1)</f>
        <v>21</v>
      </c>
      <c r="D14" s="302">
        <f t="array" aca="1" ref="D14" ca="1">IF(Planung!$V$16,"",$D$12+QUOTIENT(($C14-$C$12),Planung!$V$18)*(Planung!$S$7+Planung!$S$9)/1440+SUM($T$12:$T13)/1440)</f>
        <v>0.49652777777777779</v>
      </c>
      <c r="E14" s="297">
        <f ca="1">IF(Planung!$V$16,"",MOD($C14-$C$12,Planung!$V$18)+1)</f>
        <v>1</v>
      </c>
      <c r="F14" s="288" t="s">
        <v>333</v>
      </c>
      <c r="G14" s="284" t="str">
        <f ca="1">Vorrunde!$X$18</f>
        <v/>
      </c>
      <c r="H14" s="140" t="s">
        <v>5</v>
      </c>
      <c r="I14" s="286" t="str">
        <f ca="1">Vorrunde!$X$31</f>
        <v/>
      </c>
      <c r="J14" s="698"/>
      <c r="K14" s="295" t="str">
        <f>Sprache!$E$108</f>
        <v xml:space="preserve"> : </v>
      </c>
      <c r="L14" s="705"/>
      <c r="M14" s="698"/>
      <c r="N14" s="723" t="str">
        <f>Sprache!$E$108</f>
        <v xml:space="preserve"> : </v>
      </c>
      <c r="O14" s="733"/>
      <c r="P14" s="701"/>
      <c r="Q14" s="295" t="str">
        <f>Sprache!$E$108</f>
        <v xml:space="preserve"> : </v>
      </c>
      <c r="R14" s="708"/>
      <c r="S14" s="714"/>
      <c r="T14" s="711"/>
      <c r="W14" s="283" t="str">
        <f t="shared" ca="1" si="0"/>
        <v/>
      </c>
      <c r="X14" s="283" t="str">
        <f t="shared" ca="1" si="1"/>
        <v/>
      </c>
      <c r="Y14" s="283" t="b">
        <f t="shared" si="2"/>
        <v>0</v>
      </c>
      <c r="Z14" s="716" t="b">
        <f t="shared" ca="1" si="3"/>
        <v>0</v>
      </c>
      <c r="AA14" s="283" t="b">
        <f t="shared" si="4"/>
        <v>0</v>
      </c>
      <c r="AB14" s="716">
        <f t="shared" ca="1" si="5"/>
        <v>0</v>
      </c>
      <c r="AC14" s="716">
        <f t="shared" ca="1" si="6"/>
        <v>0</v>
      </c>
      <c r="AE14" s="283" t="b">
        <f t="shared" si="7"/>
        <v>0</v>
      </c>
      <c r="AF14" s="283" t="b">
        <f t="shared" si="8"/>
        <v>0</v>
      </c>
      <c r="AH14" s="283" t="b">
        <f t="shared" ca="1" si="9"/>
        <v>0</v>
      </c>
      <c r="AI14" s="283" t="b">
        <f t="shared" ca="1" si="10"/>
        <v>0</v>
      </c>
      <c r="AJ14" s="283" t="b">
        <f t="shared" ca="1" si="11"/>
        <v>0</v>
      </c>
      <c r="AK14" s="716">
        <f t="shared" ca="1" si="12"/>
        <v>0</v>
      </c>
      <c r="AL14" s="716">
        <f t="shared" ca="1" si="13"/>
        <v>0</v>
      </c>
      <c r="AN14" s="716">
        <f t="shared" ca="1" si="14"/>
        <v>0</v>
      </c>
      <c r="AO14" s="716">
        <f t="shared" ca="1" si="15"/>
        <v>0</v>
      </c>
    </row>
    <row r="15" spans="2:41" s="283" customFormat="1" ht="24" customHeight="1" x14ac:dyDescent="0.2">
      <c r="B15" s="330"/>
      <c r="C15" s="338">
        <f t="array" aca="1" ref="C15" ca="1">ROW($A76)-SUM(((Planung!$L$6:$L$77="")+(Planung!$N$6:$N$77="")&gt;0)*1)-SUM((($G$12:$G14="")+($I$12:$I14="")&gt;0)*1)</f>
        <v>21</v>
      </c>
      <c r="D15" s="302">
        <f t="array" aca="1" ref="D15" ca="1">IF(Planung!$V$16,"",$D$12+QUOTIENT(($C15-$C$12),Planung!$V$18)*(Planung!$S$7+Planung!$S$9)/1440+SUM($T$12:$T14)/1440)</f>
        <v>0.49652777777777779</v>
      </c>
      <c r="E15" s="297">
        <f ca="1">IF(Planung!$V$16,"",MOD($C15-$C$12,Planung!$V$18)+1)</f>
        <v>1</v>
      </c>
      <c r="F15" s="290" t="s">
        <v>213</v>
      </c>
      <c r="G15" s="284" t="str">
        <f ca="1">Vorrunde!$X$17</f>
        <v/>
      </c>
      <c r="H15" s="140" t="s">
        <v>5</v>
      </c>
      <c r="I15" s="286" t="str">
        <f ca="1">Vorrunde!$X$30</f>
        <v/>
      </c>
      <c r="J15" s="698"/>
      <c r="K15" s="296" t="str">
        <f>Sprache!$E$108</f>
        <v xml:space="preserve"> : </v>
      </c>
      <c r="L15" s="705"/>
      <c r="M15" s="698"/>
      <c r="N15" s="724" t="str">
        <f>Sprache!$E$108</f>
        <v xml:space="preserve"> : </v>
      </c>
      <c r="O15" s="705"/>
      <c r="P15" s="702"/>
      <c r="Q15" s="296" t="str">
        <f>Sprache!$E$108</f>
        <v xml:space="preserve"> : </v>
      </c>
      <c r="R15" s="708"/>
      <c r="S15" s="714"/>
      <c r="T15" s="711"/>
      <c r="W15" s="283" t="str">
        <f t="shared" ca="1" si="0"/>
        <v/>
      </c>
      <c r="X15" s="283" t="str">
        <f t="shared" ca="1" si="1"/>
        <v/>
      </c>
      <c r="Y15" s="283" t="b">
        <f t="shared" si="2"/>
        <v>0</v>
      </c>
      <c r="Z15" s="716" t="b">
        <f t="shared" ca="1" si="3"/>
        <v>0</v>
      </c>
      <c r="AA15" s="283" t="b">
        <f t="shared" si="4"/>
        <v>0</v>
      </c>
      <c r="AB15" s="716">
        <f t="shared" ca="1" si="5"/>
        <v>0</v>
      </c>
      <c r="AC15" s="716">
        <f t="shared" ca="1" si="6"/>
        <v>0</v>
      </c>
      <c r="AE15" s="283" t="b">
        <f t="shared" si="7"/>
        <v>0</v>
      </c>
      <c r="AF15" s="283" t="b">
        <f t="shared" si="8"/>
        <v>0</v>
      </c>
      <c r="AH15" s="283" t="b">
        <f t="shared" ca="1" si="9"/>
        <v>0</v>
      </c>
      <c r="AI15" s="283" t="b">
        <f t="shared" ca="1" si="10"/>
        <v>0</v>
      </c>
      <c r="AJ15" s="283" t="b">
        <f t="shared" ca="1" si="11"/>
        <v>0</v>
      </c>
      <c r="AK15" s="716">
        <f t="shared" ca="1" si="12"/>
        <v>0</v>
      </c>
      <c r="AL15" s="716">
        <f t="shared" ca="1" si="13"/>
        <v>0</v>
      </c>
      <c r="AN15" s="716">
        <f t="shared" ca="1" si="14"/>
        <v>0</v>
      </c>
      <c r="AO15" s="716">
        <f t="shared" ca="1" si="15"/>
        <v>0</v>
      </c>
    </row>
    <row r="16" spans="2:41" s="283" customFormat="1" ht="24" customHeight="1" x14ac:dyDescent="0.2">
      <c r="B16" s="330"/>
      <c r="C16" s="338">
        <f t="array" aca="1" ref="C16" ca="1">ROW($A77)-SUM(((Planung!$L$6:$L$77="")+(Planung!$N$6:$N$77="")&gt;0)*1)-SUM((($G$12:$G15="")+($I$12:$I15="")&gt;0)*1)</f>
        <v>21</v>
      </c>
      <c r="D16" s="302">
        <f t="array" aca="1" ref="D16" ca="1">IF(Planung!$V$16,"",$D$12+QUOTIENT(($C16-$C$12),Planung!$V$18)*(Planung!$S$7+Planung!$S$9)/1440+SUM($T$12:$T15)/1440)</f>
        <v>0.49652777777777779</v>
      </c>
      <c r="E16" s="297">
        <f ca="1">IF(Planung!$V$16,"",MOD($C16-$C$12,Planung!$V$18)+1)</f>
        <v>1</v>
      </c>
      <c r="F16" s="288" t="s">
        <v>214</v>
      </c>
      <c r="G16" s="284" t="str">
        <f ca="1">Vorrunde!$X$16</f>
        <v>FC Barcelona</v>
      </c>
      <c r="H16" s="140" t="s">
        <v>5</v>
      </c>
      <c r="I16" s="286" t="str">
        <f ca="1">Vorrunde!$X$29</f>
        <v>Inter Mailand</v>
      </c>
      <c r="J16" s="698">
        <v>19</v>
      </c>
      <c r="K16" s="296" t="str">
        <f>Sprache!$E$108</f>
        <v xml:space="preserve"> : </v>
      </c>
      <c r="L16" s="705">
        <v>25</v>
      </c>
      <c r="M16" s="698">
        <v>25</v>
      </c>
      <c r="N16" s="724" t="str">
        <f>Sprache!$E$108</f>
        <v xml:space="preserve"> : </v>
      </c>
      <c r="O16" s="705">
        <v>17</v>
      </c>
      <c r="P16" s="702">
        <v>18</v>
      </c>
      <c r="Q16" s="296" t="str">
        <f>Sprache!$E$108</f>
        <v xml:space="preserve"> : </v>
      </c>
      <c r="R16" s="708">
        <v>15</v>
      </c>
      <c r="S16" s="719"/>
      <c r="T16" s="717"/>
      <c r="W16" s="283" t="str">
        <f t="shared" ca="1" si="0"/>
        <v>FC Barcelona</v>
      </c>
      <c r="X16" s="283" t="str">
        <f t="shared" ca="1" si="1"/>
        <v>Inter Mailand</v>
      </c>
      <c r="Y16" s="283" t="b">
        <f t="shared" si="2"/>
        <v>1</v>
      </c>
      <c r="Z16" s="716" t="b">
        <f t="shared" ca="1" si="3"/>
        <v>1</v>
      </c>
      <c r="AA16" s="283" t="b">
        <f t="shared" si="4"/>
        <v>1</v>
      </c>
      <c r="AB16" s="716">
        <f t="shared" ca="1" si="5"/>
        <v>2</v>
      </c>
      <c r="AC16" s="716">
        <f t="shared" ca="1" si="6"/>
        <v>1</v>
      </c>
      <c r="AE16" s="283" t="b">
        <f t="shared" si="7"/>
        <v>0</v>
      </c>
      <c r="AF16" s="283" t="b">
        <f t="shared" si="8"/>
        <v>0</v>
      </c>
      <c r="AH16" s="283" t="b">
        <f t="shared" ca="1" si="9"/>
        <v>1</v>
      </c>
      <c r="AI16" s="283" t="b">
        <f t="shared" ca="1" si="10"/>
        <v>1</v>
      </c>
      <c r="AJ16" s="283" t="b">
        <f t="shared" ca="1" si="11"/>
        <v>1</v>
      </c>
      <c r="AK16" s="716">
        <f t="shared" ca="1" si="12"/>
        <v>2</v>
      </c>
      <c r="AL16" s="716">
        <f t="shared" ca="1" si="13"/>
        <v>1</v>
      </c>
      <c r="AN16" s="716">
        <f t="shared" ca="1" si="14"/>
        <v>2</v>
      </c>
      <c r="AO16" s="716">
        <f t="shared" ca="1" si="15"/>
        <v>1</v>
      </c>
    </row>
    <row r="17" spans="2:41" s="283" customFormat="1" ht="24" customHeight="1" x14ac:dyDescent="0.2">
      <c r="B17" s="330"/>
      <c r="C17" s="338">
        <f t="array" aca="1" ref="C17" ca="1">ROW($A78)-SUM(((Planung!$L$6:$L$77="")+(Planung!$N$6:$N$77="")&gt;0)*1)-SUM((($G$12:$G16="")+($I$12:$I16="")&gt;0)*1)</f>
        <v>22</v>
      </c>
      <c r="D17" s="302">
        <f t="array" aca="1" ref="D17" ca="1">IF(Planung!$V$16,"",$D$12+QUOTIENT(($C17-$C$12),Planung!$V$18)*(Planung!$S$7+Planung!$S$9)/1440+SUM($T$12:$T16)/1440)</f>
        <v>0.49652777777777779</v>
      </c>
      <c r="E17" s="297">
        <f ca="1">IF(Planung!$V$16,"",MOD($C17-$C$12,Planung!$V$18)+1)</f>
        <v>2</v>
      </c>
      <c r="F17" s="288" t="s">
        <v>215</v>
      </c>
      <c r="G17" s="284" t="str">
        <f ca="1">Vorrunde!$X$15</f>
        <v>1. FC Riedwald</v>
      </c>
      <c r="H17" s="140" t="s">
        <v>5</v>
      </c>
      <c r="I17" s="286" t="str">
        <f ca="1">Vorrunde!$X$28</f>
        <v>SSV Wildbach</v>
      </c>
      <c r="J17" s="698">
        <v>15</v>
      </c>
      <c r="K17" s="296" t="str">
        <f>Sprache!$E$108</f>
        <v xml:space="preserve"> : </v>
      </c>
      <c r="L17" s="705">
        <v>25</v>
      </c>
      <c r="M17" s="698">
        <v>20</v>
      </c>
      <c r="N17" s="724" t="str">
        <f>Sprache!$E$108</f>
        <v xml:space="preserve"> : </v>
      </c>
      <c r="O17" s="705">
        <v>25</v>
      </c>
      <c r="P17" s="702"/>
      <c r="Q17" s="296" t="str">
        <f>Sprache!$E$108</f>
        <v xml:space="preserve"> : </v>
      </c>
      <c r="R17" s="708"/>
      <c r="S17" s="719"/>
      <c r="T17" s="717"/>
      <c r="W17" s="283" t="str">
        <f t="shared" ca="1" si="0"/>
        <v>SSV Wildbach</v>
      </c>
      <c r="X17" s="283" t="str">
        <f t="shared" ca="1" si="1"/>
        <v>1. FC Riedwald</v>
      </c>
      <c r="Y17" s="283" t="b">
        <f t="shared" si="2"/>
        <v>0</v>
      </c>
      <c r="Z17" s="716" t="b">
        <f t="shared" ca="1" si="3"/>
        <v>1</v>
      </c>
      <c r="AA17" s="283" t="b">
        <f t="shared" si="4"/>
        <v>0</v>
      </c>
      <c r="AB17" s="716">
        <f t="shared" ca="1" si="5"/>
        <v>0</v>
      </c>
      <c r="AC17" s="716">
        <f t="shared" ca="1" si="6"/>
        <v>2</v>
      </c>
      <c r="AE17" s="283" t="b">
        <f t="shared" si="7"/>
        <v>0</v>
      </c>
      <c r="AF17" s="283" t="b">
        <f t="shared" si="8"/>
        <v>0</v>
      </c>
      <c r="AH17" s="283" t="b">
        <f t="shared" ca="1" si="9"/>
        <v>1</v>
      </c>
      <c r="AI17" s="283" t="b">
        <f t="shared" ca="1" si="10"/>
        <v>1</v>
      </c>
      <c r="AJ17" s="283" t="b">
        <f t="shared" ca="1" si="11"/>
        <v>0</v>
      </c>
      <c r="AK17" s="716">
        <f t="shared" ca="1" si="12"/>
        <v>0</v>
      </c>
      <c r="AL17" s="716">
        <f t="shared" ca="1" si="13"/>
        <v>2</v>
      </c>
      <c r="AN17" s="716">
        <f t="shared" ca="1" si="14"/>
        <v>0</v>
      </c>
      <c r="AO17" s="716">
        <f t="shared" ca="1" si="15"/>
        <v>2</v>
      </c>
    </row>
    <row r="18" spans="2:41" s="283" customFormat="1" ht="24" customHeight="1" thickBot="1" x14ac:dyDescent="0.25">
      <c r="B18" s="331"/>
      <c r="C18" s="496">
        <f t="array" aca="1" ref="C18" ca="1">ROW($A79)-SUM(((Planung!$L$6:$L$77="")+(Planung!$N$6:$N$77="")&gt;0)*1)-SUM((($G$12:$G17="")+($I$12:$I17="")&gt;0)*1)</f>
        <v>23</v>
      </c>
      <c r="D18" s="303">
        <f t="array" aca="1" ref="D18" ca="1">IF(Planung!$V$16,"",$D$12+QUOTIENT(($C18-$C$12),Planung!$V$18)*(Planung!$S$7+Planung!$S$9)/1440+SUM($T$12:$T17)/1440)</f>
        <v>0.49652777777777779</v>
      </c>
      <c r="E18" s="299">
        <f ca="1">IF(Planung!$V$16,"",MOD($C18-$C$12,Planung!$V$18)+1)</f>
        <v>3</v>
      </c>
      <c r="F18" s="289" t="s">
        <v>216</v>
      </c>
      <c r="G18" s="285" t="str">
        <f ca="1">Vorrunde!$X$14</f>
        <v>VFB Essenheim</v>
      </c>
      <c r="H18" s="141" t="s">
        <v>5</v>
      </c>
      <c r="I18" s="287" t="str">
        <f ca="1">Vorrunde!$X$27</f>
        <v>FC Grönlingen</v>
      </c>
      <c r="J18" s="699">
        <v>26</v>
      </c>
      <c r="K18" s="322" t="str">
        <f>Sprache!$E$108</f>
        <v xml:space="preserve"> : </v>
      </c>
      <c r="L18" s="706">
        <v>24</v>
      </c>
      <c r="M18" s="699">
        <v>25</v>
      </c>
      <c r="N18" s="725" t="str">
        <f>Sprache!$E$108</f>
        <v xml:space="preserve"> : </v>
      </c>
      <c r="O18" s="706">
        <v>22</v>
      </c>
      <c r="P18" s="703"/>
      <c r="Q18" s="322" t="str">
        <f>Sprache!$E$108</f>
        <v xml:space="preserve"> : </v>
      </c>
      <c r="R18" s="709"/>
      <c r="S18" s="715"/>
      <c r="T18" s="718"/>
      <c r="W18" s="283" t="str">
        <f t="shared" ca="1" si="0"/>
        <v>VFB Essenheim</v>
      </c>
      <c r="X18" s="283" t="str">
        <f t="shared" ca="1" si="1"/>
        <v>FC Grönlingen</v>
      </c>
      <c r="Y18" s="283" t="b">
        <f t="shared" si="2"/>
        <v>0</v>
      </c>
      <c r="Z18" s="716" t="b">
        <f t="shared" ca="1" si="3"/>
        <v>1</v>
      </c>
      <c r="AA18" s="283" t="b">
        <f t="shared" si="4"/>
        <v>0</v>
      </c>
      <c r="AB18" s="716">
        <f t="shared" ca="1" si="5"/>
        <v>2</v>
      </c>
      <c r="AC18" s="716">
        <f t="shared" ca="1" si="6"/>
        <v>0</v>
      </c>
      <c r="AE18" s="283" t="b">
        <f t="shared" si="7"/>
        <v>0</v>
      </c>
      <c r="AF18" s="283" t="b">
        <f t="shared" si="8"/>
        <v>0</v>
      </c>
      <c r="AH18" s="283" t="b">
        <f t="shared" ca="1" si="9"/>
        <v>1</v>
      </c>
      <c r="AI18" s="283" t="b">
        <f t="shared" ca="1" si="10"/>
        <v>1</v>
      </c>
      <c r="AJ18" s="283" t="b">
        <f t="shared" ca="1" si="11"/>
        <v>0</v>
      </c>
      <c r="AK18" s="716">
        <f t="shared" ca="1" si="12"/>
        <v>2</v>
      </c>
      <c r="AL18" s="716">
        <f t="shared" ca="1" si="13"/>
        <v>0</v>
      </c>
      <c r="AN18" s="716">
        <f t="shared" ca="1" si="14"/>
        <v>2</v>
      </c>
      <c r="AO18" s="716">
        <f t="shared" ca="1" si="15"/>
        <v>0</v>
      </c>
    </row>
    <row r="19" spans="2:41" s="283" customFormat="1" ht="24" customHeight="1" thickTop="1" thickBot="1" x14ac:dyDescent="0.35">
      <c r="B19" s="331"/>
      <c r="C19" s="932" t="str">
        <f>Sprache!$E$60</f>
        <v>Halbfinale</v>
      </c>
      <c r="D19" s="932"/>
      <c r="E19" s="932"/>
      <c r="F19" s="932"/>
      <c r="G19" s="345" t="s">
        <v>263</v>
      </c>
      <c r="H19" s="119"/>
      <c r="I19" s="345" t="s">
        <v>263</v>
      </c>
      <c r="J19" s="730"/>
      <c r="K19" s="312"/>
      <c r="L19" s="734"/>
      <c r="M19" s="730"/>
      <c r="N19" s="312"/>
      <c r="O19" s="734"/>
      <c r="P19" s="730"/>
      <c r="Q19" s="312"/>
      <c r="R19" s="734"/>
      <c r="S19" s="312"/>
      <c r="T19" s="314"/>
      <c r="Z19" s="716"/>
      <c r="AB19" s="716"/>
      <c r="AC19" s="716"/>
      <c r="AK19" s="716"/>
      <c r="AL19" s="716"/>
      <c r="AN19" s="716"/>
      <c r="AO19" s="716"/>
    </row>
    <row r="20" spans="2:41" s="283" customFormat="1" ht="24" customHeight="1" thickTop="1" x14ac:dyDescent="0.2">
      <c r="B20" s="331"/>
      <c r="C20" s="497">
        <f t="array" aca="1" ref="C20" ca="1">ROW($A80)-SUM(((Planung!$L$6:$L$77="")+(Planung!$N$6:$N$77="")&gt;0)*1)-SUM((($G$12:$G19="")+($I$12:$I19="")&gt;0)*1)</f>
        <v>24</v>
      </c>
      <c r="D20" s="498">
        <f t="array" aca="1" ref="D20" ca="1">IF(Planung!$V$16,"",$D$12+QUOTIENT(($C20-$C$12),Planung!$V$18)*(Planung!$S$7+Planung!$S$9)/1440+SUM($T$12:$T19)/1440)</f>
        <v>0.49652777777777779</v>
      </c>
      <c r="E20" s="315">
        <f ca="1">IF(Planung!$V$16,"",MOD($C20-$C$12,Planung!$V$18)+1)</f>
        <v>4</v>
      </c>
      <c r="F20" s="316" t="s">
        <v>237</v>
      </c>
      <c r="G20" s="317" t="str">
        <f ca="1">Vorrunde!$X$12</f>
        <v>Eintracht Frankfurt</v>
      </c>
      <c r="H20" s="318" t="s">
        <v>5</v>
      </c>
      <c r="I20" s="319" t="str">
        <f ca="1">Vorrunde!$X$26</f>
        <v>Manchester City</v>
      </c>
      <c r="J20" s="731">
        <v>15</v>
      </c>
      <c r="K20" s="320" t="str">
        <f>Sprache!$E$108</f>
        <v xml:space="preserve"> : </v>
      </c>
      <c r="L20" s="735">
        <v>25</v>
      </c>
      <c r="M20" s="731">
        <v>20</v>
      </c>
      <c r="N20" s="726" t="str">
        <f>Sprache!$E$108</f>
        <v xml:space="preserve"> : </v>
      </c>
      <c r="O20" s="735">
        <v>25</v>
      </c>
      <c r="P20" s="732"/>
      <c r="Q20" s="320" t="s">
        <v>219</v>
      </c>
      <c r="R20" s="736"/>
      <c r="S20" s="721"/>
      <c r="T20" s="720"/>
      <c r="W20" s="283" t="str">
        <f t="shared" ca="1" si="0"/>
        <v>Manchester City</v>
      </c>
      <c r="X20" s="283" t="str">
        <f t="shared" ca="1" si="1"/>
        <v>Eintracht Frankfurt</v>
      </c>
      <c r="Y20" s="283" t="b">
        <f t="shared" si="2"/>
        <v>0</v>
      </c>
      <c r="Z20" s="716" t="b">
        <f t="shared" ca="1" si="3"/>
        <v>1</v>
      </c>
      <c r="AA20" s="283" t="b">
        <f t="shared" si="4"/>
        <v>0</v>
      </c>
      <c r="AB20" s="716">
        <f t="shared" ca="1" si="5"/>
        <v>0</v>
      </c>
      <c r="AC20" s="716">
        <f t="shared" ca="1" si="6"/>
        <v>2</v>
      </c>
      <c r="AE20" s="283" t="b">
        <f t="shared" si="7"/>
        <v>0</v>
      </c>
      <c r="AF20" s="283" t="b">
        <f t="shared" si="8"/>
        <v>0</v>
      </c>
      <c r="AH20" s="283" t="b">
        <f t="shared" ca="1" si="9"/>
        <v>1</v>
      </c>
      <c r="AI20" s="283" t="b">
        <f t="shared" ca="1" si="10"/>
        <v>1</v>
      </c>
      <c r="AJ20" s="283" t="b">
        <f t="shared" ca="1" si="11"/>
        <v>0</v>
      </c>
      <c r="AK20" s="716">
        <f t="shared" ca="1" si="12"/>
        <v>0</v>
      </c>
      <c r="AL20" s="716">
        <f t="shared" ca="1" si="13"/>
        <v>2</v>
      </c>
      <c r="AN20" s="716">
        <f t="shared" ca="1" si="14"/>
        <v>0</v>
      </c>
      <c r="AO20" s="716">
        <f t="shared" ca="1" si="15"/>
        <v>2</v>
      </c>
    </row>
    <row r="21" spans="2:41" s="283" customFormat="1" ht="24" customHeight="1" thickBot="1" x14ac:dyDescent="0.25">
      <c r="B21" s="331"/>
      <c r="C21" s="496">
        <f ca="1">$C$20+1</f>
        <v>25</v>
      </c>
      <c r="D21" s="303">
        <f t="array" aca="1" ref="D21" ca="1">IF(Planung!$V$16,"",$D$12+QUOTIENT(($C21-$C$12),Planung!$V$18)*(Planung!$S$7+Planung!$S$9)/1440+SUM($T$12:$T20)/1440)</f>
        <v>0.52083333333333337</v>
      </c>
      <c r="E21" s="299">
        <f ca="1">IF(Planung!$V$16,"",MOD($C21-$C$12,Planung!$V$18)+1)</f>
        <v>1</v>
      </c>
      <c r="F21" s="289" t="s">
        <v>238</v>
      </c>
      <c r="G21" s="285" t="str">
        <f ca="1">Vorrunde!$X$25</f>
        <v>Mainz 05</v>
      </c>
      <c r="H21" s="141" t="s">
        <v>5</v>
      </c>
      <c r="I21" s="287" t="str">
        <f ca="1">Vorrunde!$X$13</f>
        <v>Maibach 1822 eV</v>
      </c>
      <c r="J21" s="699">
        <v>26</v>
      </c>
      <c r="K21" s="322" t="str">
        <f>Sprache!$E$108</f>
        <v xml:space="preserve"> : </v>
      </c>
      <c r="L21" s="706">
        <v>24</v>
      </c>
      <c r="M21" s="699">
        <v>25</v>
      </c>
      <c r="N21" s="725" t="str">
        <f>Sprache!$E$108</f>
        <v xml:space="preserve"> : </v>
      </c>
      <c r="O21" s="706">
        <v>22</v>
      </c>
      <c r="P21" s="703"/>
      <c r="Q21" s="322" t="s">
        <v>219</v>
      </c>
      <c r="R21" s="709"/>
      <c r="S21" s="715"/>
      <c r="T21" s="718"/>
      <c r="W21" s="283" t="str">
        <f t="shared" ca="1" si="0"/>
        <v>Mainz 05</v>
      </c>
      <c r="X21" s="283" t="str">
        <f t="shared" ca="1" si="1"/>
        <v>Maibach 1822 eV</v>
      </c>
      <c r="Y21" s="283" t="b">
        <f t="shared" si="2"/>
        <v>0</v>
      </c>
      <c r="Z21" s="716" t="b">
        <f t="shared" ca="1" si="3"/>
        <v>1</v>
      </c>
      <c r="AA21" s="283" t="b">
        <f t="shared" si="4"/>
        <v>0</v>
      </c>
      <c r="AB21" s="716">
        <f t="shared" ca="1" si="5"/>
        <v>2</v>
      </c>
      <c r="AC21" s="716">
        <f t="shared" ca="1" si="6"/>
        <v>0</v>
      </c>
      <c r="AE21" s="283" t="b">
        <f t="shared" si="7"/>
        <v>0</v>
      </c>
      <c r="AF21" s="283" t="b">
        <f t="shared" si="8"/>
        <v>0</v>
      </c>
      <c r="AH21" s="283" t="b">
        <f t="shared" ca="1" si="9"/>
        <v>1</v>
      </c>
      <c r="AI21" s="283" t="b">
        <f t="shared" ca="1" si="10"/>
        <v>1</v>
      </c>
      <c r="AJ21" s="283" t="b">
        <f t="shared" ca="1" si="11"/>
        <v>0</v>
      </c>
      <c r="AK21" s="716">
        <f t="shared" ca="1" si="12"/>
        <v>2</v>
      </c>
      <c r="AL21" s="716">
        <f t="shared" ca="1" si="13"/>
        <v>0</v>
      </c>
      <c r="AN21" s="716">
        <f t="shared" ca="1" si="14"/>
        <v>2</v>
      </c>
      <c r="AO21" s="716">
        <f t="shared" ca="1" si="15"/>
        <v>0</v>
      </c>
    </row>
    <row r="22" spans="2:41" s="283" customFormat="1" ht="24" customHeight="1" thickTop="1" thickBot="1" x14ac:dyDescent="0.35">
      <c r="B22" s="331"/>
      <c r="C22" s="932" t="str">
        <f>Sprache!$E$61</f>
        <v>Endspiele</v>
      </c>
      <c r="D22" s="932"/>
      <c r="E22" s="932"/>
      <c r="F22" s="932"/>
      <c r="G22" s="385"/>
      <c r="H22" s="119"/>
      <c r="I22" s="385"/>
      <c r="J22" s="730"/>
      <c r="K22" s="312"/>
      <c r="L22" s="734"/>
      <c r="M22" s="730"/>
      <c r="N22" s="312"/>
      <c r="O22" s="734"/>
      <c r="P22" s="730"/>
      <c r="Q22" s="312"/>
      <c r="R22" s="734"/>
      <c r="S22" s="312"/>
      <c r="T22" s="314"/>
      <c r="Z22" s="716"/>
      <c r="AB22" s="716"/>
      <c r="AC22" s="716"/>
      <c r="AK22" s="716"/>
      <c r="AL22" s="716"/>
      <c r="AN22" s="716"/>
      <c r="AO22" s="716"/>
    </row>
    <row r="23" spans="2:41" s="283" customFormat="1" ht="24" customHeight="1" thickTop="1" x14ac:dyDescent="0.2">
      <c r="B23" s="331"/>
      <c r="C23" s="497">
        <f ca="1">$C$20+2</f>
        <v>26</v>
      </c>
      <c r="D23" s="498">
        <f ca="1">IF(Planung!$V$16,"",$D$21+($T$21+Planung!$S$9+Planung!$S$7)/1440)</f>
        <v>0.54513888888888895</v>
      </c>
      <c r="E23" s="315">
        <f>IF(Planung!$V$16,"",1)</f>
        <v>1</v>
      </c>
      <c r="F23" s="316" t="str">
        <f>Sprache!$E$117</f>
        <v>3. Platz</v>
      </c>
      <c r="G23" s="317" t="str">
        <f ca="1">$X20</f>
        <v>Eintracht Frankfurt</v>
      </c>
      <c r="H23" s="318" t="s">
        <v>5</v>
      </c>
      <c r="I23" s="319" t="str">
        <f ca="1">$X21</f>
        <v>Maibach 1822 eV</v>
      </c>
      <c r="J23" s="731">
        <v>19</v>
      </c>
      <c r="K23" s="320" t="str">
        <f>Sprache!$E$108</f>
        <v xml:space="preserve"> : </v>
      </c>
      <c r="L23" s="735">
        <v>25</v>
      </c>
      <c r="M23" s="731">
        <v>25</v>
      </c>
      <c r="N23" s="726" t="str">
        <f>Sprache!$E$108</f>
        <v xml:space="preserve"> : </v>
      </c>
      <c r="O23" s="735">
        <v>17</v>
      </c>
      <c r="P23" s="732">
        <v>14</v>
      </c>
      <c r="Q23" s="320" t="str">
        <f>Sprache!$E$108</f>
        <v xml:space="preserve"> : </v>
      </c>
      <c r="R23" s="736">
        <v>16</v>
      </c>
      <c r="S23" s="722"/>
      <c r="T23" s="710"/>
      <c r="W23" s="283" t="str">
        <f t="shared" ca="1" si="0"/>
        <v>Maibach 1822 eV</v>
      </c>
      <c r="X23" s="283" t="str">
        <f t="shared" ca="1" si="1"/>
        <v>Eintracht Frankfurt</v>
      </c>
      <c r="Y23" s="283" t="b">
        <f t="shared" si="2"/>
        <v>1</v>
      </c>
      <c r="Z23" s="716" t="b">
        <f t="shared" ca="1" si="3"/>
        <v>1</v>
      </c>
      <c r="AA23" s="283" t="b">
        <f t="shared" si="4"/>
        <v>1</v>
      </c>
      <c r="AB23" s="716">
        <f t="shared" ca="1" si="5"/>
        <v>1</v>
      </c>
      <c r="AC23" s="716">
        <f t="shared" ca="1" si="6"/>
        <v>2</v>
      </c>
      <c r="AE23" s="283" t="b">
        <f t="shared" si="7"/>
        <v>0</v>
      </c>
      <c r="AF23" s="283" t="b">
        <f t="shared" si="8"/>
        <v>0</v>
      </c>
      <c r="AH23" s="283" t="b">
        <f t="shared" ca="1" si="9"/>
        <v>1</v>
      </c>
      <c r="AI23" s="283" t="b">
        <f t="shared" ca="1" si="10"/>
        <v>1</v>
      </c>
      <c r="AJ23" s="283" t="b">
        <f t="shared" ca="1" si="11"/>
        <v>1</v>
      </c>
      <c r="AK23" s="716">
        <f t="shared" ca="1" si="12"/>
        <v>1</v>
      </c>
      <c r="AL23" s="716">
        <f t="shared" ca="1" si="13"/>
        <v>2</v>
      </c>
      <c r="AN23" s="716">
        <f t="shared" ca="1" si="14"/>
        <v>1</v>
      </c>
      <c r="AO23" s="716">
        <f t="shared" ca="1" si="15"/>
        <v>2</v>
      </c>
    </row>
    <row r="24" spans="2:41" s="283" customFormat="1" ht="24" customHeight="1" thickBot="1" x14ac:dyDescent="0.25">
      <c r="B24" s="331"/>
      <c r="C24" s="496">
        <f ca="1">$C$20+3</f>
        <v>27</v>
      </c>
      <c r="D24" s="303">
        <f ca="1">IF(Planung!$V$16,"",$D$23+($T$23+Planung!$S$9+Planung!$S$7)/1440)</f>
        <v>0.56944444444444453</v>
      </c>
      <c r="E24" s="299">
        <f>IF(Planung!$V$16,"",1)</f>
        <v>1</v>
      </c>
      <c r="F24" s="289" t="str">
        <f>Sprache!$E$118</f>
        <v>Finale</v>
      </c>
      <c r="G24" s="285" t="str">
        <f ca="1">$W20</f>
        <v>Manchester City</v>
      </c>
      <c r="H24" s="141" t="s">
        <v>5</v>
      </c>
      <c r="I24" s="287" t="str">
        <f ca="1">$W21</f>
        <v>Mainz 05</v>
      </c>
      <c r="J24" s="699">
        <v>15</v>
      </c>
      <c r="K24" s="322" t="s">
        <v>219</v>
      </c>
      <c r="L24" s="706">
        <v>25</v>
      </c>
      <c r="M24" s="699">
        <v>20</v>
      </c>
      <c r="N24" s="725" t="str">
        <f>Sprache!$E$108</f>
        <v xml:space="preserve"> : </v>
      </c>
      <c r="O24" s="706">
        <v>25</v>
      </c>
      <c r="P24" s="703"/>
      <c r="Q24" s="322" t="str">
        <f>Sprache!$E$108</f>
        <v xml:space="preserve"> : </v>
      </c>
      <c r="R24" s="709"/>
      <c r="S24" s="715"/>
      <c r="T24" s="712"/>
      <c r="W24" s="283" t="str">
        <f t="shared" ca="1" si="0"/>
        <v>Mainz 05</v>
      </c>
      <c r="X24" s="283" t="str">
        <f t="shared" ca="1" si="1"/>
        <v>Manchester City</v>
      </c>
      <c r="Y24" s="283" t="b">
        <f t="shared" si="2"/>
        <v>0</v>
      </c>
      <c r="Z24" s="716" t="b">
        <f t="shared" ca="1" si="3"/>
        <v>1</v>
      </c>
      <c r="AA24" s="283" t="b">
        <f t="shared" si="4"/>
        <v>0</v>
      </c>
      <c r="AB24" s="716">
        <f t="shared" ca="1" si="5"/>
        <v>0</v>
      </c>
      <c r="AC24" s="716">
        <f t="shared" ca="1" si="6"/>
        <v>2</v>
      </c>
      <c r="AE24" s="283" t="b">
        <f t="shared" si="7"/>
        <v>0</v>
      </c>
      <c r="AF24" s="283" t="b">
        <f t="shared" si="8"/>
        <v>0</v>
      </c>
      <c r="AH24" s="283" t="b">
        <f t="shared" ca="1" si="9"/>
        <v>1</v>
      </c>
      <c r="AI24" s="283" t="b">
        <f t="shared" ca="1" si="10"/>
        <v>1</v>
      </c>
      <c r="AJ24" s="283" t="b">
        <f t="shared" ca="1" si="11"/>
        <v>0</v>
      </c>
      <c r="AK24" s="716">
        <f t="shared" ca="1" si="12"/>
        <v>0</v>
      </c>
      <c r="AL24" s="716">
        <f t="shared" ca="1" si="13"/>
        <v>2</v>
      </c>
      <c r="AN24" s="716">
        <f t="shared" ca="1" si="14"/>
        <v>0</v>
      </c>
      <c r="AO24" s="716">
        <f t="shared" ca="1" si="15"/>
        <v>2</v>
      </c>
    </row>
    <row r="25" spans="2:41" ht="13.5" thickTop="1" x14ac:dyDescent="0.2"/>
    <row r="26" spans="2:41" ht="24" customHeight="1" x14ac:dyDescent="0.2">
      <c r="C26" s="307"/>
      <c r="D26" s="307"/>
      <c r="E26" s="307"/>
      <c r="F26" s="307"/>
      <c r="G26" s="901" t="str">
        <f>Sprache!$E$29</f>
        <v>Turnierende:</v>
      </c>
      <c r="H26" s="901"/>
      <c r="I26" s="308">
        <f ca="1">IF(Planung!$S$13="","",$D$24+Planung!$S$7/1440)</f>
        <v>0.5902777777777779</v>
      </c>
      <c r="J26" s="309"/>
      <c r="K26" s="309"/>
      <c r="L26" s="309"/>
      <c r="M26" s="309"/>
      <c r="N26" s="309"/>
      <c r="O26" s="309"/>
      <c r="P26" s="309"/>
      <c r="Q26" s="309"/>
      <c r="R26" s="309"/>
      <c r="S26" s="309"/>
      <c r="T26" s="309"/>
    </row>
    <row r="27" spans="2:41" x14ac:dyDescent="0.2">
      <c r="D27" s="305"/>
    </row>
    <row r="28" spans="2:41" ht="13.5" thickBot="1" x14ac:dyDescent="0.25">
      <c r="D28" s="305"/>
    </row>
    <row r="29" spans="2:41" ht="22.5" customHeight="1" thickBot="1" x14ac:dyDescent="0.25">
      <c r="F29" s="386" t="str">
        <f>Sprache!$E$116</f>
        <v>Rang</v>
      </c>
      <c r="G29" s="923" t="str">
        <f>"  "&amp;Sprache!$E$10</f>
        <v xml:space="preserve">  Teilnehmer bzw. Mannschaft</v>
      </c>
      <c r="H29" s="923"/>
      <c r="I29" s="924"/>
    </row>
    <row r="30" spans="2:41" ht="22.5" customHeight="1" thickTop="1" x14ac:dyDescent="0.2">
      <c r="F30" s="340">
        <v>1</v>
      </c>
      <c r="G30" s="925" t="str">
        <f ca="1">$W24</f>
        <v>Mainz 05</v>
      </c>
      <c r="H30" s="925"/>
      <c r="I30" s="926"/>
    </row>
    <row r="31" spans="2:41" ht="22.5" customHeight="1" x14ac:dyDescent="0.2">
      <c r="F31" s="341">
        <v>2</v>
      </c>
      <c r="G31" s="927" t="str">
        <f ca="1">$X24</f>
        <v>Manchester City</v>
      </c>
      <c r="H31" s="927"/>
      <c r="I31" s="928"/>
    </row>
    <row r="32" spans="2:41" ht="22.5" customHeight="1" x14ac:dyDescent="0.2">
      <c r="F32" s="342">
        <v>3</v>
      </c>
      <c r="G32" s="897" t="str">
        <f ca="1">$W23</f>
        <v>Maibach 1822 eV</v>
      </c>
      <c r="H32" s="897"/>
      <c r="I32" s="898"/>
    </row>
    <row r="33" spans="5:9" ht="22.5" customHeight="1" x14ac:dyDescent="0.2">
      <c r="F33" s="343">
        <v>4</v>
      </c>
      <c r="G33" s="899" t="str">
        <f ca="1">$X23</f>
        <v>Eintracht Frankfurt</v>
      </c>
      <c r="H33" s="899"/>
      <c r="I33" s="900"/>
    </row>
    <row r="34" spans="5:9" ht="22.5" customHeight="1" x14ac:dyDescent="0.2">
      <c r="F34" s="343">
        <v>5</v>
      </c>
      <c r="G34" s="899" t="str">
        <f ca="1">$W18</f>
        <v>VFB Essenheim</v>
      </c>
      <c r="H34" s="899"/>
      <c r="I34" s="900"/>
    </row>
    <row r="35" spans="5:9" ht="22.5" customHeight="1" x14ac:dyDescent="0.2">
      <c r="F35" s="343">
        <v>6</v>
      </c>
      <c r="G35" s="899" t="str">
        <f ca="1">$X18</f>
        <v>FC Grönlingen</v>
      </c>
      <c r="H35" s="899"/>
      <c r="I35" s="900"/>
    </row>
    <row r="36" spans="5:9" ht="24" customHeight="1" x14ac:dyDescent="0.2">
      <c r="E36" s="306">
        <v>1</v>
      </c>
      <c r="F36" s="343">
        <v>7</v>
      </c>
      <c r="G36" s="899" t="str">
        <f ca="1">$W17</f>
        <v>SSV Wildbach</v>
      </c>
      <c r="H36" s="899"/>
      <c r="I36" s="900"/>
    </row>
    <row r="37" spans="5:9" ht="24" customHeight="1" x14ac:dyDescent="0.2">
      <c r="E37" s="306">
        <v>2</v>
      </c>
      <c r="F37" s="343">
        <v>8</v>
      </c>
      <c r="G37" s="899" t="str">
        <f ca="1">$X17</f>
        <v>1. FC Riedwald</v>
      </c>
      <c r="H37" s="899"/>
      <c r="I37" s="900"/>
    </row>
    <row r="38" spans="5:9" ht="24" customHeight="1" x14ac:dyDescent="0.2">
      <c r="E38" s="306">
        <v>3</v>
      </c>
      <c r="F38" s="343">
        <v>9</v>
      </c>
      <c r="G38" s="899" t="str">
        <f ca="1">$W16</f>
        <v>FC Barcelona</v>
      </c>
      <c r="H38" s="899"/>
      <c r="I38" s="900"/>
    </row>
    <row r="39" spans="5:9" ht="24" customHeight="1" x14ac:dyDescent="0.2">
      <c r="E39" s="306">
        <v>4</v>
      </c>
      <c r="F39" s="343">
        <v>10</v>
      </c>
      <c r="G39" s="899" t="str">
        <f ca="1">$X16</f>
        <v>Inter Mailand</v>
      </c>
      <c r="H39" s="899"/>
      <c r="I39" s="900"/>
    </row>
    <row r="40" spans="5:9" ht="24" customHeight="1" x14ac:dyDescent="0.2">
      <c r="E40" s="306">
        <v>5</v>
      </c>
      <c r="F40" s="343">
        <v>11</v>
      </c>
      <c r="G40" s="899" t="str">
        <f ca="1">$W15</f>
        <v/>
      </c>
      <c r="H40" s="899"/>
      <c r="I40" s="900"/>
    </row>
    <row r="41" spans="5:9" ht="24" customHeight="1" x14ac:dyDescent="0.2">
      <c r="E41" s="306">
        <v>6</v>
      </c>
      <c r="F41" s="343">
        <v>12</v>
      </c>
      <c r="G41" s="899" t="str">
        <f ca="1">$X15</f>
        <v/>
      </c>
      <c r="H41" s="899"/>
      <c r="I41" s="900"/>
    </row>
    <row r="42" spans="5:9" ht="24" customHeight="1" x14ac:dyDescent="0.2">
      <c r="E42" s="306">
        <v>7</v>
      </c>
      <c r="F42" s="343">
        <v>13</v>
      </c>
      <c r="G42" s="899" t="str">
        <f ca="1">$W14</f>
        <v/>
      </c>
      <c r="H42" s="899"/>
      <c r="I42" s="900"/>
    </row>
    <row r="43" spans="5:9" ht="24" customHeight="1" x14ac:dyDescent="0.2">
      <c r="E43" s="306">
        <v>8</v>
      </c>
      <c r="F43" s="343">
        <v>14</v>
      </c>
      <c r="G43" s="899" t="str">
        <f ca="1">$X14</f>
        <v/>
      </c>
      <c r="H43" s="899"/>
      <c r="I43" s="900"/>
    </row>
    <row r="44" spans="5:9" ht="24" customHeight="1" x14ac:dyDescent="0.2">
      <c r="E44" s="306">
        <v>9</v>
      </c>
      <c r="F44" s="343">
        <v>15</v>
      </c>
      <c r="G44" s="899" t="str">
        <f ca="1">$W13</f>
        <v/>
      </c>
      <c r="H44" s="899"/>
      <c r="I44" s="900"/>
    </row>
    <row r="45" spans="5:9" ht="24" customHeight="1" x14ac:dyDescent="0.2">
      <c r="E45" s="306">
        <v>10</v>
      </c>
      <c r="F45" s="343">
        <v>16</v>
      </c>
      <c r="G45" s="899" t="str">
        <f ca="1">$X13</f>
        <v/>
      </c>
      <c r="H45" s="899"/>
      <c r="I45" s="900"/>
    </row>
    <row r="46" spans="5:9" ht="24" customHeight="1" x14ac:dyDescent="0.2">
      <c r="E46" s="306">
        <v>11</v>
      </c>
      <c r="F46" s="343">
        <v>17</v>
      </c>
      <c r="G46" s="899" t="str">
        <f ca="1">$W12</f>
        <v/>
      </c>
      <c r="H46" s="899"/>
      <c r="I46" s="900"/>
    </row>
    <row r="47" spans="5:9" ht="24" customHeight="1" thickBot="1" x14ac:dyDescent="0.25">
      <c r="E47" s="306">
        <v>12</v>
      </c>
      <c r="F47" s="344">
        <v>18</v>
      </c>
      <c r="G47" s="921" t="str">
        <f ca="1">$X12</f>
        <v/>
      </c>
      <c r="H47" s="921"/>
      <c r="I47" s="922"/>
    </row>
    <row r="48" spans="5:9" ht="13.5" thickTop="1" x14ac:dyDescent="0.2"/>
    <row r="49" x14ac:dyDescent="0.2"/>
    <row r="50" x14ac:dyDescent="0.2"/>
  </sheetData>
  <sheetProtection sheet="1" selectLockedCells="1"/>
  <mergeCells count="39">
    <mergeCell ref="AN11:AO11"/>
    <mergeCell ref="G46:I46"/>
    <mergeCell ref="Y10:AC10"/>
    <mergeCell ref="AE10:AF10"/>
    <mergeCell ref="AH10:AL10"/>
    <mergeCell ref="AK11:AL11"/>
    <mergeCell ref="AB11:AC11"/>
    <mergeCell ref="G33:I33"/>
    <mergeCell ref="G26:H26"/>
    <mergeCell ref="G29:I29"/>
    <mergeCell ref="G30:I30"/>
    <mergeCell ref="G32:I32"/>
    <mergeCell ref="G47:I47"/>
    <mergeCell ref="C19:F19"/>
    <mergeCell ref="C22:F22"/>
    <mergeCell ref="G40:I40"/>
    <mergeCell ref="G41:I41"/>
    <mergeCell ref="G42:I42"/>
    <mergeCell ref="G43:I43"/>
    <mergeCell ref="G44:I44"/>
    <mergeCell ref="G45:I45"/>
    <mergeCell ref="G34:I34"/>
    <mergeCell ref="G35:I35"/>
    <mergeCell ref="G36:I36"/>
    <mergeCell ref="G37:I37"/>
    <mergeCell ref="G38:I38"/>
    <mergeCell ref="G39:I39"/>
    <mergeCell ref="G31:I31"/>
    <mergeCell ref="E2:T2"/>
    <mergeCell ref="E3:T3"/>
    <mergeCell ref="E4:T4"/>
    <mergeCell ref="E5:T5"/>
    <mergeCell ref="T9:T11"/>
    <mergeCell ref="C10:F10"/>
    <mergeCell ref="G11:I11"/>
    <mergeCell ref="J11:L11"/>
    <mergeCell ref="G7:Q8"/>
    <mergeCell ref="M11:O11"/>
    <mergeCell ref="P11:R11"/>
  </mergeCells>
  <conditionalFormatting sqref="P12:R18 P20:R21 P23:R24">
    <cfRule type="expression" dxfId="32" priority="3">
      <formula>$AF12</formula>
    </cfRule>
    <cfRule type="expression" dxfId="31" priority="4">
      <formula>NOT($Y12)</formula>
    </cfRule>
  </conditionalFormatting>
  <conditionalFormatting sqref="C12:R18 J20:R21 J23:R24">
    <cfRule type="expression" dxfId="30" priority="2">
      <formula>OR($G12="",$I12="")</formula>
    </cfRule>
  </conditionalFormatting>
  <conditionalFormatting sqref="J12:O18 J20:O21 J23:O24">
    <cfRule type="expression" dxfId="29" priority="1">
      <formula>$AE12</formula>
    </cfRule>
  </conditionalFormatting>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6" id="{439BFC21-87CE-446E-8AB2-652A3368C7B0}">
            <xm:f>$F47&gt;2*Calc1!$F$14-MOD((Calc1!$F$13+Calc2!$F$13),2)</xm:f>
            <x14:dxf>
              <numFmt numFmtId="165" formatCode=";;;"/>
            </x14:dxf>
          </x14:cfRule>
          <xm:sqref>F47</xm:sqref>
        </x14:conditionalFormatting>
        <x14:conditionalFormatting xmlns:xm="http://schemas.microsoft.com/office/excel/2006/main">
          <x14:cfRule type="expression" priority="8" id="{DE910C06-4FB6-4F05-B86C-370D98B67EE4}">
            <xm:f>$F33&gt;2*Calc1!$F$14-MOD((Calc1!$F$13+Calc2!$F$13),2)</xm:f>
            <x14:dxf>
              <numFmt numFmtId="165" formatCode=";;;"/>
            </x14:dxf>
          </x14:cfRule>
          <xm:sqref>F33 F35 F37 F39 F41 F43 F45</xm:sqref>
        </x14:conditionalFormatting>
        <x14:conditionalFormatting xmlns:xm="http://schemas.microsoft.com/office/excel/2006/main">
          <x14:cfRule type="expression" priority="7" id="{DCA3959F-A6C2-4468-B3AD-5995AA48CBEC}">
            <xm:f>$F34&gt;2*Calc1!$F$14-MOD((Calc1!$F$13+Calc2!$F$13),2)</xm:f>
            <x14:dxf>
              <numFmt numFmtId="165" formatCode=";;;"/>
            </x14:dxf>
          </x14:cfRule>
          <xm:sqref>F34 F36 F38 F40 F42 F44 F46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1</vt:i4>
      </vt:variant>
    </vt:vector>
  </HeadingPairs>
  <TitlesOfParts>
    <vt:vector size="24" baseType="lpstr">
      <vt:lpstr>Planung</vt:lpstr>
      <vt:lpstr>proof</vt:lpstr>
      <vt:lpstr>Pairings</vt:lpstr>
      <vt:lpstr>Vorrunde</vt:lpstr>
      <vt:lpstr>Playoffs</vt:lpstr>
      <vt:lpstr>DirVergleich_A</vt:lpstr>
      <vt:lpstr>DirVergleich_B</vt:lpstr>
      <vt:lpstr>Endrunde 1</vt:lpstr>
      <vt:lpstr>Endrunde 2</vt:lpstr>
      <vt:lpstr>Endrunde 2a</vt:lpstr>
      <vt:lpstr>Endrunde 3</vt:lpstr>
      <vt:lpstr>Endrunde 4</vt:lpstr>
      <vt:lpstr>Anstoßzeiten Endrunde 4</vt:lpstr>
      <vt:lpstr>Sprache</vt:lpstr>
      <vt:lpstr>Einstellungen</vt:lpstr>
      <vt:lpstr>Info</vt:lpstr>
      <vt:lpstr>Calc1</vt:lpstr>
      <vt:lpstr>Calc2</vt:lpstr>
      <vt:lpstr>CalcE1</vt:lpstr>
      <vt:lpstr>CalcE2</vt:lpstr>
      <vt:lpstr>CalcE3</vt:lpstr>
      <vt:lpstr>CalcE4</vt:lpstr>
      <vt:lpstr>CalcE5</vt:lpstr>
      <vt:lpstr>'Anstoßzeiten Endrunde 4'!Druckbereich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dc:creator>
  <cp:lastModifiedBy>Hermann Baum</cp:lastModifiedBy>
  <cp:lastPrinted>2025-04-10T19:48:16Z</cp:lastPrinted>
  <dcterms:created xsi:type="dcterms:W3CDTF">2010-02-21T20:03:25Z</dcterms:created>
  <dcterms:modified xsi:type="dcterms:W3CDTF">2026-01-27T15:14:00Z</dcterms:modified>
</cp:coreProperties>
</file>