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
    </mc:Choice>
  </mc:AlternateContent>
  <xr:revisionPtr revIDLastSave="0" documentId="13_ncr:1_{069A9DEA-1866-41F8-BB8B-003410EE5FF1}" xr6:coauthVersionLast="36" xr6:coauthVersionMax="47" xr10:uidLastSave="{00000000-0000-0000-0000-000000000000}"/>
  <bookViews>
    <workbookView xWindow="-120" yWindow="-120" windowWidth="29040" windowHeight="15750" tabRatio="712" activeTab="3" xr2:uid="{00000000-000D-0000-FFFF-FFFF00000000}"/>
  </bookViews>
  <sheets>
    <sheet name="Planung" sheetId="22" r:id="rId1"/>
    <sheet name="proof" sheetId="25" state="hidden" r:id="rId2"/>
    <sheet name="Pairings" sheetId="13" state="hidden" r:id="rId3"/>
    <sheet name="Vorrunde" sheetId="6" r:id="rId4"/>
    <sheet name="Playoffs" sheetId="31" r:id="rId5"/>
    <sheet name="Endrunde 1" sheetId="21" r:id="rId6"/>
    <sheet name="Endrunde 2" sheetId="24" r:id="rId7"/>
    <sheet name="Endrunde 3" sheetId="26" r:id="rId8"/>
    <sheet name="Endrunde 4" sheetId="27" r:id="rId9"/>
    <sheet name="DirVergleich_A" sheetId="10" state="hidden" r:id="rId10"/>
    <sheet name="DirVergleich_B" sheetId="35" state="hidden" r:id="rId11"/>
    <sheet name="Spielzeiten Endrunde 4" sheetId="32" r:id="rId12"/>
    <sheet name="Sprache" sheetId="9" r:id="rId13"/>
    <sheet name="Einstellungen" sheetId="33" r:id="rId14"/>
    <sheet name="Info" sheetId="36" r:id="rId15"/>
    <sheet name="Calc1" sheetId="34" state="hidden" r:id="rId16"/>
    <sheet name="Calc2" sheetId="17" state="hidden" r:id="rId17"/>
    <sheet name="CalcE1" sheetId="28" state="hidden" r:id="rId18"/>
    <sheet name="CalcE2" sheetId="29" state="hidden" r:id="rId19"/>
    <sheet name="CalcE3" sheetId="30" state="hidden" r:id="rId20"/>
  </sheets>
  <definedNames>
    <definedName name="_xlnm.Print_Area" localSheetId="11">'Spielzeiten Endrunde 4'!$A$3:$I$63</definedName>
  </definedNames>
  <calcPr calcId="191029" concurrentCalc="0"/>
</workbook>
</file>

<file path=xl/calcChain.xml><?xml version="1.0" encoding="utf-8"?>
<calcChain xmlns="http://schemas.openxmlformats.org/spreadsheetml/2006/main">
  <c r="I6" i="22" l="1" a="1"/>
  <c r="I6" i="22"/>
  <c r="L6" i="22"/>
  <c r="V64" i="34"/>
  <c r="F12" i="6"/>
  <c r="K6" i="22" a="1"/>
  <c r="K6" i="22"/>
  <c r="N6" i="22"/>
  <c r="H12" i="6"/>
  <c r="BA12" i="6"/>
  <c r="R12" i="6"/>
  <c r="AJ64" i="34"/>
  <c r="W64" i="34"/>
  <c r="T12" i="6"/>
  <c r="AA64" i="34"/>
  <c r="I7" i="22"/>
  <c r="L7" i="22"/>
  <c r="V65" i="34"/>
  <c r="I8" i="22"/>
  <c r="L8" i="22"/>
  <c r="V66" i="34"/>
  <c r="I9" i="22"/>
  <c r="L9" i="22"/>
  <c r="V67" i="34"/>
  <c r="I10" i="22"/>
  <c r="L10" i="22"/>
  <c r="V68" i="34"/>
  <c r="I11" i="22"/>
  <c r="L11" i="22"/>
  <c r="V69" i="34"/>
  <c r="I12" i="22"/>
  <c r="L12" i="22"/>
  <c r="V70" i="34"/>
  <c r="I13" i="22"/>
  <c r="L13" i="22"/>
  <c r="V71" i="34"/>
  <c r="I14" i="22"/>
  <c r="L14" i="22"/>
  <c r="V72" i="34"/>
  <c r="I15" i="22"/>
  <c r="L15" i="22"/>
  <c r="V73" i="34"/>
  <c r="I16" i="22"/>
  <c r="L16" i="22"/>
  <c r="V74" i="34"/>
  <c r="I17" i="22"/>
  <c r="L17" i="22"/>
  <c r="V75" i="34"/>
  <c r="I18" i="22"/>
  <c r="L18" i="22"/>
  <c r="V76" i="34"/>
  <c r="I19" i="22"/>
  <c r="L19" i="22"/>
  <c r="V77" i="34"/>
  <c r="I20" i="22"/>
  <c r="L20" i="22"/>
  <c r="V78" i="34"/>
  <c r="I21" i="22"/>
  <c r="L21" i="22"/>
  <c r="V79" i="34"/>
  <c r="I22" i="22"/>
  <c r="L22" i="22"/>
  <c r="V80" i="34"/>
  <c r="I23" i="22"/>
  <c r="L23" i="22"/>
  <c r="V81" i="34"/>
  <c r="I24" i="22"/>
  <c r="L24" i="22"/>
  <c r="V82" i="34"/>
  <c r="I25" i="22"/>
  <c r="L25" i="22"/>
  <c r="V83" i="34"/>
  <c r="I26" i="22"/>
  <c r="L26" i="22"/>
  <c r="V84" i="34"/>
  <c r="I27" i="22"/>
  <c r="L27" i="22"/>
  <c r="V85" i="34"/>
  <c r="I28" i="22"/>
  <c r="L28" i="22"/>
  <c r="V86" i="34"/>
  <c r="I29" i="22"/>
  <c r="L29" i="22"/>
  <c r="V87" i="34"/>
  <c r="I30" i="22"/>
  <c r="L30" i="22"/>
  <c r="V88" i="34"/>
  <c r="I31" i="22"/>
  <c r="L31" i="22"/>
  <c r="V89" i="34"/>
  <c r="I32" i="22"/>
  <c r="L32" i="22"/>
  <c r="V90" i="34"/>
  <c r="I33" i="22"/>
  <c r="L33" i="22"/>
  <c r="V91" i="34"/>
  <c r="I34" i="22"/>
  <c r="L34" i="22"/>
  <c r="V92" i="34"/>
  <c r="I35" i="22"/>
  <c r="L35" i="22"/>
  <c r="V93" i="34"/>
  <c r="F13" i="6"/>
  <c r="K7" i="22"/>
  <c r="N7" i="22"/>
  <c r="H13" i="6"/>
  <c r="BD13" i="6"/>
  <c r="BA13" i="6"/>
  <c r="R13" i="6"/>
  <c r="AJ65" i="34"/>
  <c r="F14" i="6"/>
  <c r="K8" i="22"/>
  <c r="N8" i="22"/>
  <c r="H14" i="6"/>
  <c r="BA14" i="6"/>
  <c r="R14" i="6"/>
  <c r="AJ66" i="34"/>
  <c r="F15" i="6"/>
  <c r="K9" i="22"/>
  <c r="N9" i="22"/>
  <c r="H15" i="6"/>
  <c r="BA15" i="6"/>
  <c r="R15" i="6"/>
  <c r="AJ67" i="34"/>
  <c r="F16" i="6"/>
  <c r="K10" i="22"/>
  <c r="N10" i="22"/>
  <c r="H16" i="6"/>
  <c r="BA16" i="6"/>
  <c r="R16" i="6"/>
  <c r="AJ68" i="34"/>
  <c r="F17" i="6"/>
  <c r="K11" i="22"/>
  <c r="N11" i="22"/>
  <c r="H17" i="6"/>
  <c r="BA17" i="6"/>
  <c r="R17" i="6"/>
  <c r="AJ69" i="34"/>
  <c r="F18" i="6"/>
  <c r="K12" i="22"/>
  <c r="N12" i="22"/>
  <c r="H18" i="6"/>
  <c r="BA18" i="6"/>
  <c r="R18" i="6"/>
  <c r="AJ70" i="34"/>
  <c r="F19" i="6"/>
  <c r="K13" i="22"/>
  <c r="N13" i="22"/>
  <c r="H19" i="6"/>
  <c r="BA19" i="6"/>
  <c r="R19" i="6"/>
  <c r="AJ71" i="34"/>
  <c r="F20" i="6"/>
  <c r="K14" i="22"/>
  <c r="N14" i="22"/>
  <c r="H20" i="6"/>
  <c r="BA20" i="6"/>
  <c r="R20" i="6"/>
  <c r="AJ72" i="34"/>
  <c r="F21" i="6"/>
  <c r="K15" i="22"/>
  <c r="N15" i="22"/>
  <c r="H21" i="6"/>
  <c r="BA21" i="6"/>
  <c r="R21" i="6"/>
  <c r="AJ73" i="34"/>
  <c r="F22" i="6"/>
  <c r="K16" i="22"/>
  <c r="N16" i="22"/>
  <c r="H22" i="6"/>
  <c r="BA22" i="6"/>
  <c r="R22" i="6"/>
  <c r="AJ74" i="34"/>
  <c r="F23" i="6"/>
  <c r="K17" i="22"/>
  <c r="N17" i="22"/>
  <c r="H23" i="6"/>
  <c r="BA23" i="6"/>
  <c r="R23" i="6"/>
  <c r="AJ75" i="34"/>
  <c r="F24" i="6"/>
  <c r="K18" i="22"/>
  <c r="N18" i="22"/>
  <c r="H24" i="6"/>
  <c r="BA24" i="6"/>
  <c r="R24" i="6"/>
  <c r="AJ76" i="34"/>
  <c r="F25" i="6"/>
  <c r="K19" i="22"/>
  <c r="N19" i="22"/>
  <c r="H25" i="6"/>
  <c r="BA25" i="6"/>
  <c r="R25" i="6"/>
  <c r="AJ77" i="34"/>
  <c r="F26" i="6"/>
  <c r="K20" i="22"/>
  <c r="N20" i="22"/>
  <c r="H26" i="6"/>
  <c r="BA26" i="6"/>
  <c r="R26" i="6"/>
  <c r="AJ78" i="34"/>
  <c r="F27" i="6"/>
  <c r="K21" i="22"/>
  <c r="N21" i="22"/>
  <c r="H27" i="6"/>
  <c r="BA27" i="6"/>
  <c r="R27" i="6"/>
  <c r="AJ79" i="34"/>
  <c r="F28" i="6"/>
  <c r="K22" i="22"/>
  <c r="N22" i="22"/>
  <c r="H28" i="6"/>
  <c r="BA28" i="6"/>
  <c r="R28" i="6"/>
  <c r="AJ80" i="34"/>
  <c r="F29" i="6"/>
  <c r="K23" i="22"/>
  <c r="N23" i="22"/>
  <c r="H29" i="6"/>
  <c r="BA29" i="6"/>
  <c r="R29" i="6"/>
  <c r="AJ81" i="34"/>
  <c r="F30" i="6"/>
  <c r="K24" i="22"/>
  <c r="N24" i="22"/>
  <c r="H30" i="6"/>
  <c r="BA30" i="6"/>
  <c r="R30" i="6"/>
  <c r="AJ82" i="34"/>
  <c r="F31" i="6"/>
  <c r="K25" i="22"/>
  <c r="N25" i="22"/>
  <c r="H31" i="6"/>
  <c r="BA31" i="6"/>
  <c r="R31" i="6"/>
  <c r="AJ83" i="34"/>
  <c r="F32" i="6"/>
  <c r="K26" i="22"/>
  <c r="N26" i="22"/>
  <c r="H32" i="6"/>
  <c r="BA32" i="6"/>
  <c r="R32" i="6"/>
  <c r="AJ84" i="34"/>
  <c r="F33" i="6"/>
  <c r="K27" i="22"/>
  <c r="N27" i="22"/>
  <c r="H33" i="6"/>
  <c r="BA33" i="6"/>
  <c r="R33" i="6"/>
  <c r="AJ85" i="34"/>
  <c r="F34" i="6"/>
  <c r="K28" i="22"/>
  <c r="N28" i="22"/>
  <c r="H34" i="6"/>
  <c r="BA34" i="6"/>
  <c r="R34" i="6"/>
  <c r="AJ86" i="34"/>
  <c r="F35" i="6"/>
  <c r="K29" i="22"/>
  <c r="N29" i="22"/>
  <c r="H35" i="6"/>
  <c r="BA35" i="6"/>
  <c r="R35" i="6"/>
  <c r="AJ87" i="34"/>
  <c r="F36" i="6"/>
  <c r="K30" i="22"/>
  <c r="N30" i="22"/>
  <c r="H36" i="6"/>
  <c r="BA36" i="6"/>
  <c r="R36" i="6"/>
  <c r="AJ88" i="34"/>
  <c r="F37" i="6"/>
  <c r="K31" i="22"/>
  <c r="N31" i="22"/>
  <c r="H37" i="6"/>
  <c r="BA37" i="6"/>
  <c r="R37" i="6"/>
  <c r="AJ89" i="34"/>
  <c r="F38" i="6"/>
  <c r="K32" i="22"/>
  <c r="N32" i="22"/>
  <c r="H38" i="6"/>
  <c r="BA38" i="6"/>
  <c r="R38" i="6"/>
  <c r="AJ90" i="34"/>
  <c r="F39" i="6"/>
  <c r="K33" i="22"/>
  <c r="N33" i="22"/>
  <c r="H39" i="6"/>
  <c r="BA39" i="6"/>
  <c r="R39" i="6"/>
  <c r="AJ91" i="34"/>
  <c r="F40" i="6"/>
  <c r="K34" i="22"/>
  <c r="N34" i="22"/>
  <c r="H40" i="6"/>
  <c r="BA40" i="6"/>
  <c r="R40" i="6"/>
  <c r="AJ92" i="34"/>
  <c r="F41" i="6"/>
  <c r="K35" i="22"/>
  <c r="N35" i="22"/>
  <c r="H41" i="6"/>
  <c r="BA41" i="6"/>
  <c r="R41" i="6"/>
  <c r="AJ93" i="34"/>
  <c r="W65" i="34"/>
  <c r="T13" i="6"/>
  <c r="AA65" i="34"/>
  <c r="W66" i="34"/>
  <c r="T14" i="6"/>
  <c r="AA66" i="34"/>
  <c r="W67" i="34"/>
  <c r="T15" i="6"/>
  <c r="AA67" i="34"/>
  <c r="W68" i="34"/>
  <c r="T16" i="6"/>
  <c r="AA68" i="34"/>
  <c r="W69" i="34"/>
  <c r="T17" i="6"/>
  <c r="AA69" i="34"/>
  <c r="W70" i="34"/>
  <c r="T18" i="6"/>
  <c r="AA70" i="34"/>
  <c r="W71" i="34"/>
  <c r="T19" i="6"/>
  <c r="AA71" i="34"/>
  <c r="W72" i="34"/>
  <c r="T20" i="6"/>
  <c r="AA72" i="34"/>
  <c r="W73" i="34"/>
  <c r="T21" i="6"/>
  <c r="AA73" i="34"/>
  <c r="W74" i="34"/>
  <c r="T22" i="6"/>
  <c r="AA74" i="34"/>
  <c r="W75" i="34"/>
  <c r="T23" i="6"/>
  <c r="AA75" i="34"/>
  <c r="W76" i="34"/>
  <c r="T24" i="6"/>
  <c r="AA76" i="34"/>
  <c r="W77" i="34"/>
  <c r="T25" i="6"/>
  <c r="AA77" i="34"/>
  <c r="W78" i="34"/>
  <c r="T26" i="6"/>
  <c r="AA78" i="34"/>
  <c r="W79" i="34"/>
  <c r="T27" i="6"/>
  <c r="AA79" i="34"/>
  <c r="W80" i="34"/>
  <c r="T28" i="6"/>
  <c r="AA80" i="34"/>
  <c r="W81" i="34"/>
  <c r="T29" i="6"/>
  <c r="AA81" i="34"/>
  <c r="W82" i="34"/>
  <c r="T30" i="6"/>
  <c r="AA82" i="34"/>
  <c r="W83" i="34"/>
  <c r="T31" i="6"/>
  <c r="AA83" i="34"/>
  <c r="W84" i="34"/>
  <c r="T32" i="6"/>
  <c r="AA84" i="34"/>
  <c r="W85" i="34"/>
  <c r="T33" i="6"/>
  <c r="AA85" i="34"/>
  <c r="W86" i="34"/>
  <c r="T34" i="6"/>
  <c r="AA86" i="34"/>
  <c r="W87" i="34"/>
  <c r="T35" i="6"/>
  <c r="AA87" i="34"/>
  <c r="W88" i="34"/>
  <c r="T36" i="6"/>
  <c r="AA88" i="34"/>
  <c r="W89" i="34"/>
  <c r="T37" i="6"/>
  <c r="AA89" i="34"/>
  <c r="W90" i="34"/>
  <c r="T38" i="6"/>
  <c r="AA90" i="34"/>
  <c r="W91" i="34"/>
  <c r="T39" i="6"/>
  <c r="AA91" i="34"/>
  <c r="W92" i="34"/>
  <c r="T40" i="6"/>
  <c r="AA92" i="34"/>
  <c r="W93" i="34"/>
  <c r="T41" i="6"/>
  <c r="AA93"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AK89" i="34"/>
  <c r="AK90" i="34"/>
  <c r="AK91" i="34"/>
  <c r="AK92" i="34"/>
  <c r="AK93" i="34"/>
  <c r="K4" i="34"/>
  <c r="K5" i="34"/>
  <c r="K6" i="34"/>
  <c r="K7" i="34"/>
  <c r="K8" i="34"/>
  <c r="K9" i="34"/>
  <c r="K10" i="34"/>
  <c r="K11" i="34"/>
  <c r="K12" i="34"/>
  <c r="K13" i="34"/>
  <c r="L4" i="34"/>
  <c r="M4" i="34"/>
  <c r="J4" i="34"/>
  <c r="K17" i="34"/>
  <c r="AT4" i="34"/>
  <c r="AS4" i="34"/>
  <c r="AU4" i="34"/>
  <c r="X72" i="34"/>
  <c r="AD72" i="34"/>
  <c r="AF72" i="34"/>
  <c r="AH72" i="34"/>
  <c r="X82" i="34"/>
  <c r="AD82" i="34"/>
  <c r="AF82" i="34"/>
  <c r="AH82" i="34"/>
  <c r="Y68" i="34"/>
  <c r="AE68" i="34"/>
  <c r="AG68" i="34"/>
  <c r="AI68" i="34"/>
  <c r="Y78" i="34"/>
  <c r="AE78" i="34"/>
  <c r="AG78" i="34"/>
  <c r="AI78" i="34"/>
  <c r="G4" i="34"/>
  <c r="Y72" i="34"/>
  <c r="AE72" i="34"/>
  <c r="AG72" i="34"/>
  <c r="AI72" i="34"/>
  <c r="Y82" i="34"/>
  <c r="AE82" i="34"/>
  <c r="AG82" i="34"/>
  <c r="AI82" i="34"/>
  <c r="X68" i="34"/>
  <c r="AD68" i="34"/>
  <c r="AF68" i="34"/>
  <c r="AH68" i="34"/>
  <c r="X78" i="34"/>
  <c r="AD78" i="34"/>
  <c r="AF78" i="34"/>
  <c r="AH78" i="34"/>
  <c r="H4" i="34"/>
  <c r="I4" i="34"/>
  <c r="AW4" i="34"/>
  <c r="X70" i="34"/>
  <c r="AD70" i="34"/>
  <c r="AF70" i="34"/>
  <c r="AH70" i="34"/>
  <c r="X76" i="34"/>
  <c r="AD76" i="34"/>
  <c r="AF76" i="34"/>
  <c r="AH76" i="34"/>
  <c r="Y64" i="34"/>
  <c r="AE64" i="34"/>
  <c r="AG64" i="34"/>
  <c r="AI64" i="34"/>
  <c r="G5" i="34"/>
  <c r="Y70" i="34"/>
  <c r="AE70" i="34"/>
  <c r="AG70" i="34"/>
  <c r="AI70" i="34"/>
  <c r="Y76" i="34"/>
  <c r="AE76" i="34"/>
  <c r="AG76" i="34"/>
  <c r="AI76" i="34"/>
  <c r="X64" i="34"/>
  <c r="AD64" i="34"/>
  <c r="AF64" i="34"/>
  <c r="AH64" i="34"/>
  <c r="H5" i="34"/>
  <c r="I5" i="34"/>
  <c r="AW5" i="34"/>
  <c r="X66" i="34"/>
  <c r="AD66" i="34"/>
  <c r="AF66" i="34"/>
  <c r="AH66" i="34"/>
  <c r="X74" i="34"/>
  <c r="AD74" i="34"/>
  <c r="AF74" i="34"/>
  <c r="AH74" i="34"/>
  <c r="G6" i="34"/>
  <c r="Y66" i="34"/>
  <c r="AE66" i="34"/>
  <c r="AG66" i="34"/>
  <c r="AI66" i="34"/>
  <c r="Y74" i="34"/>
  <c r="AE74" i="34"/>
  <c r="AG74" i="34"/>
  <c r="AI74" i="34"/>
  <c r="H6" i="34"/>
  <c r="I6" i="34"/>
  <c r="AW6" i="34"/>
  <c r="X80" i="34"/>
  <c r="AD80" i="34"/>
  <c r="AF80" i="34"/>
  <c r="AH80" i="34"/>
  <c r="G7" i="34"/>
  <c r="Y80" i="34"/>
  <c r="AE80" i="34"/>
  <c r="AG80" i="34"/>
  <c r="AI80" i="34"/>
  <c r="H7" i="34"/>
  <c r="I7" i="34"/>
  <c r="AW7" i="34"/>
  <c r="G8" i="34"/>
  <c r="H8" i="34"/>
  <c r="I8" i="34"/>
  <c r="AW8" i="34"/>
  <c r="AH84" i="34"/>
  <c r="AH85" i="34"/>
  <c r="AH86" i="34"/>
  <c r="AH87" i="34"/>
  <c r="X65" i="34"/>
  <c r="AD65" i="34"/>
  <c r="AF65" i="34"/>
  <c r="AH65" i="34"/>
  <c r="X67" i="34"/>
  <c r="AD67" i="34"/>
  <c r="AF67" i="34"/>
  <c r="AH67" i="34"/>
  <c r="X69" i="34"/>
  <c r="AD69" i="34"/>
  <c r="AF69" i="34"/>
  <c r="AH69" i="34"/>
  <c r="X71" i="34"/>
  <c r="AD71" i="34"/>
  <c r="AF71" i="34"/>
  <c r="AH71" i="34"/>
  <c r="X73" i="34"/>
  <c r="AD73" i="34"/>
  <c r="AF73" i="34"/>
  <c r="AH73" i="34"/>
  <c r="X75" i="34"/>
  <c r="AD75" i="34"/>
  <c r="AF75" i="34"/>
  <c r="AH75" i="34"/>
  <c r="X77" i="34"/>
  <c r="AD77" i="34"/>
  <c r="AF77" i="34"/>
  <c r="AH77" i="34"/>
  <c r="X79" i="34"/>
  <c r="AD79" i="34"/>
  <c r="AF79" i="34"/>
  <c r="AH79" i="34"/>
  <c r="X81" i="34"/>
  <c r="AD81" i="34"/>
  <c r="AF81" i="34"/>
  <c r="AH81" i="34"/>
  <c r="X83" i="34"/>
  <c r="AD83" i="34"/>
  <c r="AF83" i="34"/>
  <c r="AH83" i="34"/>
  <c r="AH88" i="34"/>
  <c r="AH89" i="34"/>
  <c r="AH90" i="34"/>
  <c r="AH91" i="34"/>
  <c r="AH92" i="34"/>
  <c r="AH93" i="34"/>
  <c r="Y65" i="34"/>
  <c r="AE65" i="34"/>
  <c r="AG65" i="34"/>
  <c r="AI65" i="34"/>
  <c r="Y67" i="34"/>
  <c r="AE67" i="34"/>
  <c r="AG67" i="34"/>
  <c r="AI67" i="34"/>
  <c r="Y69" i="34"/>
  <c r="AE69" i="34"/>
  <c r="AG69" i="34"/>
  <c r="AI69" i="34"/>
  <c r="Y71" i="34"/>
  <c r="AE71" i="34"/>
  <c r="AG71" i="34"/>
  <c r="AI71" i="34"/>
  <c r="Y73" i="34"/>
  <c r="AE73" i="34"/>
  <c r="AG73" i="34"/>
  <c r="AI73" i="34"/>
  <c r="Y75" i="34"/>
  <c r="AE75" i="34"/>
  <c r="AG75" i="34"/>
  <c r="AI75" i="34"/>
  <c r="Y77" i="34"/>
  <c r="AE77" i="34"/>
  <c r="AG77" i="34"/>
  <c r="AI77" i="34"/>
  <c r="Y79" i="34"/>
  <c r="AE79" i="34"/>
  <c r="AG79" i="34"/>
  <c r="AI79" i="34"/>
  <c r="Y81" i="34"/>
  <c r="AE81" i="34"/>
  <c r="AG81" i="34"/>
  <c r="AI81" i="34"/>
  <c r="Y83" i="34"/>
  <c r="AE83" i="34"/>
  <c r="AG83" i="34"/>
  <c r="AI83" i="34"/>
  <c r="AI84" i="34"/>
  <c r="AI85" i="34"/>
  <c r="AI86" i="34"/>
  <c r="AI87" i="34"/>
  <c r="AI88" i="34"/>
  <c r="AI89" i="34"/>
  <c r="AI90" i="34"/>
  <c r="AI91" i="34"/>
  <c r="AI92" i="34"/>
  <c r="AI93" i="34"/>
  <c r="G9" i="34"/>
  <c r="H9" i="34"/>
  <c r="I9" i="34"/>
  <c r="AW9" i="34"/>
  <c r="G10" i="34"/>
  <c r="H10" i="34"/>
  <c r="I10" i="34"/>
  <c r="AW10" i="34"/>
  <c r="G11" i="34"/>
  <c r="H11" i="34"/>
  <c r="I11" i="34"/>
  <c r="AW11" i="34"/>
  <c r="G12" i="34"/>
  <c r="H12" i="34"/>
  <c r="I12" i="34"/>
  <c r="AW12" i="34"/>
  <c r="AX4" i="34"/>
  <c r="L17" i="34"/>
  <c r="L5" i="34"/>
  <c r="M5" i="34"/>
  <c r="J5" i="34"/>
  <c r="K18" i="34"/>
  <c r="AT5" i="34"/>
  <c r="AS5" i="34"/>
  <c r="AU5" i="34"/>
  <c r="AX5" i="34"/>
  <c r="L18" i="34"/>
  <c r="L6" i="34"/>
  <c r="M6" i="34"/>
  <c r="J6" i="34"/>
  <c r="K19" i="34"/>
  <c r="AT6" i="34"/>
  <c r="AS6" i="34"/>
  <c r="AU6" i="34"/>
  <c r="AX6" i="34"/>
  <c r="L19" i="34"/>
  <c r="L7" i="34"/>
  <c r="M7" i="34"/>
  <c r="J7" i="34"/>
  <c r="K20" i="34"/>
  <c r="AT7" i="34"/>
  <c r="AS7" i="34"/>
  <c r="AU7" i="34"/>
  <c r="AX7" i="34"/>
  <c r="L20" i="34"/>
  <c r="L8" i="34"/>
  <c r="M8" i="34"/>
  <c r="J8" i="34"/>
  <c r="K21" i="34"/>
  <c r="AT8" i="34"/>
  <c r="AS8" i="34"/>
  <c r="AU8" i="34"/>
  <c r="AX8" i="34"/>
  <c r="L21" i="34"/>
  <c r="L9" i="34"/>
  <c r="M9" i="34"/>
  <c r="J9" i="34"/>
  <c r="K22" i="34"/>
  <c r="AT9" i="34"/>
  <c r="AS9" i="34"/>
  <c r="AU9" i="34"/>
  <c r="AX9" i="34"/>
  <c r="L22" i="34"/>
  <c r="L10" i="34"/>
  <c r="M10" i="34"/>
  <c r="J10" i="34"/>
  <c r="K23" i="34"/>
  <c r="AT10" i="34"/>
  <c r="AS10" i="34"/>
  <c r="AU10" i="34"/>
  <c r="AX10" i="34"/>
  <c r="L23" i="34"/>
  <c r="L11" i="34"/>
  <c r="M11" i="34"/>
  <c r="J11" i="34"/>
  <c r="K24" i="34"/>
  <c r="AT11" i="34"/>
  <c r="AS11" i="34"/>
  <c r="AU11" i="34"/>
  <c r="AX11" i="34"/>
  <c r="L24" i="34"/>
  <c r="L12" i="34"/>
  <c r="M12" i="34"/>
  <c r="J12" i="34"/>
  <c r="K25" i="34"/>
  <c r="AT12" i="34"/>
  <c r="AS12" i="34"/>
  <c r="AU12" i="34"/>
  <c r="AX12" i="34"/>
  <c r="L25" i="34"/>
  <c r="M17" i="34"/>
  <c r="N17" i="34" a="1"/>
  <c r="N17" i="34"/>
  <c r="O17" i="34"/>
  <c r="E30" i="34" a="1"/>
  <c r="E30" i="34"/>
  <c r="F30" i="34" a="1"/>
  <c r="F30" i="34"/>
  <c r="G30" i="34" a="1"/>
  <c r="H30" i="34" a="1"/>
  <c r="I30" i="34" a="1"/>
  <c r="J30" i="34" a="1"/>
  <c r="K30" i="34" a="1"/>
  <c r="L30" i="34" a="1"/>
  <c r="P17" i="34"/>
  <c r="M30" i="34" a="1"/>
  <c r="N30" i="34" a="1"/>
  <c r="O30" i="34" a="1"/>
  <c r="P30" i="34" a="1"/>
  <c r="Q30" i="34" a="1"/>
  <c r="R30" i="34" a="1"/>
  <c r="S30" i="34" a="1"/>
  <c r="T30" i="34" a="1"/>
  <c r="Q17" i="34"/>
  <c r="U30" i="34" a="1"/>
  <c r="V30" i="34" a="1"/>
  <c r="W30" i="34" a="1"/>
  <c r="X30" i="34" a="1"/>
  <c r="Y30" i="34" a="1"/>
  <c r="Z30" i="34" a="1"/>
  <c r="AA30" i="34" a="1"/>
  <c r="AB30" i="34" a="1"/>
  <c r="R17" i="34"/>
  <c r="AC30" i="34" a="1"/>
  <c r="AD30" i="34" a="1"/>
  <c r="AE30" i="34" a="1"/>
  <c r="AF30" i="34" a="1"/>
  <c r="AG30" i="34" a="1"/>
  <c r="AH30" i="34" a="1"/>
  <c r="AI30" i="34" a="1"/>
  <c r="AJ30" i="34" a="1"/>
  <c r="S17" i="34"/>
  <c r="AK30" i="34" a="1"/>
  <c r="AL30" i="34" a="1"/>
  <c r="AM30" i="34" a="1"/>
  <c r="AN30" i="34" a="1"/>
  <c r="AO30" i="34" a="1"/>
  <c r="AP30" i="34" a="1"/>
  <c r="AQ30" i="34" a="1"/>
  <c r="AR30" i="34" a="1"/>
  <c r="T17" i="34"/>
  <c r="AS30" i="34" a="1"/>
  <c r="AT30" i="34" a="1"/>
  <c r="AU30" i="34" a="1"/>
  <c r="AV30" i="34" a="1"/>
  <c r="AW30" i="34" a="1"/>
  <c r="AX30" i="34" a="1"/>
  <c r="AY30" i="34" a="1"/>
  <c r="AZ30" i="34" a="1"/>
  <c r="U17" i="34"/>
  <c r="BA30" i="34" a="1"/>
  <c r="BB30" i="34" a="1"/>
  <c r="BC30" i="34" a="1"/>
  <c r="BD30" i="34" a="1"/>
  <c r="BE30" i="34" a="1"/>
  <c r="BF30" i="34" a="1"/>
  <c r="BG30" i="34" a="1"/>
  <c r="BH30" i="34" a="1"/>
  <c r="V17" i="34"/>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M18" i="34"/>
  <c r="N18" i="34" a="1"/>
  <c r="N18" i="34"/>
  <c r="O18" i="34"/>
  <c r="E31" i="34" a="1"/>
  <c r="E31" i="34"/>
  <c r="F31" i="34" a="1"/>
  <c r="F31" i="34"/>
  <c r="G31" i="34" a="1"/>
  <c r="H31" i="34" a="1"/>
  <c r="I31" i="34" a="1"/>
  <c r="J31" i="34" a="1"/>
  <c r="K31" i="34" a="1"/>
  <c r="L31" i="34" a="1"/>
  <c r="P18" i="34"/>
  <c r="M31" i="34" a="1"/>
  <c r="N31" i="34" a="1"/>
  <c r="O31" i="34" a="1"/>
  <c r="P31" i="34" a="1"/>
  <c r="Q31" i="34" a="1"/>
  <c r="R31" i="34" a="1"/>
  <c r="S31" i="34" a="1"/>
  <c r="T31" i="34" a="1"/>
  <c r="Q18" i="34"/>
  <c r="U31" i="34" a="1"/>
  <c r="V31" i="34" a="1"/>
  <c r="W31" i="34" a="1"/>
  <c r="X31" i="34" a="1"/>
  <c r="Y31" i="34" a="1"/>
  <c r="Z31" i="34" a="1"/>
  <c r="AA31" i="34" a="1"/>
  <c r="AB31" i="34" a="1"/>
  <c r="R18" i="34"/>
  <c r="BT52" i="34"/>
  <c r="BU52" i="34"/>
  <c r="BV52" i="34"/>
  <c r="BW52" i="34"/>
  <c r="BX52" i="34"/>
  <c r="BY52" i="34"/>
  <c r="BZ52" i="34"/>
  <c r="CA52"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AC31" i="34" a="1"/>
  <c r="M19" i="34"/>
  <c r="N19" i="34" a="1"/>
  <c r="N19" i="34"/>
  <c r="R19" i="34"/>
  <c r="AD31" i="34" a="1"/>
  <c r="M20" i="34"/>
  <c r="N20" i="34" a="1"/>
  <c r="N20" i="34"/>
  <c r="R20" i="34"/>
  <c r="AE31" i="34" a="1"/>
  <c r="M21" i="34"/>
  <c r="N21" i="34" a="1"/>
  <c r="N21" i="34"/>
  <c r="R21" i="34"/>
  <c r="AF31" i="34" a="1"/>
  <c r="M22" i="34"/>
  <c r="N22" i="34" a="1"/>
  <c r="N22" i="34"/>
  <c r="R22" i="34"/>
  <c r="AG31" i="34" a="1"/>
  <c r="M23" i="34"/>
  <c r="N23" i="34" a="1"/>
  <c r="N23" i="34"/>
  <c r="R23" i="34"/>
  <c r="AH31" i="34" a="1"/>
  <c r="M24" i="34"/>
  <c r="N24" i="34" a="1"/>
  <c r="N24" i="34"/>
  <c r="R24" i="34"/>
  <c r="AI31" i="34" a="1"/>
  <c r="M25" i="34"/>
  <c r="N25" i="34" a="1"/>
  <c r="N25" i="34"/>
  <c r="R25" i="34"/>
  <c r="AJ31" i="34" a="1"/>
  <c r="S18" i="34"/>
  <c r="AK31" i="34" a="1"/>
  <c r="AL31" i="34" a="1"/>
  <c r="AM31" i="34" a="1"/>
  <c r="AN31" i="34" a="1"/>
  <c r="AO31" i="34" a="1"/>
  <c r="AP31" i="34" a="1"/>
  <c r="AQ31" i="34" a="1"/>
  <c r="AR31" i="34" a="1"/>
  <c r="T18" i="34"/>
  <c r="AS31" i="34" a="1"/>
  <c r="AT31" i="34" a="1"/>
  <c r="AU31" i="34" a="1"/>
  <c r="AV31" i="34" a="1"/>
  <c r="AW31" i="34" a="1"/>
  <c r="AX31" i="34" a="1"/>
  <c r="AY31" i="34" a="1"/>
  <c r="AZ31" i="34" a="1"/>
  <c r="U18" i="34"/>
  <c r="BA31" i="34" a="1"/>
  <c r="BB31" i="34" a="1"/>
  <c r="BC31" i="34" a="1"/>
  <c r="BD31" i="34" a="1"/>
  <c r="BE31" i="34" a="1"/>
  <c r="BF31" i="34" a="1"/>
  <c r="BG31" i="34" a="1"/>
  <c r="BH31" i="34" a="1"/>
  <c r="V18" i="34"/>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BT30"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O19" i="34"/>
  <c r="E32" i="34" a="1"/>
  <c r="E32" i="34"/>
  <c r="F32" i="34" a="1"/>
  <c r="F32" i="34"/>
  <c r="G32" i="34" a="1"/>
  <c r="H32" i="34" a="1"/>
  <c r="I32" i="34" a="1"/>
  <c r="J32" i="34" a="1"/>
  <c r="K32" i="34" a="1"/>
  <c r="L32" i="34" a="1"/>
  <c r="P19" i="34"/>
  <c r="M32" i="34" a="1"/>
  <c r="N32" i="34" a="1"/>
  <c r="O32" i="34" a="1"/>
  <c r="P32" i="34" a="1"/>
  <c r="Q32" i="34" a="1"/>
  <c r="R32" i="34" a="1"/>
  <c r="S32" i="34" a="1"/>
  <c r="T32" i="34" a="1"/>
  <c r="Q19" i="34"/>
  <c r="U32" i="34" a="1"/>
  <c r="V32" i="34" a="1"/>
  <c r="W32" i="34" a="1"/>
  <c r="X32" i="34" a="1"/>
  <c r="Y32" i="34" a="1"/>
  <c r="Z32" i="34" a="1"/>
  <c r="AA32" i="34" a="1"/>
  <c r="AB32" i="34" a="1"/>
  <c r="AC32" i="34" a="1"/>
  <c r="AD32" i="34" a="1"/>
  <c r="AE32" i="34" a="1"/>
  <c r="AF32" i="34" a="1"/>
  <c r="AG32" i="34" a="1"/>
  <c r="AH32" i="34" a="1"/>
  <c r="AI32" i="34" a="1"/>
  <c r="AJ32" i="34" a="1"/>
  <c r="S19" i="34"/>
  <c r="AK32" i="34" a="1"/>
  <c r="AL32" i="34" a="1"/>
  <c r="AM32" i="34" a="1"/>
  <c r="AN32" i="34" a="1"/>
  <c r="AO32" i="34" a="1"/>
  <c r="AP32" i="34" a="1"/>
  <c r="AQ32" i="34" a="1"/>
  <c r="AR32" i="34" a="1"/>
  <c r="T19" i="34"/>
  <c r="AS32" i="34" a="1"/>
  <c r="AT32" i="34" a="1"/>
  <c r="AU32" i="34" a="1"/>
  <c r="AV32" i="34" a="1"/>
  <c r="AW32" i="34" a="1"/>
  <c r="AX32" i="34" a="1"/>
  <c r="AY32" i="34" a="1"/>
  <c r="AZ32" i="34" a="1"/>
  <c r="U19" i="34"/>
  <c r="BA32" i="34" a="1"/>
  <c r="BB32" i="34" a="1"/>
  <c r="BC32" i="34" a="1"/>
  <c r="BD32" i="34" a="1"/>
  <c r="BE32" i="34" a="1"/>
  <c r="BF32" i="34" a="1"/>
  <c r="BG32" i="34" a="1"/>
  <c r="BH32" i="34" a="1"/>
  <c r="V19" i="34"/>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O20" i="34"/>
  <c r="E33" i="34" a="1"/>
  <c r="E33" i="34"/>
  <c r="F33" i="34" a="1"/>
  <c r="F33" i="34"/>
  <c r="G33" i="34" a="1"/>
  <c r="H33" i="34" a="1"/>
  <c r="I33" i="34" a="1"/>
  <c r="J33" i="34" a="1"/>
  <c r="K33" i="34" a="1"/>
  <c r="L33" i="34" a="1"/>
  <c r="P20" i="34"/>
  <c r="M33" i="34" a="1"/>
  <c r="N33" i="34" a="1"/>
  <c r="O33" i="34" a="1"/>
  <c r="P33" i="34" a="1"/>
  <c r="Q33" i="34" a="1"/>
  <c r="R33" i="34" a="1"/>
  <c r="S33" i="34" a="1"/>
  <c r="T33" i="34" a="1"/>
  <c r="Q20" i="34"/>
  <c r="U33" i="34" a="1"/>
  <c r="V33" i="34" a="1"/>
  <c r="W33" i="34" a="1"/>
  <c r="X33" i="34" a="1"/>
  <c r="Y33" i="34" a="1"/>
  <c r="Z33" i="34" a="1"/>
  <c r="AA33" i="34" a="1"/>
  <c r="AB33" i="34" a="1"/>
  <c r="AC33" i="34" a="1"/>
  <c r="AD33" i="34" a="1"/>
  <c r="AE33" i="34" a="1"/>
  <c r="AF33" i="34" a="1"/>
  <c r="AG33" i="34" a="1"/>
  <c r="AH33" i="34" a="1"/>
  <c r="AI33" i="34" a="1"/>
  <c r="AJ33" i="34" a="1"/>
  <c r="S20" i="34"/>
  <c r="AK33" i="34" a="1"/>
  <c r="AL33" i="34" a="1"/>
  <c r="AM33" i="34" a="1"/>
  <c r="AN33" i="34" a="1"/>
  <c r="AO33" i="34" a="1"/>
  <c r="AP33" i="34" a="1"/>
  <c r="AQ33" i="34" a="1"/>
  <c r="AR33" i="34" a="1"/>
  <c r="T20" i="34"/>
  <c r="AS33" i="34" a="1"/>
  <c r="AT33" i="34" a="1"/>
  <c r="AU33" i="34" a="1"/>
  <c r="AV33" i="34" a="1"/>
  <c r="AW33" i="34" a="1"/>
  <c r="AX33" i="34" a="1"/>
  <c r="AY33" i="34" a="1"/>
  <c r="AZ33" i="34" a="1"/>
  <c r="U20" i="34"/>
  <c r="BA33" i="34" a="1"/>
  <c r="BB33" i="34" a="1"/>
  <c r="BC33" i="34" a="1"/>
  <c r="BD33" i="34" a="1"/>
  <c r="BE33" i="34" a="1"/>
  <c r="BF33" i="34" a="1"/>
  <c r="BG33" i="34" a="1"/>
  <c r="BH33" i="34" a="1"/>
  <c r="V20" i="34"/>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O21" i="34"/>
  <c r="E34" i="34" a="1"/>
  <c r="E34" i="34"/>
  <c r="F34" i="34" a="1"/>
  <c r="F34" i="34"/>
  <c r="G34" i="34" a="1"/>
  <c r="H34" i="34" a="1"/>
  <c r="I34" i="34" a="1"/>
  <c r="J34" i="34" a="1"/>
  <c r="K34" i="34" a="1"/>
  <c r="L34" i="34" a="1"/>
  <c r="P21" i="34"/>
  <c r="M34" i="34" a="1"/>
  <c r="N34" i="34" a="1"/>
  <c r="O34" i="34" a="1"/>
  <c r="P34" i="34" a="1"/>
  <c r="Q34" i="34" a="1"/>
  <c r="R34" i="34" a="1"/>
  <c r="S34" i="34" a="1"/>
  <c r="T34" i="34" a="1"/>
  <c r="Q21" i="34"/>
  <c r="U34" i="34" a="1"/>
  <c r="V34" i="34" a="1"/>
  <c r="W34" i="34" a="1"/>
  <c r="X34" i="34" a="1"/>
  <c r="Y34" i="34" a="1"/>
  <c r="Z34" i="34" a="1"/>
  <c r="AA34" i="34" a="1"/>
  <c r="AB34" i="34" a="1"/>
  <c r="AC34" i="34" a="1"/>
  <c r="AD34" i="34" a="1"/>
  <c r="AE34" i="34" a="1"/>
  <c r="AF34" i="34" a="1"/>
  <c r="AG34" i="34" a="1"/>
  <c r="AH34" i="34" a="1"/>
  <c r="AI34" i="34" a="1"/>
  <c r="AJ34" i="34" a="1"/>
  <c r="S21" i="34"/>
  <c r="AK34" i="34" a="1"/>
  <c r="AL34" i="34" a="1"/>
  <c r="AM34" i="34" a="1"/>
  <c r="AN34" i="34" a="1"/>
  <c r="AO34" i="34" a="1"/>
  <c r="AP34" i="34" a="1"/>
  <c r="AQ34" i="34" a="1"/>
  <c r="AR34" i="34" a="1"/>
  <c r="T21" i="34"/>
  <c r="AS34" i="34" a="1"/>
  <c r="AT34" i="34" a="1"/>
  <c r="AU34" i="34" a="1"/>
  <c r="AV34" i="34" a="1"/>
  <c r="AW34" i="34" a="1"/>
  <c r="AX34" i="34" a="1"/>
  <c r="AY34" i="34" a="1"/>
  <c r="AZ34" i="34" a="1"/>
  <c r="U21" i="34"/>
  <c r="BA34" i="34" a="1"/>
  <c r="BB34" i="34" a="1"/>
  <c r="BC34" i="34" a="1"/>
  <c r="BD34" i="34" a="1"/>
  <c r="BE34" i="34" a="1"/>
  <c r="BF34" i="34" a="1"/>
  <c r="BG34" i="34" a="1"/>
  <c r="BH34" i="34" a="1"/>
  <c r="V21" i="34"/>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O22" i="34"/>
  <c r="E35" i="34" a="1"/>
  <c r="E35" i="34"/>
  <c r="F35" i="34" a="1"/>
  <c r="F35" i="34"/>
  <c r="G35" i="34" a="1"/>
  <c r="H35" i="34" a="1"/>
  <c r="I35" i="34" a="1"/>
  <c r="O23" i="34"/>
  <c r="J35" i="34" a="1"/>
  <c r="O24" i="34"/>
  <c r="K35" i="34" a="1"/>
  <c r="O25" i="34"/>
  <c r="L35" i="34" a="1"/>
  <c r="P22" i="34"/>
  <c r="M35" i="34" a="1"/>
  <c r="N35" i="34" a="1"/>
  <c r="O35" i="34" a="1"/>
  <c r="P35" i="34" a="1"/>
  <c r="Q35" i="34" a="1"/>
  <c r="P23" i="34"/>
  <c r="R35" i="34" a="1"/>
  <c r="P24" i="34"/>
  <c r="S35" i="34" a="1"/>
  <c r="P25" i="34"/>
  <c r="T35" i="34" a="1"/>
  <c r="Q22" i="34"/>
  <c r="U35" i="34" a="1"/>
  <c r="V35" i="34" a="1"/>
  <c r="W35" i="34" a="1"/>
  <c r="X35" i="34" a="1"/>
  <c r="Y35" i="34" a="1"/>
  <c r="Q23" i="34"/>
  <c r="Z35" i="34" a="1"/>
  <c r="Q24" i="34"/>
  <c r="AA35" i="34" a="1"/>
  <c r="Q25" i="34"/>
  <c r="AB35" i="34" a="1"/>
  <c r="AC35" i="34" a="1"/>
  <c r="AD35" i="34" a="1"/>
  <c r="AE35" i="34" a="1"/>
  <c r="AF35" i="34" a="1"/>
  <c r="AG35" i="34" a="1"/>
  <c r="AH35" i="34" a="1"/>
  <c r="AI35" i="34" a="1"/>
  <c r="AJ35" i="34" a="1"/>
  <c r="S22" i="34"/>
  <c r="AK35" i="34" a="1"/>
  <c r="AL35" i="34" a="1"/>
  <c r="AM35" i="34" a="1"/>
  <c r="AN35" i="34" a="1"/>
  <c r="AO35" i="34" a="1"/>
  <c r="S23" i="34"/>
  <c r="AP35" i="34" a="1"/>
  <c r="S24" i="34"/>
  <c r="AQ35" i="34" a="1"/>
  <c r="S25" i="34"/>
  <c r="AR35" i="34" a="1"/>
  <c r="T22" i="34"/>
  <c r="AS35" i="34" a="1"/>
  <c r="AT35" i="34" a="1"/>
  <c r="AU35" i="34" a="1"/>
  <c r="AV35" i="34" a="1"/>
  <c r="AW35" i="34" a="1"/>
  <c r="T23" i="34"/>
  <c r="AX35" i="34" a="1"/>
  <c r="T24" i="34"/>
  <c r="AY35" i="34" a="1"/>
  <c r="T25" i="34"/>
  <c r="AZ35" i="34" a="1"/>
  <c r="U22" i="34"/>
  <c r="BA35" i="34" a="1"/>
  <c r="BB35" i="34" a="1"/>
  <c r="BC35" i="34" a="1"/>
  <c r="BD35" i="34" a="1"/>
  <c r="BE35" i="34" a="1"/>
  <c r="U23" i="34"/>
  <c r="BF35" i="34" a="1"/>
  <c r="U24" i="34"/>
  <c r="BG35" i="34" a="1"/>
  <c r="U25" i="34"/>
  <c r="BH35" i="34" a="1"/>
  <c r="V22" i="34"/>
  <c r="BI35" i="34" a="1"/>
  <c r="BJ35" i="34" a="1"/>
  <c r="BK35" i="34" a="1"/>
  <c r="BL35" i="34" a="1"/>
  <c r="BM35" i="34" a="1"/>
  <c r="V23" i="34"/>
  <c r="BN35" i="34" a="1"/>
  <c r="V24" i="34"/>
  <c r="BO35" i="34" a="1"/>
  <c r="V25" i="34"/>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X17" i="34"/>
  <c r="X18" i="34"/>
  <c r="X19" i="34"/>
  <c r="X20" i="34"/>
  <c r="X21" i="34"/>
  <c r="X22" i="34"/>
  <c r="X23" i="34"/>
  <c r="X24" i="34"/>
  <c r="X25" i="34"/>
  <c r="E4" i="34"/>
  <c r="D4" i="34"/>
  <c r="E5" i="34"/>
  <c r="D5" i="34"/>
  <c r="E6" i="34"/>
  <c r="D6" i="34"/>
  <c r="E7" i="34"/>
  <c r="D7" i="34"/>
  <c r="E8" i="34"/>
  <c r="D8" i="34"/>
  <c r="E9" i="34"/>
  <c r="D9" i="34"/>
  <c r="E10" i="34"/>
  <c r="D10" i="34"/>
  <c r="E11" i="34"/>
  <c r="D11" i="34"/>
  <c r="E12" i="34"/>
  <c r="D12" i="34"/>
  <c r="C4" i="34"/>
  <c r="C5" i="34"/>
  <c r="C6" i="34"/>
  <c r="X12" i="6"/>
  <c r="AS12" i="27"/>
  <c r="I29" i="27"/>
  <c r="V81" i="30"/>
  <c r="V64" i="17"/>
  <c r="AJ64" i="17"/>
  <c r="W64" i="17"/>
  <c r="AA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W65" i="17"/>
  <c r="AA65" i="17"/>
  <c r="W66" i="17"/>
  <c r="AA66" i="17"/>
  <c r="W67" i="17"/>
  <c r="AA67" i="17"/>
  <c r="W68" i="17"/>
  <c r="AA68" i="17"/>
  <c r="W69" i="17"/>
  <c r="AA69" i="17"/>
  <c r="W70" i="17"/>
  <c r="AA70" i="17"/>
  <c r="W71" i="17"/>
  <c r="AA71" i="17"/>
  <c r="W72" i="17"/>
  <c r="AA72" i="17"/>
  <c r="W73" i="17"/>
  <c r="AA73" i="17"/>
  <c r="W74" i="17"/>
  <c r="AA74" i="17"/>
  <c r="W75" i="17"/>
  <c r="AA75" i="17"/>
  <c r="W76" i="17"/>
  <c r="AA76" i="17"/>
  <c r="W77" i="17"/>
  <c r="AA77" i="17"/>
  <c r="W78" i="17"/>
  <c r="AA78" i="17"/>
  <c r="W79" i="17"/>
  <c r="AA79" i="17"/>
  <c r="W80" i="17"/>
  <c r="AA80" i="17"/>
  <c r="W81" i="17"/>
  <c r="AA81" i="17"/>
  <c r="W82" i="17"/>
  <c r="AA82" i="17"/>
  <c r="W83" i="17"/>
  <c r="AA83" i="17"/>
  <c r="W84" i="17"/>
  <c r="AA84" i="17"/>
  <c r="W85" i="17"/>
  <c r="AA85" i="17"/>
  <c r="W86" i="17"/>
  <c r="AA86" i="17"/>
  <c r="W87" i="17"/>
  <c r="AA87" i="17"/>
  <c r="W88" i="17"/>
  <c r="AA88" i="17"/>
  <c r="W89" i="17"/>
  <c r="AA89" i="17"/>
  <c r="W90" i="17"/>
  <c r="AA90" i="17"/>
  <c r="W91" i="17"/>
  <c r="AA91" i="17"/>
  <c r="W92" i="17"/>
  <c r="AA92" i="17"/>
  <c r="W93" i="17"/>
  <c r="AA9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K4" i="17"/>
  <c r="K5" i="17"/>
  <c r="K6" i="17"/>
  <c r="K7" i="17"/>
  <c r="K8" i="17"/>
  <c r="K9" i="17"/>
  <c r="K10" i="17"/>
  <c r="K11" i="17"/>
  <c r="K12" i="17"/>
  <c r="K13" i="17"/>
  <c r="L4" i="17"/>
  <c r="M4" i="17"/>
  <c r="J4" i="17"/>
  <c r="K17" i="17"/>
  <c r="AT4" i="17"/>
  <c r="AS4" i="17"/>
  <c r="AU4" i="17"/>
  <c r="X73" i="17"/>
  <c r="AD73" i="17"/>
  <c r="AF73" i="17"/>
  <c r="AH73" i="17"/>
  <c r="X83" i="17"/>
  <c r="AD83" i="17"/>
  <c r="AF83" i="17"/>
  <c r="AH83" i="17"/>
  <c r="Y69" i="17"/>
  <c r="AE69" i="17"/>
  <c r="AG69" i="17"/>
  <c r="AI69" i="17"/>
  <c r="Y79" i="17"/>
  <c r="AE79" i="17"/>
  <c r="AG79" i="17"/>
  <c r="AI79" i="17"/>
  <c r="G4" i="17"/>
  <c r="Y73" i="17"/>
  <c r="AE73" i="17"/>
  <c r="AG73" i="17"/>
  <c r="AI73" i="17"/>
  <c r="Y83" i="17"/>
  <c r="AE83" i="17"/>
  <c r="AG83" i="17"/>
  <c r="AI83" i="17"/>
  <c r="X69" i="17"/>
  <c r="AD69" i="17"/>
  <c r="AF69" i="17"/>
  <c r="AH69" i="17"/>
  <c r="X79" i="17"/>
  <c r="AD79" i="17"/>
  <c r="AF79" i="17"/>
  <c r="AH79" i="17"/>
  <c r="H4" i="17"/>
  <c r="I4" i="17"/>
  <c r="AW4" i="17"/>
  <c r="X71" i="17"/>
  <c r="AD71" i="17"/>
  <c r="AF71" i="17"/>
  <c r="AH71" i="17"/>
  <c r="X77" i="17"/>
  <c r="AD77" i="17"/>
  <c r="AF77" i="17"/>
  <c r="AH77" i="17"/>
  <c r="Y65" i="17"/>
  <c r="AE65" i="17"/>
  <c r="AG65" i="17"/>
  <c r="AI65" i="17"/>
  <c r="G5" i="17"/>
  <c r="Y71" i="17"/>
  <c r="AE71" i="17"/>
  <c r="AG71" i="17"/>
  <c r="AI71" i="17"/>
  <c r="Y77" i="17"/>
  <c r="AE77" i="17"/>
  <c r="AG77" i="17"/>
  <c r="AI77" i="17"/>
  <c r="X65" i="17"/>
  <c r="AD65" i="17"/>
  <c r="AF65" i="17"/>
  <c r="AH65" i="17"/>
  <c r="H5" i="17"/>
  <c r="I5" i="17"/>
  <c r="AW5" i="17"/>
  <c r="X67" i="17"/>
  <c r="AD67" i="17"/>
  <c r="AF67" i="17"/>
  <c r="AH67" i="17"/>
  <c r="X75" i="17"/>
  <c r="AD75" i="17"/>
  <c r="AF75" i="17"/>
  <c r="AH75" i="17"/>
  <c r="G6" i="17"/>
  <c r="Y67" i="17"/>
  <c r="AE67" i="17"/>
  <c r="AG67" i="17"/>
  <c r="AI67" i="17"/>
  <c r="Y75" i="17"/>
  <c r="AE75" i="17"/>
  <c r="AG75" i="17"/>
  <c r="AI75" i="17"/>
  <c r="H6" i="17"/>
  <c r="I6" i="17"/>
  <c r="AW6" i="17"/>
  <c r="X81" i="17"/>
  <c r="AD81" i="17"/>
  <c r="AF81" i="17"/>
  <c r="AH81" i="17"/>
  <c r="G7" i="17"/>
  <c r="Y81" i="17"/>
  <c r="AE81" i="17"/>
  <c r="AG81" i="17"/>
  <c r="AI81" i="17"/>
  <c r="H7" i="17"/>
  <c r="I7" i="17"/>
  <c r="AW7" i="17"/>
  <c r="G8" i="17"/>
  <c r="H8" i="17"/>
  <c r="I8" i="17"/>
  <c r="AW8" i="17"/>
  <c r="AH84" i="17"/>
  <c r="AH85" i="17"/>
  <c r="AH86" i="17"/>
  <c r="AH87" i="17"/>
  <c r="X64" i="17"/>
  <c r="AD64" i="17"/>
  <c r="AF64" i="17"/>
  <c r="AH64" i="17"/>
  <c r="X66" i="17"/>
  <c r="AD66" i="17"/>
  <c r="AF66" i="17"/>
  <c r="AH66" i="17"/>
  <c r="X68" i="17"/>
  <c r="AD68" i="17"/>
  <c r="AF68" i="17"/>
  <c r="AH68" i="17"/>
  <c r="X70" i="17"/>
  <c r="AD70" i="17"/>
  <c r="AF70" i="17"/>
  <c r="AH70" i="17"/>
  <c r="X72" i="17"/>
  <c r="AD72" i="17"/>
  <c r="AF72" i="17"/>
  <c r="AH72" i="17"/>
  <c r="X74" i="17"/>
  <c r="AD74" i="17"/>
  <c r="AF74" i="17"/>
  <c r="AH74" i="17"/>
  <c r="X76" i="17"/>
  <c r="AD76" i="17"/>
  <c r="AF76" i="17"/>
  <c r="AH76" i="17"/>
  <c r="X78" i="17"/>
  <c r="AD78" i="17"/>
  <c r="AF78" i="17"/>
  <c r="AH78" i="17"/>
  <c r="X80" i="17"/>
  <c r="AD80" i="17"/>
  <c r="AF80" i="17"/>
  <c r="AH80" i="17"/>
  <c r="X82" i="17"/>
  <c r="AD82" i="17"/>
  <c r="AF82" i="17"/>
  <c r="AH82" i="17"/>
  <c r="AH88" i="17"/>
  <c r="AH89" i="17"/>
  <c r="AH90" i="17"/>
  <c r="AH91" i="17"/>
  <c r="AH92" i="17"/>
  <c r="AH93" i="17"/>
  <c r="Y64" i="17"/>
  <c r="AE64" i="17"/>
  <c r="AG64" i="17"/>
  <c r="AI64" i="17"/>
  <c r="Y66" i="17"/>
  <c r="AE66" i="17"/>
  <c r="AG66" i="17"/>
  <c r="AI66" i="17"/>
  <c r="Y68" i="17"/>
  <c r="AE68" i="17"/>
  <c r="AG68" i="17"/>
  <c r="AI68" i="17"/>
  <c r="Y70" i="17"/>
  <c r="AE70" i="17"/>
  <c r="AG70" i="17"/>
  <c r="AI70" i="17"/>
  <c r="Y72" i="17"/>
  <c r="AE72" i="17"/>
  <c r="AG72" i="17"/>
  <c r="AI72" i="17"/>
  <c r="Y74" i="17"/>
  <c r="AE74" i="17"/>
  <c r="AG74" i="17"/>
  <c r="AI74" i="17"/>
  <c r="Y76" i="17"/>
  <c r="AE76" i="17"/>
  <c r="AG76" i="17"/>
  <c r="AI76" i="17"/>
  <c r="Y78" i="17"/>
  <c r="AE78" i="17"/>
  <c r="AG78" i="17"/>
  <c r="AI78" i="17"/>
  <c r="Y80" i="17"/>
  <c r="AE80" i="17"/>
  <c r="AG80" i="17"/>
  <c r="AI80" i="17"/>
  <c r="Y82" i="17"/>
  <c r="AE82" i="17"/>
  <c r="AG82" i="17"/>
  <c r="AI82" i="17"/>
  <c r="AI84" i="17"/>
  <c r="AI85" i="17"/>
  <c r="AI86" i="17"/>
  <c r="AI87" i="17"/>
  <c r="AI88" i="17"/>
  <c r="AI89" i="17"/>
  <c r="AI90" i="17"/>
  <c r="AI91" i="17"/>
  <c r="AI92" i="17"/>
  <c r="AI93" i="17"/>
  <c r="G9" i="17"/>
  <c r="H9" i="17"/>
  <c r="I9" i="17"/>
  <c r="AW9" i="17"/>
  <c r="G10" i="17"/>
  <c r="H10" i="17"/>
  <c r="I10" i="17"/>
  <c r="AW10" i="17"/>
  <c r="G11" i="17"/>
  <c r="H11" i="17"/>
  <c r="I11" i="17"/>
  <c r="AW11" i="17"/>
  <c r="G12" i="17"/>
  <c r="H12" i="17"/>
  <c r="I12" i="17"/>
  <c r="AW12" i="17"/>
  <c r="AX4" i="17"/>
  <c r="L17" i="17"/>
  <c r="L5" i="17"/>
  <c r="M5" i="17"/>
  <c r="J5" i="17"/>
  <c r="K18" i="17"/>
  <c r="AT5" i="17"/>
  <c r="AS5" i="17"/>
  <c r="AU5" i="17"/>
  <c r="AX5" i="17"/>
  <c r="L18" i="17"/>
  <c r="L6" i="17"/>
  <c r="M6" i="17"/>
  <c r="J6" i="17"/>
  <c r="K19" i="17"/>
  <c r="AT6" i="17"/>
  <c r="AS6" i="17"/>
  <c r="AU6" i="17"/>
  <c r="AX6" i="17"/>
  <c r="L19" i="17"/>
  <c r="L7" i="17"/>
  <c r="M7" i="17"/>
  <c r="J7" i="17"/>
  <c r="K20" i="17"/>
  <c r="AT7" i="17"/>
  <c r="AS7" i="17"/>
  <c r="AU7" i="17"/>
  <c r="AX7" i="17"/>
  <c r="L20" i="17"/>
  <c r="L8" i="17"/>
  <c r="M8" i="17"/>
  <c r="J8" i="17"/>
  <c r="K21" i="17"/>
  <c r="AT8" i="17"/>
  <c r="AS8" i="17"/>
  <c r="AU8" i="17"/>
  <c r="AX8" i="17"/>
  <c r="L21" i="17"/>
  <c r="L9" i="17"/>
  <c r="M9" i="17"/>
  <c r="J9" i="17"/>
  <c r="K22" i="17"/>
  <c r="AT9" i="17"/>
  <c r="AS9" i="17"/>
  <c r="AU9" i="17"/>
  <c r="AX9" i="17"/>
  <c r="L22" i="17"/>
  <c r="L10" i="17"/>
  <c r="M10" i="17"/>
  <c r="J10" i="17"/>
  <c r="K23" i="17"/>
  <c r="AT10" i="17"/>
  <c r="AS10" i="17"/>
  <c r="AU10" i="17"/>
  <c r="AX10" i="17"/>
  <c r="L23" i="17"/>
  <c r="L11" i="17"/>
  <c r="M11" i="17"/>
  <c r="J11" i="17"/>
  <c r="K24" i="17"/>
  <c r="AT11" i="17"/>
  <c r="AS11" i="17"/>
  <c r="AU11" i="17"/>
  <c r="AX11" i="17"/>
  <c r="L24" i="17"/>
  <c r="L12" i="17"/>
  <c r="M12" i="17"/>
  <c r="J12" i="17"/>
  <c r="K25" i="17"/>
  <c r="AT12"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X22" i="6"/>
  <c r="AS13" i="27"/>
  <c r="K29" i="27"/>
  <c r="W81" i="30"/>
  <c r="AW29" i="27"/>
  <c r="U29" i="27"/>
  <c r="W29" i="27"/>
  <c r="AA81" i="30"/>
  <c r="X14" i="6"/>
  <c r="AS19" i="27"/>
  <c r="I28" i="27"/>
  <c r="V80" i="30"/>
  <c r="C5" i="17"/>
  <c r="C6" i="17"/>
  <c r="C7" i="17"/>
  <c r="C8" i="17"/>
  <c r="X24" i="6"/>
  <c r="AS20" i="27"/>
  <c r="K28" i="27"/>
  <c r="W80" i="30"/>
  <c r="AW28" i="27"/>
  <c r="U28" i="27"/>
  <c r="W28" i="27"/>
  <c r="AA80" i="30"/>
  <c r="C7" i="34"/>
  <c r="C8" i="34"/>
  <c r="X16" i="6"/>
  <c r="AS26" i="27"/>
  <c r="I27" i="27"/>
  <c r="V79" i="30"/>
  <c r="X26" i="6"/>
  <c r="AS27" i="27"/>
  <c r="K27" i="27"/>
  <c r="W79" i="30"/>
  <c r="AW27" i="27"/>
  <c r="U27" i="27"/>
  <c r="W27" i="27"/>
  <c r="AA79" i="30"/>
  <c r="X13" i="6"/>
  <c r="AS14" i="27"/>
  <c r="I26" i="27"/>
  <c r="V78" i="30"/>
  <c r="X23" i="6"/>
  <c r="AS15" i="27"/>
  <c r="K26" i="27"/>
  <c r="W78" i="30"/>
  <c r="AW26" i="27"/>
  <c r="U26" i="27"/>
  <c r="W26" i="27"/>
  <c r="AA78" i="30"/>
  <c r="X15" i="6"/>
  <c r="AS21" i="27"/>
  <c r="I25" i="27"/>
  <c r="V77" i="30"/>
  <c r="X25" i="6"/>
  <c r="AS22" i="27"/>
  <c r="K25" i="27"/>
  <c r="W77" i="30"/>
  <c r="AW25" i="27"/>
  <c r="U25" i="27"/>
  <c r="W25" i="27"/>
  <c r="AA77" i="30"/>
  <c r="C9" i="34"/>
  <c r="X17" i="6"/>
  <c r="AS28" i="27"/>
  <c r="I24" i="27"/>
  <c r="V76" i="30"/>
  <c r="C9" i="17"/>
  <c r="X27" i="6"/>
  <c r="AS29" i="27"/>
  <c r="K24" i="27"/>
  <c r="W76" i="30"/>
  <c r="AW24" i="27"/>
  <c r="U24" i="27"/>
  <c r="W24" i="27"/>
  <c r="AA76" i="30"/>
  <c r="I23" i="27"/>
  <c r="V75" i="30"/>
  <c r="K23" i="27"/>
  <c r="W75" i="30"/>
  <c r="AW23" i="27"/>
  <c r="U23" i="27"/>
  <c r="W23" i="27"/>
  <c r="AA75" i="30"/>
  <c r="I22" i="27"/>
  <c r="V74" i="30"/>
  <c r="K22" i="27"/>
  <c r="W74" i="30"/>
  <c r="AW22" i="27"/>
  <c r="U22" i="27"/>
  <c r="W22" i="27"/>
  <c r="AA74" i="30"/>
  <c r="I21" i="27"/>
  <c r="V73" i="30"/>
  <c r="K21" i="27"/>
  <c r="W73" i="30"/>
  <c r="AW21" i="27"/>
  <c r="U21" i="27"/>
  <c r="W21" i="27"/>
  <c r="AA73" i="30"/>
  <c r="I20" i="27"/>
  <c r="V72" i="30"/>
  <c r="K20" i="27"/>
  <c r="W72" i="30"/>
  <c r="AW20" i="27"/>
  <c r="U20" i="27"/>
  <c r="W20" i="27"/>
  <c r="AA72" i="30"/>
  <c r="I19" i="27"/>
  <c r="V71" i="30"/>
  <c r="K19" i="27"/>
  <c r="W71" i="30"/>
  <c r="AW19" i="27"/>
  <c r="U19" i="27"/>
  <c r="W19" i="27"/>
  <c r="AA71" i="30"/>
  <c r="I18" i="27"/>
  <c r="V70" i="30"/>
  <c r="K18" i="27"/>
  <c r="W70" i="30"/>
  <c r="AW18" i="27"/>
  <c r="U18" i="27"/>
  <c r="W18" i="27"/>
  <c r="AA70" i="30"/>
  <c r="I17" i="27"/>
  <c r="V69" i="30"/>
  <c r="K17" i="27"/>
  <c r="W69" i="30"/>
  <c r="AW17" i="27"/>
  <c r="U17" i="27"/>
  <c r="W17" i="27"/>
  <c r="AA69" i="30"/>
  <c r="I16" i="27"/>
  <c r="V68" i="30"/>
  <c r="K16" i="27"/>
  <c r="W68" i="30"/>
  <c r="AW16" i="27"/>
  <c r="U16" i="27"/>
  <c r="W16" i="27"/>
  <c r="AA68" i="30"/>
  <c r="I15" i="27"/>
  <c r="V67" i="30"/>
  <c r="K15" i="27"/>
  <c r="W67" i="30"/>
  <c r="AW15" i="27"/>
  <c r="U15" i="27"/>
  <c r="W15" i="27"/>
  <c r="AA67" i="30"/>
  <c r="I14" i="27"/>
  <c r="V66" i="30"/>
  <c r="K14" i="27"/>
  <c r="W66" i="30"/>
  <c r="AW14" i="27"/>
  <c r="U14" i="27"/>
  <c r="W14" i="27"/>
  <c r="AA66" i="30"/>
  <c r="I13" i="27"/>
  <c r="V65" i="30"/>
  <c r="K13" i="27"/>
  <c r="W65" i="30"/>
  <c r="AW13" i="27"/>
  <c r="U13" i="27"/>
  <c r="W13" i="27"/>
  <c r="AA65" i="30"/>
  <c r="I12" i="27"/>
  <c r="V64" i="30"/>
  <c r="K12" i="27"/>
  <c r="W64" i="30"/>
  <c r="AW12" i="27"/>
  <c r="U12" i="27"/>
  <c r="W12" i="27"/>
  <c r="AA64" i="30"/>
  <c r="V81" i="29"/>
  <c r="W81" i="29"/>
  <c r="AA81" i="29"/>
  <c r="V80" i="29"/>
  <c r="W80" i="29"/>
  <c r="AA80" i="29"/>
  <c r="V79" i="29"/>
  <c r="W79" i="29"/>
  <c r="AA79" i="29"/>
  <c r="V78" i="29"/>
  <c r="W78" i="29"/>
  <c r="AA78" i="29"/>
  <c r="V77" i="29"/>
  <c r="W77" i="29"/>
  <c r="AA77" i="29"/>
  <c r="V76" i="29"/>
  <c r="W76" i="29"/>
  <c r="AA76" i="29"/>
  <c r="V75" i="29"/>
  <c r="W75" i="29"/>
  <c r="AA75" i="29"/>
  <c r="V74" i="29"/>
  <c r="W74" i="29"/>
  <c r="AA74" i="29"/>
  <c r="V73" i="29"/>
  <c r="W73" i="29"/>
  <c r="AA73" i="29"/>
  <c r="V72" i="29"/>
  <c r="W72" i="29"/>
  <c r="AA72" i="29"/>
  <c r="V71" i="29"/>
  <c r="W71" i="29"/>
  <c r="AA71" i="29"/>
  <c r="V70" i="29"/>
  <c r="W70" i="29"/>
  <c r="AA70" i="29"/>
  <c r="V69" i="29"/>
  <c r="W69" i="29"/>
  <c r="AA69" i="29"/>
  <c r="V68" i="29"/>
  <c r="W68" i="29"/>
  <c r="AA68" i="29"/>
  <c r="V67" i="29"/>
  <c r="W67" i="29"/>
  <c r="AA67" i="29"/>
  <c r="V66" i="29"/>
  <c r="W66" i="29"/>
  <c r="AA66" i="29"/>
  <c r="V65" i="29"/>
  <c r="W65" i="29"/>
  <c r="AA65" i="29"/>
  <c r="V64" i="29"/>
  <c r="W64" i="29"/>
  <c r="AA64" i="29"/>
  <c r="V81" i="28"/>
  <c r="W81" i="28"/>
  <c r="AA81" i="28"/>
  <c r="V80" i="28"/>
  <c r="W80" i="28"/>
  <c r="AA80" i="28"/>
  <c r="V79" i="28"/>
  <c r="W79" i="28"/>
  <c r="AA79" i="28"/>
  <c r="V78" i="28"/>
  <c r="W78" i="28"/>
  <c r="AA78" i="28"/>
  <c r="V77" i="28"/>
  <c r="W77" i="28"/>
  <c r="AA77" i="28"/>
  <c r="V76" i="28"/>
  <c r="W76" i="28"/>
  <c r="AA76" i="28"/>
  <c r="V75" i="28"/>
  <c r="W75" i="28"/>
  <c r="AA75" i="28"/>
  <c r="V74" i="28"/>
  <c r="W74" i="28"/>
  <c r="AA74" i="28"/>
  <c r="V73" i="28"/>
  <c r="W73" i="28"/>
  <c r="AA73" i="28"/>
  <c r="V72" i="28"/>
  <c r="W72" i="28"/>
  <c r="AA72" i="28"/>
  <c r="V71" i="28"/>
  <c r="W71" i="28"/>
  <c r="AA71" i="28"/>
  <c r="V70" i="28"/>
  <c r="W70" i="28"/>
  <c r="AA70" i="28"/>
  <c r="V69" i="28"/>
  <c r="W69" i="28"/>
  <c r="AA69" i="28"/>
  <c r="V68" i="28"/>
  <c r="W68" i="28"/>
  <c r="AA68" i="28"/>
  <c r="V67" i="28"/>
  <c r="W67" i="28"/>
  <c r="AA67" i="28"/>
  <c r="V66" i="28"/>
  <c r="W66" i="28"/>
  <c r="AA66" i="28"/>
  <c r="V65" i="28"/>
  <c r="W65" i="28"/>
  <c r="AA65" i="28"/>
  <c r="N4" i="34"/>
  <c r="N5" i="34"/>
  <c r="N6" i="34"/>
  <c r="N7" i="34"/>
  <c r="N8" i="34"/>
  <c r="N9" i="34"/>
  <c r="C10" i="34"/>
  <c r="N10" i="34"/>
  <c r="C11" i="34"/>
  <c r="N11" i="34"/>
  <c r="C12" i="34"/>
  <c r="N12" i="34"/>
  <c r="V64" i="28"/>
  <c r="N4" i="17"/>
  <c r="N5" i="17"/>
  <c r="N6" i="17"/>
  <c r="N7" i="17"/>
  <c r="N8" i="17"/>
  <c r="N9" i="17"/>
  <c r="C10" i="17"/>
  <c r="N10" i="17"/>
  <c r="C11" i="17"/>
  <c r="N11" i="17"/>
  <c r="C12" i="17"/>
  <c r="N12" i="17"/>
  <c r="W64" i="28"/>
  <c r="AA64" i="28"/>
  <c r="F23" i="31"/>
  <c r="BD14" i="6"/>
  <c r="Y17" i="34"/>
  <c r="Y18" i="34"/>
  <c r="Y19" i="34"/>
  <c r="Y20" i="34"/>
  <c r="Y21" i="34"/>
  <c r="Y22" i="34"/>
  <c r="Y17" i="17"/>
  <c r="Y18" i="17"/>
  <c r="Y19" i="17"/>
  <c r="Y20" i="17"/>
  <c r="Y21" i="17"/>
  <c r="Y22" i="17"/>
  <c r="AG81" i="30"/>
  <c r="AF81" i="30"/>
  <c r="AE81" i="30"/>
  <c r="AD81" i="30"/>
  <c r="AJ81" i="30"/>
  <c r="AK81" i="30"/>
  <c r="AC81" i="30"/>
  <c r="X81" i="30"/>
  <c r="AH81" i="30"/>
  <c r="Y81" i="30"/>
  <c r="AI81" i="30"/>
  <c r="AB81" i="30"/>
  <c r="Z81" i="30"/>
  <c r="AG80" i="30"/>
  <c r="AF80" i="30"/>
  <c r="AE80" i="30"/>
  <c r="AD80" i="30"/>
  <c r="AJ80" i="30"/>
  <c r="AK80" i="30"/>
  <c r="AC80" i="30"/>
  <c r="X80" i="30"/>
  <c r="AH80" i="30"/>
  <c r="Y80" i="30"/>
  <c r="AI80" i="30"/>
  <c r="AB80" i="30"/>
  <c r="Z80" i="30"/>
  <c r="AG79" i="30"/>
  <c r="AF79" i="30"/>
  <c r="AE79" i="30"/>
  <c r="AD79" i="30"/>
  <c r="AJ79" i="30"/>
  <c r="AK79" i="30"/>
  <c r="AC79" i="30"/>
  <c r="X79" i="30"/>
  <c r="AH79" i="30"/>
  <c r="Y79" i="30"/>
  <c r="AI79" i="30"/>
  <c r="AB79" i="30"/>
  <c r="Z79" i="30"/>
  <c r="AG78" i="30"/>
  <c r="AF78" i="30"/>
  <c r="AE78" i="30"/>
  <c r="AD78" i="30"/>
  <c r="AJ78" i="30"/>
  <c r="AK78" i="30"/>
  <c r="AC78" i="30"/>
  <c r="X78" i="30"/>
  <c r="AH78" i="30"/>
  <c r="Y78" i="30"/>
  <c r="AI78" i="30"/>
  <c r="AB78" i="30"/>
  <c r="Z78" i="30"/>
  <c r="AG77" i="30"/>
  <c r="AF77" i="30"/>
  <c r="AE77" i="30"/>
  <c r="AD77" i="30"/>
  <c r="AJ77" i="30"/>
  <c r="AK77" i="30"/>
  <c r="AC77" i="30"/>
  <c r="X77" i="30"/>
  <c r="AH77" i="30"/>
  <c r="Y77" i="30"/>
  <c r="AI77" i="30"/>
  <c r="AB77" i="30"/>
  <c r="Z77" i="30"/>
  <c r="AG76" i="30"/>
  <c r="AF76" i="30"/>
  <c r="AE76" i="30"/>
  <c r="AD76" i="30"/>
  <c r="AC76" i="30"/>
  <c r="AB76" i="30"/>
  <c r="Z76" i="30"/>
  <c r="Y76" i="30"/>
  <c r="X76" i="30"/>
  <c r="AG75" i="30"/>
  <c r="AF75" i="30"/>
  <c r="AE75" i="30"/>
  <c r="AD75" i="30"/>
  <c r="AJ75" i="30"/>
  <c r="AK75" i="30"/>
  <c r="AC75" i="30"/>
  <c r="X75" i="30"/>
  <c r="AH75" i="30"/>
  <c r="Y75" i="30"/>
  <c r="AI75" i="30"/>
  <c r="AB75" i="30"/>
  <c r="Z75" i="30"/>
  <c r="AG74" i="30"/>
  <c r="AF74" i="30"/>
  <c r="AE74" i="30"/>
  <c r="AD74" i="30"/>
  <c r="AJ74" i="30"/>
  <c r="AK74" i="30"/>
  <c r="AC74" i="30"/>
  <c r="X74" i="30"/>
  <c r="AH74" i="30"/>
  <c r="Y74" i="30"/>
  <c r="AI74" i="30"/>
  <c r="AB74" i="30"/>
  <c r="Z74" i="30"/>
  <c r="AG73" i="30"/>
  <c r="AF73" i="30"/>
  <c r="AE73" i="30"/>
  <c r="AD73" i="30"/>
  <c r="AC73" i="30"/>
  <c r="AB73" i="30"/>
  <c r="Z73" i="30"/>
  <c r="Y73" i="30"/>
  <c r="X73" i="30"/>
  <c r="AG72" i="30"/>
  <c r="AF72" i="30"/>
  <c r="AE72" i="30"/>
  <c r="AD72" i="30"/>
  <c r="AJ72" i="30"/>
  <c r="AK72" i="30"/>
  <c r="AC72" i="30"/>
  <c r="X72" i="30"/>
  <c r="AH72" i="30"/>
  <c r="Y72" i="30"/>
  <c r="AI72" i="30"/>
  <c r="AB72" i="30"/>
  <c r="Z72" i="30"/>
  <c r="AG71" i="30"/>
  <c r="AF71" i="30"/>
  <c r="AE71" i="30"/>
  <c r="AD71" i="30"/>
  <c r="AJ71" i="30"/>
  <c r="AK71" i="30"/>
  <c r="AC71" i="30"/>
  <c r="X71" i="30"/>
  <c r="AH71" i="30"/>
  <c r="Y71" i="30"/>
  <c r="AI71" i="30"/>
  <c r="AB71" i="30"/>
  <c r="Z71" i="30"/>
  <c r="AG70" i="30"/>
  <c r="AF70" i="30"/>
  <c r="AE70" i="30"/>
  <c r="AD70" i="30"/>
  <c r="AC70" i="30"/>
  <c r="AB70" i="30"/>
  <c r="Z70" i="30"/>
  <c r="Y70" i="30"/>
  <c r="X70" i="30"/>
  <c r="AG69" i="30"/>
  <c r="AF69" i="30"/>
  <c r="AE69" i="30"/>
  <c r="AD69" i="30"/>
  <c r="AJ69" i="30"/>
  <c r="AK69" i="30"/>
  <c r="AC69" i="30"/>
  <c r="X69" i="30"/>
  <c r="AH69" i="30"/>
  <c r="Y69" i="30"/>
  <c r="AI69" i="30"/>
  <c r="AB69" i="30"/>
  <c r="Z69" i="30"/>
  <c r="AG68" i="30"/>
  <c r="AF68" i="30"/>
  <c r="AE68" i="30"/>
  <c r="AD68" i="30"/>
  <c r="AJ68" i="30"/>
  <c r="AK68" i="30"/>
  <c r="AC68" i="30"/>
  <c r="X68" i="30"/>
  <c r="AH68" i="30"/>
  <c r="Y68" i="30"/>
  <c r="AI68" i="30"/>
  <c r="AB68" i="30"/>
  <c r="Z68" i="30"/>
  <c r="AG67" i="30"/>
  <c r="AF67" i="30"/>
  <c r="AE67" i="30"/>
  <c r="AD67" i="30"/>
  <c r="AC67" i="30"/>
  <c r="AB67" i="30"/>
  <c r="Z67" i="30"/>
  <c r="Y67" i="30"/>
  <c r="X67" i="30"/>
  <c r="AG66" i="30"/>
  <c r="AF66" i="30"/>
  <c r="AE66" i="30"/>
  <c r="AD66" i="30"/>
  <c r="AZ14" i="27"/>
  <c r="AJ66" i="30"/>
  <c r="AK66" i="30"/>
  <c r="AC66" i="30"/>
  <c r="X66" i="30"/>
  <c r="AH66" i="30"/>
  <c r="Y66" i="30"/>
  <c r="AI66" i="30"/>
  <c r="AB66" i="30"/>
  <c r="Z66" i="30"/>
  <c r="AG65" i="30"/>
  <c r="AF65" i="30"/>
  <c r="AE65" i="30"/>
  <c r="AD65" i="30"/>
  <c r="AJ65" i="30"/>
  <c r="AK65" i="30"/>
  <c r="AC65" i="30"/>
  <c r="X65" i="30"/>
  <c r="AH65" i="30"/>
  <c r="Y65" i="30"/>
  <c r="AI65" i="30"/>
  <c r="AB65" i="30"/>
  <c r="Z65" i="30"/>
  <c r="AG64" i="30"/>
  <c r="AF64" i="30"/>
  <c r="AE64" i="30"/>
  <c r="AD64" i="30"/>
  <c r="AC64" i="30"/>
  <c r="AB64" i="30"/>
  <c r="Z64" i="30"/>
  <c r="Y64" i="30"/>
  <c r="X64" i="30"/>
  <c r="AG81" i="29"/>
  <c r="AF81" i="29"/>
  <c r="AE81" i="29"/>
  <c r="AD81" i="29"/>
  <c r="AJ81" i="29"/>
  <c r="AK81" i="29"/>
  <c r="AC81" i="29"/>
  <c r="X81" i="29"/>
  <c r="AH81" i="29"/>
  <c r="Y81" i="29"/>
  <c r="AI81" i="29"/>
  <c r="AB81" i="29"/>
  <c r="Z81" i="29"/>
  <c r="AG80" i="29"/>
  <c r="AF80" i="29"/>
  <c r="AE80" i="29"/>
  <c r="AD80" i="29"/>
  <c r="AJ80" i="29"/>
  <c r="AK80" i="29"/>
  <c r="AC80" i="29"/>
  <c r="X80" i="29"/>
  <c r="AH80" i="29"/>
  <c r="Y80" i="29"/>
  <c r="AI80" i="29"/>
  <c r="AB80" i="29"/>
  <c r="Z80" i="29"/>
  <c r="AG79" i="29"/>
  <c r="AF79" i="29"/>
  <c r="AE79" i="29"/>
  <c r="AD79" i="29"/>
  <c r="AJ79" i="29"/>
  <c r="AK79" i="29"/>
  <c r="AC79" i="29"/>
  <c r="X79" i="29"/>
  <c r="AH79" i="29"/>
  <c r="Y79" i="29"/>
  <c r="AI79" i="29"/>
  <c r="AB79" i="29"/>
  <c r="Z79" i="29"/>
  <c r="AG78" i="29"/>
  <c r="AF78" i="29"/>
  <c r="AE78" i="29"/>
  <c r="AD78" i="29"/>
  <c r="AJ78" i="29"/>
  <c r="AK78" i="29"/>
  <c r="AC78" i="29"/>
  <c r="X78" i="29"/>
  <c r="AH78" i="29"/>
  <c r="Y78" i="29"/>
  <c r="AI78" i="29"/>
  <c r="AB78" i="29"/>
  <c r="Z78" i="29"/>
  <c r="AG77" i="29"/>
  <c r="AF77" i="29"/>
  <c r="AE77" i="29"/>
  <c r="AD77" i="29"/>
  <c r="AJ77" i="29"/>
  <c r="AK77" i="29"/>
  <c r="AC77" i="29"/>
  <c r="X77" i="29"/>
  <c r="AH77" i="29"/>
  <c r="Y77" i="29"/>
  <c r="AI77" i="29"/>
  <c r="AB77" i="29"/>
  <c r="Z77" i="29"/>
  <c r="AG76" i="29"/>
  <c r="AF76" i="29"/>
  <c r="AE76" i="29"/>
  <c r="AD76" i="29"/>
  <c r="AC76" i="29"/>
  <c r="AB76" i="29"/>
  <c r="Z76" i="29"/>
  <c r="Y76" i="29"/>
  <c r="X76" i="29"/>
  <c r="AG75" i="29"/>
  <c r="AF75" i="29"/>
  <c r="AE75" i="29"/>
  <c r="AD75" i="29"/>
  <c r="AJ75" i="29"/>
  <c r="AK75" i="29"/>
  <c r="AC75" i="29"/>
  <c r="X75" i="29"/>
  <c r="AH75" i="29"/>
  <c r="Y75" i="29"/>
  <c r="AI75" i="29"/>
  <c r="AB75" i="29"/>
  <c r="Z75" i="29"/>
  <c r="AG74" i="29"/>
  <c r="AF74" i="29"/>
  <c r="AE74" i="29"/>
  <c r="AD74" i="29"/>
  <c r="AJ74" i="29"/>
  <c r="AK74" i="29"/>
  <c r="AC74" i="29"/>
  <c r="X74" i="29"/>
  <c r="AH74" i="29"/>
  <c r="Y74" i="29"/>
  <c r="AI74" i="29"/>
  <c r="AB74" i="29"/>
  <c r="Z74" i="29"/>
  <c r="AG73" i="29"/>
  <c r="AF73" i="29"/>
  <c r="AE73" i="29"/>
  <c r="AD73" i="29"/>
  <c r="AC73" i="29"/>
  <c r="AB73" i="29"/>
  <c r="Z73" i="29"/>
  <c r="Y73" i="29"/>
  <c r="X73" i="29"/>
  <c r="AG72" i="29"/>
  <c r="AF72" i="29"/>
  <c r="AE72" i="29"/>
  <c r="AD72" i="29"/>
  <c r="AJ72" i="29"/>
  <c r="AK72" i="29"/>
  <c r="AC72" i="29"/>
  <c r="X72" i="29"/>
  <c r="AH72" i="29"/>
  <c r="Y72" i="29"/>
  <c r="AI72" i="29"/>
  <c r="AB72" i="29"/>
  <c r="Z72" i="29"/>
  <c r="AG71" i="29"/>
  <c r="AF71" i="29"/>
  <c r="AE71" i="29"/>
  <c r="AD71" i="29"/>
  <c r="AJ71" i="29"/>
  <c r="AK71" i="29"/>
  <c r="AC71" i="29"/>
  <c r="X71" i="29"/>
  <c r="AH71" i="29"/>
  <c r="Y71" i="29"/>
  <c r="AI71" i="29"/>
  <c r="AB71" i="29"/>
  <c r="Z71" i="29"/>
  <c r="AG70" i="29"/>
  <c r="AF70" i="29"/>
  <c r="AE70" i="29"/>
  <c r="AD70" i="29"/>
  <c r="AC70" i="29"/>
  <c r="AB70" i="29"/>
  <c r="Z70" i="29"/>
  <c r="Y70" i="29"/>
  <c r="X70" i="29"/>
  <c r="AG69" i="29"/>
  <c r="AF69" i="29"/>
  <c r="AE69" i="29"/>
  <c r="AD69" i="29"/>
  <c r="AJ69" i="29"/>
  <c r="AK69" i="29"/>
  <c r="AC69" i="29"/>
  <c r="X69" i="29"/>
  <c r="AH69" i="29"/>
  <c r="Y69" i="29"/>
  <c r="AI69" i="29"/>
  <c r="AB69" i="29"/>
  <c r="Z69" i="29"/>
  <c r="AG68" i="29"/>
  <c r="AF68" i="29"/>
  <c r="AE68" i="29"/>
  <c r="AD68" i="29"/>
  <c r="AJ68" i="29"/>
  <c r="AK68" i="29"/>
  <c r="AC68" i="29"/>
  <c r="X68" i="29"/>
  <c r="AH68" i="29"/>
  <c r="Y68" i="29"/>
  <c r="AI68" i="29"/>
  <c r="AB68" i="29"/>
  <c r="Z68" i="29"/>
  <c r="AG67" i="29"/>
  <c r="AF67" i="29"/>
  <c r="AE67" i="29"/>
  <c r="AD67" i="29"/>
  <c r="AC67" i="29"/>
  <c r="AB67" i="29"/>
  <c r="Z67" i="29"/>
  <c r="Y67" i="29"/>
  <c r="X67" i="29"/>
  <c r="AG66" i="29"/>
  <c r="AF66" i="29"/>
  <c r="AE66" i="29"/>
  <c r="AD66" i="29"/>
  <c r="AJ66" i="29"/>
  <c r="AK66" i="29"/>
  <c r="AC66" i="29"/>
  <c r="X66" i="29"/>
  <c r="AH66" i="29"/>
  <c r="Y66" i="29"/>
  <c r="AI66" i="29"/>
  <c r="AB66" i="29"/>
  <c r="Z66" i="29"/>
  <c r="AG65" i="29"/>
  <c r="AF65" i="29"/>
  <c r="AE65" i="29"/>
  <c r="AD65" i="29"/>
  <c r="AJ65" i="29"/>
  <c r="AK65" i="29"/>
  <c r="AC65" i="29"/>
  <c r="X65" i="29"/>
  <c r="AH65" i="29"/>
  <c r="Y65" i="29"/>
  <c r="AI65" i="29"/>
  <c r="AB65" i="29"/>
  <c r="Z65" i="29"/>
  <c r="AG64" i="29"/>
  <c r="AF64" i="29"/>
  <c r="AE64" i="29"/>
  <c r="AD64" i="29"/>
  <c r="AC64" i="29"/>
  <c r="AB64" i="29"/>
  <c r="Z64" i="29"/>
  <c r="Y64" i="29"/>
  <c r="X64" i="29"/>
  <c r="AG81" i="28"/>
  <c r="AF81" i="28"/>
  <c r="AG80" i="28"/>
  <c r="AF80" i="28"/>
  <c r="AG79" i="28"/>
  <c r="AF79" i="28"/>
  <c r="AG78" i="28"/>
  <c r="AF78" i="28"/>
  <c r="AG77" i="28"/>
  <c r="AF77" i="28"/>
  <c r="AG76" i="28"/>
  <c r="AF76" i="28"/>
  <c r="AG75" i="28"/>
  <c r="AF75" i="28"/>
  <c r="AG74" i="28"/>
  <c r="AF74" i="28"/>
  <c r="AG73" i="28"/>
  <c r="AF73" i="28"/>
  <c r="AG72" i="28"/>
  <c r="AF72" i="28"/>
  <c r="AG71" i="28"/>
  <c r="AF71" i="28"/>
  <c r="AG70" i="28"/>
  <c r="AF70" i="28"/>
  <c r="AG69" i="28"/>
  <c r="AF69" i="28"/>
  <c r="AG68" i="28"/>
  <c r="AF68" i="28"/>
  <c r="AG67" i="28"/>
  <c r="AF67" i="28"/>
  <c r="AG66" i="28"/>
  <c r="AF66" i="28"/>
  <c r="AG65" i="28"/>
  <c r="AF65" i="28"/>
  <c r="AG64" i="28"/>
  <c r="AF64" i="28"/>
  <c r="AE81" i="28"/>
  <c r="AD81" i="28"/>
  <c r="AE80" i="28"/>
  <c r="AD80" i="28"/>
  <c r="AE79" i="28"/>
  <c r="AD79" i="28"/>
  <c r="AE78" i="28"/>
  <c r="AD78" i="28"/>
  <c r="AE77" i="28"/>
  <c r="AD77" i="28"/>
  <c r="AE76" i="28"/>
  <c r="AD76" i="28"/>
  <c r="AE75" i="28"/>
  <c r="AD75" i="28"/>
  <c r="AE74" i="28"/>
  <c r="AD74" i="28"/>
  <c r="AE73" i="28"/>
  <c r="AD73" i="28"/>
  <c r="AE72" i="28"/>
  <c r="AD72" i="28"/>
  <c r="AE71" i="28"/>
  <c r="AD71" i="28"/>
  <c r="AE70" i="28"/>
  <c r="AD70" i="28"/>
  <c r="AE69" i="28"/>
  <c r="AD69" i="28"/>
  <c r="AE68" i="28"/>
  <c r="AD68" i="28"/>
  <c r="AE67" i="28"/>
  <c r="AD67" i="28"/>
  <c r="AE66" i="28"/>
  <c r="AD66" i="28"/>
  <c r="AE65" i="28"/>
  <c r="AD65" i="28"/>
  <c r="AE64" i="28"/>
  <c r="AD64" i="28"/>
  <c r="Y81" i="28"/>
  <c r="X81" i="28"/>
  <c r="Y80" i="28"/>
  <c r="X80" i="28"/>
  <c r="Y79" i="28"/>
  <c r="X79" i="28"/>
  <c r="Y78" i="28"/>
  <c r="X78" i="28"/>
  <c r="Y77" i="28"/>
  <c r="X77" i="28"/>
  <c r="Y76" i="28"/>
  <c r="X76" i="28"/>
  <c r="Y75" i="28"/>
  <c r="X75" i="28"/>
  <c r="Y74" i="28"/>
  <c r="X74" i="28"/>
  <c r="Y73" i="28"/>
  <c r="X73" i="28"/>
  <c r="Y72" i="28"/>
  <c r="X72" i="28"/>
  <c r="Y71" i="28"/>
  <c r="X71" i="28"/>
  <c r="Y70" i="28"/>
  <c r="X70" i="28"/>
  <c r="Y69" i="28"/>
  <c r="X69" i="28"/>
  <c r="Y68" i="28"/>
  <c r="X68" i="28"/>
  <c r="Y67" i="28"/>
  <c r="X67" i="28"/>
  <c r="Y66" i="28"/>
  <c r="X66" i="28"/>
  <c r="Y65" i="28"/>
  <c r="X65" i="28"/>
  <c r="Y64" i="28"/>
  <c r="X64" i="28"/>
  <c r="AG93" i="17"/>
  <c r="AF93" i="17"/>
  <c r="AE93" i="17"/>
  <c r="AD93" i="17"/>
  <c r="AC93" i="17"/>
  <c r="AB93" i="17"/>
  <c r="Z93" i="17"/>
  <c r="Y93" i="17"/>
  <c r="X93" i="17"/>
  <c r="AG92" i="17"/>
  <c r="AF92" i="17"/>
  <c r="AE92" i="17"/>
  <c r="AD92" i="17"/>
  <c r="AC92" i="17"/>
  <c r="AB92" i="17"/>
  <c r="Z92" i="17"/>
  <c r="Y92" i="17"/>
  <c r="X92" i="17"/>
  <c r="AG91" i="17"/>
  <c r="AF91" i="17"/>
  <c r="AE91" i="17"/>
  <c r="AD91" i="17"/>
  <c r="AC91" i="17"/>
  <c r="AB91" i="17"/>
  <c r="Z91" i="17"/>
  <c r="Y91" i="17"/>
  <c r="X91" i="17"/>
  <c r="AG90" i="17"/>
  <c r="AF90" i="17"/>
  <c r="AE90" i="17"/>
  <c r="AD90" i="17"/>
  <c r="AC90" i="17"/>
  <c r="AB90" i="17"/>
  <c r="Z90" i="17"/>
  <c r="Y90" i="17"/>
  <c r="X90" i="17"/>
  <c r="AG89" i="17"/>
  <c r="AF89" i="17"/>
  <c r="AE89" i="17"/>
  <c r="AD89" i="17"/>
  <c r="AC89" i="17"/>
  <c r="AB89" i="17"/>
  <c r="Z89" i="17"/>
  <c r="Y89" i="17"/>
  <c r="X89" i="17"/>
  <c r="AG88" i="17"/>
  <c r="AF88" i="17"/>
  <c r="AE88" i="17"/>
  <c r="AD88" i="17"/>
  <c r="AC88" i="17"/>
  <c r="AB88" i="17"/>
  <c r="Z88" i="17"/>
  <c r="Y88" i="17"/>
  <c r="X88" i="17"/>
  <c r="AG87" i="17"/>
  <c r="AF87" i="17"/>
  <c r="AE87" i="17"/>
  <c r="AD87" i="17"/>
  <c r="AC87" i="17"/>
  <c r="AB87" i="17"/>
  <c r="Z87" i="17"/>
  <c r="Y87" i="17"/>
  <c r="X87" i="17"/>
  <c r="AG86" i="17"/>
  <c r="AF86" i="17"/>
  <c r="AE86" i="17"/>
  <c r="AD86" i="17"/>
  <c r="AC86" i="17"/>
  <c r="AB86" i="17"/>
  <c r="Z86" i="17"/>
  <c r="Y86" i="17"/>
  <c r="X86" i="17"/>
  <c r="AG85" i="17"/>
  <c r="AF85" i="17"/>
  <c r="AE85" i="17"/>
  <c r="AD85" i="17"/>
  <c r="AC85" i="17"/>
  <c r="AB85" i="17"/>
  <c r="Z85" i="17"/>
  <c r="Y85" i="17"/>
  <c r="X85" i="17"/>
  <c r="AG84" i="17"/>
  <c r="AF84" i="17"/>
  <c r="AE84" i="17"/>
  <c r="AD84" i="17"/>
  <c r="AC84" i="17"/>
  <c r="AB84" i="17"/>
  <c r="Z84" i="17"/>
  <c r="Y84" i="17"/>
  <c r="X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Y93" i="34"/>
  <c r="X93" i="34"/>
  <c r="Y92" i="34"/>
  <c r="X92" i="34"/>
  <c r="Y91" i="34"/>
  <c r="X91" i="34"/>
  <c r="Y90" i="34"/>
  <c r="X90" i="34"/>
  <c r="Y89" i="34"/>
  <c r="X89" i="34"/>
  <c r="Y88" i="34"/>
  <c r="X88" i="34"/>
  <c r="Y87" i="34"/>
  <c r="X87" i="34"/>
  <c r="Y86" i="34"/>
  <c r="X86" i="34"/>
  <c r="Y85" i="34"/>
  <c r="X85" i="34"/>
  <c r="Y84" i="34"/>
  <c r="X84" i="34"/>
  <c r="AE93" i="34"/>
  <c r="AD93" i="34"/>
  <c r="AE92" i="34"/>
  <c r="AD92" i="34"/>
  <c r="AE91" i="34"/>
  <c r="AD91" i="34"/>
  <c r="AE90" i="34"/>
  <c r="AD90" i="34"/>
  <c r="AE89" i="34"/>
  <c r="AD89" i="34"/>
  <c r="AE88" i="34"/>
  <c r="AD88" i="34"/>
  <c r="AE87" i="34"/>
  <c r="AD87" i="34"/>
  <c r="AE86" i="34"/>
  <c r="AD86" i="34"/>
  <c r="AE85" i="34"/>
  <c r="AD85" i="34"/>
  <c r="AE84" i="34"/>
  <c r="AD84" i="34"/>
  <c r="AG93" i="34"/>
  <c r="AF93" i="34"/>
  <c r="AG92" i="34"/>
  <c r="AF92" i="34"/>
  <c r="AG91" i="34"/>
  <c r="AF91" i="34"/>
  <c r="AG90" i="34"/>
  <c r="AF90" i="34"/>
  <c r="AG89" i="34"/>
  <c r="AF89" i="34"/>
  <c r="AG88" i="34"/>
  <c r="AF88" i="34"/>
  <c r="AG87" i="34"/>
  <c r="AF87" i="34"/>
  <c r="AG86" i="34"/>
  <c r="AF86" i="34"/>
  <c r="AG85" i="34"/>
  <c r="AF85" i="34"/>
  <c r="AG84" i="34"/>
  <c r="AF84" i="34"/>
  <c r="BB14" i="6"/>
  <c r="AB153" i="30"/>
  <c r="AB152" i="30"/>
  <c r="AB151" i="30"/>
  <c r="AB150" i="30"/>
  <c r="AB149" i="30"/>
  <c r="AB148" i="30"/>
  <c r="AB147" i="30"/>
  <c r="AB146" i="30"/>
  <c r="AB145" i="30"/>
  <c r="AB144" i="30"/>
  <c r="AB143" i="30"/>
  <c r="AB142" i="30"/>
  <c r="AB141" i="30"/>
  <c r="AB140" i="30"/>
  <c r="AB139" i="30"/>
  <c r="AB138" i="30"/>
  <c r="AB137" i="30"/>
  <c r="AB136" i="30"/>
  <c r="AB153" i="29"/>
  <c r="AB152" i="29"/>
  <c r="AB151" i="29"/>
  <c r="AB150" i="29"/>
  <c r="AB149" i="29"/>
  <c r="AB148" i="29"/>
  <c r="AB147" i="29"/>
  <c r="AB146" i="29"/>
  <c r="AB145" i="29"/>
  <c r="AB144" i="29"/>
  <c r="AB143" i="29"/>
  <c r="AB142" i="29"/>
  <c r="AB141" i="29"/>
  <c r="AB140" i="29"/>
  <c r="AB139" i="29"/>
  <c r="AB138" i="29"/>
  <c r="AB137" i="29"/>
  <c r="AB136" i="29"/>
  <c r="AI81" i="28"/>
  <c r="AH81" i="28"/>
  <c r="AB153" i="28"/>
  <c r="AI80" i="28"/>
  <c r="AH80" i="28"/>
  <c r="AB152" i="28"/>
  <c r="AI79" i="28"/>
  <c r="AH79" i="28"/>
  <c r="AB151" i="28"/>
  <c r="AI78" i="28"/>
  <c r="AH78" i="28"/>
  <c r="AB150" i="28"/>
  <c r="AI77" i="28"/>
  <c r="AH77" i="28"/>
  <c r="AB149" i="28"/>
  <c r="AB148" i="28"/>
  <c r="AI75" i="28"/>
  <c r="AH75" i="28"/>
  <c r="AB147" i="28"/>
  <c r="AI74" i="28"/>
  <c r="AH74" i="28"/>
  <c r="AB146" i="28"/>
  <c r="AB145" i="28"/>
  <c r="AI72" i="28"/>
  <c r="AH72" i="28"/>
  <c r="AB144" i="28"/>
  <c r="AI71" i="28"/>
  <c r="AH71" i="28"/>
  <c r="AB143" i="28"/>
  <c r="AB142" i="28"/>
  <c r="AI69" i="28"/>
  <c r="AH69" i="28"/>
  <c r="AB141" i="28"/>
  <c r="AI68" i="28"/>
  <c r="AH68" i="28"/>
  <c r="AB140" i="28"/>
  <c r="AB139" i="28"/>
  <c r="AI66" i="28"/>
  <c r="AH66" i="28"/>
  <c r="AB138" i="28"/>
  <c r="AI65" i="28"/>
  <c r="AH65" i="28"/>
  <c r="AB137" i="28"/>
  <c r="AB136" i="28"/>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65" i="34"/>
  <c r="AB164" i="34"/>
  <c r="AB163" i="34"/>
  <c r="AB162" i="34"/>
  <c r="AB161" i="34"/>
  <c r="AB160" i="34"/>
  <c r="AB159" i="34"/>
  <c r="AB158" i="34"/>
  <c r="AB157" i="34"/>
  <c r="AB156" i="34"/>
  <c r="AB155" i="34"/>
  <c r="AB154" i="34"/>
  <c r="AB153" i="34"/>
  <c r="AB152" i="34"/>
  <c r="AB151" i="34"/>
  <c r="AB150" i="34"/>
  <c r="AB149" i="34"/>
  <c r="AB148" i="34"/>
  <c r="AB147" i="34"/>
  <c r="AB146" i="34"/>
  <c r="AB145" i="34"/>
  <c r="AB144" i="34"/>
  <c r="AB143" i="34"/>
  <c r="AB142" i="34"/>
  <c r="AB141" i="34"/>
  <c r="AB140" i="34"/>
  <c r="AB139" i="34"/>
  <c r="AB138" i="34"/>
  <c r="AB137" i="34"/>
  <c r="AA137" i="34"/>
  <c r="AA138" i="34"/>
  <c r="AA139" i="34"/>
  <c r="AA140" i="34"/>
  <c r="AA141" i="34"/>
  <c r="AA142" i="34"/>
  <c r="AA143" i="34"/>
  <c r="AA144" i="34"/>
  <c r="AA145" i="34"/>
  <c r="AA146" i="34"/>
  <c r="AA147" i="34"/>
  <c r="AA148" i="34"/>
  <c r="AA149" i="34"/>
  <c r="AA150" i="34"/>
  <c r="AA151" i="34"/>
  <c r="AA152" i="34"/>
  <c r="AA153" i="34"/>
  <c r="AA154" i="34"/>
  <c r="AA155" i="34"/>
  <c r="AA156" i="34"/>
  <c r="AA157" i="34"/>
  <c r="AA158" i="34"/>
  <c r="AA159" i="34"/>
  <c r="AA160" i="34"/>
  <c r="AA161" i="34"/>
  <c r="AA162" i="34"/>
  <c r="AA163" i="34"/>
  <c r="AA164" i="34"/>
  <c r="AA165" i="34"/>
  <c r="AB136" i="34"/>
  <c r="BR38" i="30"/>
  <c r="BZ29" i="30"/>
  <c r="AH64" i="30"/>
  <c r="AH67" i="30"/>
  <c r="AH70" i="30"/>
  <c r="AH73" i="30"/>
  <c r="AH76" i="30"/>
  <c r="AI64" i="30"/>
  <c r="AI67" i="30"/>
  <c r="AI70" i="30"/>
  <c r="AI73" i="30"/>
  <c r="AI76" i="30"/>
  <c r="BZ38" i="30"/>
  <c r="BY29" i="30"/>
  <c r="BY38" i="30"/>
  <c r="BX29" i="30"/>
  <c r="BX38" i="30"/>
  <c r="BW29" i="30"/>
  <c r="BW38" i="30"/>
  <c r="Q67" i="30"/>
  <c r="F7" i="30"/>
  <c r="BV29" i="30"/>
  <c r="BV38" i="30"/>
  <c r="Q66" i="30"/>
  <c r="F6" i="30"/>
  <c r="BU29" i="30"/>
  <c r="BU38" i="30"/>
  <c r="Q65" i="30"/>
  <c r="F5" i="30"/>
  <c r="BT29" i="30"/>
  <c r="BT38" i="30"/>
  <c r="Q64" i="30"/>
  <c r="F4" i="30"/>
  <c r="BS29" i="30"/>
  <c r="BS38" i="30"/>
  <c r="BR37" i="30"/>
  <c r="CA29" i="30"/>
  <c r="CA37" i="30"/>
  <c r="BY37" i="30"/>
  <c r="BX37" i="30"/>
  <c r="BW37" i="30"/>
  <c r="BV37" i="30"/>
  <c r="BU37" i="30"/>
  <c r="BT37" i="30"/>
  <c r="BS37" i="30"/>
  <c r="BR36" i="30"/>
  <c r="CA36" i="30"/>
  <c r="BZ36" i="30"/>
  <c r="BX36" i="30"/>
  <c r="BW36" i="30"/>
  <c r="BV36" i="30"/>
  <c r="BU36" i="30"/>
  <c r="BT36" i="30"/>
  <c r="BS36" i="30"/>
  <c r="BR35" i="30"/>
  <c r="CA35" i="30"/>
  <c r="BZ35" i="30"/>
  <c r="BY35" i="30"/>
  <c r="BW35" i="30"/>
  <c r="BV35" i="30"/>
  <c r="BU35" i="30"/>
  <c r="BT35" i="30"/>
  <c r="BS35" i="30"/>
  <c r="BR34" i="30"/>
  <c r="CA34" i="30"/>
  <c r="BZ34" i="30"/>
  <c r="BY34" i="30"/>
  <c r="BX34" i="30"/>
  <c r="BV34" i="30"/>
  <c r="BU34" i="30"/>
  <c r="BT34" i="30"/>
  <c r="BS34" i="30"/>
  <c r="BR33" i="30"/>
  <c r="CA33" i="30"/>
  <c r="BZ33" i="30"/>
  <c r="BY33" i="30"/>
  <c r="BX33" i="30"/>
  <c r="BW33" i="30"/>
  <c r="BU33" i="30"/>
  <c r="BT33" i="30"/>
  <c r="BS33" i="30"/>
  <c r="BR32" i="30"/>
  <c r="CA32" i="30"/>
  <c r="BZ32" i="30"/>
  <c r="BY32" i="30"/>
  <c r="BX32" i="30"/>
  <c r="BW32" i="30"/>
  <c r="BV32" i="30"/>
  <c r="BT32" i="30"/>
  <c r="BS32" i="30"/>
  <c r="BR31" i="30"/>
  <c r="CA31" i="30"/>
  <c r="BZ31" i="30"/>
  <c r="BY31" i="30"/>
  <c r="BX31" i="30"/>
  <c r="BW31" i="30"/>
  <c r="BV31" i="30"/>
  <c r="BU31" i="30"/>
  <c r="BS31" i="30"/>
  <c r="BR30" i="30"/>
  <c r="CA30" i="30"/>
  <c r="BZ30" i="30"/>
  <c r="BY30" i="30"/>
  <c r="BX30" i="30"/>
  <c r="BW30" i="30"/>
  <c r="BV30" i="30"/>
  <c r="BU30" i="30"/>
  <c r="BT30" i="30"/>
  <c r="BR38" i="29"/>
  <c r="BZ29" i="29"/>
  <c r="AH64" i="29"/>
  <c r="AH67" i="29"/>
  <c r="AH70" i="29"/>
  <c r="AH73" i="29"/>
  <c r="AH76" i="29"/>
  <c r="AI64" i="29"/>
  <c r="AI67" i="29"/>
  <c r="AI70" i="29"/>
  <c r="AI73" i="29"/>
  <c r="AI76" i="29"/>
  <c r="BZ38" i="29"/>
  <c r="BY29" i="29"/>
  <c r="BY38" i="29"/>
  <c r="BX29" i="29"/>
  <c r="BX38" i="29"/>
  <c r="BW29" i="29"/>
  <c r="BW38" i="29"/>
  <c r="Q67" i="29"/>
  <c r="F7" i="29"/>
  <c r="BV29" i="29"/>
  <c r="BV38" i="29"/>
  <c r="Q66" i="29"/>
  <c r="F6" i="29"/>
  <c r="BU29" i="29"/>
  <c r="BU38" i="29"/>
  <c r="Q65" i="29"/>
  <c r="F5" i="29"/>
  <c r="BT29" i="29"/>
  <c r="BT38" i="29"/>
  <c r="Q64" i="29"/>
  <c r="F4" i="29"/>
  <c r="BS29" i="29"/>
  <c r="BS38" i="29"/>
  <c r="BR37" i="29"/>
  <c r="CA29" i="29"/>
  <c r="CA37" i="29"/>
  <c r="BY37" i="29"/>
  <c r="BX37" i="29"/>
  <c r="BW37" i="29"/>
  <c r="BV37" i="29"/>
  <c r="BU37" i="29"/>
  <c r="BT37" i="29"/>
  <c r="BS37" i="29"/>
  <c r="BR36" i="29"/>
  <c r="CA36" i="29"/>
  <c r="BZ36" i="29"/>
  <c r="BX36" i="29"/>
  <c r="BW36" i="29"/>
  <c r="BV36" i="29"/>
  <c r="BU36" i="29"/>
  <c r="BT36" i="29"/>
  <c r="BS36" i="29"/>
  <c r="BR35" i="29"/>
  <c r="CA35" i="29"/>
  <c r="BZ35" i="29"/>
  <c r="BY35" i="29"/>
  <c r="BW35" i="29"/>
  <c r="BV35" i="29"/>
  <c r="BU35" i="29"/>
  <c r="BT35" i="29"/>
  <c r="BS35" i="29"/>
  <c r="BR34" i="29"/>
  <c r="CA34" i="29"/>
  <c r="BZ34" i="29"/>
  <c r="BY34" i="29"/>
  <c r="BX34" i="29"/>
  <c r="BV34" i="29"/>
  <c r="BU34" i="29"/>
  <c r="BT34" i="29"/>
  <c r="BS34" i="29"/>
  <c r="BR33" i="29"/>
  <c r="CA33" i="29"/>
  <c r="BZ33" i="29"/>
  <c r="BY33" i="29"/>
  <c r="BX33" i="29"/>
  <c r="BW33" i="29"/>
  <c r="BU33" i="29"/>
  <c r="BT33" i="29"/>
  <c r="BS33" i="29"/>
  <c r="BR32" i="29"/>
  <c r="CA32" i="29"/>
  <c r="BZ32" i="29"/>
  <c r="BY32" i="29"/>
  <c r="BX32" i="29"/>
  <c r="BW32" i="29"/>
  <c r="BV32" i="29"/>
  <c r="BT32" i="29"/>
  <c r="BS32" i="29"/>
  <c r="BR31" i="29"/>
  <c r="CA31" i="29"/>
  <c r="BZ31" i="29"/>
  <c r="BY31" i="29"/>
  <c r="BX31" i="29"/>
  <c r="BW31" i="29"/>
  <c r="BV31" i="29"/>
  <c r="BU31" i="29"/>
  <c r="BS31" i="29"/>
  <c r="BR30" i="29"/>
  <c r="CA30" i="29"/>
  <c r="BZ30" i="29"/>
  <c r="BY30" i="29"/>
  <c r="BX30" i="29"/>
  <c r="BW30" i="29"/>
  <c r="BV30" i="29"/>
  <c r="BU30" i="29"/>
  <c r="BT30" i="29"/>
  <c r="BR38" i="28"/>
  <c r="BZ29" i="28"/>
  <c r="AH64" i="28"/>
  <c r="AH67" i="28"/>
  <c r="AH70" i="28"/>
  <c r="AH73" i="28"/>
  <c r="AH76" i="28"/>
  <c r="AI64" i="28"/>
  <c r="AI67" i="28"/>
  <c r="AI70" i="28"/>
  <c r="AI73" i="28"/>
  <c r="AI76" i="28"/>
  <c r="BZ38" i="28"/>
  <c r="BY29" i="28"/>
  <c r="BY38" i="28"/>
  <c r="BX29" i="28"/>
  <c r="BX38" i="28"/>
  <c r="BW29" i="28"/>
  <c r="BW38" i="28"/>
  <c r="Q67" i="28"/>
  <c r="F7" i="28"/>
  <c r="BV29" i="28"/>
  <c r="BV38" i="28"/>
  <c r="Q66" i="28"/>
  <c r="F6" i="28"/>
  <c r="BU29" i="28"/>
  <c r="BU38" i="28"/>
  <c r="Q65" i="28"/>
  <c r="F5" i="28"/>
  <c r="BT29" i="28"/>
  <c r="BT38" i="28"/>
  <c r="Q64" i="28"/>
  <c r="F4" i="28"/>
  <c r="BS29" i="28"/>
  <c r="BS38" i="28"/>
  <c r="BR37" i="28"/>
  <c r="CA29" i="28"/>
  <c r="CA37" i="28"/>
  <c r="BY37" i="28"/>
  <c r="BX37" i="28"/>
  <c r="BW37" i="28"/>
  <c r="BV37" i="28"/>
  <c r="BU37" i="28"/>
  <c r="BT37" i="28"/>
  <c r="BS37" i="28"/>
  <c r="BR36" i="28"/>
  <c r="CA36" i="28"/>
  <c r="BZ36" i="28"/>
  <c r="BX36" i="28"/>
  <c r="BW36" i="28"/>
  <c r="BV36" i="28"/>
  <c r="BU36" i="28"/>
  <c r="BT36" i="28"/>
  <c r="BS36" i="28"/>
  <c r="BR35" i="28"/>
  <c r="CA35" i="28"/>
  <c r="BZ35" i="28"/>
  <c r="BY35" i="28"/>
  <c r="BW35" i="28"/>
  <c r="BV35" i="28"/>
  <c r="BU35" i="28"/>
  <c r="BT35" i="28"/>
  <c r="BS35" i="28"/>
  <c r="BR34" i="28"/>
  <c r="CA34" i="28"/>
  <c r="BZ34" i="28"/>
  <c r="BY34" i="28"/>
  <c r="BX34" i="28"/>
  <c r="BV34" i="28"/>
  <c r="BU34" i="28"/>
  <c r="BT34" i="28"/>
  <c r="BS34" i="28"/>
  <c r="BR33" i="28"/>
  <c r="CA33" i="28"/>
  <c r="BZ33" i="28"/>
  <c r="BY33" i="28"/>
  <c r="BX33" i="28"/>
  <c r="BW33" i="28"/>
  <c r="BU33" i="28"/>
  <c r="BT33" i="28"/>
  <c r="BS33" i="28"/>
  <c r="BR32" i="28"/>
  <c r="CA32" i="28"/>
  <c r="BZ32" i="28"/>
  <c r="BY32" i="28"/>
  <c r="BX32" i="28"/>
  <c r="BW32" i="28"/>
  <c r="BV32" i="28"/>
  <c r="BT32" i="28"/>
  <c r="BS32" i="28"/>
  <c r="BR31" i="28"/>
  <c r="CA31" i="28"/>
  <c r="BZ31" i="28"/>
  <c r="BY31" i="28"/>
  <c r="BX31" i="28"/>
  <c r="BW31" i="28"/>
  <c r="BV31" i="28"/>
  <c r="BU31" i="28"/>
  <c r="BS31" i="28"/>
  <c r="BR30" i="28"/>
  <c r="CA30" i="28"/>
  <c r="BZ30" i="28"/>
  <c r="BY30" i="28"/>
  <c r="BX30" i="28"/>
  <c r="BW30" i="28"/>
  <c r="BV30" i="28"/>
  <c r="BU30" i="28"/>
  <c r="BT30" i="28"/>
  <c r="BR38" i="17"/>
  <c r="BZ29" i="17"/>
  <c r="BY29" i="17"/>
  <c r="BX29" i="17"/>
  <c r="BW29" i="17"/>
  <c r="BV29" i="17"/>
  <c r="BU29" i="17"/>
  <c r="BT29" i="17"/>
  <c r="BS29" i="17"/>
  <c r="BR37" i="17"/>
  <c r="CA29" i="17"/>
  <c r="BR36" i="17"/>
  <c r="BR35" i="17"/>
  <c r="BR34" i="17"/>
  <c r="BR33" i="17"/>
  <c r="BR32" i="17"/>
  <c r="BR31" i="17"/>
  <c r="BR30" i="17"/>
  <c r="BR38" i="34"/>
  <c r="BZ29" i="34"/>
  <c r="BY29" i="34"/>
  <c r="BX29" i="34"/>
  <c r="BW29" i="34"/>
  <c r="BV29" i="34"/>
  <c r="BU29" i="34"/>
  <c r="BT29" i="34"/>
  <c r="BS29" i="34"/>
  <c r="BR37" i="34"/>
  <c r="CA29" i="34"/>
  <c r="BR36" i="34"/>
  <c r="BR35" i="34"/>
  <c r="BR34" i="34"/>
  <c r="BR33" i="34"/>
  <c r="BR32" i="34"/>
  <c r="BR31" i="34"/>
  <c r="BR30" i="34"/>
  <c r="B3" i="35"/>
  <c r="BC12" i="6"/>
  <c r="BD12" i="6"/>
  <c r="BB28" i="6"/>
  <c r="G14" i="33"/>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P5" i="17"/>
  <c r="AP6" i="17"/>
  <c r="AP7" i="17"/>
  <c r="AP8" i="17"/>
  <c r="AP9" i="17"/>
  <c r="AP10" i="17"/>
  <c r="AP11" i="17"/>
  <c r="AP12" i="17"/>
  <c r="AM9" i="17"/>
  <c r="C40" i="35"/>
  <c r="AM8" i="17"/>
  <c r="C39" i="35"/>
  <c r="L34" i="35"/>
  <c r="Z136" i="17"/>
  <c r="AA136" i="17"/>
  <c r="Z137" i="17"/>
  <c r="AA137" i="17"/>
  <c r="Z138" i="17"/>
  <c r="AA138" i="17"/>
  <c r="Z139" i="17"/>
  <c r="AA139" i="17"/>
  <c r="Z140" i="17"/>
  <c r="AA140" i="17"/>
  <c r="Z141" i="17"/>
  <c r="AA141" i="17"/>
  <c r="Z142" i="17"/>
  <c r="AA142" i="17"/>
  <c r="Z143" i="17"/>
  <c r="AA143" i="17"/>
  <c r="Z144" i="17"/>
  <c r="AA144" i="17"/>
  <c r="Z145" i="17"/>
  <c r="AA145" i="17"/>
  <c r="Z146" i="17"/>
  <c r="AA146" i="17"/>
  <c r="Z147" i="17"/>
  <c r="AA147" i="17"/>
  <c r="Z148" i="17"/>
  <c r="AA148" i="17"/>
  <c r="Z149" i="17"/>
  <c r="AA149" i="17"/>
  <c r="Z150" i="17"/>
  <c r="AA150" i="17"/>
  <c r="Z151" i="17"/>
  <c r="AA151" i="17"/>
  <c r="Z152" i="17"/>
  <c r="AA152" i="17"/>
  <c r="Z153" i="17"/>
  <c r="AA153" i="17"/>
  <c r="Z154" i="17"/>
  <c r="AA154" i="17"/>
  <c r="Z155" i="17"/>
  <c r="AA155" i="17"/>
  <c r="Z156" i="17"/>
  <c r="AA156" i="17"/>
  <c r="Z157" i="17"/>
  <c r="AA157" i="17"/>
  <c r="Z158" i="17"/>
  <c r="AA158" i="17"/>
  <c r="Z159" i="17"/>
  <c r="AA159" i="17"/>
  <c r="Z160" i="17"/>
  <c r="AA160" i="17"/>
  <c r="Z161" i="17"/>
  <c r="AA161" i="17"/>
  <c r="Z162" i="17"/>
  <c r="AA162" i="17"/>
  <c r="Z163" i="17"/>
  <c r="AA163" i="17"/>
  <c r="Z164" i="17"/>
  <c r="AA164" i="17"/>
  <c r="Z165" i="17"/>
  <c r="AA165" i="17"/>
  <c r="L40" i="35"/>
  <c r="AM7" i="17"/>
  <c r="C38" i="35"/>
  <c r="K34" i="35"/>
  <c r="K40" i="35"/>
  <c r="AM6" i="17"/>
  <c r="C37" i="35"/>
  <c r="J34" i="35"/>
  <c r="J40" i="35"/>
  <c r="AM5" i="17"/>
  <c r="C36" i="35"/>
  <c r="I34" i="35"/>
  <c r="I40" i="35"/>
  <c r="AM4" i="17"/>
  <c r="C35" i="35"/>
  <c r="H34" i="35"/>
  <c r="H40" i="35"/>
  <c r="G40" i="35"/>
  <c r="F40" i="35"/>
  <c r="E40" i="35"/>
  <c r="D40" i="35"/>
  <c r="B40" i="35"/>
  <c r="M34" i="35"/>
  <c r="M39" i="35"/>
  <c r="K39" i="35"/>
  <c r="J39" i="35"/>
  <c r="I39" i="35"/>
  <c r="H39" i="35"/>
  <c r="G39" i="35"/>
  <c r="F39" i="35"/>
  <c r="E39" i="35"/>
  <c r="D39" i="35"/>
  <c r="B39" i="35"/>
  <c r="M38" i="35"/>
  <c r="L38" i="35"/>
  <c r="J38" i="35"/>
  <c r="I38" i="35"/>
  <c r="H38" i="35"/>
  <c r="G38" i="35"/>
  <c r="F38" i="35"/>
  <c r="E38" i="35"/>
  <c r="D38" i="35"/>
  <c r="B38" i="35"/>
  <c r="M37" i="35"/>
  <c r="L37" i="35"/>
  <c r="K37" i="35"/>
  <c r="I37" i="35"/>
  <c r="H37" i="35"/>
  <c r="G37" i="35"/>
  <c r="F37" i="35"/>
  <c r="E37" i="35"/>
  <c r="D37" i="35"/>
  <c r="B37" i="35"/>
  <c r="M36" i="35"/>
  <c r="L36" i="35"/>
  <c r="K36" i="35"/>
  <c r="J36" i="35"/>
  <c r="H36" i="35"/>
  <c r="G36" i="35"/>
  <c r="F36" i="35"/>
  <c r="E36" i="35"/>
  <c r="D36" i="35"/>
  <c r="B36" i="35"/>
  <c r="M35" i="35"/>
  <c r="L35" i="35"/>
  <c r="K35" i="35"/>
  <c r="J35" i="35"/>
  <c r="I35" i="35"/>
  <c r="G35" i="35"/>
  <c r="F35" i="35"/>
  <c r="E35" i="35"/>
  <c r="D35" i="35"/>
  <c r="B35" i="35"/>
  <c r="Q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K5" i="17"/>
  <c r="AK6" i="17"/>
  <c r="AK7" i="17"/>
  <c r="AK8" i="17"/>
  <c r="AK9" i="17"/>
  <c r="AK10" i="17"/>
  <c r="AK11" i="17"/>
  <c r="AK12" i="17"/>
  <c r="AH9" i="17"/>
  <c r="C31" i="35"/>
  <c r="AH8" i="17"/>
  <c r="C30" i="35"/>
  <c r="L25" i="35"/>
  <c r="L31" i="35"/>
  <c r="AH7" i="17"/>
  <c r="C29" i="35"/>
  <c r="K25" i="35"/>
  <c r="K31" i="35"/>
  <c r="AH6" i="17"/>
  <c r="C28" i="35"/>
  <c r="J25" i="35"/>
  <c r="J31" i="35"/>
  <c r="AH5" i="17"/>
  <c r="C27" i="35"/>
  <c r="I25" i="35"/>
  <c r="I31" i="35"/>
  <c r="AH4" i="17"/>
  <c r="C26" i="35"/>
  <c r="H25" i="35"/>
  <c r="H31" i="35"/>
  <c r="G31" i="35"/>
  <c r="F31" i="35"/>
  <c r="E31" i="35"/>
  <c r="D31" i="35"/>
  <c r="B31" i="35"/>
  <c r="M25" i="35"/>
  <c r="M30" i="35"/>
  <c r="K30" i="35"/>
  <c r="J30" i="35"/>
  <c r="I30" i="35"/>
  <c r="H30" i="35"/>
  <c r="G30" i="35"/>
  <c r="F30" i="35"/>
  <c r="E30" i="35"/>
  <c r="D30" i="35"/>
  <c r="B30" i="35"/>
  <c r="M29" i="35"/>
  <c r="L29" i="35"/>
  <c r="J29" i="35"/>
  <c r="I29" i="35"/>
  <c r="H29" i="35"/>
  <c r="G29" i="35"/>
  <c r="F29" i="35"/>
  <c r="E29" i="35"/>
  <c r="D29" i="35"/>
  <c r="B29" i="35"/>
  <c r="M28" i="35"/>
  <c r="L28" i="35"/>
  <c r="K28" i="35"/>
  <c r="I28" i="35"/>
  <c r="H28" i="35"/>
  <c r="G28" i="35"/>
  <c r="F28" i="35"/>
  <c r="E28" i="35"/>
  <c r="D28" i="35"/>
  <c r="B28" i="35"/>
  <c r="M27" i="35"/>
  <c r="L27" i="35"/>
  <c r="K27" i="35"/>
  <c r="J27" i="35"/>
  <c r="H27" i="35"/>
  <c r="G27" i="35"/>
  <c r="F27" i="35"/>
  <c r="E27" i="35"/>
  <c r="D27" i="35"/>
  <c r="B27" i="35"/>
  <c r="M26" i="35"/>
  <c r="L26" i="35"/>
  <c r="K26" i="35"/>
  <c r="J26" i="35"/>
  <c r="I26" i="35"/>
  <c r="G26" i="35"/>
  <c r="F26" i="35"/>
  <c r="E26" i="35"/>
  <c r="D26" i="35"/>
  <c r="B26" i="35"/>
  <c r="P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F5" i="17"/>
  <c r="AF6" i="17"/>
  <c r="AF7" i="17"/>
  <c r="AF8" i="17"/>
  <c r="AF9" i="17"/>
  <c r="AF10" i="17"/>
  <c r="AF11" i="17"/>
  <c r="AF12" i="17"/>
  <c r="AC9" i="17"/>
  <c r="C22" i="35"/>
  <c r="AC8" i="17"/>
  <c r="C21" i="35"/>
  <c r="L16" i="35"/>
  <c r="L22" i="35"/>
  <c r="AC7" i="17"/>
  <c r="C20" i="35"/>
  <c r="K16" i="35"/>
  <c r="K22" i="35"/>
  <c r="AC6" i="17"/>
  <c r="C19" i="35"/>
  <c r="J16" i="35"/>
  <c r="J22" i="35"/>
  <c r="AC5" i="17"/>
  <c r="C18" i="35"/>
  <c r="I16" i="35"/>
  <c r="I22" i="35"/>
  <c r="AC4" i="17"/>
  <c r="C17" i="35"/>
  <c r="H16" i="35"/>
  <c r="H22" i="35"/>
  <c r="G22" i="35"/>
  <c r="F22" i="35"/>
  <c r="E22" i="35"/>
  <c r="D22" i="35"/>
  <c r="B22" i="35"/>
  <c r="M16" i="35"/>
  <c r="M21" i="35"/>
  <c r="K21" i="35"/>
  <c r="J21" i="35"/>
  <c r="I21" i="35"/>
  <c r="H21" i="35"/>
  <c r="G21" i="35"/>
  <c r="F21" i="35"/>
  <c r="E21" i="35"/>
  <c r="D21" i="35"/>
  <c r="B21" i="35"/>
  <c r="M20" i="35"/>
  <c r="L20" i="35"/>
  <c r="J20" i="35"/>
  <c r="I20" i="35"/>
  <c r="H20" i="35"/>
  <c r="G20" i="35"/>
  <c r="F20" i="35"/>
  <c r="E20" i="35"/>
  <c r="D20" i="35"/>
  <c r="B20" i="35"/>
  <c r="M19" i="35"/>
  <c r="L19" i="35"/>
  <c r="K19" i="35"/>
  <c r="I19" i="35"/>
  <c r="H19" i="35"/>
  <c r="G19" i="35"/>
  <c r="F19" i="35"/>
  <c r="E19" i="35"/>
  <c r="D19" i="35"/>
  <c r="B19" i="35"/>
  <c r="M18" i="35"/>
  <c r="L18" i="35"/>
  <c r="K18" i="35"/>
  <c r="J18" i="35"/>
  <c r="H18" i="35"/>
  <c r="G18" i="35"/>
  <c r="F18" i="35"/>
  <c r="E18" i="35"/>
  <c r="D18" i="35"/>
  <c r="B18" i="35"/>
  <c r="M17" i="35"/>
  <c r="L17" i="35"/>
  <c r="K17" i="35"/>
  <c r="J17" i="35"/>
  <c r="I17" i="35"/>
  <c r="G17" i="35"/>
  <c r="F17" i="35"/>
  <c r="E17" i="35"/>
  <c r="D17" i="35"/>
  <c r="B17" i="35"/>
  <c r="O4" i="17"/>
  <c r="W3" i="17"/>
  <c r="W4" i="17"/>
  <c r="Y4" i="17"/>
  <c r="W5" i="17"/>
  <c r="Y5" i="17"/>
  <c r="W6" i="17"/>
  <c r="Y6" i="17"/>
  <c r="W7" i="17"/>
  <c r="Y7" i="17"/>
  <c r="W8" i="17"/>
  <c r="Y8" i="17"/>
  <c r="W9" i="17"/>
  <c r="Y9" i="17"/>
  <c r="W10" i="17"/>
  <c r="Y10" i="17"/>
  <c r="W11" i="17"/>
  <c r="Y11" i="17"/>
  <c r="W12" i="17"/>
  <c r="Y12" i="17"/>
  <c r="Z4" i="17"/>
  <c r="Z5" i="17"/>
  <c r="Z6" i="17"/>
  <c r="Z7" i="17"/>
  <c r="Z8" i="17"/>
  <c r="Z9" i="17"/>
  <c r="Z10" i="17"/>
  <c r="Z11" i="17"/>
  <c r="Z12" i="17"/>
  <c r="AA4" i="17"/>
  <c r="AA5" i="17"/>
  <c r="AA6" i="17"/>
  <c r="AA7" i="17"/>
  <c r="AA8" i="17"/>
  <c r="AA9" i="17"/>
  <c r="AA10" i="17"/>
  <c r="AA11" i="17"/>
  <c r="AA12" i="17"/>
  <c r="X9" i="17"/>
  <c r="C13" i="35"/>
  <c r="X8" i="17"/>
  <c r="C12" i="35"/>
  <c r="L7" i="35"/>
  <c r="L13" i="35"/>
  <c r="X7" i="17"/>
  <c r="C11" i="35"/>
  <c r="K7" i="35"/>
  <c r="K13" i="35"/>
  <c r="X6" i="17"/>
  <c r="C10" i="35"/>
  <c r="J7" i="35"/>
  <c r="J13" i="35"/>
  <c r="X5" i="17"/>
  <c r="C9" i="35"/>
  <c r="I7" i="35"/>
  <c r="I13" i="35"/>
  <c r="X4" i="17"/>
  <c r="C8" i="35"/>
  <c r="H7" i="35"/>
  <c r="H13" i="35"/>
  <c r="G13" i="35"/>
  <c r="F13" i="35"/>
  <c r="E13" i="35"/>
  <c r="D13" i="35"/>
  <c r="B13" i="35"/>
  <c r="M7" i="35"/>
  <c r="M12" i="35"/>
  <c r="K12" i="35"/>
  <c r="J12" i="35"/>
  <c r="I12" i="35"/>
  <c r="H12" i="35"/>
  <c r="G12" i="35"/>
  <c r="F12" i="35"/>
  <c r="E12" i="35"/>
  <c r="D12" i="35"/>
  <c r="B12" i="35"/>
  <c r="M11" i="35"/>
  <c r="L11" i="35"/>
  <c r="J11" i="35"/>
  <c r="I11" i="35"/>
  <c r="H11" i="35"/>
  <c r="G11" i="35"/>
  <c r="F11" i="35"/>
  <c r="E11" i="35"/>
  <c r="D11" i="35"/>
  <c r="B11" i="35"/>
  <c r="M10" i="35"/>
  <c r="L10" i="35"/>
  <c r="K10" i="35"/>
  <c r="I10" i="35"/>
  <c r="H10" i="35"/>
  <c r="G10" i="35"/>
  <c r="F10" i="35"/>
  <c r="E10" i="35"/>
  <c r="D10" i="35"/>
  <c r="B10" i="35"/>
  <c r="M9" i="35"/>
  <c r="L9" i="35"/>
  <c r="K9" i="35"/>
  <c r="J9" i="35"/>
  <c r="H9" i="35"/>
  <c r="G9" i="35"/>
  <c r="F9" i="35"/>
  <c r="E9" i="35"/>
  <c r="D9" i="35"/>
  <c r="B9" i="35"/>
  <c r="M8" i="35"/>
  <c r="L8" i="35"/>
  <c r="K8" i="35"/>
  <c r="J8" i="35"/>
  <c r="I8" i="35"/>
  <c r="G8" i="35"/>
  <c r="F8" i="35"/>
  <c r="E8" i="35"/>
  <c r="D8" i="35"/>
  <c r="B8" i="35"/>
  <c r="O3" i="34"/>
  <c r="P3" i="34"/>
  <c r="Q3" i="34"/>
  <c r="R3" i="34"/>
  <c r="S3" i="34"/>
  <c r="T3" i="34"/>
  <c r="U3" i="34"/>
  <c r="V3" i="34"/>
  <c r="R4" i="34"/>
  <c r="AL3" i="34"/>
  <c r="AL4" i="34"/>
  <c r="AN4" i="34"/>
  <c r="AL5" i="34"/>
  <c r="AN5" i="34"/>
  <c r="AL6" i="34"/>
  <c r="AN6" i="34"/>
  <c r="AL7" i="34"/>
  <c r="AN7" i="34"/>
  <c r="AL8" i="34"/>
  <c r="AN8" i="34"/>
  <c r="AL9" i="34"/>
  <c r="AN9" i="34"/>
  <c r="AL10" i="34"/>
  <c r="AN10" i="34"/>
  <c r="AL11" i="34"/>
  <c r="AN11" i="34"/>
  <c r="AL12" i="34"/>
  <c r="AN12" i="34"/>
  <c r="AO4" i="34"/>
  <c r="AO5" i="34"/>
  <c r="AO6" i="34"/>
  <c r="AO7" i="34"/>
  <c r="AO8" i="34"/>
  <c r="AO9" i="34"/>
  <c r="AO10" i="34"/>
  <c r="AO11" i="34"/>
  <c r="AO12" i="34"/>
  <c r="AP4" i="34"/>
  <c r="AP5" i="34"/>
  <c r="AP6" i="34"/>
  <c r="AP7" i="34"/>
  <c r="AP8" i="34"/>
  <c r="AP9" i="34"/>
  <c r="AP10" i="34"/>
  <c r="AP11" i="34"/>
  <c r="AP12" i="34"/>
  <c r="AM9" i="34"/>
  <c r="N40" i="35"/>
  <c r="AM8" i="34"/>
  <c r="Z64" i="34"/>
  <c r="Z65" i="34"/>
  <c r="Z66" i="34"/>
  <c r="AB64" i="34"/>
  <c r="AB65" i="34"/>
  <c r="AB66" i="34"/>
  <c r="Z67" i="34"/>
  <c r="AB67" i="34"/>
  <c r="Z68" i="34"/>
  <c r="AB68" i="34"/>
  <c r="Z69" i="34"/>
  <c r="AB69" i="34"/>
  <c r="Z70" i="34"/>
  <c r="AB70" i="34"/>
  <c r="Z71" i="34"/>
  <c r="AB71" i="34"/>
  <c r="Z72" i="34"/>
  <c r="AB72" i="34"/>
  <c r="Z73" i="34"/>
  <c r="AB73" i="34"/>
  <c r="Z74" i="34"/>
  <c r="AB74" i="34"/>
  <c r="Z75" i="34"/>
  <c r="AB75" i="34"/>
  <c r="Z76" i="34"/>
  <c r="AB76" i="34"/>
  <c r="Z77" i="34"/>
  <c r="AB77" i="34"/>
  <c r="Z78" i="34"/>
  <c r="AB78" i="34"/>
  <c r="Z79" i="34"/>
  <c r="AB79" i="34"/>
  <c r="Z80" i="34"/>
  <c r="AB80" i="34"/>
  <c r="Z81" i="34"/>
  <c r="AB81" i="34"/>
  <c r="Z82" i="34"/>
  <c r="AB82" i="34"/>
  <c r="Z83" i="34"/>
  <c r="AB83" i="34"/>
  <c r="Z84" i="34"/>
  <c r="AB84" i="34"/>
  <c r="Z85" i="34"/>
  <c r="AB85" i="34"/>
  <c r="Z86" i="34"/>
  <c r="AB86" i="34"/>
  <c r="Z87" i="34"/>
  <c r="AB87" i="34"/>
  <c r="Z88" i="34"/>
  <c r="AB88" i="34"/>
  <c r="Z89" i="34"/>
  <c r="AB89" i="34"/>
  <c r="Z90" i="34"/>
  <c r="AB90" i="34"/>
  <c r="Z91" i="34"/>
  <c r="AB91" i="34"/>
  <c r="Z92" i="34"/>
  <c r="AB92" i="34"/>
  <c r="Z93" i="34"/>
  <c r="AB93" i="34"/>
  <c r="Z136" i="34"/>
  <c r="AA136" i="34"/>
  <c r="Z137" i="34"/>
  <c r="Z138" i="34"/>
  <c r="Z139" i="34"/>
  <c r="Z140" i="34"/>
  <c r="Z141" i="34"/>
  <c r="Z142" i="34"/>
  <c r="Z143" i="34"/>
  <c r="Z144" i="34"/>
  <c r="Z145" i="34"/>
  <c r="Z146" i="34"/>
  <c r="Z147" i="34"/>
  <c r="Z148" i="34"/>
  <c r="Z149" i="34"/>
  <c r="Z150" i="34"/>
  <c r="Z151" i="34"/>
  <c r="Z152" i="34"/>
  <c r="Z153" i="34"/>
  <c r="Z154" i="34"/>
  <c r="Z155" i="34"/>
  <c r="Z156" i="34"/>
  <c r="Z157" i="34"/>
  <c r="Z158" i="34"/>
  <c r="Z159" i="34"/>
  <c r="Z160" i="34"/>
  <c r="Z161" i="34"/>
  <c r="Z162" i="34"/>
  <c r="Z163" i="34"/>
  <c r="Z164" i="34"/>
  <c r="Z165" i="34"/>
  <c r="AM7" i="34"/>
  <c r="AM6" i="34"/>
  <c r="AM5" i="34"/>
  <c r="AM4" i="34"/>
  <c r="N39" i="35"/>
  <c r="N38" i="35"/>
  <c r="N37" i="35"/>
  <c r="N36" i="35"/>
  <c r="N35" i="35"/>
  <c r="G34" i="35"/>
  <c r="F34" i="35"/>
  <c r="E34" i="35"/>
  <c r="D34" i="35"/>
  <c r="C34" i="35"/>
  <c r="M33" i="35"/>
  <c r="L33" i="35"/>
  <c r="K33" i="35"/>
  <c r="J33" i="35"/>
  <c r="I33" i="35"/>
  <c r="H33" i="35"/>
  <c r="Q4" i="34"/>
  <c r="AG3" i="34"/>
  <c r="AG4" i="34"/>
  <c r="AI4" i="34"/>
  <c r="AG5" i="34"/>
  <c r="AI5" i="34"/>
  <c r="AG6" i="34"/>
  <c r="AI6" i="34"/>
  <c r="AG7" i="34"/>
  <c r="AI7" i="34"/>
  <c r="AG8" i="34"/>
  <c r="AI8" i="34"/>
  <c r="AG9" i="34"/>
  <c r="AI9" i="34"/>
  <c r="AG10" i="34"/>
  <c r="AI10" i="34"/>
  <c r="AG11" i="34"/>
  <c r="AI11" i="34"/>
  <c r="AG12" i="34"/>
  <c r="AI12" i="34"/>
  <c r="AJ4" i="34"/>
  <c r="AJ5" i="34"/>
  <c r="AJ6" i="34"/>
  <c r="AJ7" i="34"/>
  <c r="AJ8" i="34"/>
  <c r="AJ9" i="34"/>
  <c r="AJ10" i="34"/>
  <c r="AJ11" i="34"/>
  <c r="AJ12" i="34"/>
  <c r="AK4" i="34"/>
  <c r="AK5" i="34"/>
  <c r="AK6" i="34"/>
  <c r="AK7" i="34"/>
  <c r="AK8" i="34"/>
  <c r="AK9" i="34"/>
  <c r="AK10" i="34"/>
  <c r="AK11" i="34"/>
  <c r="AK12" i="34"/>
  <c r="AH9" i="34"/>
  <c r="N31" i="35"/>
  <c r="AH8" i="34"/>
  <c r="AH7" i="34"/>
  <c r="AH6" i="34"/>
  <c r="AH5" i="34"/>
  <c r="AH4" i="34"/>
  <c r="N30" i="35"/>
  <c r="N29" i="35"/>
  <c r="N28" i="35"/>
  <c r="N27" i="35"/>
  <c r="N26" i="35"/>
  <c r="G25" i="35"/>
  <c r="F25" i="35"/>
  <c r="E25" i="35"/>
  <c r="D25" i="35"/>
  <c r="C25" i="35"/>
  <c r="M24" i="35"/>
  <c r="L24" i="35"/>
  <c r="K24" i="35"/>
  <c r="J24" i="35"/>
  <c r="I24" i="35"/>
  <c r="H24" i="35"/>
  <c r="P4" i="34"/>
  <c r="AB3" i="34"/>
  <c r="AB4" i="34"/>
  <c r="AD4" i="34"/>
  <c r="AB5" i="34"/>
  <c r="AD5" i="34"/>
  <c r="AB6" i="34"/>
  <c r="AD6" i="34"/>
  <c r="AB7" i="34"/>
  <c r="AD7" i="34"/>
  <c r="AB8" i="34"/>
  <c r="AD8" i="34"/>
  <c r="AB9" i="34"/>
  <c r="AD9" i="34"/>
  <c r="AB10" i="34"/>
  <c r="AD10" i="34"/>
  <c r="AB11" i="34"/>
  <c r="AD11" i="34"/>
  <c r="AB12" i="34"/>
  <c r="AD12" i="34"/>
  <c r="AE4" i="34"/>
  <c r="AE5" i="34"/>
  <c r="AE6" i="34"/>
  <c r="AE7" i="34"/>
  <c r="AE8" i="34"/>
  <c r="AE9" i="34"/>
  <c r="AE10" i="34"/>
  <c r="AE11" i="34"/>
  <c r="AE12" i="34"/>
  <c r="AF4" i="34"/>
  <c r="AF5" i="34"/>
  <c r="AF6" i="34"/>
  <c r="AF7" i="34"/>
  <c r="AF8" i="34"/>
  <c r="AF9" i="34"/>
  <c r="AF10" i="34"/>
  <c r="AF11" i="34"/>
  <c r="AF12" i="34"/>
  <c r="AC9" i="34"/>
  <c r="N22" i="35"/>
  <c r="AC8" i="34"/>
  <c r="AC7" i="34"/>
  <c r="AC6" i="34"/>
  <c r="AC5" i="34"/>
  <c r="AC4" i="34"/>
  <c r="N21" i="35"/>
  <c r="N20" i="35"/>
  <c r="N19" i="35"/>
  <c r="N18" i="35"/>
  <c r="N17" i="35"/>
  <c r="G16" i="35"/>
  <c r="F16" i="35"/>
  <c r="E16" i="35"/>
  <c r="D16" i="35"/>
  <c r="C16" i="35"/>
  <c r="M15" i="35"/>
  <c r="L15" i="35"/>
  <c r="K15" i="35"/>
  <c r="J15" i="35"/>
  <c r="I15" i="35"/>
  <c r="H15" i="35"/>
  <c r="O4" i="34"/>
  <c r="W3" i="34"/>
  <c r="W4" i="34"/>
  <c r="Y4" i="34"/>
  <c r="W5" i="34"/>
  <c r="Z18" i="34"/>
  <c r="Y5" i="34"/>
  <c r="W6" i="34"/>
  <c r="Z19" i="34"/>
  <c r="Y6" i="34"/>
  <c r="W7" i="34"/>
  <c r="Z20" i="34"/>
  <c r="Y7" i="34"/>
  <c r="W8" i="34"/>
  <c r="Z21" i="34"/>
  <c r="Y8" i="34"/>
  <c r="W9" i="34"/>
  <c r="Y9" i="34"/>
  <c r="W10" i="34"/>
  <c r="Y10" i="34"/>
  <c r="W11" i="34"/>
  <c r="Y11" i="34"/>
  <c r="W12" i="34"/>
  <c r="Y12" i="34"/>
  <c r="Z4" i="34"/>
  <c r="Z5" i="34"/>
  <c r="Z6" i="34"/>
  <c r="Z7" i="34"/>
  <c r="Z8" i="34"/>
  <c r="Z9" i="34"/>
  <c r="Z10" i="34"/>
  <c r="Z11" i="34"/>
  <c r="Z12" i="34"/>
  <c r="AA4" i="34"/>
  <c r="AA5" i="34"/>
  <c r="AA6" i="34"/>
  <c r="AA7" i="34"/>
  <c r="AA8" i="34"/>
  <c r="AA9" i="34"/>
  <c r="AA10" i="34"/>
  <c r="AA11" i="34"/>
  <c r="AA12" i="34"/>
  <c r="X9" i="34"/>
  <c r="N13" i="35"/>
  <c r="X8" i="34"/>
  <c r="X7" i="34"/>
  <c r="X6" i="34"/>
  <c r="X5" i="34"/>
  <c r="X4" i="34"/>
  <c r="N12" i="35"/>
  <c r="N11" i="35"/>
  <c r="N10" i="35"/>
  <c r="N9" i="35"/>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N8" i="35"/>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G7" i="35"/>
  <c r="F7" i="35"/>
  <c r="E7" i="35"/>
  <c r="D7" i="35"/>
  <c r="C7" i="35"/>
  <c r="M6" i="35"/>
  <c r="L6" i="35"/>
  <c r="K6" i="35"/>
  <c r="J6" i="35"/>
  <c r="I6" i="35"/>
  <c r="H6" i="35"/>
  <c r="B4" i="35"/>
  <c r="B2" i="35"/>
  <c r="C40" i="10"/>
  <c r="E40" i="10"/>
  <c r="C39" i="10"/>
  <c r="E39" i="10"/>
  <c r="C38" i="10"/>
  <c r="E38" i="10"/>
  <c r="C37" i="10"/>
  <c r="E37" i="10"/>
  <c r="C36" i="10"/>
  <c r="E36" i="10"/>
  <c r="C35" i="10"/>
  <c r="E35" i="10"/>
  <c r="C31" i="10"/>
  <c r="E31" i="10"/>
  <c r="C30" i="10"/>
  <c r="E30" i="10"/>
  <c r="C29" i="10"/>
  <c r="E29" i="10"/>
  <c r="C28" i="10"/>
  <c r="E28" i="10"/>
  <c r="C27" i="10"/>
  <c r="E27" i="10"/>
  <c r="C26" i="10"/>
  <c r="E26" i="10"/>
  <c r="C22" i="10"/>
  <c r="E22" i="10"/>
  <c r="C21" i="10"/>
  <c r="E21" i="10"/>
  <c r="C20" i="10"/>
  <c r="E20" i="10"/>
  <c r="C19" i="10"/>
  <c r="E19" i="10"/>
  <c r="C18" i="10"/>
  <c r="E18" i="10"/>
  <c r="C17" i="10"/>
  <c r="E17" i="10"/>
  <c r="C13" i="10"/>
  <c r="E13" i="10"/>
  <c r="C12" i="10"/>
  <c r="E12" i="10"/>
  <c r="C11" i="10"/>
  <c r="E11" i="10"/>
  <c r="C10" i="10"/>
  <c r="E10" i="10"/>
  <c r="C9" i="10"/>
  <c r="F9" i="10"/>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9" i="10"/>
  <c r="G40" i="10"/>
  <c r="G39" i="10"/>
  <c r="G38" i="10"/>
  <c r="G37" i="10"/>
  <c r="G36" i="10"/>
  <c r="G35" i="10"/>
  <c r="G31" i="10"/>
  <c r="G30" i="10"/>
  <c r="G29" i="10"/>
  <c r="G28" i="10"/>
  <c r="G27" i="10"/>
  <c r="G26" i="10"/>
  <c r="G22" i="10"/>
  <c r="G21" i="10"/>
  <c r="G20" i="10"/>
  <c r="G19" i="10"/>
  <c r="G18" i="10"/>
  <c r="G17" i="10"/>
  <c r="G13" i="10"/>
  <c r="G12" i="10"/>
  <c r="G11" i="10"/>
  <c r="G10" i="10"/>
  <c r="G9" i="10"/>
  <c r="C8" i="10"/>
  <c r="G8" i="10"/>
  <c r="F8" i="10"/>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E8" i="10"/>
  <c r="E34" i="10"/>
  <c r="D34" i="10"/>
  <c r="E25" i="10"/>
  <c r="D25" i="10"/>
  <c r="E16" i="10"/>
  <c r="D16" i="10"/>
  <c r="E7" i="10"/>
  <c r="D7" i="10"/>
  <c r="AU7" i="6"/>
  <c r="K30" i="31"/>
  <c r="I30" i="31"/>
  <c r="K29" i="31"/>
  <c r="I29" i="31"/>
  <c r="K28" i="31"/>
  <c r="I28" i="31"/>
  <c r="K27" i="31"/>
  <c r="I27" i="31"/>
  <c r="K26" i="31"/>
  <c r="I26" i="31"/>
  <c r="K25" i="31"/>
  <c r="I25" i="31"/>
  <c r="C18" i="30"/>
  <c r="AC25" i="31"/>
  <c r="AD25" i="31"/>
  <c r="X25" i="31"/>
  <c r="Y25" i="31"/>
  <c r="Z25" i="31"/>
  <c r="AA25" i="31"/>
  <c r="U25" i="31"/>
  <c r="AC26" i="31"/>
  <c r="AD26" i="31"/>
  <c r="U26" i="31"/>
  <c r="AC27" i="31"/>
  <c r="AD27" i="31"/>
  <c r="U27" i="31"/>
  <c r="AC28" i="31"/>
  <c r="AD28" i="31"/>
  <c r="U28" i="31"/>
  <c r="AC29" i="31"/>
  <c r="AD29" i="31"/>
  <c r="U29" i="31"/>
  <c r="AC30" i="31"/>
  <c r="AD30" i="31"/>
  <c r="U30" i="31"/>
  <c r="AD18" i="30"/>
  <c r="Y18" i="30"/>
  <c r="C19" i="30"/>
  <c r="AD19" i="30"/>
  <c r="Y19" i="30"/>
  <c r="C20" i="30"/>
  <c r="AD20" i="30"/>
  <c r="Y20" i="30"/>
  <c r="C17" i="30"/>
  <c r="AD17" i="30"/>
  <c r="Y17" i="30"/>
  <c r="C18" i="29"/>
  <c r="AD18" i="29"/>
  <c r="Y18" i="29"/>
  <c r="C19" i="29"/>
  <c r="AD19" i="29"/>
  <c r="Y19" i="29"/>
  <c r="C20" i="29"/>
  <c r="AD20" i="29"/>
  <c r="Y20" i="29"/>
  <c r="C17" i="29"/>
  <c r="AD17" i="29"/>
  <c r="Y17" i="29"/>
  <c r="AJ64" i="30"/>
  <c r="AK64" i="30"/>
  <c r="AJ67" i="30"/>
  <c r="AJ70" i="30"/>
  <c r="AJ73" i="30"/>
  <c r="AJ76" i="30"/>
  <c r="AK67" i="30"/>
  <c r="AK70" i="30"/>
  <c r="AK73" i="30"/>
  <c r="AK76" i="30"/>
  <c r="L12" i="30"/>
  <c r="M12" i="30"/>
  <c r="J12" i="30"/>
  <c r="K25" i="30"/>
  <c r="AT12" i="30"/>
  <c r="AS12" i="30"/>
  <c r="AU12" i="30"/>
  <c r="G12" i="30"/>
  <c r="H12" i="30"/>
  <c r="I12" i="30"/>
  <c r="AW12" i="30"/>
  <c r="G4" i="30"/>
  <c r="H4" i="30"/>
  <c r="I4" i="30"/>
  <c r="AW4" i="30"/>
  <c r="G5" i="30"/>
  <c r="H5" i="30"/>
  <c r="I5" i="30"/>
  <c r="AW5" i="30"/>
  <c r="G6" i="30"/>
  <c r="H6" i="30"/>
  <c r="I6" i="30"/>
  <c r="AW6" i="30"/>
  <c r="G7" i="30"/>
  <c r="H7" i="30"/>
  <c r="I7" i="30"/>
  <c r="AW7" i="30"/>
  <c r="G8" i="30"/>
  <c r="H8" i="30"/>
  <c r="I8" i="30"/>
  <c r="AW8" i="30"/>
  <c r="G9" i="30"/>
  <c r="H9" i="30"/>
  <c r="I9" i="30"/>
  <c r="AW9" i="30"/>
  <c r="G10" i="30"/>
  <c r="H10" i="30"/>
  <c r="I10" i="30"/>
  <c r="AW10" i="30"/>
  <c r="G11" i="30"/>
  <c r="H11" i="30"/>
  <c r="I11" i="30"/>
  <c r="AW11" i="30"/>
  <c r="AX12" i="30"/>
  <c r="L25" i="30"/>
  <c r="L4" i="30"/>
  <c r="M4" i="30"/>
  <c r="J4" i="30"/>
  <c r="K17" i="30"/>
  <c r="AT4" i="30"/>
  <c r="AS4" i="30"/>
  <c r="AU4" i="30"/>
  <c r="AX4" i="30"/>
  <c r="L17" i="30"/>
  <c r="L5" i="30"/>
  <c r="M5" i="30"/>
  <c r="J5" i="30"/>
  <c r="K18" i="30"/>
  <c r="AT5" i="30"/>
  <c r="AS5" i="30"/>
  <c r="AU5" i="30"/>
  <c r="AX5" i="30"/>
  <c r="L18" i="30"/>
  <c r="L6" i="30"/>
  <c r="M6" i="30"/>
  <c r="J6" i="30"/>
  <c r="K19" i="30"/>
  <c r="AT6" i="30"/>
  <c r="AS6" i="30"/>
  <c r="AU6" i="30"/>
  <c r="AX6" i="30"/>
  <c r="L19" i="30"/>
  <c r="L7" i="30"/>
  <c r="M7" i="30"/>
  <c r="J7" i="30"/>
  <c r="K20" i="30"/>
  <c r="AT7" i="30"/>
  <c r="AS7" i="30"/>
  <c r="AU7" i="30"/>
  <c r="AX7" i="30"/>
  <c r="L20" i="30"/>
  <c r="L8" i="30"/>
  <c r="M8" i="30"/>
  <c r="J8" i="30"/>
  <c r="K21" i="30"/>
  <c r="AT8" i="30"/>
  <c r="AS8" i="30"/>
  <c r="AU8" i="30"/>
  <c r="AX8" i="30"/>
  <c r="L21" i="30"/>
  <c r="L9" i="30"/>
  <c r="M9" i="30"/>
  <c r="J9" i="30"/>
  <c r="K22" i="30"/>
  <c r="AT9" i="30"/>
  <c r="AS9" i="30"/>
  <c r="AU9" i="30"/>
  <c r="AX9" i="30"/>
  <c r="L22" i="30"/>
  <c r="L10" i="30"/>
  <c r="M10" i="30"/>
  <c r="J10" i="30"/>
  <c r="K23" i="30"/>
  <c r="AT10" i="30"/>
  <c r="AS10" i="30"/>
  <c r="AU10" i="30"/>
  <c r="AX10" i="30"/>
  <c r="L23" i="30"/>
  <c r="L11" i="30"/>
  <c r="M11" i="30"/>
  <c r="J11" i="30"/>
  <c r="K24" i="30"/>
  <c r="AT11" i="30"/>
  <c r="AS11" i="30"/>
  <c r="AU11" i="30"/>
  <c r="AX11" i="30"/>
  <c r="L24" i="30"/>
  <c r="M25" i="30"/>
  <c r="N25" i="30" a="1"/>
  <c r="N25" i="30"/>
  <c r="O25" i="30"/>
  <c r="M17" i="30"/>
  <c r="N17" i="30" a="1"/>
  <c r="N17" i="30"/>
  <c r="O17" i="30"/>
  <c r="E60" i="30" a="1"/>
  <c r="E60" i="30"/>
  <c r="M18" i="30"/>
  <c r="N18" i="30" a="1"/>
  <c r="N18" i="30"/>
  <c r="O18" i="30"/>
  <c r="F60" i="30" a="1"/>
  <c r="F60" i="30"/>
  <c r="M19" i="30"/>
  <c r="N19" i="30" a="1"/>
  <c r="N19" i="30"/>
  <c r="O19" i="30"/>
  <c r="G60" i="30" a="1"/>
  <c r="M20" i="30"/>
  <c r="N20" i="30" a="1"/>
  <c r="N20" i="30"/>
  <c r="O20" i="30"/>
  <c r="H60" i="30" a="1"/>
  <c r="M21" i="30"/>
  <c r="N21" i="30" a="1"/>
  <c r="N21" i="30"/>
  <c r="O21" i="30"/>
  <c r="I60" i="30" a="1"/>
  <c r="M22" i="30"/>
  <c r="N22" i="30" a="1"/>
  <c r="N22" i="30"/>
  <c r="O22" i="30"/>
  <c r="J60" i="30" a="1"/>
  <c r="M23" i="30"/>
  <c r="N23" i="30" a="1"/>
  <c r="N23" i="30"/>
  <c r="O23" i="30"/>
  <c r="K60" i="30" a="1"/>
  <c r="M24" i="30"/>
  <c r="N24" i="30" a="1"/>
  <c r="N24" i="30"/>
  <c r="O24" i="30"/>
  <c r="L60" i="30" a="1"/>
  <c r="P25" i="30"/>
  <c r="P17" i="30"/>
  <c r="M60" i="30" a="1"/>
  <c r="P18" i="30"/>
  <c r="N60" i="30" a="1"/>
  <c r="P19" i="30"/>
  <c r="O60" i="30" a="1"/>
  <c r="P20" i="30"/>
  <c r="P60" i="30" a="1"/>
  <c r="P21" i="30"/>
  <c r="Q60" i="30" a="1"/>
  <c r="P22" i="30"/>
  <c r="R60" i="30" a="1"/>
  <c r="P23" i="30"/>
  <c r="S60" i="30" a="1"/>
  <c r="P24" i="30"/>
  <c r="T60" i="30" a="1"/>
  <c r="Q25" i="30"/>
  <c r="Q17" i="30"/>
  <c r="U60" i="30" a="1"/>
  <c r="Q18" i="30"/>
  <c r="V60" i="30" a="1"/>
  <c r="Q19" i="30"/>
  <c r="W60" i="30" a="1"/>
  <c r="Q20" i="30"/>
  <c r="X60" i="30" a="1"/>
  <c r="Q21" i="30"/>
  <c r="Y60" i="30" a="1"/>
  <c r="Q22" i="30"/>
  <c r="Z60" i="30" a="1"/>
  <c r="Q23" i="30"/>
  <c r="AA60" i="30" a="1"/>
  <c r="Q24" i="30"/>
  <c r="AB60" i="30" a="1"/>
  <c r="R25" i="30"/>
  <c r="R17" i="30"/>
  <c r="AC60" i="30" a="1"/>
  <c r="R18" i="30"/>
  <c r="AD60" i="30" a="1"/>
  <c r="R19" i="30"/>
  <c r="AE60" i="30" a="1"/>
  <c r="R20" i="30"/>
  <c r="AF60" i="30" a="1"/>
  <c r="R21" i="30"/>
  <c r="AG60" i="30" a="1"/>
  <c r="R22" i="30"/>
  <c r="AH60" i="30" a="1"/>
  <c r="R23" i="30"/>
  <c r="AI60" i="30" a="1"/>
  <c r="R24" i="30"/>
  <c r="AJ60" i="30" a="1"/>
  <c r="S25" i="30"/>
  <c r="S17" i="30"/>
  <c r="AK60" i="30" a="1"/>
  <c r="S18" i="30"/>
  <c r="AL60" i="30" a="1"/>
  <c r="S19" i="30"/>
  <c r="AM60" i="30" a="1"/>
  <c r="S20" i="30"/>
  <c r="AN60" i="30" a="1"/>
  <c r="S21" i="30"/>
  <c r="AO60" i="30" a="1"/>
  <c r="S22" i="30"/>
  <c r="AP60" i="30" a="1"/>
  <c r="S23" i="30"/>
  <c r="AQ60" i="30" a="1"/>
  <c r="S24" i="30"/>
  <c r="AR60" i="30" a="1"/>
  <c r="T25" i="30"/>
  <c r="T17" i="30"/>
  <c r="AS60" i="30" a="1"/>
  <c r="T18" i="30"/>
  <c r="AT60" i="30" a="1"/>
  <c r="T19" i="30"/>
  <c r="AU60" i="30" a="1"/>
  <c r="T20" i="30"/>
  <c r="AV60" i="30" a="1"/>
  <c r="T21" i="30"/>
  <c r="AW60" i="30" a="1"/>
  <c r="T22" i="30"/>
  <c r="AX60" i="30" a="1"/>
  <c r="T23" i="30"/>
  <c r="AY60" i="30" a="1"/>
  <c r="T24" i="30"/>
  <c r="AZ60" i="30" a="1"/>
  <c r="U25" i="30"/>
  <c r="U17" i="30"/>
  <c r="BA60" i="30" a="1"/>
  <c r="U18" i="30"/>
  <c r="BB60" i="30" a="1"/>
  <c r="U19" i="30"/>
  <c r="BC60" i="30" a="1"/>
  <c r="U20" i="30"/>
  <c r="BD60" i="30" a="1"/>
  <c r="U21" i="30"/>
  <c r="BE60" i="30" a="1"/>
  <c r="U22" i="30"/>
  <c r="BF60" i="30" a="1"/>
  <c r="U23" i="30"/>
  <c r="BG60" i="30" a="1"/>
  <c r="U24" i="30"/>
  <c r="BH60" i="30" a="1"/>
  <c r="V25" i="30"/>
  <c r="V17" i="30"/>
  <c r="BI60" i="30" a="1"/>
  <c r="V18" i="30"/>
  <c r="BJ60" i="30" a="1"/>
  <c r="V19" i="30"/>
  <c r="BK60" i="30" a="1"/>
  <c r="V20" i="30"/>
  <c r="BL60" i="30" a="1"/>
  <c r="V21" i="30"/>
  <c r="BM60" i="30" a="1"/>
  <c r="V22" i="30"/>
  <c r="BN60" i="30" a="1"/>
  <c r="V23" i="30"/>
  <c r="BO60" i="30" a="1"/>
  <c r="V24" i="30"/>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BR41" i="30"/>
  <c r="BS40" i="30"/>
  <c r="BT40" i="30"/>
  <c r="BT41" i="30"/>
  <c r="BU40" i="30"/>
  <c r="BU41" i="30"/>
  <c r="BV40" i="30"/>
  <c r="BV41" i="30"/>
  <c r="BW41" i="30"/>
  <c r="BX41" i="30"/>
  <c r="BY41" i="30"/>
  <c r="BZ41" i="30"/>
  <c r="CA41" i="30"/>
  <c r="BR42" i="30"/>
  <c r="BS42" i="30"/>
  <c r="BU42" i="30"/>
  <c r="BV42" i="30"/>
  <c r="BW42" i="30"/>
  <c r="BX42" i="30"/>
  <c r="BY42" i="30"/>
  <c r="BZ42" i="30"/>
  <c r="CA42" i="30"/>
  <c r="BR43" i="30"/>
  <c r="BS43" i="30"/>
  <c r="BT43" i="30"/>
  <c r="BV43" i="30"/>
  <c r="BW43" i="30"/>
  <c r="BX43" i="30"/>
  <c r="BY43" i="30"/>
  <c r="BZ43" i="30"/>
  <c r="CA43" i="30"/>
  <c r="BR44"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W25"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Z25"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4"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3"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2"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1"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Z20"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Z19"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Z18"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Z17" i="30"/>
  <c r="AJ64" i="29"/>
  <c r="AK64" i="29"/>
  <c r="AJ67" i="29"/>
  <c r="AJ70" i="29"/>
  <c r="AJ73" i="29"/>
  <c r="AJ76" i="29"/>
  <c r="AK67" i="29"/>
  <c r="AK70" i="29"/>
  <c r="AK73" i="29"/>
  <c r="AK76" i="29"/>
  <c r="L12" i="29"/>
  <c r="M12" i="29"/>
  <c r="J12" i="29"/>
  <c r="K25" i="29"/>
  <c r="AT12" i="29"/>
  <c r="AS12" i="29"/>
  <c r="AU12" i="29"/>
  <c r="G12" i="29"/>
  <c r="H12" i="29"/>
  <c r="I12" i="29"/>
  <c r="AW12" i="29"/>
  <c r="G4" i="29"/>
  <c r="H4" i="29"/>
  <c r="I4" i="29"/>
  <c r="AW4" i="29"/>
  <c r="G5" i="29"/>
  <c r="H5" i="29"/>
  <c r="I5" i="29"/>
  <c r="AW5" i="29"/>
  <c r="G6" i="29"/>
  <c r="H6" i="29"/>
  <c r="I6" i="29"/>
  <c r="AW6" i="29"/>
  <c r="G7" i="29"/>
  <c r="H7" i="29"/>
  <c r="I7" i="29"/>
  <c r="AW7" i="29"/>
  <c r="G8" i="29"/>
  <c r="H8" i="29"/>
  <c r="I8" i="29"/>
  <c r="AW8" i="29"/>
  <c r="G9" i="29"/>
  <c r="H9" i="29"/>
  <c r="I9" i="29"/>
  <c r="AW9" i="29"/>
  <c r="G10" i="29"/>
  <c r="H10" i="29"/>
  <c r="I10" i="29"/>
  <c r="AW10" i="29"/>
  <c r="G11" i="29"/>
  <c r="H11" i="29"/>
  <c r="I11" i="29"/>
  <c r="AW11" i="29"/>
  <c r="AX12" i="29"/>
  <c r="L25" i="29"/>
  <c r="L4" i="29"/>
  <c r="M4" i="29"/>
  <c r="J4" i="29"/>
  <c r="K17" i="29"/>
  <c r="AT4" i="29"/>
  <c r="AS4" i="29"/>
  <c r="AU4" i="29"/>
  <c r="AX4" i="29"/>
  <c r="L17" i="29"/>
  <c r="L5" i="29"/>
  <c r="M5" i="29"/>
  <c r="J5" i="29"/>
  <c r="K18" i="29"/>
  <c r="AT5" i="29"/>
  <c r="AS5" i="29"/>
  <c r="AU5" i="29"/>
  <c r="AX5" i="29"/>
  <c r="L18" i="29"/>
  <c r="L6" i="29"/>
  <c r="M6" i="29"/>
  <c r="J6" i="29"/>
  <c r="K19" i="29"/>
  <c r="AT6" i="29"/>
  <c r="AS6" i="29"/>
  <c r="AU6" i="29"/>
  <c r="AX6" i="29"/>
  <c r="L19" i="29"/>
  <c r="L7" i="29"/>
  <c r="M7" i="29"/>
  <c r="J7" i="29"/>
  <c r="K20" i="29"/>
  <c r="AT7" i="29"/>
  <c r="AS7" i="29"/>
  <c r="AU7" i="29"/>
  <c r="AX7" i="29"/>
  <c r="L20" i="29"/>
  <c r="L8" i="29"/>
  <c r="M8" i="29"/>
  <c r="J8" i="29"/>
  <c r="K21" i="29"/>
  <c r="AT8" i="29"/>
  <c r="AS8" i="29"/>
  <c r="AU8" i="29"/>
  <c r="AX8" i="29"/>
  <c r="L21" i="29"/>
  <c r="L9" i="29"/>
  <c r="M9" i="29"/>
  <c r="J9" i="29"/>
  <c r="K22" i="29"/>
  <c r="AT9" i="29"/>
  <c r="AS9" i="29"/>
  <c r="AU9" i="29"/>
  <c r="AX9" i="29"/>
  <c r="L22" i="29"/>
  <c r="L10" i="29"/>
  <c r="M10" i="29"/>
  <c r="J10" i="29"/>
  <c r="K23" i="29"/>
  <c r="AT10" i="29"/>
  <c r="AS10" i="29"/>
  <c r="AU10" i="29"/>
  <c r="AX10" i="29"/>
  <c r="L23" i="29"/>
  <c r="L11" i="29"/>
  <c r="M11" i="29"/>
  <c r="J11" i="29"/>
  <c r="K24" i="29"/>
  <c r="AT11" i="29"/>
  <c r="AS11" i="29"/>
  <c r="AU11" i="29"/>
  <c r="AX11" i="29"/>
  <c r="L24" i="29"/>
  <c r="M25" i="29"/>
  <c r="N25" i="29" a="1"/>
  <c r="N25" i="29"/>
  <c r="O25" i="29"/>
  <c r="M17" i="29"/>
  <c r="N17" i="29" a="1"/>
  <c r="N17" i="29"/>
  <c r="O17" i="29"/>
  <c r="E60" i="29" a="1"/>
  <c r="E60" i="29"/>
  <c r="M18" i="29"/>
  <c r="N18" i="29" a="1"/>
  <c r="N18" i="29"/>
  <c r="O18" i="29"/>
  <c r="F60" i="29" a="1"/>
  <c r="F60" i="29"/>
  <c r="M19" i="29"/>
  <c r="N19" i="29" a="1"/>
  <c r="N19" i="29"/>
  <c r="O19" i="29"/>
  <c r="G60" i="29" a="1"/>
  <c r="M20" i="29"/>
  <c r="N20" i="29" a="1"/>
  <c r="N20" i="29"/>
  <c r="O20" i="29"/>
  <c r="H60" i="29" a="1"/>
  <c r="M21" i="29"/>
  <c r="N21" i="29" a="1"/>
  <c r="N21" i="29"/>
  <c r="O21" i="29"/>
  <c r="I60" i="29" a="1"/>
  <c r="M22" i="29"/>
  <c r="N22" i="29" a="1"/>
  <c r="N22" i="29"/>
  <c r="O22" i="29"/>
  <c r="J60" i="29" a="1"/>
  <c r="M23" i="29"/>
  <c r="N23" i="29" a="1"/>
  <c r="N23" i="29"/>
  <c r="O23" i="29"/>
  <c r="K60" i="29" a="1"/>
  <c r="M24" i="29"/>
  <c r="N24" i="29" a="1"/>
  <c r="N24" i="29"/>
  <c r="O24" i="29"/>
  <c r="L60" i="29" a="1"/>
  <c r="P25" i="29"/>
  <c r="P17" i="29"/>
  <c r="M60" i="29" a="1"/>
  <c r="P18" i="29"/>
  <c r="N60" i="29" a="1"/>
  <c r="P19" i="29"/>
  <c r="O60" i="29" a="1"/>
  <c r="P20" i="29"/>
  <c r="P60" i="29" a="1"/>
  <c r="P21" i="29"/>
  <c r="Q60" i="29" a="1"/>
  <c r="P22" i="29"/>
  <c r="R60" i="29" a="1"/>
  <c r="P23" i="29"/>
  <c r="S60" i="29" a="1"/>
  <c r="P24" i="29"/>
  <c r="T60" i="29" a="1"/>
  <c r="Q25" i="29"/>
  <c r="Q17" i="29"/>
  <c r="U60" i="29" a="1"/>
  <c r="Q18" i="29"/>
  <c r="V60" i="29" a="1"/>
  <c r="Q19" i="29"/>
  <c r="W60" i="29" a="1"/>
  <c r="Q20" i="29"/>
  <c r="X60" i="29" a="1"/>
  <c r="Q21" i="29"/>
  <c r="Y60" i="29" a="1"/>
  <c r="Q22" i="29"/>
  <c r="Z60" i="29" a="1"/>
  <c r="Q23" i="29"/>
  <c r="AA60" i="29" a="1"/>
  <c r="Q24" i="29"/>
  <c r="AB60" i="29" a="1"/>
  <c r="R25" i="29"/>
  <c r="R17" i="29"/>
  <c r="AC60" i="29" a="1"/>
  <c r="R18" i="29"/>
  <c r="AD60" i="29" a="1"/>
  <c r="R19" i="29"/>
  <c r="AE60" i="29" a="1"/>
  <c r="R20" i="29"/>
  <c r="AF60" i="29" a="1"/>
  <c r="R21" i="29"/>
  <c r="AG60" i="29" a="1"/>
  <c r="R22" i="29"/>
  <c r="AH60" i="29" a="1"/>
  <c r="R23" i="29"/>
  <c r="AI60" i="29" a="1"/>
  <c r="R24" i="29"/>
  <c r="AJ60" i="29" a="1"/>
  <c r="S25" i="29"/>
  <c r="S17" i="29"/>
  <c r="AK60" i="29" a="1"/>
  <c r="S18" i="29"/>
  <c r="AL60" i="29" a="1"/>
  <c r="S19" i="29"/>
  <c r="AM60" i="29" a="1"/>
  <c r="S20" i="29"/>
  <c r="AN60" i="29" a="1"/>
  <c r="S21" i="29"/>
  <c r="AO60" i="29" a="1"/>
  <c r="S22" i="29"/>
  <c r="AP60" i="29" a="1"/>
  <c r="S23" i="29"/>
  <c r="AQ60" i="29" a="1"/>
  <c r="S24" i="29"/>
  <c r="AR60" i="29" a="1"/>
  <c r="T25" i="29"/>
  <c r="T17" i="29"/>
  <c r="AS60" i="29" a="1"/>
  <c r="T18" i="29"/>
  <c r="AT60" i="29" a="1"/>
  <c r="T19" i="29"/>
  <c r="AU60" i="29" a="1"/>
  <c r="T20" i="29"/>
  <c r="AV60" i="29" a="1"/>
  <c r="T21" i="29"/>
  <c r="AW60" i="29" a="1"/>
  <c r="T22" i="29"/>
  <c r="AX60" i="29" a="1"/>
  <c r="T23" i="29"/>
  <c r="AY60" i="29" a="1"/>
  <c r="T24" i="29"/>
  <c r="AZ60" i="29" a="1"/>
  <c r="U25" i="29"/>
  <c r="U17" i="29"/>
  <c r="BA60" i="29" a="1"/>
  <c r="U18" i="29"/>
  <c r="BB60" i="29" a="1"/>
  <c r="U19" i="29"/>
  <c r="BC60" i="29" a="1"/>
  <c r="U20" i="29"/>
  <c r="BD60" i="29" a="1"/>
  <c r="U21" i="29"/>
  <c r="BE60" i="29" a="1"/>
  <c r="U22" i="29"/>
  <c r="BF60" i="29" a="1"/>
  <c r="U23" i="29"/>
  <c r="BG60" i="29" a="1"/>
  <c r="U24" i="29"/>
  <c r="BH60" i="29" a="1"/>
  <c r="V25" i="29"/>
  <c r="V17" i="29"/>
  <c r="BI60" i="29" a="1"/>
  <c r="V18" i="29"/>
  <c r="BJ60" i="29" a="1"/>
  <c r="V19" i="29"/>
  <c r="BK60" i="29" a="1"/>
  <c r="V20" i="29"/>
  <c r="BL60" i="29" a="1"/>
  <c r="V21" i="29"/>
  <c r="BM60" i="29" a="1"/>
  <c r="V22" i="29"/>
  <c r="BN60" i="29" a="1"/>
  <c r="V23" i="29"/>
  <c r="BO60" i="29" a="1"/>
  <c r="V24" i="29"/>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BR41" i="29"/>
  <c r="BS40" i="29"/>
  <c r="BT40" i="29"/>
  <c r="BT41" i="29"/>
  <c r="BU40" i="29"/>
  <c r="BU41" i="29"/>
  <c r="BV40" i="29"/>
  <c r="BV41" i="29"/>
  <c r="BW41" i="29"/>
  <c r="BX41" i="29"/>
  <c r="BY41" i="29"/>
  <c r="BZ41" i="29"/>
  <c r="CA41" i="29"/>
  <c r="BR42" i="29"/>
  <c r="BS42" i="29"/>
  <c r="BU42" i="29"/>
  <c r="BV42" i="29"/>
  <c r="BW42" i="29"/>
  <c r="BX42" i="29"/>
  <c r="BY42" i="29"/>
  <c r="BZ42" i="29"/>
  <c r="CA42" i="29"/>
  <c r="BR43" i="29"/>
  <c r="BS43" i="29"/>
  <c r="BT43" i="29"/>
  <c r="BV43" i="29"/>
  <c r="BW43" i="29"/>
  <c r="BX43" i="29"/>
  <c r="BY43" i="29"/>
  <c r="BZ43" i="29"/>
  <c r="CA43" i="29"/>
  <c r="BR44" i="29"/>
  <c r="BS44" i="29"/>
  <c r="BT44" i="29"/>
  <c r="BU44" i="29"/>
  <c r="BW44" i="29"/>
  <c r="BX44" i="29"/>
  <c r="BY44" i="29"/>
  <c r="BZ44" i="29"/>
  <c r="CA44" i="29"/>
  <c r="BS45" i="29"/>
  <c r="BT45" i="29"/>
  <c r="BU45" i="29"/>
  <c r="BV45" i="29"/>
  <c r="BX45" i="29"/>
  <c r="BY45" i="29"/>
  <c r="BZ45" i="29"/>
  <c r="CA45" i="29"/>
  <c r="BS46" i="29"/>
  <c r="BT46" i="29"/>
  <c r="BU46" i="29"/>
  <c r="BV46" i="29"/>
  <c r="BW46" i="29"/>
  <c r="BY46" i="29"/>
  <c r="BZ46" i="29"/>
  <c r="CA46" i="29"/>
  <c r="BS47" i="29"/>
  <c r="BT47" i="29"/>
  <c r="BU47" i="29"/>
  <c r="BV47" i="29"/>
  <c r="BW47" i="29"/>
  <c r="BX47" i="29"/>
  <c r="BZ47" i="29"/>
  <c r="CA47" i="29"/>
  <c r="BS48" i="29"/>
  <c r="BT48" i="29"/>
  <c r="BU48" i="29"/>
  <c r="BV48" i="29"/>
  <c r="BW48" i="29"/>
  <c r="BX48" i="29"/>
  <c r="BY48" i="29"/>
  <c r="CA48" i="29"/>
  <c r="BS49" i="29"/>
  <c r="BT49" i="29"/>
  <c r="BU49" i="29"/>
  <c r="BV49" i="29"/>
  <c r="BW49" i="29"/>
  <c r="BX49" i="29"/>
  <c r="BY49" i="29"/>
  <c r="BZ49"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W25"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Z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1"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0"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19"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8"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7" i="29"/>
  <c r="C18" i="28"/>
  <c r="AD18" i="28"/>
  <c r="C19" i="28"/>
  <c r="AD19" i="28"/>
  <c r="C20" i="28"/>
  <c r="AD20" i="28"/>
  <c r="C17" i="28"/>
  <c r="AD17" i="28"/>
  <c r="Y18" i="28"/>
  <c r="Y19" i="28"/>
  <c r="Y20" i="28"/>
  <c r="Y17" i="28"/>
  <c r="AU10" i="27"/>
  <c r="I12" i="31"/>
  <c r="K12" i="31"/>
  <c r="AC12" i="31"/>
  <c r="AD12" i="31"/>
  <c r="X12" i="31"/>
  <c r="Y12" i="31"/>
  <c r="Z12" i="31"/>
  <c r="AA12" i="31"/>
  <c r="U12" i="31"/>
  <c r="AD18" i="17"/>
  <c r="AD19" i="17"/>
  <c r="AD20" i="17"/>
  <c r="AD21" i="17"/>
  <c r="AD22" i="17"/>
  <c r="AD17" i="17"/>
  <c r="G9" i="33"/>
  <c r="AD17" i="34"/>
  <c r="AD18" i="34"/>
  <c r="AD19" i="34"/>
  <c r="AD20" i="34"/>
  <c r="AD21" i="34"/>
  <c r="AD22" i="34"/>
  <c r="AZ13" i="27"/>
  <c r="AY27" i="27"/>
  <c r="AZ27" i="27"/>
  <c r="K4" i="30"/>
  <c r="K5" i="30"/>
  <c r="K6" i="30"/>
  <c r="K7" i="30"/>
  <c r="K8" i="30"/>
  <c r="K9" i="30"/>
  <c r="K10" i="30"/>
  <c r="K11" i="30"/>
  <c r="K12" i="30"/>
  <c r="K13" i="30"/>
  <c r="X17" i="30"/>
  <c r="X18" i="30"/>
  <c r="X19"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N4" i="30"/>
  <c r="N5" i="30"/>
  <c r="N6" i="30"/>
  <c r="C7" i="30"/>
  <c r="N7" i="30"/>
  <c r="C8" i="30"/>
  <c r="N8" i="30"/>
  <c r="C9" i="30"/>
  <c r="N9" i="30"/>
  <c r="C10" i="30"/>
  <c r="N10" i="30"/>
  <c r="C11" i="30"/>
  <c r="N11" i="30"/>
  <c r="C12" i="30"/>
  <c r="N12" i="30"/>
  <c r="H9" i="33"/>
  <c r="AO29" i="27"/>
  <c r="AV7" i="30"/>
  <c r="AN29" i="27"/>
  <c r="AO28" i="27"/>
  <c r="AV6" i="30"/>
  <c r="AN28" i="27"/>
  <c r="AO27" i="27"/>
  <c r="AV4" i="30"/>
  <c r="AV5" i="30"/>
  <c r="AN27" i="27"/>
  <c r="AO26" i="27"/>
  <c r="AN26" i="27"/>
  <c r="AI29" i="27"/>
  <c r="AG29" i="27"/>
  <c r="AI28" i="27"/>
  <c r="AG28" i="27"/>
  <c r="AI27" i="27"/>
  <c r="AG27" i="27"/>
  <c r="AI26" i="27"/>
  <c r="AG26" i="27"/>
  <c r="AJ64" i="28"/>
  <c r="AJ65" i="28"/>
  <c r="AJ66" i="28"/>
  <c r="AJ67" i="28"/>
  <c r="AJ68" i="28"/>
  <c r="AJ69" i="28"/>
  <c r="AJ70" i="28"/>
  <c r="AJ71" i="28"/>
  <c r="AJ72" i="28"/>
  <c r="AJ73" i="28"/>
  <c r="AJ74" i="28"/>
  <c r="AJ75" i="28"/>
  <c r="AJ76" i="28"/>
  <c r="AJ77" i="28"/>
  <c r="AJ78" i="28"/>
  <c r="AJ79" i="28"/>
  <c r="AJ80" i="28"/>
  <c r="AJ81" i="28"/>
  <c r="AK64" i="28"/>
  <c r="AK65" i="28"/>
  <c r="AK66" i="28"/>
  <c r="AK67" i="28"/>
  <c r="AK68" i="28"/>
  <c r="AK69" i="28"/>
  <c r="AK70" i="28"/>
  <c r="AK71" i="28"/>
  <c r="AK72" i="28"/>
  <c r="AK73" i="28"/>
  <c r="AK74" i="28"/>
  <c r="AK75" i="28"/>
  <c r="AK76" i="28"/>
  <c r="AK77" i="28"/>
  <c r="AK78" i="28"/>
  <c r="AK79" i="28"/>
  <c r="AK80" i="28"/>
  <c r="AK81" i="28"/>
  <c r="K4" i="28"/>
  <c r="K5" i="28"/>
  <c r="K6" i="28"/>
  <c r="K7" i="28"/>
  <c r="K8" i="28"/>
  <c r="K9" i="28"/>
  <c r="K10" i="28"/>
  <c r="K11" i="28"/>
  <c r="K12" i="28"/>
  <c r="K13" i="28"/>
  <c r="L4" i="28"/>
  <c r="M4" i="28"/>
  <c r="J4" i="28"/>
  <c r="AT4" i="28"/>
  <c r="K17" i="28"/>
  <c r="AS4" i="28"/>
  <c r="AU4" i="28"/>
  <c r="G4" i="28"/>
  <c r="H4" i="28"/>
  <c r="I4" i="28"/>
  <c r="AW4" i="28"/>
  <c r="G5" i="28"/>
  <c r="H5" i="28"/>
  <c r="I5" i="28"/>
  <c r="AW5" i="28"/>
  <c r="G6" i="28"/>
  <c r="H6" i="28"/>
  <c r="I6" i="28"/>
  <c r="AW6" i="28"/>
  <c r="G7" i="28"/>
  <c r="H7" i="28"/>
  <c r="I7" i="28"/>
  <c r="AW7" i="28"/>
  <c r="G8" i="28"/>
  <c r="H8" i="28"/>
  <c r="I8" i="28"/>
  <c r="AW8" i="28"/>
  <c r="G9" i="28"/>
  <c r="H9" i="28"/>
  <c r="I9" i="28"/>
  <c r="AW9" i="28"/>
  <c r="G10" i="28"/>
  <c r="H10" i="28"/>
  <c r="I10" i="28"/>
  <c r="AW10" i="28"/>
  <c r="G11" i="28"/>
  <c r="H11" i="28"/>
  <c r="I11" i="28"/>
  <c r="AW11" i="28"/>
  <c r="G12" i="28"/>
  <c r="H12" i="28"/>
  <c r="I12" i="28"/>
  <c r="AW12" i="28"/>
  <c r="AX4" i="28"/>
  <c r="L17" i="28"/>
  <c r="L5" i="28"/>
  <c r="M5" i="28"/>
  <c r="J5" i="28"/>
  <c r="AT5" i="28"/>
  <c r="K18" i="28"/>
  <c r="AS5" i="28"/>
  <c r="AU5" i="28"/>
  <c r="AX5" i="28"/>
  <c r="L18" i="28"/>
  <c r="L6" i="28"/>
  <c r="M6" i="28"/>
  <c r="J6" i="28"/>
  <c r="AT6" i="28"/>
  <c r="K19" i="28"/>
  <c r="AS6" i="28"/>
  <c r="AU6" i="28"/>
  <c r="AX6" i="28"/>
  <c r="L19" i="28"/>
  <c r="L7" i="28"/>
  <c r="M7" i="28"/>
  <c r="J7" i="28"/>
  <c r="AT7" i="28"/>
  <c r="K20" i="28"/>
  <c r="AS7" i="28"/>
  <c r="AU7" i="28"/>
  <c r="AX7" i="28"/>
  <c r="L20" i="28"/>
  <c r="L8" i="28"/>
  <c r="M8" i="28"/>
  <c r="J8" i="28"/>
  <c r="AT8" i="28"/>
  <c r="K21" i="28"/>
  <c r="AS8" i="28"/>
  <c r="AU8" i="28"/>
  <c r="AX8" i="28"/>
  <c r="L21" i="28"/>
  <c r="L9" i="28"/>
  <c r="M9" i="28"/>
  <c r="J9" i="28"/>
  <c r="AT9" i="28"/>
  <c r="K22" i="28"/>
  <c r="AS9" i="28"/>
  <c r="AU9" i="28"/>
  <c r="AX9" i="28"/>
  <c r="L22" i="28"/>
  <c r="L10" i="28"/>
  <c r="M10" i="28"/>
  <c r="J10" i="28"/>
  <c r="AT10" i="28"/>
  <c r="K23" i="28"/>
  <c r="AS10" i="28"/>
  <c r="AU10" i="28"/>
  <c r="AX10" i="28"/>
  <c r="L23" i="28"/>
  <c r="L11" i="28"/>
  <c r="M11" i="28"/>
  <c r="J11" i="28"/>
  <c r="AT11" i="28"/>
  <c r="K24" i="28"/>
  <c r="AS11" i="28"/>
  <c r="AU11" i="28"/>
  <c r="AX11" i="28"/>
  <c r="L24" i="28"/>
  <c r="L12" i="28"/>
  <c r="M12" i="28"/>
  <c r="J12" i="28"/>
  <c r="AT12" i="28"/>
  <c r="K25" i="28"/>
  <c r="AS12" i="28"/>
  <c r="AU12" i="28"/>
  <c r="AX12" i="28"/>
  <c r="L25" i="28"/>
  <c r="M17" i="28"/>
  <c r="N17" i="28" a="1"/>
  <c r="N17" i="28"/>
  <c r="O17" i="28"/>
  <c r="E30" i="28" a="1"/>
  <c r="E30" i="28"/>
  <c r="F30" i="28" a="1"/>
  <c r="F30" i="28"/>
  <c r="G30" i="28" a="1"/>
  <c r="H30" i="28" a="1"/>
  <c r="I30" i="28" a="1"/>
  <c r="J30" i="28" a="1"/>
  <c r="K30" i="28" a="1"/>
  <c r="L30" i="28" a="1"/>
  <c r="P17" i="28"/>
  <c r="M30" i="28" a="1"/>
  <c r="N30" i="28" a="1"/>
  <c r="O30" i="28" a="1"/>
  <c r="P30" i="28" a="1"/>
  <c r="Q30" i="28" a="1"/>
  <c r="R30" i="28" a="1"/>
  <c r="S30" i="28" a="1"/>
  <c r="T30" i="28" a="1"/>
  <c r="Q17" i="28"/>
  <c r="U30" i="28" a="1"/>
  <c r="V30" i="28" a="1"/>
  <c r="W30" i="28" a="1"/>
  <c r="X30" i="28" a="1"/>
  <c r="Y30" i="28" a="1"/>
  <c r="Z30" i="28" a="1"/>
  <c r="AA30" i="28" a="1"/>
  <c r="AB30" i="28" a="1"/>
  <c r="R17" i="28"/>
  <c r="AC30" i="28" a="1"/>
  <c r="AD30" i="28" a="1"/>
  <c r="AE30" i="28" a="1"/>
  <c r="AF30" i="28" a="1"/>
  <c r="AG30" i="28" a="1"/>
  <c r="AH30" i="28" a="1"/>
  <c r="AI30" i="28" a="1"/>
  <c r="AJ30" i="28" a="1"/>
  <c r="S17" i="28"/>
  <c r="AK30" i="28" a="1"/>
  <c r="AL30" i="28" a="1"/>
  <c r="AM30" i="28" a="1"/>
  <c r="AN30" i="28" a="1"/>
  <c r="AO30" i="28" a="1"/>
  <c r="AP30" i="28" a="1"/>
  <c r="AQ30" i="28" a="1"/>
  <c r="AR30" i="28" a="1"/>
  <c r="T17" i="28"/>
  <c r="AS30" i="28" a="1"/>
  <c r="AT30" i="28" a="1"/>
  <c r="AU30" i="28" a="1"/>
  <c r="AV30" i="28" a="1"/>
  <c r="AW30" i="28" a="1"/>
  <c r="AX30" i="28" a="1"/>
  <c r="AY30" i="28" a="1"/>
  <c r="AZ30" i="28" a="1"/>
  <c r="U17" i="28"/>
  <c r="BA30" i="28" a="1"/>
  <c r="BB30" i="28" a="1"/>
  <c r="BC30" i="28" a="1"/>
  <c r="BD30" i="28" a="1"/>
  <c r="BE30" i="28" a="1"/>
  <c r="BF30" i="28" a="1"/>
  <c r="BG30" i="28" a="1"/>
  <c r="BH30" i="28" a="1"/>
  <c r="V17" i="28"/>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M18" i="28"/>
  <c r="N18" i="28" a="1"/>
  <c r="N18" i="28"/>
  <c r="O18" i="28"/>
  <c r="E31" i="28" a="1"/>
  <c r="E31" i="28"/>
  <c r="F31" i="28" a="1"/>
  <c r="F31" i="28"/>
  <c r="G31" i="28" a="1"/>
  <c r="H31" i="28" a="1"/>
  <c r="I31" i="28" a="1"/>
  <c r="J31" i="28" a="1"/>
  <c r="K31" i="28" a="1"/>
  <c r="L31" i="28" a="1"/>
  <c r="P18" i="28"/>
  <c r="M31" i="28" a="1"/>
  <c r="N31" i="28" a="1"/>
  <c r="O31" i="28" a="1"/>
  <c r="P31" i="28" a="1"/>
  <c r="Q31" i="28" a="1"/>
  <c r="R31" i="28" a="1"/>
  <c r="S31" i="28" a="1"/>
  <c r="T31" i="28" a="1"/>
  <c r="Q18" i="28"/>
  <c r="U31" i="28" a="1"/>
  <c r="V31" i="28" a="1"/>
  <c r="W31" i="28" a="1"/>
  <c r="X31" i="28" a="1"/>
  <c r="Y31" i="28" a="1"/>
  <c r="Z31" i="28" a="1"/>
  <c r="AA31" i="28" a="1"/>
  <c r="AB31" i="28" a="1"/>
  <c r="R18" i="28"/>
  <c r="AC31" i="28" a="1"/>
  <c r="AD31" i="28" a="1"/>
  <c r="AE31" i="28" a="1"/>
  <c r="AF31" i="28" a="1"/>
  <c r="AG31" i="28" a="1"/>
  <c r="AH31" i="28" a="1"/>
  <c r="AI31" i="28" a="1"/>
  <c r="AJ31" i="28" a="1"/>
  <c r="S18" i="28"/>
  <c r="AK31" i="28" a="1"/>
  <c r="AL31" i="28" a="1"/>
  <c r="AM31" i="28" a="1"/>
  <c r="AN31" i="28" a="1"/>
  <c r="AO31" i="28" a="1"/>
  <c r="AP31" i="28" a="1"/>
  <c r="AQ31" i="28" a="1"/>
  <c r="AR31" i="28" a="1"/>
  <c r="T18" i="28"/>
  <c r="AS31" i="28" a="1"/>
  <c r="AT31" i="28" a="1"/>
  <c r="AU31" i="28" a="1"/>
  <c r="AV31" i="28" a="1"/>
  <c r="AW31" i="28" a="1"/>
  <c r="AX31" i="28" a="1"/>
  <c r="AY31" i="28" a="1"/>
  <c r="AZ31" i="28" a="1"/>
  <c r="U18" i="28"/>
  <c r="BA31" i="28" a="1"/>
  <c r="BB31" i="28" a="1"/>
  <c r="BC31" i="28" a="1"/>
  <c r="BD31" i="28" a="1"/>
  <c r="BE31" i="28" a="1"/>
  <c r="BF31" i="28" a="1"/>
  <c r="BG31" i="28" a="1"/>
  <c r="BH31" i="28" a="1"/>
  <c r="V18" i="28"/>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M19" i="28"/>
  <c r="N19" i="28" a="1"/>
  <c r="N19" i="28"/>
  <c r="O19" i="28"/>
  <c r="E32" i="28" a="1"/>
  <c r="E32" i="28"/>
  <c r="F32" i="28" a="1"/>
  <c r="F32" i="28"/>
  <c r="G32" i="28" a="1"/>
  <c r="H32" i="28" a="1"/>
  <c r="I32" i="28" a="1"/>
  <c r="J32" i="28" a="1"/>
  <c r="K32" i="28" a="1"/>
  <c r="L32" i="28" a="1"/>
  <c r="P19" i="28"/>
  <c r="M32" i="28" a="1"/>
  <c r="N32" i="28" a="1"/>
  <c r="O32" i="28" a="1"/>
  <c r="P32" i="28" a="1"/>
  <c r="Q32" i="28" a="1"/>
  <c r="R32" i="28" a="1"/>
  <c r="S32" i="28" a="1"/>
  <c r="T32" i="28" a="1"/>
  <c r="Q19" i="28"/>
  <c r="U32" i="28" a="1"/>
  <c r="V32" i="28" a="1"/>
  <c r="W32" i="28" a="1"/>
  <c r="X32" i="28" a="1"/>
  <c r="Y32" i="28" a="1"/>
  <c r="Z32" i="28" a="1"/>
  <c r="AA32" i="28" a="1"/>
  <c r="AB32" i="28" a="1"/>
  <c r="R19" i="28"/>
  <c r="AC32" i="28" a="1"/>
  <c r="AD32" i="28" a="1"/>
  <c r="AE32" i="28" a="1"/>
  <c r="AF32" i="28" a="1"/>
  <c r="AG32" i="28" a="1"/>
  <c r="AH32" i="28" a="1"/>
  <c r="AI32" i="28" a="1"/>
  <c r="AJ32" i="28" a="1"/>
  <c r="S19" i="28"/>
  <c r="AK32" i="28" a="1"/>
  <c r="AL32" i="28" a="1"/>
  <c r="AM32" i="28" a="1"/>
  <c r="AN32" i="28" a="1"/>
  <c r="AO32" i="28" a="1"/>
  <c r="AP32" i="28" a="1"/>
  <c r="AQ32" i="28" a="1"/>
  <c r="AR32" i="28" a="1"/>
  <c r="T19" i="28"/>
  <c r="AS32" i="28" a="1"/>
  <c r="AT32" i="28" a="1"/>
  <c r="AU32" i="28" a="1"/>
  <c r="AV32" i="28" a="1"/>
  <c r="AW32" i="28" a="1"/>
  <c r="AX32" i="28" a="1"/>
  <c r="AY32" i="28" a="1"/>
  <c r="AZ32" i="28" a="1"/>
  <c r="U19" i="28"/>
  <c r="BA32" i="28" a="1"/>
  <c r="BB32" i="28" a="1"/>
  <c r="BC32" i="28" a="1"/>
  <c r="BD32" i="28" a="1"/>
  <c r="BE32" i="28" a="1"/>
  <c r="BF32" i="28" a="1"/>
  <c r="BG32" i="28" a="1"/>
  <c r="BH32" i="28" a="1"/>
  <c r="V19" i="28"/>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M20" i="28"/>
  <c r="N20" i="28" a="1"/>
  <c r="N20" i="28"/>
  <c r="O20" i="28"/>
  <c r="E33" i="28" a="1"/>
  <c r="E33" i="28"/>
  <c r="F33" i="28" a="1"/>
  <c r="F33" i="28"/>
  <c r="G33" i="28" a="1"/>
  <c r="H33" i="28" a="1"/>
  <c r="I33" i="28" a="1"/>
  <c r="J33" i="28" a="1"/>
  <c r="K33" i="28" a="1"/>
  <c r="L33" i="28" a="1"/>
  <c r="P20" i="28"/>
  <c r="M33" i="28" a="1"/>
  <c r="N33" i="28" a="1"/>
  <c r="O33" i="28" a="1"/>
  <c r="P33" i="28" a="1"/>
  <c r="Q33" i="28" a="1"/>
  <c r="R33" i="28" a="1"/>
  <c r="S33" i="28" a="1"/>
  <c r="T33" i="28" a="1"/>
  <c r="Q20" i="28"/>
  <c r="U33" i="28" a="1"/>
  <c r="V33" i="28" a="1"/>
  <c r="W33" i="28" a="1"/>
  <c r="X33" i="28" a="1"/>
  <c r="Y33" i="28" a="1"/>
  <c r="Z33" i="28" a="1"/>
  <c r="AA33" i="28" a="1"/>
  <c r="AB33" i="28" a="1"/>
  <c r="R20" i="28"/>
  <c r="AC33" i="28" a="1"/>
  <c r="AD33" i="28" a="1"/>
  <c r="AE33" i="28" a="1"/>
  <c r="AF33" i="28" a="1"/>
  <c r="AG33" i="28" a="1"/>
  <c r="AH33" i="28" a="1"/>
  <c r="AI33" i="28" a="1"/>
  <c r="AJ33" i="28" a="1"/>
  <c r="S20" i="28"/>
  <c r="AK33" i="28" a="1"/>
  <c r="AL33" i="28" a="1"/>
  <c r="AM33" i="28" a="1"/>
  <c r="AN33" i="28" a="1"/>
  <c r="AO33" i="28" a="1"/>
  <c r="AP33" i="28" a="1"/>
  <c r="AQ33" i="28" a="1"/>
  <c r="AR33" i="28" a="1"/>
  <c r="T20" i="28"/>
  <c r="AS33" i="28" a="1"/>
  <c r="AT33" i="28" a="1"/>
  <c r="AU33" i="28" a="1"/>
  <c r="AV33" i="28" a="1"/>
  <c r="AW33" i="28" a="1"/>
  <c r="AX33" i="28" a="1"/>
  <c r="AY33" i="28" a="1"/>
  <c r="AZ33" i="28" a="1"/>
  <c r="U20" i="28"/>
  <c r="BA33" i="28" a="1"/>
  <c r="BB33" i="28" a="1"/>
  <c r="BC33" i="28" a="1"/>
  <c r="BD33" i="28" a="1"/>
  <c r="BE33" i="28" a="1"/>
  <c r="BF33" i="28" a="1"/>
  <c r="BG33" i="28" a="1"/>
  <c r="BH33" i="28" a="1"/>
  <c r="V20" i="28"/>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M21" i="28"/>
  <c r="N21" i="28" a="1"/>
  <c r="N21" i="28"/>
  <c r="O21"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F34" i="28" a="1"/>
  <c r="F34" i="28"/>
  <c r="G34" i="28" a="1"/>
  <c r="H34" i="28" a="1"/>
  <c r="M22" i="28"/>
  <c r="N22" i="28" a="1"/>
  <c r="N22" i="28"/>
  <c r="O22" i="28"/>
  <c r="I34" i="28" a="1"/>
  <c r="M23" i="28"/>
  <c r="N23" i="28" a="1"/>
  <c r="N23" i="28"/>
  <c r="O23" i="28"/>
  <c r="J34" i="28" a="1"/>
  <c r="M24" i="28"/>
  <c r="N24" i="28" a="1"/>
  <c r="N24" i="28"/>
  <c r="O24" i="28"/>
  <c r="K34" i="28" a="1"/>
  <c r="M25" i="28"/>
  <c r="N25" i="28" a="1"/>
  <c r="N25" i="28"/>
  <c r="O25" i="28"/>
  <c r="L34" i="28" a="1"/>
  <c r="P21" i="28"/>
  <c r="M34" i="28" a="1"/>
  <c r="N34" i="28" a="1"/>
  <c r="O34" i="28" a="1"/>
  <c r="P34" i="28" a="1"/>
  <c r="P22" i="28"/>
  <c r="Q34" i="28" a="1"/>
  <c r="P23" i="28"/>
  <c r="R34" i="28" a="1"/>
  <c r="P24" i="28"/>
  <c r="S34" i="28" a="1"/>
  <c r="P25" i="28"/>
  <c r="T34" i="28" a="1"/>
  <c r="Q21" i="28"/>
  <c r="U34" i="28" a="1"/>
  <c r="V34" i="28" a="1"/>
  <c r="W34" i="28" a="1"/>
  <c r="X34" i="28" a="1"/>
  <c r="Q22" i="28"/>
  <c r="Y34" i="28" a="1"/>
  <c r="Q23" i="28"/>
  <c r="Z34" i="28" a="1"/>
  <c r="Q24" i="28"/>
  <c r="AA34" i="28" a="1"/>
  <c r="Q25" i="28"/>
  <c r="AB34" i="28" a="1"/>
  <c r="R21" i="28"/>
  <c r="AC34" i="28" a="1"/>
  <c r="AD34" i="28" a="1"/>
  <c r="AE34" i="28" a="1"/>
  <c r="AF34" i="28" a="1"/>
  <c r="R22" i="28"/>
  <c r="AG34" i="28" a="1"/>
  <c r="R23" i="28"/>
  <c r="AH34" i="28" a="1"/>
  <c r="R24" i="28"/>
  <c r="AI34" i="28" a="1"/>
  <c r="R25" i="28"/>
  <c r="AJ34" i="28" a="1"/>
  <c r="S21" i="28"/>
  <c r="AK34" i="28" a="1"/>
  <c r="AL34" i="28" a="1"/>
  <c r="AM34" i="28" a="1"/>
  <c r="AN34" i="28" a="1"/>
  <c r="S22" i="28"/>
  <c r="AO34" i="28" a="1"/>
  <c r="S23" i="28"/>
  <c r="AP34" i="28" a="1"/>
  <c r="S24" i="28"/>
  <c r="AQ34" i="28" a="1"/>
  <c r="S25" i="28"/>
  <c r="AR34" i="28" a="1"/>
  <c r="T21" i="28"/>
  <c r="AS34" i="28" a="1"/>
  <c r="AT34" i="28" a="1"/>
  <c r="AU34" i="28" a="1"/>
  <c r="AV34" i="28" a="1"/>
  <c r="T22" i="28"/>
  <c r="AW34" i="28" a="1"/>
  <c r="T23" i="28"/>
  <c r="AX34" i="28" a="1"/>
  <c r="T24" i="28"/>
  <c r="AY34" i="28" a="1"/>
  <c r="T25" i="28"/>
  <c r="AZ34" i="28" a="1"/>
  <c r="U21" i="28"/>
  <c r="BA34" i="28" a="1"/>
  <c r="BB34" i="28" a="1"/>
  <c r="BC34" i="28" a="1"/>
  <c r="BD34" i="28" a="1"/>
  <c r="U22" i="28"/>
  <c r="BE34" i="28" a="1"/>
  <c r="U23" i="28"/>
  <c r="BF34" i="28" a="1"/>
  <c r="U24" i="28"/>
  <c r="BG34" i="28" a="1"/>
  <c r="U25" i="28"/>
  <c r="BH34" i="28" a="1"/>
  <c r="V21" i="28"/>
  <c r="BI34" i="28" a="1"/>
  <c r="BJ34" i="28" a="1"/>
  <c r="BK34" i="28" a="1"/>
  <c r="BL34" i="28" a="1"/>
  <c r="V22" i="28"/>
  <c r="BM34" i="28" a="1"/>
  <c r="V23" i="28"/>
  <c r="BN34" i="28" a="1"/>
  <c r="V24" i="28"/>
  <c r="BO34" i="28" a="1"/>
  <c r="V25" i="28"/>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T41" i="28"/>
  <c r="BU40" i="28"/>
  <c r="BU41" i="28"/>
  <c r="BV40" i="28"/>
  <c r="BV41" i="28"/>
  <c r="BW41" i="28"/>
  <c r="BX41" i="28"/>
  <c r="BY41" i="28"/>
  <c r="BZ41" i="28"/>
  <c r="CA41" i="28"/>
  <c r="BR42" i="28"/>
  <c r="BS42" i="28"/>
  <c r="BU42" i="28"/>
  <c r="BV42" i="28"/>
  <c r="BW42" i="28"/>
  <c r="BX42" i="28"/>
  <c r="BY42" i="28"/>
  <c r="BZ42" i="28"/>
  <c r="CA42" i="28"/>
  <c r="BR43" i="28"/>
  <c r="BS43" i="28"/>
  <c r="BT43" i="28"/>
  <c r="BV43" i="28"/>
  <c r="BW43" i="28"/>
  <c r="BX43" i="28"/>
  <c r="BY43" i="28"/>
  <c r="BZ43" i="28"/>
  <c r="CA43" i="28"/>
  <c r="BR44" i="28"/>
  <c r="BS44" i="28"/>
  <c r="BT44" i="28"/>
  <c r="BU44" i="28"/>
  <c r="BW44" i="28"/>
  <c r="BX44" i="28"/>
  <c r="BY44" i="28"/>
  <c r="BZ44" i="28"/>
  <c r="CA44" i="28"/>
  <c r="BS45" i="28"/>
  <c r="BT45" i="28"/>
  <c r="BU45" i="28"/>
  <c r="BV45" i="28"/>
  <c r="BX45" i="28"/>
  <c r="BY45" i="28"/>
  <c r="BZ45" i="28"/>
  <c r="CA45" i="28"/>
  <c r="BS46" i="28"/>
  <c r="BT46" i="28"/>
  <c r="BU46" i="28"/>
  <c r="BV46" i="28"/>
  <c r="BW46" i="28"/>
  <c r="BY46" i="28"/>
  <c r="BZ46" i="28"/>
  <c r="CA46" i="28"/>
  <c r="BS47" i="28"/>
  <c r="BT47" i="28"/>
  <c r="BU47" i="28"/>
  <c r="BV47" i="28"/>
  <c r="BW47" i="28"/>
  <c r="BX47" i="28"/>
  <c r="BZ47" i="28"/>
  <c r="CA47" i="28"/>
  <c r="BS48" i="28"/>
  <c r="BT48" i="28"/>
  <c r="BU48" i="28"/>
  <c r="BV48" i="28"/>
  <c r="BW48" i="28"/>
  <c r="BX48" i="28"/>
  <c r="BY4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X17" i="28"/>
  <c r="X18" i="28"/>
  <c r="X19" i="28"/>
  <c r="X20" i="28"/>
  <c r="X21" i="28"/>
  <c r="X22" i="28"/>
  <c r="X23" i="28"/>
  <c r="X24" i="28"/>
  <c r="X25" i="28"/>
  <c r="E4" i="28"/>
  <c r="D4" i="28"/>
  <c r="E5" i="28"/>
  <c r="D5" i="28"/>
  <c r="E6" i="28"/>
  <c r="D6" i="28"/>
  <c r="E7" i="28"/>
  <c r="D7" i="28"/>
  <c r="E8" i="28"/>
  <c r="D8" i="28"/>
  <c r="E9" i="28"/>
  <c r="D9" i="28"/>
  <c r="E10" i="28"/>
  <c r="D10" i="28"/>
  <c r="E11" i="28"/>
  <c r="D11" i="28"/>
  <c r="E12" i="28"/>
  <c r="D12" i="28"/>
  <c r="C4" i="28"/>
  <c r="AJ29" i="27"/>
  <c r="C5" i="28"/>
  <c r="AJ28" i="27"/>
  <c r="C6" i="28"/>
  <c r="AJ27" i="27"/>
  <c r="N4" i="28"/>
  <c r="N5" i="28"/>
  <c r="N6" i="28"/>
  <c r="C7" i="28"/>
  <c r="N7" i="28"/>
  <c r="C8" i="28"/>
  <c r="N8" i="28"/>
  <c r="C9" i="28"/>
  <c r="N9" i="28"/>
  <c r="C10" i="28"/>
  <c r="N10" i="28"/>
  <c r="C11" i="28"/>
  <c r="N11" i="28"/>
  <c r="C12" i="28"/>
  <c r="N12" i="28"/>
  <c r="AJ26" i="27"/>
  <c r="AV4" i="28"/>
  <c r="AV5" i="28"/>
  <c r="AV6" i="28"/>
  <c r="AV7" i="28"/>
  <c r="AV8" i="28"/>
  <c r="AV9" i="28"/>
  <c r="AV10" i="28"/>
  <c r="AV11" i="28"/>
  <c r="AV12" i="28"/>
  <c r="AH29" i="27"/>
  <c r="AH28" i="27"/>
  <c r="AH27" i="27"/>
  <c r="K4" i="29"/>
  <c r="K5" i="29"/>
  <c r="K6" i="29"/>
  <c r="K7" i="29"/>
  <c r="K8" i="29"/>
  <c r="K9" i="29"/>
  <c r="K10" i="29"/>
  <c r="K11" i="29"/>
  <c r="K12" i="29"/>
  <c r="K13" i="29"/>
  <c r="X17" i="29"/>
  <c r="X18" i="29"/>
  <c r="X19"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N4" i="29"/>
  <c r="AV4" i="29"/>
  <c r="N5" i="29"/>
  <c r="AV5" i="29"/>
  <c r="N6" i="29"/>
  <c r="AV6" i="29"/>
  <c r="C7" i="29"/>
  <c r="N7" i="29"/>
  <c r="AV7" i="29"/>
  <c r="C8" i="29"/>
  <c r="N8" i="29"/>
  <c r="AV8" i="29"/>
  <c r="C9" i="29"/>
  <c r="N9" i="29"/>
  <c r="AV9" i="29"/>
  <c r="C10" i="29"/>
  <c r="N10" i="29"/>
  <c r="AV10" i="29"/>
  <c r="C11" i="29"/>
  <c r="N11" i="29"/>
  <c r="AV11" i="29"/>
  <c r="C12" i="29"/>
  <c r="N12" i="29"/>
  <c r="AV12" i="29"/>
  <c r="AN22" i="27"/>
  <c r="AN21" i="27"/>
  <c r="AN20" i="27"/>
  <c r="AO25" i="27"/>
  <c r="AN25" i="27"/>
  <c r="AK25" i="27"/>
  <c r="AJ25" i="27"/>
  <c r="AG25" i="27"/>
  <c r="AO18" i="27"/>
  <c r="AN18" i="27"/>
  <c r="AK18" i="27"/>
  <c r="AJ18" i="27"/>
  <c r="AG18" i="27"/>
  <c r="AO22" i="27"/>
  <c r="AO21" i="27"/>
  <c r="AO20" i="27"/>
  <c r="AO19" i="27"/>
  <c r="AN19" i="27"/>
  <c r="AG22" i="27"/>
  <c r="AI22" i="27"/>
  <c r="AJ22" i="27"/>
  <c r="AG21" i="27"/>
  <c r="AI21" i="27"/>
  <c r="AJ21" i="27"/>
  <c r="AG20" i="27"/>
  <c r="AI20" i="27"/>
  <c r="AJ20" i="27"/>
  <c r="AG19" i="27"/>
  <c r="AI19" i="27"/>
  <c r="AJ19" i="27"/>
  <c r="AH22" i="27"/>
  <c r="AH21" i="27"/>
  <c r="AH20" i="27"/>
  <c r="F13" i="28"/>
  <c r="B13" i="28"/>
  <c r="B14" i="28"/>
  <c r="AH19" i="27"/>
  <c r="AO15" i="27"/>
  <c r="AN15" i="27"/>
  <c r="AO14" i="27"/>
  <c r="AN14" i="27"/>
  <c r="AO13" i="27"/>
  <c r="AN13" i="27"/>
  <c r="AO12" i="27"/>
  <c r="X10" i="34"/>
  <c r="AC10" i="34"/>
  <c r="AH10" i="34"/>
  <c r="AM10" i="34"/>
  <c r="X11" i="34"/>
  <c r="AC11" i="34"/>
  <c r="AH11" i="34"/>
  <c r="AM11" i="34"/>
  <c r="X12" i="34"/>
  <c r="AC12" i="34"/>
  <c r="AH12" i="34"/>
  <c r="AM12" i="34"/>
  <c r="AN12" i="27"/>
  <c r="AV4" i="34"/>
  <c r="AV5" i="34"/>
  <c r="AV6" i="34"/>
  <c r="AV7" i="34"/>
  <c r="AV8" i="34"/>
  <c r="AV9" i="34"/>
  <c r="AV10" i="34"/>
  <c r="AV11" i="34"/>
  <c r="AV12" i="34"/>
  <c r="AG15" i="27"/>
  <c r="AI15" i="27"/>
  <c r="AJ15" i="27"/>
  <c r="AH15" i="27"/>
  <c r="AG14" i="27"/>
  <c r="AI14" i="27"/>
  <c r="AJ14" i="27"/>
  <c r="AH14" i="27"/>
  <c r="AG13" i="27"/>
  <c r="AI13" i="27"/>
  <c r="AJ13" i="27"/>
  <c r="AH13" i="27"/>
  <c r="AI12" i="27"/>
  <c r="AG12" i="27"/>
  <c r="AJ12" i="27"/>
  <c r="AH12" i="27"/>
  <c r="AB207" i="30"/>
  <c r="Z207" i="30"/>
  <c r="AB206" i="30"/>
  <c r="Z206" i="30"/>
  <c r="AB205" i="30"/>
  <c r="Z205" i="30"/>
  <c r="AB204" i="30"/>
  <c r="Z204" i="30"/>
  <c r="AB203" i="30"/>
  <c r="Z203" i="30"/>
  <c r="AB202" i="30"/>
  <c r="Z202" i="30"/>
  <c r="AB201" i="30"/>
  <c r="Z201" i="30"/>
  <c r="AB200" i="30"/>
  <c r="Z200" i="30"/>
  <c r="AB199" i="30"/>
  <c r="Z199" i="30"/>
  <c r="AB198" i="30"/>
  <c r="Z198" i="30"/>
  <c r="AB197" i="30"/>
  <c r="Z197"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C160" i="30"/>
  <c r="AB160" i="30"/>
  <c r="Z160" i="30"/>
  <c r="AC159" i="30"/>
  <c r="AB159" i="30"/>
  <c r="Z159" i="30"/>
  <c r="AC158" i="30"/>
  <c r="AB158" i="30"/>
  <c r="Z158" i="30"/>
  <c r="AC157" i="30"/>
  <c r="AB157" i="30"/>
  <c r="Z157" i="30"/>
  <c r="AC156" i="30"/>
  <c r="AB156" i="30"/>
  <c r="Z156" i="30"/>
  <c r="AC155" i="30"/>
  <c r="AB155" i="30"/>
  <c r="Z155" i="30"/>
  <c r="AC154" i="30"/>
  <c r="AB154" i="30"/>
  <c r="Z154" i="30"/>
  <c r="AC153" i="30"/>
  <c r="AA153" i="30"/>
  <c r="Z153" i="30"/>
  <c r="AC152" i="30"/>
  <c r="AA152" i="30"/>
  <c r="Z152" i="30"/>
  <c r="AC151" i="30"/>
  <c r="AA151" i="30"/>
  <c r="Z151" i="30"/>
  <c r="AC150" i="30"/>
  <c r="AA150" i="30"/>
  <c r="Z150" i="30"/>
  <c r="AC149" i="30"/>
  <c r="AA149" i="30"/>
  <c r="Z149" i="30"/>
  <c r="AC148" i="30"/>
  <c r="AA148" i="30"/>
  <c r="Z148" i="30"/>
  <c r="AC147" i="30"/>
  <c r="AA147" i="30"/>
  <c r="Z147" i="30"/>
  <c r="AC146" i="30"/>
  <c r="AA146" i="30"/>
  <c r="Z146" i="30"/>
  <c r="AC145" i="30"/>
  <c r="AA145" i="30"/>
  <c r="Z145" i="30"/>
  <c r="AC144" i="30"/>
  <c r="AA144" i="30"/>
  <c r="Z144" i="30"/>
  <c r="AC143" i="30"/>
  <c r="AA143" i="30"/>
  <c r="Z143" i="30"/>
  <c r="AC142" i="30"/>
  <c r="AA142" i="30"/>
  <c r="Z142" i="30"/>
  <c r="AC141" i="30"/>
  <c r="AA141" i="30"/>
  <c r="Z141" i="30"/>
  <c r="AC140" i="30"/>
  <c r="AA140" i="30"/>
  <c r="Z140" i="30"/>
  <c r="AC139" i="30"/>
  <c r="AA139" i="30"/>
  <c r="Z139" i="30"/>
  <c r="AC138" i="30"/>
  <c r="AA138" i="30"/>
  <c r="Z138" i="30"/>
  <c r="AC137" i="30"/>
  <c r="AA137" i="30"/>
  <c r="Z137" i="30"/>
  <c r="AC136" i="30"/>
  <c r="AA136" i="30"/>
  <c r="Z136"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AM88" i="30"/>
  <c r="AL88" i="30"/>
  <c r="AI88" i="30"/>
  <c r="AH88" i="30"/>
  <c r="AG88" i="30"/>
  <c r="AF88" i="30"/>
  <c r="AE88" i="30"/>
  <c r="AD88" i="30"/>
  <c r="AB88" i="30"/>
  <c r="Z88" i="30"/>
  <c r="Y88" i="30"/>
  <c r="X88" i="30"/>
  <c r="W88" i="30"/>
  <c r="V88" i="30"/>
  <c r="AM87" i="30"/>
  <c r="AL87" i="30"/>
  <c r="AI87" i="30"/>
  <c r="AH87" i="30"/>
  <c r="AG87" i="30"/>
  <c r="AF87" i="30"/>
  <c r="AE87" i="30"/>
  <c r="AD87" i="30"/>
  <c r="AB87" i="30"/>
  <c r="Z87" i="30"/>
  <c r="Y87" i="30"/>
  <c r="X87" i="30"/>
  <c r="W87" i="30"/>
  <c r="V87" i="30"/>
  <c r="AM86" i="30"/>
  <c r="AL86" i="30"/>
  <c r="AI86" i="30"/>
  <c r="AH86" i="30"/>
  <c r="AG86" i="30"/>
  <c r="AF86" i="30"/>
  <c r="AE86" i="30"/>
  <c r="AD86" i="30"/>
  <c r="AB86" i="30"/>
  <c r="Z86" i="30"/>
  <c r="Y86" i="30"/>
  <c r="X86" i="30"/>
  <c r="W86" i="30"/>
  <c r="V86" i="30"/>
  <c r="AM85" i="30"/>
  <c r="AL85" i="30"/>
  <c r="AI85" i="30"/>
  <c r="AH85" i="30"/>
  <c r="AG85" i="30"/>
  <c r="AF85" i="30"/>
  <c r="AE85" i="30"/>
  <c r="AD85" i="30"/>
  <c r="AB85" i="30"/>
  <c r="Z85" i="30"/>
  <c r="Y85" i="30"/>
  <c r="X85" i="30"/>
  <c r="W85" i="30"/>
  <c r="V85" i="30"/>
  <c r="AM84" i="30"/>
  <c r="AL84" i="30"/>
  <c r="AI84" i="30"/>
  <c r="AH84" i="30"/>
  <c r="AG84" i="30"/>
  <c r="AF84" i="30"/>
  <c r="AE84" i="30"/>
  <c r="AD84" i="30"/>
  <c r="AB84" i="30"/>
  <c r="Z84" i="30"/>
  <c r="Y84" i="30"/>
  <c r="X84" i="30"/>
  <c r="W84" i="30"/>
  <c r="V84" i="30"/>
  <c r="AM83" i="30"/>
  <c r="AL83" i="30"/>
  <c r="AI83" i="30"/>
  <c r="AH83" i="30"/>
  <c r="AG83" i="30"/>
  <c r="AF83" i="30"/>
  <c r="AE83" i="30"/>
  <c r="AD83" i="30"/>
  <c r="AB83" i="30"/>
  <c r="Z83" i="30"/>
  <c r="Y83" i="30"/>
  <c r="X83" i="30"/>
  <c r="W83" i="30"/>
  <c r="V83" i="30"/>
  <c r="AM82" i="30"/>
  <c r="AL82" i="30"/>
  <c r="AI82" i="30"/>
  <c r="AH82" i="30"/>
  <c r="AG82" i="30"/>
  <c r="AF82" i="30"/>
  <c r="AE82" i="30"/>
  <c r="AD82" i="30"/>
  <c r="AB82" i="30"/>
  <c r="Z82" i="30"/>
  <c r="Y82" i="30"/>
  <c r="X82" i="30"/>
  <c r="W82" i="30"/>
  <c r="V82" i="30"/>
  <c r="AM81" i="30"/>
  <c r="AL81" i="30"/>
  <c r="AM80" i="30"/>
  <c r="AL80" i="30"/>
  <c r="AM79" i="30"/>
  <c r="AL79" i="30"/>
  <c r="AM78" i="30"/>
  <c r="AL78" i="30"/>
  <c r="AM77" i="30"/>
  <c r="AL77" i="30"/>
  <c r="AM76" i="30"/>
  <c r="AL76" i="30"/>
  <c r="AM75" i="30"/>
  <c r="AL75" i="30"/>
  <c r="AM74" i="30"/>
  <c r="AL74" i="30"/>
  <c r="AM73" i="30"/>
  <c r="AL73" i="30"/>
  <c r="AM72" i="30"/>
  <c r="AL72" i="30"/>
  <c r="Q72" i="30"/>
  <c r="AM71" i="30"/>
  <c r="AL71" i="30"/>
  <c r="Q71" i="30"/>
  <c r="AM70" i="30"/>
  <c r="AL70" i="30"/>
  <c r="Q70" i="30"/>
  <c r="AM69" i="30"/>
  <c r="AL69" i="30"/>
  <c r="Q69" i="30"/>
  <c r="AM68" i="30"/>
  <c r="AL68" i="30"/>
  <c r="Q68" i="30"/>
  <c r="AM67" i="30"/>
  <c r="AL67" i="30"/>
  <c r="AM66" i="30"/>
  <c r="AL66" i="30"/>
  <c r="AM65" i="30"/>
  <c r="AL65" i="30"/>
  <c r="AM64" i="30"/>
  <c r="AL64" i="30"/>
  <c r="F12" i="30"/>
  <c r="BR60" i="30"/>
  <c r="F11" i="30"/>
  <c r="BZ51" i="30"/>
  <c r="F10" i="30"/>
  <c r="BY51" i="30"/>
  <c r="F9" i="30"/>
  <c r="BX51" i="30"/>
  <c r="F8" i="30"/>
  <c r="BW51" i="30"/>
  <c r="C25" i="30"/>
  <c r="BR59" i="30"/>
  <c r="CA51" i="30"/>
  <c r="C24" i="30"/>
  <c r="BR58" i="30"/>
  <c r="C23" i="30"/>
  <c r="BR57" i="30"/>
  <c r="C22" i="30"/>
  <c r="BR56" i="30"/>
  <c r="C21" i="30"/>
  <c r="BR49" i="30"/>
  <c r="BR48" i="30"/>
  <c r="BR47" i="30"/>
  <c r="BR46" i="30"/>
  <c r="BR45" i="30"/>
  <c r="CA40" i="30"/>
  <c r="BZ40" i="30"/>
  <c r="BY40" i="30"/>
  <c r="BX40" i="30"/>
  <c r="BW40" i="30"/>
  <c r="C38" i="30"/>
  <c r="C37" i="30"/>
  <c r="C36" i="30"/>
  <c r="C35" i="30"/>
  <c r="C34" i="30"/>
  <c r="C33" i="30"/>
  <c r="C32" i="30"/>
  <c r="C31" i="30"/>
  <c r="C30" i="30"/>
  <c r="J25" i="30"/>
  <c r="I25" i="30"/>
  <c r="H25" i="30"/>
  <c r="G25" i="30"/>
  <c r="F25" i="30"/>
  <c r="E25" i="30"/>
  <c r="D25" i="30"/>
  <c r="J24" i="30"/>
  <c r="I24" i="30"/>
  <c r="H24" i="30"/>
  <c r="G24" i="30"/>
  <c r="F24" i="30"/>
  <c r="E24" i="30"/>
  <c r="D24" i="30"/>
  <c r="J23" i="30"/>
  <c r="I23" i="30"/>
  <c r="H23" i="30"/>
  <c r="G23" i="30"/>
  <c r="F23" i="30"/>
  <c r="E23" i="30"/>
  <c r="D23" i="30"/>
  <c r="J22" i="30"/>
  <c r="I22" i="30"/>
  <c r="H22" i="30"/>
  <c r="G22" i="30"/>
  <c r="F22" i="30"/>
  <c r="E22" i="30"/>
  <c r="D22" i="30"/>
  <c r="J21" i="30"/>
  <c r="I21" i="30"/>
  <c r="H21" i="30"/>
  <c r="G21" i="30"/>
  <c r="F21" i="30"/>
  <c r="E21" i="30"/>
  <c r="D21" i="30"/>
  <c r="J20" i="30"/>
  <c r="I20" i="30"/>
  <c r="H20" i="30"/>
  <c r="G20" i="30"/>
  <c r="F20" i="30"/>
  <c r="E20" i="30"/>
  <c r="D20" i="30"/>
  <c r="J19" i="30"/>
  <c r="I19" i="30"/>
  <c r="H19" i="30"/>
  <c r="G19" i="30"/>
  <c r="F19" i="30"/>
  <c r="E19" i="30"/>
  <c r="D19" i="30"/>
  <c r="J18" i="30"/>
  <c r="I18" i="30"/>
  <c r="H18" i="30"/>
  <c r="G18" i="30"/>
  <c r="F18" i="30"/>
  <c r="E18" i="30"/>
  <c r="D18" i="30"/>
  <c r="J17" i="30"/>
  <c r="I17" i="30"/>
  <c r="H17" i="30"/>
  <c r="G17" i="30"/>
  <c r="F17" i="30"/>
  <c r="E17" i="30"/>
  <c r="D17" i="30"/>
  <c r="F13" i="30"/>
  <c r="F14" i="30"/>
  <c r="B13" i="30"/>
  <c r="B14" i="30"/>
  <c r="AV12" i="30"/>
  <c r="AV11" i="30"/>
  <c r="AV10" i="30"/>
  <c r="AV9" i="30"/>
  <c r="AV8" i="30"/>
  <c r="AB207" i="29"/>
  <c r="Z207" i="29"/>
  <c r="AB206" i="29"/>
  <c r="Z206" i="29"/>
  <c r="AB205" i="29"/>
  <c r="Z205" i="29"/>
  <c r="AB204" i="29"/>
  <c r="Z204" i="29"/>
  <c r="AB203" i="29"/>
  <c r="Z203" i="29"/>
  <c r="AB202" i="29"/>
  <c r="Z202" i="29"/>
  <c r="AB201" i="29"/>
  <c r="Z201" i="29"/>
  <c r="AB200" i="29"/>
  <c r="Z200" i="29"/>
  <c r="AB199" i="29"/>
  <c r="Z199" i="29"/>
  <c r="AB198" i="29"/>
  <c r="Z198" i="29"/>
  <c r="AB197" i="29"/>
  <c r="Z197"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C160" i="29"/>
  <c r="AB160" i="29"/>
  <c r="Z160" i="29"/>
  <c r="AC159" i="29"/>
  <c r="AB159" i="29"/>
  <c r="Z159" i="29"/>
  <c r="AC158" i="29"/>
  <c r="AB158" i="29"/>
  <c r="Z158" i="29"/>
  <c r="AC157" i="29"/>
  <c r="AB157" i="29"/>
  <c r="Z157" i="29"/>
  <c r="AC156" i="29"/>
  <c r="AB156" i="29"/>
  <c r="Z156" i="29"/>
  <c r="AC155" i="29"/>
  <c r="AB155" i="29"/>
  <c r="Z155" i="29"/>
  <c r="AC154" i="29"/>
  <c r="AB154" i="29"/>
  <c r="Z154" i="29"/>
  <c r="AC153" i="29"/>
  <c r="AA153" i="29"/>
  <c r="Z153" i="29"/>
  <c r="AC152" i="29"/>
  <c r="AA152" i="29"/>
  <c r="Z152" i="29"/>
  <c r="AC151" i="29"/>
  <c r="AA151" i="29"/>
  <c r="Z151" i="29"/>
  <c r="AC150" i="29"/>
  <c r="AA150" i="29"/>
  <c r="Z150" i="29"/>
  <c r="AC149" i="29"/>
  <c r="AA149" i="29"/>
  <c r="Z149" i="29"/>
  <c r="AC148" i="29"/>
  <c r="AA148" i="29"/>
  <c r="Z148" i="29"/>
  <c r="AC147" i="29"/>
  <c r="AA147" i="29"/>
  <c r="Z147" i="29"/>
  <c r="AC146" i="29"/>
  <c r="AA146" i="29"/>
  <c r="Z146" i="29"/>
  <c r="AC145" i="29"/>
  <c r="AA145" i="29"/>
  <c r="Z145" i="29"/>
  <c r="AC144" i="29"/>
  <c r="AA144" i="29"/>
  <c r="Z144" i="29"/>
  <c r="AC143" i="29"/>
  <c r="AA143" i="29"/>
  <c r="Z143" i="29"/>
  <c r="AC142" i="29"/>
  <c r="AA142" i="29"/>
  <c r="Z142" i="29"/>
  <c r="AC141" i="29"/>
  <c r="AA141" i="29"/>
  <c r="Z141" i="29"/>
  <c r="AC140" i="29"/>
  <c r="AA140" i="29"/>
  <c r="Z140" i="29"/>
  <c r="AC139" i="29"/>
  <c r="AA139" i="29"/>
  <c r="Z139" i="29"/>
  <c r="AC138" i="29"/>
  <c r="AA138" i="29"/>
  <c r="Z138" i="29"/>
  <c r="AC137" i="29"/>
  <c r="AA137" i="29"/>
  <c r="Z137" i="29"/>
  <c r="AC136" i="29"/>
  <c r="AA136" i="29"/>
  <c r="Z136"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AM88" i="29"/>
  <c r="AL88" i="29"/>
  <c r="AI88" i="29"/>
  <c r="AH88" i="29"/>
  <c r="AG88" i="29"/>
  <c r="AF88" i="29"/>
  <c r="AE88" i="29"/>
  <c r="AD88" i="29"/>
  <c r="AB88" i="29"/>
  <c r="Z88" i="29"/>
  <c r="Y88" i="29"/>
  <c r="X88" i="29"/>
  <c r="W88" i="29"/>
  <c r="V88" i="29"/>
  <c r="AM87" i="29"/>
  <c r="AL87" i="29"/>
  <c r="AI87" i="29"/>
  <c r="AH87" i="29"/>
  <c r="AG87" i="29"/>
  <c r="AF87" i="29"/>
  <c r="AE87" i="29"/>
  <c r="AD87" i="29"/>
  <c r="AB87" i="29"/>
  <c r="Z87" i="29"/>
  <c r="Y87" i="29"/>
  <c r="X87" i="29"/>
  <c r="W87" i="29"/>
  <c r="V87" i="29"/>
  <c r="AM86" i="29"/>
  <c r="AL86" i="29"/>
  <c r="AI86" i="29"/>
  <c r="AH86" i="29"/>
  <c r="AG86" i="29"/>
  <c r="AF86" i="29"/>
  <c r="AE86" i="29"/>
  <c r="AD86" i="29"/>
  <c r="AB86" i="29"/>
  <c r="Z86" i="29"/>
  <c r="Y86" i="29"/>
  <c r="X86" i="29"/>
  <c r="W86" i="29"/>
  <c r="V86" i="29"/>
  <c r="AM85" i="29"/>
  <c r="AL85" i="29"/>
  <c r="AI85" i="29"/>
  <c r="AH85" i="29"/>
  <c r="AG85" i="29"/>
  <c r="AF85" i="29"/>
  <c r="AE85" i="29"/>
  <c r="AD85" i="29"/>
  <c r="AB85" i="29"/>
  <c r="Z85" i="29"/>
  <c r="Y85" i="29"/>
  <c r="X85" i="29"/>
  <c r="W85" i="29"/>
  <c r="V85" i="29"/>
  <c r="AM84" i="29"/>
  <c r="AL84" i="29"/>
  <c r="AI84" i="29"/>
  <c r="AH84" i="29"/>
  <c r="AG84" i="29"/>
  <c r="AF84" i="29"/>
  <c r="AE84" i="29"/>
  <c r="AD84" i="29"/>
  <c r="AB84" i="29"/>
  <c r="Z84" i="29"/>
  <c r="Y84" i="29"/>
  <c r="X84" i="29"/>
  <c r="W84" i="29"/>
  <c r="V84" i="29"/>
  <c r="AM83" i="29"/>
  <c r="AL83" i="29"/>
  <c r="AI83" i="29"/>
  <c r="AH83" i="29"/>
  <c r="AG83" i="29"/>
  <c r="AF83" i="29"/>
  <c r="AE83" i="29"/>
  <c r="AD83" i="29"/>
  <c r="AB83" i="29"/>
  <c r="Z83" i="29"/>
  <c r="Y83" i="29"/>
  <c r="X83" i="29"/>
  <c r="W83" i="29"/>
  <c r="V83" i="29"/>
  <c r="AM82" i="29"/>
  <c r="AL82" i="29"/>
  <c r="AI82" i="29"/>
  <c r="AH82" i="29"/>
  <c r="AG82" i="29"/>
  <c r="AF82" i="29"/>
  <c r="AE82" i="29"/>
  <c r="AD82" i="29"/>
  <c r="AB82" i="29"/>
  <c r="Z82" i="29"/>
  <c r="Y82" i="29"/>
  <c r="X82" i="29"/>
  <c r="W82" i="29"/>
  <c r="V82" i="29"/>
  <c r="AM81" i="29"/>
  <c r="AL81" i="29"/>
  <c r="AM80" i="29"/>
  <c r="AL80" i="29"/>
  <c r="AM79" i="29"/>
  <c r="AL79" i="29"/>
  <c r="AM78" i="29"/>
  <c r="AL78" i="29"/>
  <c r="AM77" i="29"/>
  <c r="AL77" i="29"/>
  <c r="AM76" i="29"/>
  <c r="AL76" i="29"/>
  <c r="AM75" i="29"/>
  <c r="AL75" i="29"/>
  <c r="AM74" i="29"/>
  <c r="AL74" i="29"/>
  <c r="AM73" i="29"/>
  <c r="AL73" i="29"/>
  <c r="AM72" i="29"/>
  <c r="AL72" i="29"/>
  <c r="Q72" i="29"/>
  <c r="AM71" i="29"/>
  <c r="AL71" i="29"/>
  <c r="Q71" i="29"/>
  <c r="AM70" i="29"/>
  <c r="AL70" i="29"/>
  <c r="Q70" i="29"/>
  <c r="AM69" i="29"/>
  <c r="AL69" i="29"/>
  <c r="Q69" i="29"/>
  <c r="AM68" i="29"/>
  <c r="AL68" i="29"/>
  <c r="Q68" i="29"/>
  <c r="AM67" i="29"/>
  <c r="AL67" i="29"/>
  <c r="AM66" i="29"/>
  <c r="AL66" i="29"/>
  <c r="AM65" i="29"/>
  <c r="AL65" i="29"/>
  <c r="AM64" i="29"/>
  <c r="AL64" i="29"/>
  <c r="F12" i="29"/>
  <c r="BR60" i="29"/>
  <c r="F11" i="29"/>
  <c r="BZ51" i="29"/>
  <c r="F10" i="29"/>
  <c r="BY51" i="29"/>
  <c r="F9" i="29"/>
  <c r="BX51" i="29"/>
  <c r="F8" i="29"/>
  <c r="BW51" i="29"/>
  <c r="C25" i="29"/>
  <c r="BR59" i="29"/>
  <c r="CA51" i="29"/>
  <c r="C24" i="29"/>
  <c r="BR58" i="29"/>
  <c r="C23" i="29"/>
  <c r="BR57" i="29"/>
  <c r="C22" i="29"/>
  <c r="BR56" i="29"/>
  <c r="C21" i="29"/>
  <c r="BR49" i="29"/>
  <c r="BR48" i="29"/>
  <c r="BR47" i="29"/>
  <c r="BR46" i="29"/>
  <c r="BR45" i="29"/>
  <c r="CA40" i="29"/>
  <c r="BZ40" i="29"/>
  <c r="BY40" i="29"/>
  <c r="BX40" i="29"/>
  <c r="BW40" i="29"/>
  <c r="C38" i="29"/>
  <c r="C37" i="29"/>
  <c r="C36" i="29"/>
  <c r="C35" i="29"/>
  <c r="C34" i="29"/>
  <c r="C33" i="29"/>
  <c r="C32" i="29"/>
  <c r="C31" i="29"/>
  <c r="C30" i="29"/>
  <c r="J25" i="29"/>
  <c r="I25" i="29"/>
  <c r="H25" i="29"/>
  <c r="G25" i="29"/>
  <c r="F25" i="29"/>
  <c r="E25" i="29"/>
  <c r="D25" i="29"/>
  <c r="J24" i="29"/>
  <c r="I24" i="29"/>
  <c r="H24" i="29"/>
  <c r="G24" i="29"/>
  <c r="F24" i="29"/>
  <c r="E24" i="29"/>
  <c r="D24" i="29"/>
  <c r="J23" i="29"/>
  <c r="I23" i="29"/>
  <c r="H23" i="29"/>
  <c r="G23" i="29"/>
  <c r="F23" i="29"/>
  <c r="E23" i="29"/>
  <c r="D23" i="29"/>
  <c r="J22" i="29"/>
  <c r="I22" i="29"/>
  <c r="H22" i="29"/>
  <c r="G22" i="29"/>
  <c r="F22" i="29"/>
  <c r="E22" i="29"/>
  <c r="D22" i="29"/>
  <c r="J21" i="29"/>
  <c r="I21" i="29"/>
  <c r="H21" i="29"/>
  <c r="G21" i="29"/>
  <c r="F21" i="29"/>
  <c r="E21" i="29"/>
  <c r="D21" i="29"/>
  <c r="J20" i="29"/>
  <c r="I20" i="29"/>
  <c r="H20" i="29"/>
  <c r="G20" i="29"/>
  <c r="F20" i="29"/>
  <c r="E20" i="29"/>
  <c r="D20" i="29"/>
  <c r="J19" i="29"/>
  <c r="I19" i="29"/>
  <c r="H19" i="29"/>
  <c r="G19" i="29"/>
  <c r="F19" i="29"/>
  <c r="E19" i="29"/>
  <c r="D19" i="29"/>
  <c r="J18" i="29"/>
  <c r="I18" i="29"/>
  <c r="H18" i="29"/>
  <c r="G18" i="29"/>
  <c r="F18" i="29"/>
  <c r="E18" i="29"/>
  <c r="D18" i="29"/>
  <c r="J17" i="29"/>
  <c r="I17" i="29"/>
  <c r="H17" i="29"/>
  <c r="G17" i="29"/>
  <c r="F17" i="29"/>
  <c r="E17" i="29"/>
  <c r="D17" i="29"/>
  <c r="F13" i="29"/>
  <c r="F14" i="29"/>
  <c r="B13" i="29"/>
  <c r="B14" i="29"/>
  <c r="V29" i="27"/>
  <c r="V28" i="27"/>
  <c r="V27" i="27"/>
  <c r="V26" i="27"/>
  <c r="V25" i="27"/>
  <c r="V24" i="27"/>
  <c r="V23" i="27"/>
  <c r="V22" i="27"/>
  <c r="V21" i="27"/>
  <c r="V20" i="27"/>
  <c r="V19" i="27"/>
  <c r="V18" i="27"/>
  <c r="V17" i="27"/>
  <c r="V16" i="27"/>
  <c r="V15" i="27"/>
  <c r="V14" i="27"/>
  <c r="V13" i="27"/>
  <c r="AZ12" i="27"/>
  <c r="AX13" i="27"/>
  <c r="AY13" i="27"/>
  <c r="BA13" i="27"/>
  <c r="BB13" i="27"/>
  <c r="BC13" i="27"/>
  <c r="AX14" i="27"/>
  <c r="AY14" i="27"/>
  <c r="BA14" i="27"/>
  <c r="BB14" i="27"/>
  <c r="BC14" i="27"/>
  <c r="AX15" i="27"/>
  <c r="AY15" i="27"/>
  <c r="AZ15" i="27"/>
  <c r="BA15" i="27"/>
  <c r="BB15" i="27"/>
  <c r="BC15" i="27"/>
  <c r="AX16" i="27"/>
  <c r="AY16" i="27"/>
  <c r="AZ16" i="27"/>
  <c r="BA16" i="27"/>
  <c r="BB16" i="27"/>
  <c r="BC16" i="27"/>
  <c r="AX17" i="27"/>
  <c r="AY17" i="27"/>
  <c r="AZ17" i="27"/>
  <c r="BA17" i="27"/>
  <c r="BB17" i="27"/>
  <c r="BC17" i="27"/>
  <c r="AX18" i="27"/>
  <c r="AY18" i="27"/>
  <c r="AZ18" i="27"/>
  <c r="BA18" i="27"/>
  <c r="BB18" i="27"/>
  <c r="BC18" i="27"/>
  <c r="AX19" i="27"/>
  <c r="AY19" i="27"/>
  <c r="AZ19" i="27"/>
  <c r="BA19" i="27"/>
  <c r="BB19" i="27"/>
  <c r="BC19" i="27"/>
  <c r="AX20" i="27"/>
  <c r="AY20" i="27"/>
  <c r="AZ20" i="27"/>
  <c r="BA20" i="27"/>
  <c r="BB20" i="27"/>
  <c r="BC20" i="27"/>
  <c r="AX21" i="27"/>
  <c r="AY21" i="27"/>
  <c r="AZ21" i="27"/>
  <c r="BA21" i="27"/>
  <c r="BB21" i="27"/>
  <c r="BC21" i="27"/>
  <c r="AX22" i="27"/>
  <c r="AY22" i="27"/>
  <c r="AZ22" i="27"/>
  <c r="BA22" i="27"/>
  <c r="BB22" i="27"/>
  <c r="BC22" i="27"/>
  <c r="AX23" i="27"/>
  <c r="AY23" i="27"/>
  <c r="AZ23" i="27"/>
  <c r="BA23" i="27"/>
  <c r="BB23" i="27"/>
  <c r="BC23" i="27"/>
  <c r="AX24" i="27"/>
  <c r="AY24" i="27"/>
  <c r="AZ24" i="27"/>
  <c r="BA24" i="27"/>
  <c r="BB24" i="27"/>
  <c r="BC24" i="27"/>
  <c r="AX25" i="27"/>
  <c r="AY25" i="27"/>
  <c r="AZ25" i="27"/>
  <c r="BA25" i="27"/>
  <c r="BB25" i="27"/>
  <c r="BC25" i="27"/>
  <c r="AX26" i="27"/>
  <c r="AY26" i="27"/>
  <c r="AZ26" i="27"/>
  <c r="BA26" i="27"/>
  <c r="BB26" i="27"/>
  <c r="BC26" i="27"/>
  <c r="AX27" i="27"/>
  <c r="BA27" i="27"/>
  <c r="BB27" i="27"/>
  <c r="BC27" i="27"/>
  <c r="AX28" i="27"/>
  <c r="AY28" i="27"/>
  <c r="AZ28" i="27"/>
  <c r="BA28" i="27"/>
  <c r="BB28" i="27"/>
  <c r="BC28" i="27"/>
  <c r="AX29" i="27"/>
  <c r="AY29" i="27"/>
  <c r="AZ29" i="27"/>
  <c r="BA29" i="27"/>
  <c r="BB29" i="27"/>
  <c r="BC29" i="27"/>
  <c r="AC165" i="28"/>
  <c r="AB165" i="28"/>
  <c r="AC164" i="28"/>
  <c r="AB164" i="28"/>
  <c r="AC163" i="28"/>
  <c r="AB163" i="28"/>
  <c r="AC162" i="28"/>
  <c r="AB162" i="28"/>
  <c r="AC161" i="28"/>
  <c r="AB161" i="28"/>
  <c r="AC160" i="28"/>
  <c r="AB160" i="28"/>
  <c r="AC159" i="28"/>
  <c r="AB159" i="28"/>
  <c r="AC158" i="28"/>
  <c r="AB158" i="28"/>
  <c r="AC157" i="28"/>
  <c r="AB157" i="28"/>
  <c r="AC156" i="28"/>
  <c r="AB156" i="28"/>
  <c r="AC155" i="28"/>
  <c r="AB155" i="28"/>
  <c r="AC154" i="28"/>
  <c r="AB154" i="28"/>
  <c r="Z165" i="28"/>
  <c r="Z164" i="28"/>
  <c r="Z163" i="28"/>
  <c r="Z162" i="28"/>
  <c r="Z161" i="28"/>
  <c r="Z160" i="28"/>
  <c r="Z159" i="28"/>
  <c r="Z158" i="28"/>
  <c r="Z157" i="28"/>
  <c r="Z156" i="28"/>
  <c r="Z155" i="28"/>
  <c r="Z154" i="28"/>
  <c r="S29" i="27"/>
  <c r="AA17" i="27"/>
  <c r="AR17" i="27"/>
  <c r="S28" i="27"/>
  <c r="AA24" i="27"/>
  <c r="AR24" i="27"/>
  <c r="S27" i="27"/>
  <c r="S26" i="27"/>
  <c r="S25" i="27"/>
  <c r="S23" i="27"/>
  <c r="S22" i="27"/>
  <c r="S20" i="27"/>
  <c r="S19" i="27"/>
  <c r="S17" i="27"/>
  <c r="S16" i="27"/>
  <c r="S14" i="27"/>
  <c r="S13" i="27"/>
  <c r="AM93" i="28"/>
  <c r="AL93" i="28"/>
  <c r="AM92" i="28"/>
  <c r="AL92" i="28"/>
  <c r="AM91" i="28"/>
  <c r="AL91" i="28"/>
  <c r="AM90" i="28"/>
  <c r="AL90" i="28"/>
  <c r="AM89" i="28"/>
  <c r="AL89" i="28"/>
  <c r="AM88" i="28"/>
  <c r="AL88" i="28"/>
  <c r="AM87" i="28"/>
  <c r="AL87" i="28"/>
  <c r="AM86" i="28"/>
  <c r="AL86" i="28"/>
  <c r="AM85" i="28"/>
  <c r="AL85" i="28"/>
  <c r="AM84" i="28"/>
  <c r="AL84" i="28"/>
  <c r="AM83" i="28"/>
  <c r="AL83" i="28"/>
  <c r="AM82" i="28"/>
  <c r="AL82" i="28"/>
  <c r="AI93" i="28"/>
  <c r="AH93" i="28"/>
  <c r="AG93" i="28"/>
  <c r="AF93" i="28"/>
  <c r="AE93" i="28"/>
  <c r="AD93" i="28"/>
  <c r="AI92" i="28"/>
  <c r="AH92" i="28"/>
  <c r="AG92" i="28"/>
  <c r="AF92" i="28"/>
  <c r="AE92" i="28"/>
  <c r="AD92" i="28"/>
  <c r="AI91" i="28"/>
  <c r="AH91" i="28"/>
  <c r="AG91" i="28"/>
  <c r="AF91" i="28"/>
  <c r="AE91" i="28"/>
  <c r="AD91" i="28"/>
  <c r="AI90" i="28"/>
  <c r="AH90" i="28"/>
  <c r="AG90" i="28"/>
  <c r="AF90" i="28"/>
  <c r="AE90" i="28"/>
  <c r="AD90" i="28"/>
  <c r="AI89" i="28"/>
  <c r="AH89" i="28"/>
  <c r="AG89" i="28"/>
  <c r="AF89" i="28"/>
  <c r="AE89" i="28"/>
  <c r="AD89" i="28"/>
  <c r="AI88" i="28"/>
  <c r="AH88" i="28"/>
  <c r="AG88" i="28"/>
  <c r="AF88" i="28"/>
  <c r="AE88" i="28"/>
  <c r="AD88" i="28"/>
  <c r="AI87" i="28"/>
  <c r="AH87" i="28"/>
  <c r="AG87" i="28"/>
  <c r="AF87" i="28"/>
  <c r="AE87" i="28"/>
  <c r="AD87" i="28"/>
  <c r="AI86" i="28"/>
  <c r="AH86" i="28"/>
  <c r="AG86" i="28"/>
  <c r="AF86" i="28"/>
  <c r="AE86" i="28"/>
  <c r="AD86" i="28"/>
  <c r="AI85" i="28"/>
  <c r="AH85" i="28"/>
  <c r="AG85" i="28"/>
  <c r="AF85" i="28"/>
  <c r="AE85" i="28"/>
  <c r="AD85" i="28"/>
  <c r="AI84" i="28"/>
  <c r="AH84" i="28"/>
  <c r="AG84" i="28"/>
  <c r="AF84" i="28"/>
  <c r="AE84" i="28"/>
  <c r="AD84" i="28"/>
  <c r="AI83" i="28"/>
  <c r="AH83" i="28"/>
  <c r="AG83" i="28"/>
  <c r="AF83" i="28"/>
  <c r="AE83" i="28"/>
  <c r="AD83" i="28"/>
  <c r="AI82" i="28"/>
  <c r="AH82" i="28"/>
  <c r="AG82" i="28"/>
  <c r="AF82" i="28"/>
  <c r="AE82" i="28"/>
  <c r="AD82" i="28"/>
  <c r="AB93" i="28"/>
  <c r="AB92" i="28"/>
  <c r="AB91" i="28"/>
  <c r="AB90" i="28"/>
  <c r="AB89" i="28"/>
  <c r="AB88" i="28"/>
  <c r="AB87" i="28"/>
  <c r="AB86" i="28"/>
  <c r="AB85" i="28"/>
  <c r="AB84" i="28"/>
  <c r="AB83" i="28"/>
  <c r="AB82" i="28"/>
  <c r="Z93" i="28"/>
  <c r="Y93" i="28"/>
  <c r="X93" i="28"/>
  <c r="W93" i="28"/>
  <c r="V93" i="28"/>
  <c r="Z92" i="28"/>
  <c r="Y92" i="28"/>
  <c r="X92" i="28"/>
  <c r="W92" i="28"/>
  <c r="V92" i="28"/>
  <c r="Z91" i="28"/>
  <c r="Y91" i="28"/>
  <c r="X91" i="28"/>
  <c r="W91" i="28"/>
  <c r="V91" i="28"/>
  <c r="Z90" i="28"/>
  <c r="Y90" i="28"/>
  <c r="X90" i="28"/>
  <c r="W90" i="28"/>
  <c r="V90" i="28"/>
  <c r="Z89" i="28"/>
  <c r="Y89" i="28"/>
  <c r="X89" i="28"/>
  <c r="W89" i="28"/>
  <c r="V89" i="28"/>
  <c r="Z88" i="28"/>
  <c r="Y88" i="28"/>
  <c r="X88" i="28"/>
  <c r="W88" i="28"/>
  <c r="V88" i="28"/>
  <c r="Z87" i="28"/>
  <c r="Y87" i="28"/>
  <c r="X87" i="28"/>
  <c r="W87" i="28"/>
  <c r="V87" i="28"/>
  <c r="Z86" i="28"/>
  <c r="Y86" i="28"/>
  <c r="X86" i="28"/>
  <c r="W86" i="28"/>
  <c r="V86" i="28"/>
  <c r="Z85" i="28"/>
  <c r="Y85" i="28"/>
  <c r="X85" i="28"/>
  <c r="W85" i="28"/>
  <c r="V85" i="28"/>
  <c r="Z84" i="28"/>
  <c r="Y84" i="28"/>
  <c r="X84" i="28"/>
  <c r="W84" i="28"/>
  <c r="V84" i="28"/>
  <c r="Z83" i="28"/>
  <c r="Y83" i="28"/>
  <c r="X83" i="28"/>
  <c r="W83" i="28"/>
  <c r="V83" i="28"/>
  <c r="Z82" i="28"/>
  <c r="Y82" i="28"/>
  <c r="X82" i="28"/>
  <c r="W82" i="28"/>
  <c r="V82" i="28"/>
  <c r="Q68" i="28"/>
  <c r="Q69" i="28"/>
  <c r="AB207" i="28"/>
  <c r="Z207" i="28"/>
  <c r="AB206" i="28"/>
  <c r="Z206" i="28"/>
  <c r="AB205" i="28"/>
  <c r="Z205" i="28"/>
  <c r="AB204" i="28"/>
  <c r="Z204" i="28"/>
  <c r="AB203" i="28"/>
  <c r="Z203" i="28"/>
  <c r="AB202" i="28"/>
  <c r="Z202" i="28"/>
  <c r="AB201" i="28"/>
  <c r="Z201" i="28"/>
  <c r="AB200" i="28"/>
  <c r="Z200" i="28"/>
  <c r="AB199" i="28"/>
  <c r="Z199" i="28"/>
  <c r="AB198" i="28"/>
  <c r="Z198" i="28"/>
  <c r="AB197" i="28"/>
  <c r="Z197"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C153" i="28"/>
  <c r="AA153" i="28"/>
  <c r="Z153" i="28"/>
  <c r="AC152" i="28"/>
  <c r="AA152" i="28"/>
  <c r="Z152" i="28"/>
  <c r="AC151" i="28"/>
  <c r="AA151" i="28"/>
  <c r="Z151" i="28"/>
  <c r="AC150" i="28"/>
  <c r="AA150" i="28"/>
  <c r="Z150" i="28"/>
  <c r="AC149" i="28"/>
  <c r="AA149" i="28"/>
  <c r="Z149" i="28"/>
  <c r="AC148" i="28"/>
  <c r="AA148" i="28"/>
  <c r="Z148" i="28"/>
  <c r="AC147" i="28"/>
  <c r="AA147" i="28"/>
  <c r="Z147" i="28"/>
  <c r="AC146" i="28"/>
  <c r="AA146" i="28"/>
  <c r="Z146" i="28"/>
  <c r="AC145" i="28"/>
  <c r="AA145" i="28"/>
  <c r="Z145" i="28"/>
  <c r="AC144" i="28"/>
  <c r="AA144" i="28"/>
  <c r="Z144" i="28"/>
  <c r="AC143" i="28"/>
  <c r="AA143" i="28"/>
  <c r="Z143" i="28"/>
  <c r="AC142" i="28"/>
  <c r="AA142" i="28"/>
  <c r="Z142" i="28"/>
  <c r="AC141" i="28"/>
  <c r="AA141" i="28"/>
  <c r="Z141" i="28"/>
  <c r="AC140" i="28"/>
  <c r="AA140" i="28"/>
  <c r="Z140" i="28"/>
  <c r="AC139" i="28"/>
  <c r="AA139" i="28"/>
  <c r="Z139" i="28"/>
  <c r="AC138" i="28"/>
  <c r="AA138" i="28"/>
  <c r="Z138" i="28"/>
  <c r="AC137" i="28"/>
  <c r="AA137" i="28"/>
  <c r="Z137" i="28"/>
  <c r="AC136" i="28"/>
  <c r="AA136" i="28"/>
  <c r="Z136"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AM81" i="28"/>
  <c r="AL81" i="28"/>
  <c r="AC81" i="28"/>
  <c r="AB81" i="28"/>
  <c r="Z81" i="28"/>
  <c r="AM80" i="28"/>
  <c r="AL80" i="28"/>
  <c r="AC80" i="28"/>
  <c r="AB80" i="28"/>
  <c r="Z80" i="28"/>
  <c r="AM79" i="28"/>
  <c r="AL79" i="28"/>
  <c r="AC79" i="28"/>
  <c r="AB79" i="28"/>
  <c r="Z79" i="28"/>
  <c r="AM78" i="28"/>
  <c r="AL78" i="28"/>
  <c r="AC78" i="28"/>
  <c r="AB78" i="28"/>
  <c r="Z78" i="28"/>
  <c r="AM77" i="28"/>
  <c r="AL77" i="28"/>
  <c r="AC77" i="28"/>
  <c r="AB77" i="28"/>
  <c r="Z77" i="28"/>
  <c r="AM76" i="28"/>
  <c r="AL76" i="28"/>
  <c r="AC76" i="28"/>
  <c r="AB76" i="28"/>
  <c r="Z76" i="28"/>
  <c r="AM75" i="28"/>
  <c r="AL75" i="28"/>
  <c r="AC75" i="28"/>
  <c r="AB75" i="28"/>
  <c r="Z75" i="28"/>
  <c r="AM74" i="28"/>
  <c r="AL74" i="28"/>
  <c r="AC74" i="28"/>
  <c r="AB74" i="28"/>
  <c r="Z74" i="28"/>
  <c r="AM73" i="28"/>
  <c r="AL73" i="28"/>
  <c r="AC73" i="28"/>
  <c r="AB73" i="28"/>
  <c r="Z73" i="28"/>
  <c r="AM72" i="28"/>
  <c r="AL72" i="28"/>
  <c r="AC72" i="28"/>
  <c r="AB72" i="28"/>
  <c r="Z72" i="28"/>
  <c r="Q72" i="28"/>
  <c r="AM71" i="28"/>
  <c r="AL71" i="28"/>
  <c r="AC71" i="28"/>
  <c r="AB71" i="28"/>
  <c r="Z71" i="28"/>
  <c r="Q71" i="28"/>
  <c r="AM70" i="28"/>
  <c r="AL70" i="28"/>
  <c r="AC70" i="28"/>
  <c r="AB70" i="28"/>
  <c r="Z70" i="28"/>
  <c r="Q70" i="28"/>
  <c r="AM69" i="28"/>
  <c r="AL69" i="28"/>
  <c r="AC69" i="28"/>
  <c r="AB69" i="28"/>
  <c r="Z69" i="28"/>
  <c r="AM68" i="28"/>
  <c r="AL68" i="28"/>
  <c r="AC68" i="28"/>
  <c r="AB68" i="28"/>
  <c r="Z68" i="28"/>
  <c r="AM67" i="28"/>
  <c r="AL67" i="28"/>
  <c r="AC67" i="28"/>
  <c r="AB67" i="28"/>
  <c r="Z67" i="28"/>
  <c r="AM66" i="28"/>
  <c r="AL66" i="28"/>
  <c r="AC66" i="28"/>
  <c r="AB66" i="28"/>
  <c r="Z66" i="28"/>
  <c r="AM65" i="28"/>
  <c r="AL65" i="28"/>
  <c r="AC65" i="28"/>
  <c r="AB65" i="28"/>
  <c r="Z65" i="28"/>
  <c r="AM64" i="28"/>
  <c r="AL64" i="28"/>
  <c r="AC64" i="28"/>
  <c r="AB64" i="28"/>
  <c r="Z64" i="28"/>
  <c r="F12" i="28"/>
  <c r="BR60" i="28"/>
  <c r="F11" i="28"/>
  <c r="BZ51" i="28"/>
  <c r="F10" i="28"/>
  <c r="BY51" i="28"/>
  <c r="F9" i="28"/>
  <c r="BX51" i="28"/>
  <c r="F8" i="28"/>
  <c r="BW51" i="28"/>
  <c r="C25" i="28"/>
  <c r="BR59" i="28"/>
  <c r="CA51" i="28"/>
  <c r="C24" i="28"/>
  <c r="BR58" i="28"/>
  <c r="C23" i="28"/>
  <c r="BR57" i="28"/>
  <c r="C22" i="28"/>
  <c r="BR56" i="28"/>
  <c r="C21"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P55" i="28" a="1"/>
  <c r="BP55" i="28"/>
  <c r="BO55" i="28" a="1"/>
  <c r="BO55" i="28"/>
  <c r="BN55" i="28" a="1"/>
  <c r="BN55" i="28"/>
  <c r="BM55" i="28" a="1"/>
  <c r="BM55" i="28"/>
  <c r="BL55" i="28" a="1"/>
  <c r="BL55" i="28"/>
  <c r="BK55" i="28" a="1"/>
  <c r="BK55" i="28"/>
  <c r="BJ55" i="28" a="1"/>
  <c r="BJ55" i="28"/>
  <c r="BI55" i="28" a="1"/>
  <c r="BI55" i="28"/>
  <c r="BH55" i="28" a="1"/>
  <c r="BH55" i="28"/>
  <c r="BG55" i="28" a="1"/>
  <c r="BG55" i="28"/>
  <c r="BF55" i="28" a="1"/>
  <c r="BF55" i="28"/>
  <c r="BE55" i="28" a="1"/>
  <c r="BE55" i="28"/>
  <c r="BD55" i="28" a="1"/>
  <c r="BD55" i="28"/>
  <c r="BC55" i="28" a="1"/>
  <c r="BC55" i="28"/>
  <c r="BB55" i="28" a="1"/>
  <c r="BB55" i="28"/>
  <c r="BA55" i="28" a="1"/>
  <c r="BA55" i="28"/>
  <c r="AZ55" i="28" a="1"/>
  <c r="AZ55" i="28"/>
  <c r="AY55" i="28" a="1"/>
  <c r="AY55" i="28"/>
  <c r="AX55" i="28" a="1"/>
  <c r="AX55" i="28"/>
  <c r="AW55" i="28" a="1"/>
  <c r="AW55" i="28"/>
  <c r="AV55" i="28" a="1"/>
  <c r="AV55" i="28"/>
  <c r="AU55" i="28" a="1"/>
  <c r="AU55" i="28"/>
  <c r="AT55" i="28" a="1"/>
  <c r="AT55" i="28"/>
  <c r="AS55" i="28" a="1"/>
  <c r="AS55" i="28"/>
  <c r="AR55" i="28" a="1"/>
  <c r="AR55" i="28"/>
  <c r="AQ55" i="28" a="1"/>
  <c r="AQ55" i="28"/>
  <c r="AP55" i="28" a="1"/>
  <c r="AP55" i="28"/>
  <c r="AO55" i="28" a="1"/>
  <c r="AO55" i="28"/>
  <c r="AN55" i="28" a="1"/>
  <c r="AN55" i="28"/>
  <c r="AM55" i="28" a="1"/>
  <c r="AM55" i="28"/>
  <c r="AL55" i="28" a="1"/>
  <c r="AL55" i="28"/>
  <c r="AK55" i="28" a="1"/>
  <c r="AK55" i="28"/>
  <c r="AJ55" i="28" a="1"/>
  <c r="AJ55" i="28"/>
  <c r="AI55" i="28" a="1"/>
  <c r="AI55" i="28"/>
  <c r="AH55" i="28" a="1"/>
  <c r="AH55" i="28"/>
  <c r="AG55" i="28" a="1"/>
  <c r="AG55" i="28"/>
  <c r="AF55" i="28" a="1"/>
  <c r="AF55" i="28"/>
  <c r="AE55" i="28" a="1"/>
  <c r="AE55" i="28"/>
  <c r="AD55" i="28" a="1"/>
  <c r="AD55" i="28"/>
  <c r="AC55" i="28" a="1"/>
  <c r="AC55" i="28"/>
  <c r="AB55" i="28" a="1"/>
  <c r="AB55" i="28"/>
  <c r="AA55" i="28" a="1"/>
  <c r="AA55" i="28"/>
  <c r="Z55" i="28" a="1"/>
  <c r="Z55" i="28"/>
  <c r="Y55" i="28" a="1"/>
  <c r="Y55" i="28"/>
  <c r="X55" i="28" a="1"/>
  <c r="X55" i="28"/>
  <c r="W55" i="28" a="1"/>
  <c r="W55" i="28"/>
  <c r="V55" i="28" a="1"/>
  <c r="V55" i="28"/>
  <c r="U55" i="28" a="1"/>
  <c r="U55" i="28"/>
  <c r="T55" i="28" a="1"/>
  <c r="T55" i="28"/>
  <c r="S55" i="28" a="1"/>
  <c r="S55" i="28"/>
  <c r="R55" i="28" a="1"/>
  <c r="R55" i="28"/>
  <c r="Q55" i="28" a="1"/>
  <c r="Q55" i="28"/>
  <c r="P55" i="28" a="1"/>
  <c r="P55" i="28"/>
  <c r="O55" i="28" a="1"/>
  <c r="O55" i="28"/>
  <c r="N55" i="28" a="1"/>
  <c r="N55" i="28"/>
  <c r="M55" i="28" a="1"/>
  <c r="M55" i="28"/>
  <c r="L55" i="28" a="1"/>
  <c r="L55" i="28"/>
  <c r="K55" i="28" a="1"/>
  <c r="K55" i="28"/>
  <c r="J55" i="28" a="1"/>
  <c r="J55" i="28"/>
  <c r="I55" i="28" a="1"/>
  <c r="I55" i="28"/>
  <c r="H55" i="28" a="1"/>
  <c r="H55" i="28"/>
  <c r="G55" i="28" a="1"/>
  <c r="G55" i="28"/>
  <c r="F55" i="28" a="1"/>
  <c r="F55" i="28"/>
  <c r="E55" i="28" a="1"/>
  <c r="E55" i="28"/>
  <c r="BP54" i="28" a="1"/>
  <c r="BP54" i="28"/>
  <c r="BO54" i="28" a="1"/>
  <c r="BO54" i="28"/>
  <c r="BN54" i="28" a="1"/>
  <c r="BN54" i="28"/>
  <c r="BM54" i="28" a="1"/>
  <c r="BM54" i="28"/>
  <c r="BL54" i="28" a="1"/>
  <c r="BL54" i="28"/>
  <c r="BK54" i="28" a="1"/>
  <c r="BK54" i="28"/>
  <c r="BJ54" i="28" a="1"/>
  <c r="BJ54" i="28"/>
  <c r="BI54" i="28" a="1"/>
  <c r="BI54" i="28"/>
  <c r="BH54" i="28" a="1"/>
  <c r="BH54" i="28"/>
  <c r="BG54" i="28" a="1"/>
  <c r="BG54" i="28"/>
  <c r="BF54" i="28" a="1"/>
  <c r="BF54" i="28"/>
  <c r="BE54" i="28" a="1"/>
  <c r="BE54" i="28"/>
  <c r="BD54" i="28" a="1"/>
  <c r="BD54" i="28"/>
  <c r="BC54" i="28" a="1"/>
  <c r="BC54" i="28"/>
  <c r="BB54" i="28" a="1"/>
  <c r="BB54" i="28"/>
  <c r="BA54" i="28" a="1"/>
  <c r="BA54" i="28"/>
  <c r="AZ54" i="28" a="1"/>
  <c r="AZ54" i="28"/>
  <c r="AY54" i="28" a="1"/>
  <c r="AY54" i="28"/>
  <c r="AX54" i="28" a="1"/>
  <c r="AX54" i="28"/>
  <c r="AW54" i="28" a="1"/>
  <c r="AW54" i="28"/>
  <c r="AV54" i="28" a="1"/>
  <c r="AV54" i="28"/>
  <c r="AU54" i="28" a="1"/>
  <c r="AU54" i="28"/>
  <c r="AT54" i="28" a="1"/>
  <c r="AT54" i="28"/>
  <c r="AS54" i="28" a="1"/>
  <c r="AS54" i="28"/>
  <c r="AR54" i="28" a="1"/>
  <c r="AR54" i="28"/>
  <c r="AQ54" i="28" a="1"/>
  <c r="AQ54" i="28"/>
  <c r="AP54" i="28" a="1"/>
  <c r="AP54" i="28"/>
  <c r="AO54" i="28" a="1"/>
  <c r="AO54" i="28"/>
  <c r="AN54" i="28" a="1"/>
  <c r="AN54" i="28"/>
  <c r="AM54" i="28" a="1"/>
  <c r="AM54" i="28"/>
  <c r="AL54" i="28" a="1"/>
  <c r="AL54" i="28"/>
  <c r="AK54" i="28" a="1"/>
  <c r="AK54" i="28"/>
  <c r="AJ54" i="28" a="1"/>
  <c r="AJ54" i="28"/>
  <c r="AI54" i="28" a="1"/>
  <c r="AI54" i="28"/>
  <c r="AH54" i="28" a="1"/>
  <c r="AH54" i="28"/>
  <c r="AG54" i="28" a="1"/>
  <c r="AG54" i="28"/>
  <c r="AF54" i="28" a="1"/>
  <c r="AF54" i="28"/>
  <c r="AE54" i="28" a="1"/>
  <c r="AE54" i="28"/>
  <c r="AD54" i="28" a="1"/>
  <c r="AD54" i="28"/>
  <c r="AC54" i="28" a="1"/>
  <c r="AC54" i="28"/>
  <c r="AB54" i="28" a="1"/>
  <c r="AB54" i="28"/>
  <c r="AA54" i="28" a="1"/>
  <c r="AA54" i="28"/>
  <c r="Z54" i="28" a="1"/>
  <c r="Z54" i="28"/>
  <c r="Y54" i="28" a="1"/>
  <c r="Y54" i="28"/>
  <c r="X54" i="28" a="1"/>
  <c r="X54" i="28"/>
  <c r="W54" i="28" a="1"/>
  <c r="W54" i="28"/>
  <c r="V54" i="28" a="1"/>
  <c r="V54" i="28"/>
  <c r="U54" i="28" a="1"/>
  <c r="U54" i="28"/>
  <c r="T54" i="28" a="1"/>
  <c r="T54" i="28"/>
  <c r="S54" i="28" a="1"/>
  <c r="S54" i="28"/>
  <c r="R54" i="28" a="1"/>
  <c r="R54" i="28"/>
  <c r="Q54" i="28" a="1"/>
  <c r="Q54" i="28"/>
  <c r="P54" i="28" a="1"/>
  <c r="P54" i="28"/>
  <c r="O54" i="28" a="1"/>
  <c r="O54" i="28"/>
  <c r="N54" i="28" a="1"/>
  <c r="N54" i="28"/>
  <c r="M54" i="28" a="1"/>
  <c r="M54" i="28"/>
  <c r="L54" i="28" a="1"/>
  <c r="L54" i="28"/>
  <c r="K54" i="28" a="1"/>
  <c r="K54" i="28"/>
  <c r="J54" i="28" a="1"/>
  <c r="J54" i="28"/>
  <c r="I54" i="28" a="1"/>
  <c r="I54" i="28"/>
  <c r="H54" i="28" a="1"/>
  <c r="H54" i="28"/>
  <c r="G54" i="28" a="1"/>
  <c r="G54" i="28"/>
  <c r="F54" i="28" a="1"/>
  <c r="F54" i="28"/>
  <c r="E54" i="28" a="1"/>
  <c r="E54" i="28"/>
  <c r="BP53" i="28" a="1"/>
  <c r="BP53" i="28"/>
  <c r="BO53" i="28" a="1"/>
  <c r="BO53" i="28"/>
  <c r="BN53" i="28" a="1"/>
  <c r="BN53" i="28"/>
  <c r="BM53" i="28" a="1"/>
  <c r="BM53" i="28"/>
  <c r="BL53" i="28" a="1"/>
  <c r="BL53" i="28"/>
  <c r="BK53" i="28" a="1"/>
  <c r="BK53" i="28"/>
  <c r="BJ53" i="28" a="1"/>
  <c r="BJ53" i="28"/>
  <c r="BI53" i="28" a="1"/>
  <c r="BI53" i="28"/>
  <c r="BH53" i="28" a="1"/>
  <c r="BH53" i="28"/>
  <c r="BG53" i="28" a="1"/>
  <c r="BG53" i="28"/>
  <c r="BF53" i="28" a="1"/>
  <c r="BF53" i="28"/>
  <c r="BE53" i="28" a="1"/>
  <c r="BE53" i="28"/>
  <c r="BD53" i="28" a="1"/>
  <c r="BD53" i="28"/>
  <c r="BC53" i="28" a="1"/>
  <c r="BC53" i="28"/>
  <c r="BB53" i="28" a="1"/>
  <c r="BB53" i="28"/>
  <c r="BA53" i="28" a="1"/>
  <c r="BA53" i="28"/>
  <c r="AZ53" i="28" a="1"/>
  <c r="AZ53" i="28"/>
  <c r="AY53" i="28" a="1"/>
  <c r="AY53" i="28"/>
  <c r="AX53" i="28" a="1"/>
  <c r="AX53" i="28"/>
  <c r="AW53" i="28" a="1"/>
  <c r="AW53" i="28"/>
  <c r="AV53" i="28" a="1"/>
  <c r="AV53" i="28"/>
  <c r="AU53" i="28" a="1"/>
  <c r="AU53" i="28"/>
  <c r="AT53" i="28" a="1"/>
  <c r="AT53" i="28"/>
  <c r="AS53" i="28" a="1"/>
  <c r="AS53" i="28"/>
  <c r="AR53" i="28" a="1"/>
  <c r="AR53" i="28"/>
  <c r="AQ53" i="28" a="1"/>
  <c r="AQ53" i="28"/>
  <c r="AP53" i="28" a="1"/>
  <c r="AP53" i="28"/>
  <c r="AO53" i="28" a="1"/>
  <c r="AO53" i="28"/>
  <c r="AN53" i="28" a="1"/>
  <c r="AN53" i="28"/>
  <c r="AM53" i="28" a="1"/>
  <c r="AM53" i="28"/>
  <c r="AL53" i="28" a="1"/>
  <c r="AL53" i="28"/>
  <c r="AK53" i="28" a="1"/>
  <c r="AK53" i="28"/>
  <c r="AJ53" i="28" a="1"/>
  <c r="AJ53" i="28"/>
  <c r="AI53" i="28" a="1"/>
  <c r="AI53" i="28"/>
  <c r="AH53" i="28" a="1"/>
  <c r="AH53" i="28"/>
  <c r="AG53" i="28" a="1"/>
  <c r="AG53" i="28"/>
  <c r="AF53" i="28" a="1"/>
  <c r="AF53" i="28"/>
  <c r="AE53" i="28" a="1"/>
  <c r="AE53" i="28"/>
  <c r="AD53" i="28" a="1"/>
  <c r="AD53" i="28"/>
  <c r="AC53" i="28" a="1"/>
  <c r="AC53" i="28"/>
  <c r="AB53" i="28" a="1"/>
  <c r="AB53" i="28"/>
  <c r="AA53" i="28" a="1"/>
  <c r="AA53" i="28"/>
  <c r="Z53" i="28" a="1"/>
  <c r="Z53" i="28"/>
  <c r="Y53" i="28" a="1"/>
  <c r="Y53" i="28"/>
  <c r="X53" i="28" a="1"/>
  <c r="X53" i="28"/>
  <c r="W53" i="28" a="1"/>
  <c r="W53" i="28"/>
  <c r="V53" i="28" a="1"/>
  <c r="V53" i="28"/>
  <c r="U53" i="28" a="1"/>
  <c r="U53" i="28"/>
  <c r="T53" i="28" a="1"/>
  <c r="T53" i="28"/>
  <c r="S53" i="28" a="1"/>
  <c r="S53" i="28"/>
  <c r="R53" i="28" a="1"/>
  <c r="R53" i="28"/>
  <c r="Q53" i="28" a="1"/>
  <c r="Q53" i="28"/>
  <c r="P53" i="28" a="1"/>
  <c r="P53" i="28"/>
  <c r="O53" i="28" a="1"/>
  <c r="O53" i="28"/>
  <c r="N53" i="28" a="1"/>
  <c r="N53" i="28"/>
  <c r="M53" i="28" a="1"/>
  <c r="M53" i="28"/>
  <c r="L53" i="28" a="1"/>
  <c r="L53" i="28"/>
  <c r="K53" i="28" a="1"/>
  <c r="K53" i="28"/>
  <c r="J53" i="28" a="1"/>
  <c r="J53" i="28"/>
  <c r="I53" i="28" a="1"/>
  <c r="I53" i="28"/>
  <c r="H53" i="28" a="1"/>
  <c r="H53" i="28"/>
  <c r="G53" i="28" a="1"/>
  <c r="G53" i="28"/>
  <c r="F53" i="28" a="1"/>
  <c r="F53" i="28"/>
  <c r="E53" i="28" a="1"/>
  <c r="E53" i="28"/>
  <c r="BP52" i="28" a="1"/>
  <c r="BP52" i="28"/>
  <c r="BO52" i="28" a="1"/>
  <c r="BO52" i="28"/>
  <c r="BN52" i="28" a="1"/>
  <c r="BN52" i="28"/>
  <c r="BM52" i="28" a="1"/>
  <c r="BM52" i="28"/>
  <c r="BL52" i="28" a="1"/>
  <c r="BL52" i="28"/>
  <c r="BK52" i="28" a="1"/>
  <c r="BK52" i="28"/>
  <c r="BJ52" i="28" a="1"/>
  <c r="BJ52" i="28"/>
  <c r="BI52" i="28" a="1"/>
  <c r="BI52" i="28"/>
  <c r="BH52" i="28" a="1"/>
  <c r="BH52" i="28"/>
  <c r="BG52" i="28" a="1"/>
  <c r="BG52" i="28"/>
  <c r="BF52" i="28" a="1"/>
  <c r="BF52" i="28"/>
  <c r="BE52" i="28" a="1"/>
  <c r="BE52" i="28"/>
  <c r="BD52" i="28" a="1"/>
  <c r="BD52" i="28"/>
  <c r="BC52" i="28" a="1"/>
  <c r="BC52" i="28"/>
  <c r="BB52" i="28" a="1"/>
  <c r="BB52" i="28"/>
  <c r="BA52" i="28" a="1"/>
  <c r="BA52" i="28"/>
  <c r="AZ52" i="28" a="1"/>
  <c r="AZ52" i="28"/>
  <c r="AY52" i="28" a="1"/>
  <c r="AY52" i="28"/>
  <c r="AX52" i="28" a="1"/>
  <c r="AX52" i="28"/>
  <c r="AW52" i="28" a="1"/>
  <c r="AW52" i="28"/>
  <c r="AV52" i="28" a="1"/>
  <c r="AV52" i="28"/>
  <c r="AU52" i="28" a="1"/>
  <c r="AU52" i="28"/>
  <c r="AT52" i="28" a="1"/>
  <c r="AT52" i="28"/>
  <c r="AS52" i="28" a="1"/>
  <c r="AS52" i="28"/>
  <c r="AR52" i="28" a="1"/>
  <c r="AR52" i="28"/>
  <c r="AQ52" i="28" a="1"/>
  <c r="AQ52" i="28"/>
  <c r="AP52" i="28" a="1"/>
  <c r="AP52" i="28"/>
  <c r="AO52" i="28" a="1"/>
  <c r="AO52" i="28"/>
  <c r="AN52" i="28" a="1"/>
  <c r="AN52" i="28"/>
  <c r="AM52" i="28" a="1"/>
  <c r="AM52" i="28"/>
  <c r="AL52" i="28" a="1"/>
  <c r="AL52" i="28"/>
  <c r="AK52" i="28" a="1"/>
  <c r="AK52" i="28"/>
  <c r="AJ52" i="28" a="1"/>
  <c r="AJ52" i="28"/>
  <c r="AI52" i="28" a="1"/>
  <c r="AI52" i="28"/>
  <c r="AH52" i="28" a="1"/>
  <c r="AH52" i="28"/>
  <c r="AG52" i="28" a="1"/>
  <c r="AG52" i="28"/>
  <c r="AF52" i="28" a="1"/>
  <c r="AF52" i="28"/>
  <c r="AE52" i="28" a="1"/>
  <c r="AE52" i="28"/>
  <c r="AD52" i="28" a="1"/>
  <c r="AD52" i="28"/>
  <c r="AC52" i="28" a="1"/>
  <c r="AC52" i="28"/>
  <c r="AB52" i="28" a="1"/>
  <c r="AB52" i="28"/>
  <c r="AA52" i="28" a="1"/>
  <c r="AA52" i="28"/>
  <c r="Z52" i="28" a="1"/>
  <c r="Z52" i="28"/>
  <c r="Y52" i="28" a="1"/>
  <c r="Y52" i="28"/>
  <c r="X52" i="28" a="1"/>
  <c r="X52" i="28"/>
  <c r="W52" i="28" a="1"/>
  <c r="W52" i="28"/>
  <c r="V52" i="28" a="1"/>
  <c r="V52" i="28"/>
  <c r="U52" i="28" a="1"/>
  <c r="U52" i="28"/>
  <c r="T52" i="28" a="1"/>
  <c r="T52" i="28"/>
  <c r="S52" i="28" a="1"/>
  <c r="S52" i="28"/>
  <c r="R52" i="28" a="1"/>
  <c r="R52" i="28"/>
  <c r="Q52" i="28" a="1"/>
  <c r="Q52" i="28"/>
  <c r="P52" i="28" a="1"/>
  <c r="P52" i="28"/>
  <c r="O52" i="28" a="1"/>
  <c r="O52" i="28"/>
  <c r="N52" i="28" a="1"/>
  <c r="N52" i="28"/>
  <c r="M52" i="28" a="1"/>
  <c r="M52" i="28"/>
  <c r="L52" i="28" a="1"/>
  <c r="L52" i="28"/>
  <c r="K52" i="28" a="1"/>
  <c r="K52" i="28"/>
  <c r="J52" i="28" a="1"/>
  <c r="J52" i="28"/>
  <c r="I52" i="28" a="1"/>
  <c r="I52" i="28"/>
  <c r="H52" i="28" a="1"/>
  <c r="H52" i="28"/>
  <c r="G52" i="28" a="1"/>
  <c r="G52" i="28"/>
  <c r="F52" i="28" a="1"/>
  <c r="F52" i="28"/>
  <c r="E52" i="28" a="1"/>
  <c r="E52" i="28"/>
  <c r="BR49" i="28"/>
  <c r="BR48" i="28"/>
  <c r="BR47" i="28"/>
  <c r="BR46" i="28"/>
  <c r="BR45" i="28"/>
  <c r="BW40" i="28"/>
  <c r="BX40" i="28"/>
  <c r="CA40" i="28"/>
  <c r="BZ40" i="28"/>
  <c r="BY40" i="28"/>
  <c r="C38" i="28"/>
  <c r="C37" i="28"/>
  <c r="C36" i="28"/>
  <c r="C35" i="28"/>
  <c r="C34" i="28"/>
  <c r="C33" i="28"/>
  <c r="C32" i="28"/>
  <c r="C31" i="28"/>
  <c r="C30" i="28"/>
  <c r="J25" i="28"/>
  <c r="I25" i="28"/>
  <c r="H25" i="28"/>
  <c r="G25" i="28"/>
  <c r="F25" i="28"/>
  <c r="E25" i="28"/>
  <c r="D25" i="28"/>
  <c r="J24" i="28"/>
  <c r="I24" i="28"/>
  <c r="H24" i="28"/>
  <c r="G24" i="28"/>
  <c r="F24" i="28"/>
  <c r="E24" i="28"/>
  <c r="D24" i="28"/>
  <c r="J23" i="28"/>
  <c r="I23" i="28"/>
  <c r="H23" i="28"/>
  <c r="G23" i="28"/>
  <c r="F23" i="28"/>
  <c r="E23" i="28"/>
  <c r="D23" i="28"/>
  <c r="J22" i="28"/>
  <c r="I22" i="28"/>
  <c r="H22" i="28"/>
  <c r="G22" i="28"/>
  <c r="F22" i="28"/>
  <c r="E22" i="28"/>
  <c r="D22" i="28"/>
  <c r="AC21" i="28"/>
  <c r="J21" i="28"/>
  <c r="I21" i="28"/>
  <c r="H21" i="28"/>
  <c r="G21" i="28"/>
  <c r="F21" i="28"/>
  <c r="E21" i="28"/>
  <c r="D21" i="28"/>
  <c r="AC20" i="28"/>
  <c r="J20" i="28"/>
  <c r="I20" i="28"/>
  <c r="H20" i="28"/>
  <c r="G20" i="28"/>
  <c r="F20" i="28"/>
  <c r="E20" i="28"/>
  <c r="D20" i="28"/>
  <c r="AC19" i="28"/>
  <c r="J19" i="28"/>
  <c r="I19" i="28"/>
  <c r="H19" i="28"/>
  <c r="G19" i="28"/>
  <c r="F19" i="28"/>
  <c r="E19" i="28"/>
  <c r="D19" i="28"/>
  <c r="AC18" i="28"/>
  <c r="J18" i="28"/>
  <c r="I18" i="28"/>
  <c r="H18" i="28"/>
  <c r="G18" i="28"/>
  <c r="F18" i="28"/>
  <c r="E18" i="28"/>
  <c r="D18" i="28"/>
  <c r="AC17" i="28"/>
  <c r="J17" i="28"/>
  <c r="I17" i="28"/>
  <c r="H17" i="28"/>
  <c r="G17" i="28"/>
  <c r="F17" i="28"/>
  <c r="E17" i="28"/>
  <c r="D17" i="28"/>
  <c r="F14" i="28"/>
  <c r="Z17" i="28"/>
  <c r="L7" i="27"/>
  <c r="J5" i="27"/>
  <c r="J4" i="27"/>
  <c r="J3" i="27"/>
  <c r="J2" i="27"/>
  <c r="BC12" i="27"/>
  <c r="AY12" i="27"/>
  <c r="BB12" i="27"/>
  <c r="AX12" i="27"/>
  <c r="BA12" i="27"/>
  <c r="BB12" i="6"/>
  <c r="BB13" i="6"/>
  <c r="BC13" i="6"/>
  <c r="BC14" i="6"/>
  <c r="BB15" i="6"/>
  <c r="BC15" i="6"/>
  <c r="BD15" i="6"/>
  <c r="BB16" i="6"/>
  <c r="BC16" i="6"/>
  <c r="BD16" i="6"/>
  <c r="BB17" i="6"/>
  <c r="BC17" i="6"/>
  <c r="BD17" i="6"/>
  <c r="BB18" i="6"/>
  <c r="BC18" i="6"/>
  <c r="BD18" i="6"/>
  <c r="BB19" i="6"/>
  <c r="BC19" i="6"/>
  <c r="BD19" i="6"/>
  <c r="BB20" i="6"/>
  <c r="BC20" i="6"/>
  <c r="BD20" i="6"/>
  <c r="BB21" i="6"/>
  <c r="BC21" i="6"/>
  <c r="BD21" i="6"/>
  <c r="BB22" i="6"/>
  <c r="BC22" i="6"/>
  <c r="BD22" i="6"/>
  <c r="BB23" i="6"/>
  <c r="BC23" i="6"/>
  <c r="BD23" i="6"/>
  <c r="BB24" i="6"/>
  <c r="BC24" i="6"/>
  <c r="BD24" i="6"/>
  <c r="BB25" i="6"/>
  <c r="BC25" i="6"/>
  <c r="BD25" i="6"/>
  <c r="BB26" i="6"/>
  <c r="BC26" i="6"/>
  <c r="BD26" i="6"/>
  <c r="BB27" i="6"/>
  <c r="BC27" i="6"/>
  <c r="BD27" i="6"/>
  <c r="BC28" i="6"/>
  <c r="BD28" i="6"/>
  <c r="BB29" i="6"/>
  <c r="BC29" i="6"/>
  <c r="BD29" i="6"/>
  <c r="BB30" i="6"/>
  <c r="BC30" i="6"/>
  <c r="BD30" i="6"/>
  <c r="BB31" i="6"/>
  <c r="BC31" i="6"/>
  <c r="BD31" i="6"/>
  <c r="BB32" i="6"/>
  <c r="BC32" i="6"/>
  <c r="BD32" i="6"/>
  <c r="BB33" i="6"/>
  <c r="BC33" i="6"/>
  <c r="BD33" i="6"/>
  <c r="BB34" i="6"/>
  <c r="BC34" i="6"/>
  <c r="BD34" i="6"/>
  <c r="BB35" i="6"/>
  <c r="BC35" i="6"/>
  <c r="BD35" i="6"/>
  <c r="BB36" i="6"/>
  <c r="BC36" i="6"/>
  <c r="BD36" i="6"/>
  <c r="BB37" i="6"/>
  <c r="BC37" i="6"/>
  <c r="BD37" i="6"/>
  <c r="BB38" i="6"/>
  <c r="BC38" i="6"/>
  <c r="BD38" i="6"/>
  <c r="BB39" i="6"/>
  <c r="BC39" i="6"/>
  <c r="BD39" i="6"/>
  <c r="BB40" i="6"/>
  <c r="BC40" i="6"/>
  <c r="BD40" i="6"/>
  <c r="BB41" i="6"/>
  <c r="BC41" i="6"/>
  <c r="BD41" i="6"/>
  <c r="AH26" i="27"/>
  <c r="AO11" i="27"/>
  <c r="AN11" i="27"/>
  <c r="AK11" i="27"/>
  <c r="AJ11" i="27"/>
  <c r="AG11" i="27"/>
  <c r="V12" i="27"/>
  <c r="S24" i="27"/>
  <c r="S21" i="27"/>
  <c r="S18" i="27"/>
  <c r="S15" i="27"/>
  <c r="S12" i="27"/>
  <c r="U11" i="27"/>
  <c r="R11" i="27"/>
  <c r="E5" i="26"/>
  <c r="E4" i="26"/>
  <c r="E3" i="26"/>
  <c r="E2" i="26"/>
  <c r="E5" i="24"/>
  <c r="E4" i="24"/>
  <c r="E3" i="24"/>
  <c r="E2" i="24"/>
  <c r="E5" i="21"/>
  <c r="E4" i="21"/>
  <c r="E3" i="21"/>
  <c r="E2" i="21"/>
  <c r="F5" i="31"/>
  <c r="F4" i="31"/>
  <c r="F3" i="31"/>
  <c r="F2" i="31"/>
  <c r="I7" i="6"/>
  <c r="E72" i="9"/>
  <c r="B22" i="33"/>
  <c r="B27" i="33"/>
  <c r="G24" i="33"/>
  <c r="X10" i="17"/>
  <c r="AC10" i="17"/>
  <c r="AH10" i="17"/>
  <c r="AM10" i="17"/>
  <c r="X11" i="17"/>
  <c r="AC11" i="17"/>
  <c r="AH11" i="17"/>
  <c r="AM11" i="17"/>
  <c r="X12" i="17"/>
  <c r="AC12" i="17"/>
  <c r="AH12" i="17"/>
  <c r="AM12" i="17"/>
  <c r="AK27" i="6"/>
  <c r="AK26" i="6"/>
  <c r="AK25" i="6"/>
  <c r="AK24" i="6"/>
  <c r="AK23" i="6"/>
  <c r="AK22" i="6"/>
  <c r="AV4" i="17"/>
  <c r="AV5" i="17"/>
  <c r="AV6" i="17"/>
  <c r="AV7" i="17"/>
  <c r="AV8" i="17"/>
  <c r="AV9" i="17"/>
  <c r="AV10" i="17"/>
  <c r="AV11" i="17"/>
  <c r="AV12" i="17"/>
  <c r="AJ27" i="6"/>
  <c r="AJ26" i="6"/>
  <c r="AJ25" i="6"/>
  <c r="AJ24" i="6"/>
  <c r="AJ23" i="6"/>
  <c r="AJ22" i="6"/>
  <c r="AC27" i="6"/>
  <c r="AC26" i="6"/>
  <c r="AC25" i="6"/>
  <c r="AC24" i="6"/>
  <c r="AC23" i="6"/>
  <c r="AC22" i="6"/>
  <c r="AE27" i="6"/>
  <c r="AF27" i="6"/>
  <c r="AE26" i="6"/>
  <c r="AF26" i="6"/>
  <c r="AE25" i="6"/>
  <c r="AF25" i="6"/>
  <c r="AE24" i="6"/>
  <c r="AF24" i="6"/>
  <c r="AE23" i="6"/>
  <c r="AF23" i="6"/>
  <c r="AE22" i="6"/>
  <c r="AF22" i="6"/>
  <c r="AK21" i="6"/>
  <c r="AJ21" i="6"/>
  <c r="AG21" i="6"/>
  <c r="AF21" i="6"/>
  <c r="AC21" i="6"/>
  <c r="AP21" i="6"/>
  <c r="AC136" i="17"/>
  <c r="AC137" i="17"/>
  <c r="AC138" i="17"/>
  <c r="AC139" i="17"/>
  <c r="AC140" i="17"/>
  <c r="AC141" i="17"/>
  <c r="AC142" i="17"/>
  <c r="AC143" i="17"/>
  <c r="AC144" i="17"/>
  <c r="AC145" i="17"/>
  <c r="AC146" i="17"/>
  <c r="AC147" i="17"/>
  <c r="AC148" i="17"/>
  <c r="AC149" i="17"/>
  <c r="AC150" i="17"/>
  <c r="AC151" i="17"/>
  <c r="AC152" i="17"/>
  <c r="AC153" i="17"/>
  <c r="AC154" i="17"/>
  <c r="AC155" i="17"/>
  <c r="AC156" i="17"/>
  <c r="AC157" i="17"/>
  <c r="AC158" i="17"/>
  <c r="AC159" i="17"/>
  <c r="AC160" i="17"/>
  <c r="AC161" i="17"/>
  <c r="AC162" i="17"/>
  <c r="AC163" i="17"/>
  <c r="AC164" i="17"/>
  <c r="AC165" i="17"/>
  <c r="AP27" i="6"/>
  <c r="AO21" i="6"/>
  <c r="AO27" i="6"/>
  <c r="AN21" i="6"/>
  <c r="AN27" i="6"/>
  <c r="AM21" i="6"/>
  <c r="AM27" i="6"/>
  <c r="AL21" i="6"/>
  <c r="AL27" i="6"/>
  <c r="AQ21" i="6"/>
  <c r="AQ26" i="6"/>
  <c r="G29" i="33"/>
  <c r="AO26" i="6"/>
  <c r="AN26" i="6"/>
  <c r="AM26" i="6"/>
  <c r="AL26" i="6"/>
  <c r="AQ25" i="6"/>
  <c r="AP25" i="6"/>
  <c r="AN25" i="6"/>
  <c r="AM25" i="6"/>
  <c r="AL25" i="6"/>
  <c r="AQ24" i="6"/>
  <c r="AP24" i="6"/>
  <c r="AO24" i="6"/>
  <c r="AM24" i="6"/>
  <c r="AL24" i="6"/>
  <c r="AQ23" i="6"/>
  <c r="AP23" i="6"/>
  <c r="AO23" i="6"/>
  <c r="AN23" i="6"/>
  <c r="AL23" i="6"/>
  <c r="AQ22" i="6"/>
  <c r="AP22" i="6"/>
  <c r="AO22" i="6"/>
  <c r="AN22" i="6"/>
  <c r="AM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AC195" i="17"/>
  <c r="AB195" i="17"/>
  <c r="Z195" i="17"/>
  <c r="AC194" i="17"/>
  <c r="AB194" i="17"/>
  <c r="Z194" i="17"/>
  <c r="AC193" i="17"/>
  <c r="AB193" i="17"/>
  <c r="Z193" i="17"/>
  <c r="AC192" i="17"/>
  <c r="AB192" i="17"/>
  <c r="Z192" i="17"/>
  <c r="AC191" i="17"/>
  <c r="AB191" i="17"/>
  <c r="Z191" i="17"/>
  <c r="AC190" i="17"/>
  <c r="AB190" i="17"/>
  <c r="Z190" i="17"/>
  <c r="AC189" i="17"/>
  <c r="AB189" i="17"/>
  <c r="Z189" i="17"/>
  <c r="AC188" i="17"/>
  <c r="AB188" i="17"/>
  <c r="Z188" i="17"/>
  <c r="AC187" i="17"/>
  <c r="AB187" i="17"/>
  <c r="Z187" i="17"/>
  <c r="AC186" i="17"/>
  <c r="AB186" i="17"/>
  <c r="Z186" i="17"/>
  <c r="AC185" i="17"/>
  <c r="AB185" i="17"/>
  <c r="Z185" i="17"/>
  <c r="AC184" i="17"/>
  <c r="AB184" i="17"/>
  <c r="Z184" i="17"/>
  <c r="AC183" i="17"/>
  <c r="AB183" i="17"/>
  <c r="Z183" i="17"/>
  <c r="AC182" i="17"/>
  <c r="AB182" i="17"/>
  <c r="Z182" i="17"/>
  <c r="AC181" i="17"/>
  <c r="AB181" i="17"/>
  <c r="Z181" i="17"/>
  <c r="AC180" i="17"/>
  <c r="AB180" i="17"/>
  <c r="Z180" i="17"/>
  <c r="AC179" i="17"/>
  <c r="AB179" i="17"/>
  <c r="Z179" i="17"/>
  <c r="AC178" i="17"/>
  <c r="AB178" i="17"/>
  <c r="Z178" i="17"/>
  <c r="AC177" i="17"/>
  <c r="AB177" i="17"/>
  <c r="Z177" i="17"/>
  <c r="AC176" i="17"/>
  <c r="AB176" i="17"/>
  <c r="Z176" i="17"/>
  <c r="AC175" i="17"/>
  <c r="AB175" i="17"/>
  <c r="Z175" i="17"/>
  <c r="AC174" i="17"/>
  <c r="AB174" i="17"/>
  <c r="Z174" i="17"/>
  <c r="AC173" i="17"/>
  <c r="AB173" i="17"/>
  <c r="Z173" i="17"/>
  <c r="AC172" i="17"/>
  <c r="AB172" i="17"/>
  <c r="Z172" i="17"/>
  <c r="AC171" i="17"/>
  <c r="AB171" i="17"/>
  <c r="Z171" i="17"/>
  <c r="AC170" i="17"/>
  <c r="AB170" i="17"/>
  <c r="Z170" i="17"/>
  <c r="AC169" i="17"/>
  <c r="AB169" i="17"/>
  <c r="Z169" i="17"/>
  <c r="AC168" i="17"/>
  <c r="AB168" i="17"/>
  <c r="Z168" i="17"/>
  <c r="AC167" i="17"/>
  <c r="AB167" i="17"/>
  <c r="Z167" i="17"/>
  <c r="AC166" i="17"/>
  <c r="AB166" i="17"/>
  <c r="Z166" i="17"/>
  <c r="F4" i="17"/>
  <c r="F5" i="17"/>
  <c r="F6" i="17"/>
  <c r="F7" i="17"/>
  <c r="F8" i="17"/>
  <c r="F9" i="17"/>
  <c r="Q70" i="17"/>
  <c r="F10" i="17"/>
  <c r="Q71" i="17"/>
  <c r="F11" i="17"/>
  <c r="Q72" i="17"/>
  <c r="F12" i="17"/>
  <c r="F13" i="17"/>
  <c r="F14" i="34"/>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I123" i="17"/>
  <c r="AH123" i="17"/>
  <c r="AG123" i="17"/>
  <c r="AF123" i="17"/>
  <c r="AE123" i="17"/>
  <c r="AD123" i="17"/>
  <c r="AB123" i="17"/>
  <c r="Z123" i="17"/>
  <c r="Y123" i="17"/>
  <c r="X123" i="17"/>
  <c r="W123" i="17"/>
  <c r="V123" i="17"/>
  <c r="AM122" i="17"/>
  <c r="AL122" i="17"/>
  <c r="AI122" i="17"/>
  <c r="AH122" i="17"/>
  <c r="AG122" i="17"/>
  <c r="AF122" i="17"/>
  <c r="AE122" i="17"/>
  <c r="AD122" i="17"/>
  <c r="AB122" i="17"/>
  <c r="Z122" i="17"/>
  <c r="Y122" i="17"/>
  <c r="X122" i="17"/>
  <c r="W122" i="17"/>
  <c r="V122" i="17"/>
  <c r="AM121" i="17"/>
  <c r="AL121" i="17"/>
  <c r="AI121" i="17"/>
  <c r="AH121" i="17"/>
  <c r="AG121" i="17"/>
  <c r="AF121" i="17"/>
  <c r="AE121" i="17"/>
  <c r="AD121" i="17"/>
  <c r="AB121" i="17"/>
  <c r="Z121" i="17"/>
  <c r="Y121" i="17"/>
  <c r="X121" i="17"/>
  <c r="W121" i="17"/>
  <c r="V121" i="17"/>
  <c r="AM120" i="17"/>
  <c r="AL120" i="17"/>
  <c r="AI120" i="17"/>
  <c r="AH120" i="17"/>
  <c r="AG120" i="17"/>
  <c r="AF120" i="17"/>
  <c r="AE120" i="17"/>
  <c r="AD120" i="17"/>
  <c r="AB120" i="17"/>
  <c r="Z120" i="17"/>
  <c r="Y120" i="17"/>
  <c r="X120" i="17"/>
  <c r="W120" i="17"/>
  <c r="V120" i="17"/>
  <c r="AM119" i="17"/>
  <c r="AL119" i="17"/>
  <c r="AI119" i="17"/>
  <c r="AH119" i="17"/>
  <c r="AG119" i="17"/>
  <c r="AF119" i="17"/>
  <c r="AE119" i="17"/>
  <c r="AD119" i="17"/>
  <c r="AB119" i="17"/>
  <c r="Z119" i="17"/>
  <c r="Y119" i="17"/>
  <c r="X119" i="17"/>
  <c r="W119" i="17"/>
  <c r="V119" i="17"/>
  <c r="AM118" i="17"/>
  <c r="AL118" i="17"/>
  <c r="AI118" i="17"/>
  <c r="AH118" i="17"/>
  <c r="AG118" i="17"/>
  <c r="AF118" i="17"/>
  <c r="AE118" i="17"/>
  <c r="AD118" i="17"/>
  <c r="AB118" i="17"/>
  <c r="Z118" i="17"/>
  <c r="Y118" i="17"/>
  <c r="X118" i="17"/>
  <c r="W118" i="17"/>
  <c r="V118" i="17"/>
  <c r="AM117" i="17"/>
  <c r="AL117" i="17"/>
  <c r="AI117" i="17"/>
  <c r="AH117" i="17"/>
  <c r="AG117" i="17"/>
  <c r="AF117" i="17"/>
  <c r="AE117" i="17"/>
  <c r="AD117" i="17"/>
  <c r="AB117" i="17"/>
  <c r="Z117" i="17"/>
  <c r="Y117" i="17"/>
  <c r="X117" i="17"/>
  <c r="W117" i="17"/>
  <c r="V117" i="17"/>
  <c r="AM116" i="17"/>
  <c r="AL116" i="17"/>
  <c r="AI116" i="17"/>
  <c r="AH116" i="17"/>
  <c r="AG116" i="17"/>
  <c r="AF116" i="17"/>
  <c r="AE116" i="17"/>
  <c r="AD116" i="17"/>
  <c r="AB116" i="17"/>
  <c r="Z116" i="17"/>
  <c r="Y116" i="17"/>
  <c r="X116" i="17"/>
  <c r="W116" i="17"/>
  <c r="V116" i="17"/>
  <c r="AM115" i="17"/>
  <c r="AL115" i="17"/>
  <c r="AI115" i="17"/>
  <c r="AH115" i="17"/>
  <c r="AG115" i="17"/>
  <c r="AF115" i="17"/>
  <c r="AE115" i="17"/>
  <c r="AD115" i="17"/>
  <c r="AB115" i="17"/>
  <c r="Z115" i="17"/>
  <c r="Y115" i="17"/>
  <c r="X115" i="17"/>
  <c r="W115" i="17"/>
  <c r="V115" i="17"/>
  <c r="AM114" i="17"/>
  <c r="AL114" i="17"/>
  <c r="AI114" i="17"/>
  <c r="AH114" i="17"/>
  <c r="AG114" i="17"/>
  <c r="AF114" i="17"/>
  <c r="AE114" i="17"/>
  <c r="AD114" i="17"/>
  <c r="AB114" i="17"/>
  <c r="Z114" i="17"/>
  <c r="Y114" i="17"/>
  <c r="X114" i="17"/>
  <c r="W114" i="17"/>
  <c r="V114" i="17"/>
  <c r="AM113" i="17"/>
  <c r="AL113" i="17"/>
  <c r="AI113" i="17"/>
  <c r="AH113" i="17"/>
  <c r="AG113" i="17"/>
  <c r="AF113" i="17"/>
  <c r="AE113" i="17"/>
  <c r="AD113" i="17"/>
  <c r="AB113" i="17"/>
  <c r="Z113" i="17"/>
  <c r="Y113" i="17"/>
  <c r="X113" i="17"/>
  <c r="W113" i="17"/>
  <c r="V113" i="17"/>
  <c r="AM112" i="17"/>
  <c r="AL112" i="17"/>
  <c r="AI112" i="17"/>
  <c r="AH112" i="17"/>
  <c r="AG112" i="17"/>
  <c r="AF112" i="17"/>
  <c r="AE112" i="17"/>
  <c r="AD112" i="17"/>
  <c r="AB112" i="17"/>
  <c r="Z112" i="17"/>
  <c r="Y112" i="17"/>
  <c r="X112" i="17"/>
  <c r="W112" i="17"/>
  <c r="V112" i="17"/>
  <c r="AM111" i="17"/>
  <c r="AL111" i="17"/>
  <c r="AI111" i="17"/>
  <c r="AH111" i="17"/>
  <c r="AG111" i="17"/>
  <c r="AF111" i="17"/>
  <c r="AE111" i="17"/>
  <c r="AD111" i="17"/>
  <c r="AB111" i="17"/>
  <c r="Z111" i="17"/>
  <c r="Y111" i="17"/>
  <c r="X111" i="17"/>
  <c r="W111" i="17"/>
  <c r="V111" i="17"/>
  <c r="AM110" i="17"/>
  <c r="AL110" i="17"/>
  <c r="AI110" i="17"/>
  <c r="AH110" i="17"/>
  <c r="AG110" i="17"/>
  <c r="AF110" i="17"/>
  <c r="AE110" i="17"/>
  <c r="AD110" i="17"/>
  <c r="AB110" i="17"/>
  <c r="Z110" i="17"/>
  <c r="Y110" i="17"/>
  <c r="X110" i="17"/>
  <c r="W110" i="17"/>
  <c r="V110" i="17"/>
  <c r="AM109" i="17"/>
  <c r="AL109" i="17"/>
  <c r="AI109" i="17"/>
  <c r="AH109" i="17"/>
  <c r="AG109" i="17"/>
  <c r="AF109" i="17"/>
  <c r="AE109" i="17"/>
  <c r="AD109" i="17"/>
  <c r="AB109" i="17"/>
  <c r="Z109" i="17"/>
  <c r="Y109" i="17"/>
  <c r="X109" i="17"/>
  <c r="W109" i="17"/>
  <c r="V109" i="17"/>
  <c r="AM108" i="17"/>
  <c r="AL108" i="17"/>
  <c r="AI108" i="17"/>
  <c r="AH108" i="17"/>
  <c r="AG108" i="17"/>
  <c r="AF108" i="17"/>
  <c r="AE108" i="17"/>
  <c r="AD108" i="17"/>
  <c r="AB108" i="17"/>
  <c r="Z108" i="17"/>
  <c r="Y108" i="17"/>
  <c r="X108" i="17"/>
  <c r="W108" i="17"/>
  <c r="V108" i="17"/>
  <c r="AM107" i="17"/>
  <c r="AL107" i="17"/>
  <c r="AI107" i="17"/>
  <c r="AH107" i="17"/>
  <c r="AG107" i="17"/>
  <c r="AF107" i="17"/>
  <c r="AE107" i="17"/>
  <c r="AD107" i="17"/>
  <c r="AB107" i="17"/>
  <c r="Z107" i="17"/>
  <c r="Y107" i="17"/>
  <c r="X107" i="17"/>
  <c r="W107" i="17"/>
  <c r="V107" i="17"/>
  <c r="AM106" i="17"/>
  <c r="AL106" i="17"/>
  <c r="AI106" i="17"/>
  <c r="AH106" i="17"/>
  <c r="AG106" i="17"/>
  <c r="AF106" i="17"/>
  <c r="AE106" i="17"/>
  <c r="AD106" i="17"/>
  <c r="AB106" i="17"/>
  <c r="Z106" i="17"/>
  <c r="Y106" i="17"/>
  <c r="X106" i="17"/>
  <c r="W106" i="17"/>
  <c r="V106" i="17"/>
  <c r="AM105" i="17"/>
  <c r="AL105" i="17"/>
  <c r="AI105" i="17"/>
  <c r="AH105" i="17"/>
  <c r="AG105" i="17"/>
  <c r="AF105" i="17"/>
  <c r="AE105" i="17"/>
  <c r="AD105" i="17"/>
  <c r="AB105" i="17"/>
  <c r="Z105" i="17"/>
  <c r="Y105" i="17"/>
  <c r="X105" i="17"/>
  <c r="W105" i="17"/>
  <c r="V105" i="17"/>
  <c r="AM104" i="17"/>
  <c r="AL104" i="17"/>
  <c r="AI104" i="17"/>
  <c r="AH104" i="17"/>
  <c r="AG104" i="17"/>
  <c r="AF104" i="17"/>
  <c r="AE104" i="17"/>
  <c r="AD104" i="17"/>
  <c r="AB104" i="17"/>
  <c r="Z104" i="17"/>
  <c r="Y104" i="17"/>
  <c r="X104" i="17"/>
  <c r="W104" i="17"/>
  <c r="V104" i="17"/>
  <c r="AM103" i="17"/>
  <c r="AL103" i="17"/>
  <c r="AI103" i="17"/>
  <c r="AH103" i="17"/>
  <c r="AG103" i="17"/>
  <c r="AF103" i="17"/>
  <c r="AE103" i="17"/>
  <c r="AD103" i="17"/>
  <c r="AB103" i="17"/>
  <c r="Z103" i="17"/>
  <c r="Y103" i="17"/>
  <c r="X103" i="17"/>
  <c r="W103" i="17"/>
  <c r="V103" i="17"/>
  <c r="AM102" i="17"/>
  <c r="AL102" i="17"/>
  <c r="AI102" i="17"/>
  <c r="AH102" i="17"/>
  <c r="AG102" i="17"/>
  <c r="AF102" i="17"/>
  <c r="AE102" i="17"/>
  <c r="AD102" i="17"/>
  <c r="AB102" i="17"/>
  <c r="Z102" i="17"/>
  <c r="Y102" i="17"/>
  <c r="X102" i="17"/>
  <c r="W102" i="17"/>
  <c r="V102" i="17"/>
  <c r="AM101" i="17"/>
  <c r="AL101" i="17"/>
  <c r="AI101" i="17"/>
  <c r="AH101" i="17"/>
  <c r="AG101" i="17"/>
  <c r="AF101" i="17"/>
  <c r="AE101" i="17"/>
  <c r="AD101" i="17"/>
  <c r="AB101" i="17"/>
  <c r="Z101" i="17"/>
  <c r="Y101" i="17"/>
  <c r="X101" i="17"/>
  <c r="W101" i="17"/>
  <c r="V101" i="17"/>
  <c r="AM100" i="17"/>
  <c r="AL100" i="17"/>
  <c r="AI100" i="17"/>
  <c r="AH100" i="17"/>
  <c r="AG100" i="17"/>
  <c r="AF100" i="17"/>
  <c r="AE100" i="17"/>
  <c r="AD100" i="17"/>
  <c r="AB100" i="17"/>
  <c r="Z100" i="17"/>
  <c r="Y100" i="17"/>
  <c r="X100" i="17"/>
  <c r="W100" i="17"/>
  <c r="V100" i="17"/>
  <c r="AM99" i="17"/>
  <c r="AL99" i="17"/>
  <c r="AI99" i="17"/>
  <c r="AH99" i="17"/>
  <c r="AG99" i="17"/>
  <c r="AF99" i="17"/>
  <c r="AE99" i="17"/>
  <c r="AD99" i="17"/>
  <c r="AB99" i="17"/>
  <c r="Z99" i="17"/>
  <c r="Y99" i="17"/>
  <c r="X99" i="17"/>
  <c r="W99" i="17"/>
  <c r="V99" i="17"/>
  <c r="AM98" i="17"/>
  <c r="AL98" i="17"/>
  <c r="AI98" i="17"/>
  <c r="AH98" i="17"/>
  <c r="AG98" i="17"/>
  <c r="AF98" i="17"/>
  <c r="AE98" i="17"/>
  <c r="AD98" i="17"/>
  <c r="AB98" i="17"/>
  <c r="Z98" i="17"/>
  <c r="Y98" i="17"/>
  <c r="X98" i="17"/>
  <c r="W98" i="17"/>
  <c r="V98" i="17"/>
  <c r="AM97" i="17"/>
  <c r="AL97" i="17"/>
  <c r="AI97" i="17"/>
  <c r="AH97" i="17"/>
  <c r="AG97" i="17"/>
  <c r="AF97" i="17"/>
  <c r="AE97" i="17"/>
  <c r="AD97" i="17"/>
  <c r="AB97" i="17"/>
  <c r="Z97" i="17"/>
  <c r="Y97" i="17"/>
  <c r="X97" i="17"/>
  <c r="W97" i="17"/>
  <c r="V97" i="17"/>
  <c r="AM96" i="17"/>
  <c r="AL96" i="17"/>
  <c r="AI96" i="17"/>
  <c r="AH96" i="17"/>
  <c r="AG96" i="17"/>
  <c r="AF96" i="17"/>
  <c r="AE96" i="17"/>
  <c r="AD96" i="17"/>
  <c r="AB96" i="17"/>
  <c r="Z96" i="17"/>
  <c r="Y96" i="17"/>
  <c r="X96" i="17"/>
  <c r="W96" i="17"/>
  <c r="V96" i="17"/>
  <c r="AM95" i="17"/>
  <c r="AL95" i="17"/>
  <c r="AI95" i="17"/>
  <c r="AH95" i="17"/>
  <c r="AG95" i="17"/>
  <c r="AF95" i="17"/>
  <c r="AE95" i="17"/>
  <c r="AD95" i="17"/>
  <c r="AB95" i="17"/>
  <c r="Z95" i="17"/>
  <c r="Y95" i="17"/>
  <c r="X95" i="17"/>
  <c r="W95" i="17"/>
  <c r="V95" i="17"/>
  <c r="AM94" i="17"/>
  <c r="AL94" i="17"/>
  <c r="AI94" i="17"/>
  <c r="AH94" i="17"/>
  <c r="AG94" i="17"/>
  <c r="AF94" i="17"/>
  <c r="AE94" i="17"/>
  <c r="AD94" i="17"/>
  <c r="AB94" i="17"/>
  <c r="Z94" i="17"/>
  <c r="Y94" i="17"/>
  <c r="X94" i="17"/>
  <c r="W94" i="17"/>
  <c r="V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P56" i="17" a="1"/>
  <c r="BP56" i="17"/>
  <c r="BO56" i="17" a="1"/>
  <c r="BO56" i="17"/>
  <c r="BN56" i="17" a="1"/>
  <c r="BN56" i="17"/>
  <c r="BM56" i="17" a="1"/>
  <c r="BM56" i="17"/>
  <c r="BL56" i="17" a="1"/>
  <c r="BL56" i="17"/>
  <c r="BK56" i="17" a="1"/>
  <c r="BK56" i="17"/>
  <c r="BJ56" i="17" a="1"/>
  <c r="BJ56" i="17"/>
  <c r="BI56" i="17" a="1"/>
  <c r="BI56" i="17"/>
  <c r="BH56" i="17" a="1"/>
  <c r="BH56" i="17"/>
  <c r="BG56" i="17" a="1"/>
  <c r="BG56" i="17"/>
  <c r="BF56" i="17" a="1"/>
  <c r="BF56" i="17"/>
  <c r="BE56" i="17" a="1"/>
  <c r="BE56" i="17"/>
  <c r="BD56" i="17" a="1"/>
  <c r="BD56" i="17"/>
  <c r="BC56" i="17" a="1"/>
  <c r="BC56" i="17"/>
  <c r="BB56" i="17" a="1"/>
  <c r="BB56" i="17"/>
  <c r="BA56" i="17" a="1"/>
  <c r="BA56" i="17"/>
  <c r="AZ56" i="17" a="1"/>
  <c r="AZ56" i="17"/>
  <c r="AY56" i="17" a="1"/>
  <c r="AY56" i="17"/>
  <c r="AX56" i="17" a="1"/>
  <c r="AX56" i="17"/>
  <c r="AW56" i="17" a="1"/>
  <c r="AW56" i="17"/>
  <c r="AV56" i="17" a="1"/>
  <c r="AV56" i="17"/>
  <c r="AU56" i="17" a="1"/>
  <c r="AU56" i="17"/>
  <c r="AT56" i="17" a="1"/>
  <c r="AT56" i="17"/>
  <c r="AS56" i="17" a="1"/>
  <c r="AS56" i="17"/>
  <c r="AR56" i="17" a="1"/>
  <c r="AR56" i="17"/>
  <c r="AQ56" i="17" a="1"/>
  <c r="AQ56" i="17"/>
  <c r="AP56" i="17" a="1"/>
  <c r="AP56" i="17"/>
  <c r="AO56" i="17" a="1"/>
  <c r="AO56" i="17"/>
  <c r="AN56" i="17" a="1"/>
  <c r="AN56" i="17"/>
  <c r="AM56" i="17" a="1"/>
  <c r="AM56" i="17"/>
  <c r="AL56" i="17" a="1"/>
  <c r="AL56" i="17"/>
  <c r="AK56" i="17" a="1"/>
  <c r="AK56" i="17"/>
  <c r="AJ56" i="17" a="1"/>
  <c r="AJ56" i="17"/>
  <c r="AI56" i="17" a="1"/>
  <c r="AI56" i="17"/>
  <c r="AH56" i="17" a="1"/>
  <c r="AH56" i="17"/>
  <c r="AG56" i="17" a="1"/>
  <c r="AG56" i="17"/>
  <c r="AF56" i="17" a="1"/>
  <c r="AF56" i="17"/>
  <c r="AE56" i="17" a="1"/>
  <c r="AE56" i="17"/>
  <c r="AD56" i="17" a="1"/>
  <c r="AD56" i="17"/>
  <c r="AC56" i="17" a="1"/>
  <c r="AC56" i="17"/>
  <c r="AB56" i="17" a="1"/>
  <c r="AB56" i="17"/>
  <c r="AA56" i="17" a="1"/>
  <c r="AA56" i="17"/>
  <c r="Z56" i="17" a="1"/>
  <c r="Z56" i="17"/>
  <c r="Y56" i="17" a="1"/>
  <c r="Y56" i="17"/>
  <c r="X56" i="17" a="1"/>
  <c r="X56" i="17"/>
  <c r="W56" i="17" a="1"/>
  <c r="W56" i="17"/>
  <c r="V56" i="17" a="1"/>
  <c r="V56" i="17"/>
  <c r="U56" i="17" a="1"/>
  <c r="U56" i="17"/>
  <c r="T56" i="17" a="1"/>
  <c r="T56" i="17"/>
  <c r="S56" i="17" a="1"/>
  <c r="S56" i="17"/>
  <c r="R56" i="17" a="1"/>
  <c r="R56" i="17"/>
  <c r="Q56" i="17" a="1"/>
  <c r="Q56" i="17"/>
  <c r="P56" i="17" a="1"/>
  <c r="P56" i="17"/>
  <c r="O56" i="17" a="1"/>
  <c r="O56" i="17"/>
  <c r="N56" i="17" a="1"/>
  <c r="N56" i="17"/>
  <c r="M56" i="17" a="1"/>
  <c r="M56" i="17"/>
  <c r="L56" i="17" a="1"/>
  <c r="L56" i="17"/>
  <c r="K56" i="17" a="1"/>
  <c r="K56" i="17"/>
  <c r="J56" i="17" a="1"/>
  <c r="J56" i="17"/>
  <c r="I56" i="17" a="1"/>
  <c r="I56" i="17"/>
  <c r="H56" i="17" a="1"/>
  <c r="H56" i="17"/>
  <c r="G56" i="17" a="1"/>
  <c r="G56" i="17"/>
  <c r="F56" i="17" a="1"/>
  <c r="F56" i="17"/>
  <c r="E56" i="17" a="1"/>
  <c r="E56"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P54" i="17" a="1"/>
  <c r="BP54" i="17"/>
  <c r="BO54" i="17" a="1"/>
  <c r="BO54" i="17"/>
  <c r="BN54" i="17" a="1"/>
  <c r="BN54" i="17"/>
  <c r="BM54" i="17" a="1"/>
  <c r="BM54" i="17"/>
  <c r="BL54" i="17" a="1"/>
  <c r="BL54" i="17"/>
  <c r="BK54" i="17" a="1"/>
  <c r="BK54" i="17"/>
  <c r="BJ54" i="17" a="1"/>
  <c r="BJ54" i="17"/>
  <c r="BI54" i="17" a="1"/>
  <c r="BI54" i="17"/>
  <c r="BH54" i="17" a="1"/>
  <c r="BH54" i="17"/>
  <c r="BG54" i="17" a="1"/>
  <c r="BG54" i="17"/>
  <c r="BF54" i="17" a="1"/>
  <c r="BF54" i="17"/>
  <c r="BE54" i="17" a="1"/>
  <c r="BE54" i="17"/>
  <c r="BD54" i="17" a="1"/>
  <c r="BD54" i="17"/>
  <c r="BC54" i="17" a="1"/>
  <c r="BC54" i="17"/>
  <c r="BB54" i="17" a="1"/>
  <c r="BB54" i="17"/>
  <c r="BA54" i="17" a="1"/>
  <c r="BA54" i="17"/>
  <c r="AZ54" i="17" a="1"/>
  <c r="AZ54" i="17"/>
  <c r="AY54" i="17" a="1"/>
  <c r="AY54" i="17"/>
  <c r="AX54" i="17" a="1"/>
  <c r="AX54" i="17"/>
  <c r="AW54" i="17" a="1"/>
  <c r="AW54" i="17"/>
  <c r="AV54" i="17" a="1"/>
  <c r="AV54" i="17"/>
  <c r="AU54" i="17" a="1"/>
  <c r="AU54" i="17"/>
  <c r="AT54" i="17" a="1"/>
  <c r="AT54" i="17"/>
  <c r="AS54" i="17" a="1"/>
  <c r="AS54" i="17"/>
  <c r="AR54" i="17" a="1"/>
  <c r="AR54" i="17"/>
  <c r="AQ54" i="17" a="1"/>
  <c r="AQ54" i="17"/>
  <c r="AP54" i="17" a="1"/>
  <c r="AP54" i="17"/>
  <c r="AO54" i="17" a="1"/>
  <c r="AO54" i="17"/>
  <c r="AN54" i="17" a="1"/>
  <c r="AN54" i="17"/>
  <c r="AM54" i="17" a="1"/>
  <c r="AM54" i="17"/>
  <c r="AL54" i="17" a="1"/>
  <c r="AL54" i="17"/>
  <c r="AK54" i="17" a="1"/>
  <c r="AK54" i="17"/>
  <c r="AJ54" i="17" a="1"/>
  <c r="AJ54" i="17"/>
  <c r="AI54" i="17" a="1"/>
  <c r="AI54" i="17"/>
  <c r="AH54" i="17" a="1"/>
  <c r="AH54" i="17"/>
  <c r="AG54" i="17" a="1"/>
  <c r="AG54" i="17"/>
  <c r="AF54" i="17" a="1"/>
  <c r="AF54" i="17"/>
  <c r="AE54" i="17" a="1"/>
  <c r="AE54" i="17"/>
  <c r="AD54" i="17" a="1"/>
  <c r="AD54" i="17"/>
  <c r="AC54" i="17" a="1"/>
  <c r="AC54" i="17"/>
  <c r="AB54" i="17" a="1"/>
  <c r="AB54" i="17"/>
  <c r="AA54" i="17" a="1"/>
  <c r="AA54" i="17"/>
  <c r="Z54" i="17" a="1"/>
  <c r="Z54" i="17"/>
  <c r="Y54" i="17" a="1"/>
  <c r="Y54" i="17"/>
  <c r="X54" i="17" a="1"/>
  <c r="X54" i="17"/>
  <c r="W54" i="17" a="1"/>
  <c r="W54" i="17"/>
  <c r="V54" i="17" a="1"/>
  <c r="V54" i="17"/>
  <c r="U54" i="17" a="1"/>
  <c r="U54" i="17"/>
  <c r="T54" i="17" a="1"/>
  <c r="T54" i="17"/>
  <c r="S54" i="17" a="1"/>
  <c r="S54" i="17"/>
  <c r="R54" i="17" a="1"/>
  <c r="R54" i="17"/>
  <c r="Q54" i="17" a="1"/>
  <c r="Q54" i="17"/>
  <c r="P54" i="17" a="1"/>
  <c r="P54" i="17"/>
  <c r="O54" i="17" a="1"/>
  <c r="O54" i="17"/>
  <c r="N54" i="17" a="1"/>
  <c r="N54" i="17"/>
  <c r="M54" i="17" a="1"/>
  <c r="M54" i="17"/>
  <c r="L54" i="17" a="1"/>
  <c r="L54" i="17"/>
  <c r="K54" i="17" a="1"/>
  <c r="K54" i="17"/>
  <c r="J54" i="17" a="1"/>
  <c r="J54" i="17"/>
  <c r="I54" i="17" a="1"/>
  <c r="I54" i="17"/>
  <c r="H54" i="17" a="1"/>
  <c r="H54" i="17"/>
  <c r="G54" i="17" a="1"/>
  <c r="G54" i="17"/>
  <c r="F54" i="17" a="1"/>
  <c r="F54" i="17"/>
  <c r="E54" i="17" a="1"/>
  <c r="E54" i="17"/>
  <c r="BR53" i="17"/>
  <c r="C18" i="17"/>
  <c r="BP53" i="17" a="1"/>
  <c r="BP53" i="17"/>
  <c r="BO53" i="17" a="1"/>
  <c r="BO53" i="17"/>
  <c r="BN53" i="17" a="1"/>
  <c r="BN53" i="17"/>
  <c r="BM53" i="17" a="1"/>
  <c r="BM53" i="17"/>
  <c r="BL53" i="17" a="1"/>
  <c r="BL53" i="17"/>
  <c r="BK53" i="17" a="1"/>
  <c r="BK53" i="17"/>
  <c r="BJ53" i="17" a="1"/>
  <c r="BJ53" i="17"/>
  <c r="BI53" i="17" a="1"/>
  <c r="BI53" i="17"/>
  <c r="BH53" i="17" a="1"/>
  <c r="BH53" i="17"/>
  <c r="BG53" i="17" a="1"/>
  <c r="BG53" i="17"/>
  <c r="BF53" i="17" a="1"/>
  <c r="BF53" i="17"/>
  <c r="BE53" i="17" a="1"/>
  <c r="BE53" i="17"/>
  <c r="BD53" i="17" a="1"/>
  <c r="BD53" i="17"/>
  <c r="BC53" i="17" a="1"/>
  <c r="BC53" i="17"/>
  <c r="BB53" i="17" a="1"/>
  <c r="BB53" i="17"/>
  <c r="BA53" i="17" a="1"/>
  <c r="BA53" i="17"/>
  <c r="AZ53" i="17" a="1"/>
  <c r="AZ53" i="17"/>
  <c r="AY53" i="17" a="1"/>
  <c r="AY53" i="17"/>
  <c r="AX53" i="17" a="1"/>
  <c r="AX53" i="17"/>
  <c r="AW53" i="17" a="1"/>
  <c r="AW53" i="17"/>
  <c r="AV53" i="17" a="1"/>
  <c r="AV53" i="17"/>
  <c r="AU53" i="17" a="1"/>
  <c r="AU53" i="17"/>
  <c r="AT53" i="17" a="1"/>
  <c r="AT53" i="17"/>
  <c r="AS53" i="17" a="1"/>
  <c r="AS53" i="17"/>
  <c r="AR53" i="17" a="1"/>
  <c r="AR53" i="17"/>
  <c r="AQ53" i="17" a="1"/>
  <c r="AQ53" i="17"/>
  <c r="AP53" i="17" a="1"/>
  <c r="AP53" i="17"/>
  <c r="AO53" i="17" a="1"/>
  <c r="AO53" i="17"/>
  <c r="AN53" i="17" a="1"/>
  <c r="AN53" i="17"/>
  <c r="AM53" i="17" a="1"/>
  <c r="AM53" i="17"/>
  <c r="AL53" i="17" a="1"/>
  <c r="AL53" i="17"/>
  <c r="AK53" i="17" a="1"/>
  <c r="AK53" i="17"/>
  <c r="AJ53" i="17" a="1"/>
  <c r="AJ53" i="17"/>
  <c r="AI53" i="17" a="1"/>
  <c r="AI53" i="17"/>
  <c r="AH53" i="17" a="1"/>
  <c r="AH53" i="17"/>
  <c r="AG53" i="17" a="1"/>
  <c r="AG53" i="17"/>
  <c r="AF53" i="17" a="1"/>
  <c r="AF53" i="17"/>
  <c r="AE53" i="17" a="1"/>
  <c r="AE53" i="17"/>
  <c r="AD53" i="17" a="1"/>
  <c r="AD53" i="17"/>
  <c r="AC53" i="17" a="1"/>
  <c r="AC53" i="17"/>
  <c r="AB53" i="17" a="1"/>
  <c r="AB53" i="17"/>
  <c r="AA53" i="17" a="1"/>
  <c r="AA53" i="17"/>
  <c r="Z53" i="17" a="1"/>
  <c r="Z53" i="17"/>
  <c r="Y53" i="17" a="1"/>
  <c r="Y53" i="17"/>
  <c r="X53" i="17" a="1"/>
  <c r="X53" i="17"/>
  <c r="W53" i="17" a="1"/>
  <c r="W53" i="17"/>
  <c r="V53" i="17" a="1"/>
  <c r="V53" i="17"/>
  <c r="U53" i="17" a="1"/>
  <c r="U53" i="17"/>
  <c r="T53" i="17" a="1"/>
  <c r="T53" i="17"/>
  <c r="S53" i="17" a="1"/>
  <c r="S53" i="17"/>
  <c r="R53" i="17" a="1"/>
  <c r="R53" i="17"/>
  <c r="Q53" i="17" a="1"/>
  <c r="Q53" i="17"/>
  <c r="P53" i="17" a="1"/>
  <c r="P53" i="17"/>
  <c r="O53" i="17" a="1"/>
  <c r="O53" i="17"/>
  <c r="N53" i="17" a="1"/>
  <c r="N53" i="17"/>
  <c r="M53" i="17" a="1"/>
  <c r="M53" i="17"/>
  <c r="L53" i="17" a="1"/>
  <c r="L53" i="17"/>
  <c r="K53" i="17" a="1"/>
  <c r="K53" i="17"/>
  <c r="J53" i="17" a="1"/>
  <c r="J53" i="17"/>
  <c r="I53" i="17" a="1"/>
  <c r="I53" i="17"/>
  <c r="H53" i="17" a="1"/>
  <c r="H53" i="17"/>
  <c r="G53" i="17" a="1"/>
  <c r="G53" i="17"/>
  <c r="F53" i="17" a="1"/>
  <c r="F53" i="17"/>
  <c r="E53" i="17" a="1"/>
  <c r="E53" i="17"/>
  <c r="BR52" i="17"/>
  <c r="C17" i="17"/>
  <c r="BP52" i="17" a="1"/>
  <c r="BP52" i="17"/>
  <c r="BO52" i="17" a="1"/>
  <c r="BO52" i="17"/>
  <c r="BN52" i="17" a="1"/>
  <c r="BN52" i="17"/>
  <c r="BM52" i="17" a="1"/>
  <c r="BM52" i="17"/>
  <c r="BL52" i="17" a="1"/>
  <c r="BL52" i="17"/>
  <c r="BK52" i="17" a="1"/>
  <c r="BK52" i="17"/>
  <c r="BJ52" i="17" a="1"/>
  <c r="BJ52" i="17"/>
  <c r="BI52" i="17" a="1"/>
  <c r="BI52" i="17"/>
  <c r="BH52" i="17" a="1"/>
  <c r="BH52" i="17"/>
  <c r="BG52" i="17" a="1"/>
  <c r="BG52" i="17"/>
  <c r="BF52" i="17" a="1"/>
  <c r="BF52" i="17"/>
  <c r="BE52" i="17" a="1"/>
  <c r="BE52" i="17"/>
  <c r="BD52" i="17" a="1"/>
  <c r="BD52" i="17"/>
  <c r="BC52" i="17" a="1"/>
  <c r="BC52" i="17"/>
  <c r="BB52" i="17" a="1"/>
  <c r="BB52" i="17"/>
  <c r="BA52" i="17" a="1"/>
  <c r="BA52" i="17"/>
  <c r="AZ52" i="17" a="1"/>
  <c r="AZ52" i="17"/>
  <c r="AY52" i="17" a="1"/>
  <c r="AY52" i="17"/>
  <c r="AX52" i="17" a="1"/>
  <c r="AX52" i="17"/>
  <c r="AW52" i="17" a="1"/>
  <c r="AW52" i="17"/>
  <c r="AV52" i="17" a="1"/>
  <c r="AV52" i="17"/>
  <c r="AU52" i="17" a="1"/>
  <c r="AU52" i="17"/>
  <c r="AT52" i="17" a="1"/>
  <c r="AT52" i="17"/>
  <c r="AS52" i="17" a="1"/>
  <c r="AS52" i="17"/>
  <c r="AR52" i="17" a="1"/>
  <c r="AR52" i="17"/>
  <c r="AQ52" i="17" a="1"/>
  <c r="AQ52" i="17"/>
  <c r="AP52" i="17" a="1"/>
  <c r="AP52" i="17"/>
  <c r="AO52" i="17" a="1"/>
  <c r="AO52" i="17"/>
  <c r="AN52" i="17" a="1"/>
  <c r="AN52" i="17"/>
  <c r="AM52" i="17" a="1"/>
  <c r="AM52" i="17"/>
  <c r="AL52" i="17" a="1"/>
  <c r="AL52" i="17"/>
  <c r="AK52" i="17" a="1"/>
  <c r="AK52" i="17"/>
  <c r="AJ52" i="17" a="1"/>
  <c r="AJ52" i="17"/>
  <c r="AI52" i="17" a="1"/>
  <c r="AI52" i="17"/>
  <c r="AH52" i="17" a="1"/>
  <c r="AH52" i="17"/>
  <c r="AG52" i="17" a="1"/>
  <c r="AG52" i="17"/>
  <c r="AF52" i="17" a="1"/>
  <c r="AF52" i="17"/>
  <c r="AE52" i="17" a="1"/>
  <c r="AE52" i="17"/>
  <c r="AD52" i="17" a="1"/>
  <c r="AD52" i="17"/>
  <c r="AC52" i="17" a="1"/>
  <c r="AC52" i="17"/>
  <c r="AB52" i="17" a="1"/>
  <c r="AB52" i="17"/>
  <c r="AA52" i="17" a="1"/>
  <c r="AA52" i="17"/>
  <c r="Z52" i="17" a="1"/>
  <c r="Z52" i="17"/>
  <c r="Y52" i="17" a="1"/>
  <c r="Y52" i="17"/>
  <c r="X52" i="17" a="1"/>
  <c r="X52" i="17"/>
  <c r="W52" i="17" a="1"/>
  <c r="W52" i="17"/>
  <c r="V52" i="17" a="1"/>
  <c r="V52" i="17"/>
  <c r="U52" i="17" a="1"/>
  <c r="U52" i="17"/>
  <c r="T52" i="17" a="1"/>
  <c r="T52" i="17"/>
  <c r="S52" i="17" a="1"/>
  <c r="S52" i="17"/>
  <c r="R52" i="17" a="1"/>
  <c r="R52" i="17"/>
  <c r="Q52" i="17" a="1"/>
  <c r="Q52" i="17"/>
  <c r="P52" i="17" a="1"/>
  <c r="P52" i="17"/>
  <c r="O52" i="17" a="1"/>
  <c r="O52" i="17"/>
  <c r="N52" i="17" a="1"/>
  <c r="N52" i="17"/>
  <c r="M52" i="17" a="1"/>
  <c r="M52" i="17"/>
  <c r="L52" i="17" a="1"/>
  <c r="L52" i="17"/>
  <c r="K52" i="17" a="1"/>
  <c r="K52" i="17"/>
  <c r="J52" i="17" a="1"/>
  <c r="J52" i="17"/>
  <c r="I52" i="17" a="1"/>
  <c r="I52" i="17"/>
  <c r="H52" i="17" a="1"/>
  <c r="H52" i="17"/>
  <c r="G52" i="17" a="1"/>
  <c r="G52" i="17"/>
  <c r="F52" i="17" a="1"/>
  <c r="F52" i="17"/>
  <c r="E52" i="17" a="1"/>
  <c r="E52"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AC21" i="17"/>
  <c r="J21" i="17"/>
  <c r="I21" i="17"/>
  <c r="H21" i="17"/>
  <c r="G21" i="17"/>
  <c r="F21" i="17"/>
  <c r="E21" i="17"/>
  <c r="D21" i="17"/>
  <c r="AC20" i="17"/>
  <c r="J20" i="17"/>
  <c r="I20" i="17"/>
  <c r="H20" i="17"/>
  <c r="G20" i="17"/>
  <c r="F20" i="17"/>
  <c r="E20" i="17"/>
  <c r="D20" i="17"/>
  <c r="AC19" i="17"/>
  <c r="J19" i="17"/>
  <c r="I19" i="17"/>
  <c r="H19" i="17"/>
  <c r="G19" i="17"/>
  <c r="F19" i="17"/>
  <c r="E19" i="17"/>
  <c r="D19" i="17"/>
  <c r="AC18" i="17"/>
  <c r="J18" i="17"/>
  <c r="I18" i="17"/>
  <c r="H18" i="17"/>
  <c r="G18" i="17"/>
  <c r="F18" i="17"/>
  <c r="E18" i="17"/>
  <c r="D18" i="17"/>
  <c r="AC17" i="17"/>
  <c r="J17" i="17"/>
  <c r="I17" i="17"/>
  <c r="H17" i="17"/>
  <c r="G17" i="17"/>
  <c r="F17" i="17"/>
  <c r="E17" i="17"/>
  <c r="D17" i="17"/>
  <c r="B13" i="17"/>
  <c r="AC165" i="34"/>
  <c r="AC164" i="34"/>
  <c r="AC163" i="34"/>
  <c r="AC162" i="34"/>
  <c r="AC161" i="34"/>
  <c r="AC160" i="34"/>
  <c r="AC159" i="34"/>
  <c r="AC158" i="34"/>
  <c r="AC157" i="34"/>
  <c r="AC156" i="34"/>
  <c r="AC155" i="34"/>
  <c r="AC154" i="34"/>
  <c r="AC153" i="34"/>
  <c r="AC152" i="34"/>
  <c r="AC151" i="34"/>
  <c r="AC150" i="34"/>
  <c r="AC149" i="34"/>
  <c r="AC148" i="34"/>
  <c r="AC147" i="34"/>
  <c r="AC146" i="34"/>
  <c r="AC145" i="34"/>
  <c r="AC144" i="34"/>
  <c r="AC143" i="34"/>
  <c r="AC142" i="34"/>
  <c r="AC141" i="34"/>
  <c r="AC140" i="34"/>
  <c r="AC139" i="34"/>
  <c r="AC138" i="34"/>
  <c r="AC137" i="34"/>
  <c r="AC136" i="34"/>
  <c r="AM11" i="6"/>
  <c r="AC64" i="34"/>
  <c r="AC65" i="34"/>
  <c r="AC66" i="34"/>
  <c r="AC67" i="34"/>
  <c r="AC68" i="34"/>
  <c r="AC69" i="34"/>
  <c r="AC70" i="34"/>
  <c r="AC71" i="34"/>
  <c r="AC72" i="34"/>
  <c r="AC73" i="34"/>
  <c r="AC74" i="34"/>
  <c r="AC75" i="34"/>
  <c r="AC76" i="34"/>
  <c r="AC77" i="34"/>
  <c r="AC78" i="34"/>
  <c r="AC79" i="34"/>
  <c r="AC80" i="34"/>
  <c r="AC81" i="34"/>
  <c r="AC82" i="34"/>
  <c r="AC83" i="34"/>
  <c r="AC84" i="34"/>
  <c r="AC85" i="34"/>
  <c r="AC86" i="34"/>
  <c r="AC87" i="34"/>
  <c r="AC88" i="34"/>
  <c r="AC89" i="34"/>
  <c r="AC90" i="34"/>
  <c r="AC91" i="34"/>
  <c r="AC92" i="34"/>
  <c r="AC93" i="34"/>
  <c r="E99" i="9"/>
  <c r="AC180" i="34"/>
  <c r="AB180" i="34"/>
  <c r="AC179" i="34"/>
  <c r="AB179" i="34"/>
  <c r="AC178" i="34"/>
  <c r="AB178" i="34"/>
  <c r="AC177" i="34"/>
  <c r="AB177" i="34"/>
  <c r="AC176" i="34"/>
  <c r="AB176" i="34"/>
  <c r="AC175" i="34"/>
  <c r="AB175" i="34"/>
  <c r="AC174" i="34"/>
  <c r="AB174" i="34"/>
  <c r="AC173" i="34"/>
  <c r="AB173" i="34"/>
  <c r="AC172" i="34"/>
  <c r="AB172" i="34"/>
  <c r="AC171" i="34"/>
  <c r="AB171" i="34"/>
  <c r="AC170" i="34"/>
  <c r="AB170" i="34"/>
  <c r="AC169" i="34"/>
  <c r="AB169" i="34"/>
  <c r="AC168" i="34"/>
  <c r="AB168" i="34"/>
  <c r="AC167" i="34"/>
  <c r="AB167" i="34"/>
  <c r="AC166" i="34"/>
  <c r="AB166" i="34"/>
  <c r="Z180" i="34"/>
  <c r="Z179" i="34"/>
  <c r="Z178" i="34"/>
  <c r="Z177" i="34"/>
  <c r="Z176" i="34"/>
  <c r="Z175" i="34"/>
  <c r="Z174" i="34"/>
  <c r="Z173" i="34"/>
  <c r="Z172" i="34"/>
  <c r="Z171" i="34"/>
  <c r="Z170" i="34"/>
  <c r="Z169" i="34"/>
  <c r="Z168" i="34"/>
  <c r="Z167" i="34"/>
  <c r="Z166" i="34"/>
  <c r="AM108" i="34"/>
  <c r="AL108" i="34"/>
  <c r="AM107" i="34"/>
  <c r="AL107" i="34"/>
  <c r="AM106" i="34"/>
  <c r="AL106" i="34"/>
  <c r="AM105" i="34"/>
  <c r="AL105" i="34"/>
  <c r="AM104" i="34"/>
  <c r="AL104" i="34"/>
  <c r="AM103" i="34"/>
  <c r="AL103" i="34"/>
  <c r="AM102" i="34"/>
  <c r="AL102" i="34"/>
  <c r="AM101" i="34"/>
  <c r="AL101" i="34"/>
  <c r="AM100" i="34"/>
  <c r="AL100" i="34"/>
  <c r="AM99" i="34"/>
  <c r="AL99" i="34"/>
  <c r="AM98" i="34"/>
  <c r="AL98" i="34"/>
  <c r="AM97" i="34"/>
  <c r="AL97" i="34"/>
  <c r="AM96" i="34"/>
  <c r="AL96" i="34"/>
  <c r="AM95" i="34"/>
  <c r="AL95" i="34"/>
  <c r="AM94" i="34"/>
  <c r="AL94" i="34"/>
  <c r="AI108" i="34"/>
  <c r="AH108" i="34"/>
  <c r="AG108" i="34"/>
  <c r="AF108" i="34"/>
  <c r="AE108" i="34"/>
  <c r="AD108" i="34"/>
  <c r="AI107" i="34"/>
  <c r="AH107" i="34"/>
  <c r="AG107" i="34"/>
  <c r="AF107" i="34"/>
  <c r="AE107" i="34"/>
  <c r="AD107" i="34"/>
  <c r="AI106" i="34"/>
  <c r="AH106" i="34"/>
  <c r="AG106" i="34"/>
  <c r="AF106" i="34"/>
  <c r="AE106" i="34"/>
  <c r="AD106" i="34"/>
  <c r="AI105" i="34"/>
  <c r="AH105" i="34"/>
  <c r="AG105" i="34"/>
  <c r="AF105" i="34"/>
  <c r="AE105" i="34"/>
  <c r="AD105" i="34"/>
  <c r="AI104" i="34"/>
  <c r="AH104" i="34"/>
  <c r="AG104" i="34"/>
  <c r="AF104" i="34"/>
  <c r="AE104" i="34"/>
  <c r="AD104" i="34"/>
  <c r="AI103" i="34"/>
  <c r="AH103" i="34"/>
  <c r="AG103" i="34"/>
  <c r="AF103" i="34"/>
  <c r="AE103" i="34"/>
  <c r="AD103" i="34"/>
  <c r="AI102" i="34"/>
  <c r="AH102" i="34"/>
  <c r="AG102" i="34"/>
  <c r="AF102" i="34"/>
  <c r="AE102" i="34"/>
  <c r="AD102" i="34"/>
  <c r="AI101" i="34"/>
  <c r="AH101" i="34"/>
  <c r="AG101" i="34"/>
  <c r="AF101" i="34"/>
  <c r="AE101" i="34"/>
  <c r="AD101" i="34"/>
  <c r="AI100" i="34"/>
  <c r="AH100" i="34"/>
  <c r="AG100" i="34"/>
  <c r="AF100" i="34"/>
  <c r="AE100" i="34"/>
  <c r="AD100" i="34"/>
  <c r="AI99" i="34"/>
  <c r="AH99" i="34"/>
  <c r="AG99" i="34"/>
  <c r="AF99" i="34"/>
  <c r="AE99" i="34"/>
  <c r="AD99" i="34"/>
  <c r="AI98" i="34"/>
  <c r="AH98" i="34"/>
  <c r="AG98" i="34"/>
  <c r="AF98" i="34"/>
  <c r="AE98" i="34"/>
  <c r="AD98" i="34"/>
  <c r="AI97" i="34"/>
  <c r="AH97" i="34"/>
  <c r="AG97" i="34"/>
  <c r="AF97" i="34"/>
  <c r="AE97" i="34"/>
  <c r="AD97" i="34"/>
  <c r="AI96" i="34"/>
  <c r="AH96" i="34"/>
  <c r="AG96" i="34"/>
  <c r="AF96" i="34"/>
  <c r="AE96" i="34"/>
  <c r="AD96" i="34"/>
  <c r="AI95" i="34"/>
  <c r="AH95" i="34"/>
  <c r="AG95" i="34"/>
  <c r="AF95" i="34"/>
  <c r="AE95" i="34"/>
  <c r="AD95" i="34"/>
  <c r="AI94" i="34"/>
  <c r="AH94" i="34"/>
  <c r="AG94" i="34"/>
  <c r="AF94" i="34"/>
  <c r="AE94" i="34"/>
  <c r="AD94" i="34"/>
  <c r="AB108" i="34"/>
  <c r="AB107" i="34"/>
  <c r="AB106" i="34"/>
  <c r="AB105" i="34"/>
  <c r="AB104" i="34"/>
  <c r="AB103" i="34"/>
  <c r="AB102" i="34"/>
  <c r="AB101" i="34"/>
  <c r="AB100" i="34"/>
  <c r="AB99" i="34"/>
  <c r="AB98" i="34"/>
  <c r="AB97" i="34"/>
  <c r="AB96" i="34"/>
  <c r="AB95" i="34"/>
  <c r="AB94" i="34"/>
  <c r="Z108" i="34"/>
  <c r="Y108" i="34"/>
  <c r="X108" i="34"/>
  <c r="W108" i="34"/>
  <c r="V108" i="34"/>
  <c r="Z107" i="34"/>
  <c r="Y107" i="34"/>
  <c r="X107" i="34"/>
  <c r="W107" i="34"/>
  <c r="V107" i="34"/>
  <c r="Z106" i="34"/>
  <c r="Y106" i="34"/>
  <c r="X106" i="34"/>
  <c r="W106" i="34"/>
  <c r="V106" i="34"/>
  <c r="Z105" i="34"/>
  <c r="Y105" i="34"/>
  <c r="X105" i="34"/>
  <c r="W105" i="34"/>
  <c r="V105" i="34"/>
  <c r="Z104" i="34"/>
  <c r="Y104" i="34"/>
  <c r="X104" i="34"/>
  <c r="W104" i="34"/>
  <c r="V104" i="34"/>
  <c r="Z103" i="34"/>
  <c r="Y103" i="34"/>
  <c r="X103" i="34"/>
  <c r="W103" i="34"/>
  <c r="V103" i="34"/>
  <c r="Z102" i="34"/>
  <c r="Y102" i="34"/>
  <c r="X102" i="34"/>
  <c r="W102" i="34"/>
  <c r="V102" i="34"/>
  <c r="Z101" i="34"/>
  <c r="Y101" i="34"/>
  <c r="X101" i="34"/>
  <c r="W101" i="34"/>
  <c r="V101" i="34"/>
  <c r="Z100" i="34"/>
  <c r="Y100" i="34"/>
  <c r="X100" i="34"/>
  <c r="W100" i="34"/>
  <c r="V100" i="34"/>
  <c r="Z99" i="34"/>
  <c r="Y99" i="34"/>
  <c r="X99" i="34"/>
  <c r="W99" i="34"/>
  <c r="V99" i="34"/>
  <c r="Z98" i="34"/>
  <c r="Y98" i="34"/>
  <c r="X98" i="34"/>
  <c r="W98" i="34"/>
  <c r="V98" i="34"/>
  <c r="Z97" i="34"/>
  <c r="Y97" i="34"/>
  <c r="X97" i="34"/>
  <c r="W97" i="34"/>
  <c r="V97" i="34"/>
  <c r="Z96" i="34"/>
  <c r="Y96" i="34"/>
  <c r="X96" i="34"/>
  <c r="W96" i="34"/>
  <c r="V96" i="34"/>
  <c r="Z95" i="34"/>
  <c r="Y95" i="34"/>
  <c r="X95" i="34"/>
  <c r="W95" i="34"/>
  <c r="V95" i="34"/>
  <c r="Z94" i="34"/>
  <c r="Y94" i="34"/>
  <c r="X94" i="34"/>
  <c r="W94" i="34"/>
  <c r="V94" i="34"/>
  <c r="AP11" i="6"/>
  <c r="AP17" i="6"/>
  <c r="AO11" i="6"/>
  <c r="AO17" i="6"/>
  <c r="AN11" i="6"/>
  <c r="AN17" i="6"/>
  <c r="AM17" i="6"/>
  <c r="AL11" i="6"/>
  <c r="AL17" i="6"/>
  <c r="AQ11"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E17" i="6"/>
  <c r="AF17" i="6"/>
  <c r="AC16" i="6"/>
  <c r="AE16" i="6"/>
  <c r="AF16" i="6"/>
  <c r="AC15" i="6"/>
  <c r="AE15" i="6"/>
  <c r="AF15" i="6"/>
  <c r="AC14" i="6"/>
  <c r="AE14" i="6"/>
  <c r="AF14" i="6"/>
  <c r="AC13" i="6"/>
  <c r="AE13" i="6"/>
  <c r="AF13" i="6"/>
  <c r="AC12" i="6"/>
  <c r="AE12" i="6"/>
  <c r="AF12" i="6"/>
  <c r="AF11" i="6"/>
  <c r="AJ11" i="6"/>
  <c r="AQ10" i="6"/>
  <c r="AP10" i="6"/>
  <c r="AO10" i="6"/>
  <c r="AN10" i="6"/>
  <c r="AM10" i="6"/>
  <c r="AL10" i="6"/>
  <c r="AK11" i="6"/>
  <c r="AK17" i="6"/>
  <c r="AK16" i="6"/>
  <c r="AK15" i="6"/>
  <c r="AK14" i="6"/>
  <c r="AK13" i="6"/>
  <c r="AK12" i="6"/>
  <c r="AJ17" i="6"/>
  <c r="AJ16" i="6"/>
  <c r="AJ15" i="6"/>
  <c r="AJ14" i="6"/>
  <c r="AJ13" i="6"/>
  <c r="AJ12" i="6"/>
  <c r="C10" i="24"/>
  <c r="C10" i="21"/>
  <c r="L34" i="10"/>
  <c r="L40" i="10"/>
  <c r="K34" i="10"/>
  <c r="K40" i="10"/>
  <c r="J34" i="10"/>
  <c r="J40" i="10"/>
  <c r="I34" i="10"/>
  <c r="I40" i="10"/>
  <c r="H34" i="10"/>
  <c r="H40" i="10"/>
  <c r="F40" i="10"/>
  <c r="D40" i="10"/>
  <c r="B40" i="10"/>
  <c r="M34" i="10"/>
  <c r="M39" i="10"/>
  <c r="K39" i="10"/>
  <c r="J39" i="10"/>
  <c r="I39" i="10"/>
  <c r="H39" i="10"/>
  <c r="F39" i="10"/>
  <c r="D39" i="10"/>
  <c r="B39" i="10"/>
  <c r="M38" i="10"/>
  <c r="L38" i="10"/>
  <c r="J38" i="10"/>
  <c r="I38" i="10"/>
  <c r="H38" i="10"/>
  <c r="F38" i="10"/>
  <c r="D38" i="10"/>
  <c r="B38" i="10"/>
  <c r="M37" i="10"/>
  <c r="L37" i="10"/>
  <c r="K37" i="10"/>
  <c r="I37" i="10"/>
  <c r="H37" i="10"/>
  <c r="F37" i="10"/>
  <c r="D37" i="10"/>
  <c r="B37" i="10"/>
  <c r="M36" i="10"/>
  <c r="L36" i="10"/>
  <c r="K36" i="10"/>
  <c r="J36" i="10"/>
  <c r="H36" i="10"/>
  <c r="F36" i="10"/>
  <c r="D36" i="10"/>
  <c r="B36" i="10"/>
  <c r="M35" i="10"/>
  <c r="L35" i="10"/>
  <c r="K35" i="10"/>
  <c r="J35" i="10"/>
  <c r="I35" i="10"/>
  <c r="F35" i="10"/>
  <c r="D35" i="10"/>
  <c r="B35" i="10"/>
  <c r="L25" i="10"/>
  <c r="L31" i="10"/>
  <c r="K25" i="10"/>
  <c r="K31" i="10"/>
  <c r="J25" i="10"/>
  <c r="J31" i="10"/>
  <c r="I25" i="10"/>
  <c r="I31" i="10"/>
  <c r="H25" i="10"/>
  <c r="H31" i="10"/>
  <c r="F31" i="10"/>
  <c r="D31" i="10"/>
  <c r="B31" i="10"/>
  <c r="M25" i="10"/>
  <c r="M30" i="10"/>
  <c r="K30" i="10"/>
  <c r="J30" i="10"/>
  <c r="I30" i="10"/>
  <c r="H30" i="10"/>
  <c r="F30" i="10"/>
  <c r="D30" i="10"/>
  <c r="B30" i="10"/>
  <c r="M29" i="10"/>
  <c r="L29" i="10"/>
  <c r="J29" i="10"/>
  <c r="I29" i="10"/>
  <c r="H29" i="10"/>
  <c r="F29" i="10"/>
  <c r="D29" i="10"/>
  <c r="B29" i="10"/>
  <c r="M28" i="10"/>
  <c r="L28" i="10"/>
  <c r="K28" i="10"/>
  <c r="I28" i="10"/>
  <c r="H28" i="10"/>
  <c r="F28" i="10"/>
  <c r="D28" i="10"/>
  <c r="B28" i="10"/>
  <c r="M27" i="10"/>
  <c r="L27" i="10"/>
  <c r="K27" i="10"/>
  <c r="J27" i="10"/>
  <c r="H27" i="10"/>
  <c r="F27" i="10"/>
  <c r="D27" i="10"/>
  <c r="B27" i="10"/>
  <c r="M26" i="10"/>
  <c r="L26" i="10"/>
  <c r="K26" i="10"/>
  <c r="J26" i="10"/>
  <c r="I26" i="10"/>
  <c r="F26" i="10"/>
  <c r="D26" i="10"/>
  <c r="B26" i="10"/>
  <c r="L16" i="10"/>
  <c r="L22" i="10"/>
  <c r="K16" i="10"/>
  <c r="K22" i="10"/>
  <c r="J16" i="10"/>
  <c r="J22" i="10"/>
  <c r="I16" i="10"/>
  <c r="I22" i="10"/>
  <c r="H16" i="10"/>
  <c r="H22" i="10"/>
  <c r="F22" i="10"/>
  <c r="D22" i="10"/>
  <c r="B22" i="10"/>
  <c r="M16" i="10"/>
  <c r="M21" i="10"/>
  <c r="K21" i="10"/>
  <c r="J21" i="10"/>
  <c r="I21" i="10"/>
  <c r="H21" i="10"/>
  <c r="F21" i="10"/>
  <c r="D21" i="10"/>
  <c r="B21" i="10"/>
  <c r="M20" i="10"/>
  <c r="L20" i="10"/>
  <c r="J20" i="10"/>
  <c r="I20" i="10"/>
  <c r="H20" i="10"/>
  <c r="F20" i="10"/>
  <c r="D20" i="10"/>
  <c r="B20" i="10"/>
  <c r="M19" i="10"/>
  <c r="L19" i="10"/>
  <c r="K19" i="10"/>
  <c r="I19" i="10"/>
  <c r="H19" i="10"/>
  <c r="F19" i="10"/>
  <c r="D19" i="10"/>
  <c r="B19" i="10"/>
  <c r="M18" i="10"/>
  <c r="L18" i="10"/>
  <c r="K18" i="10"/>
  <c r="J18" i="10"/>
  <c r="H18" i="10"/>
  <c r="F18" i="10"/>
  <c r="D18" i="10"/>
  <c r="B18" i="10"/>
  <c r="M17" i="10"/>
  <c r="L17" i="10"/>
  <c r="K17" i="10"/>
  <c r="J17" i="10"/>
  <c r="I17" i="10"/>
  <c r="F17" i="10"/>
  <c r="D17" i="10"/>
  <c r="B17" i="10"/>
  <c r="L7" i="10"/>
  <c r="L13" i="10"/>
  <c r="K7" i="10"/>
  <c r="K13" i="10"/>
  <c r="J7" i="10"/>
  <c r="J13" i="10"/>
  <c r="I7" i="10"/>
  <c r="I13" i="10"/>
  <c r="H7" i="10"/>
  <c r="H13" i="10"/>
  <c r="F13" i="10"/>
  <c r="D13" i="10"/>
  <c r="B13" i="10"/>
  <c r="M7" i="10"/>
  <c r="M12" i="10"/>
  <c r="K12" i="10"/>
  <c r="J12" i="10"/>
  <c r="I12" i="10"/>
  <c r="H12" i="10"/>
  <c r="F12" i="10"/>
  <c r="D12" i="10"/>
  <c r="B12" i="10"/>
  <c r="M11" i="10"/>
  <c r="L11" i="10"/>
  <c r="J11" i="10"/>
  <c r="I11" i="10"/>
  <c r="H11" i="10"/>
  <c r="F11" i="10"/>
  <c r="D11" i="10"/>
  <c r="B11" i="10"/>
  <c r="M10" i="10"/>
  <c r="L10" i="10"/>
  <c r="K10" i="10"/>
  <c r="I10" i="10"/>
  <c r="H10" i="10"/>
  <c r="F10" i="10"/>
  <c r="D10" i="10"/>
  <c r="B10" i="10"/>
  <c r="M9" i="10"/>
  <c r="L9" i="10"/>
  <c r="K9" i="10"/>
  <c r="J9" i="10"/>
  <c r="H9" i="10"/>
  <c r="D9" i="10"/>
  <c r="B9" i="10"/>
  <c r="M8" i="10"/>
  <c r="L8" i="10"/>
  <c r="K8" i="10"/>
  <c r="J8" i="10"/>
  <c r="I8" i="10"/>
  <c r="D8" i="10"/>
  <c r="B8" i="10"/>
  <c r="AT19" i="27"/>
  <c r="AT21" i="27"/>
  <c r="AT12" i="27"/>
  <c r="AT14" i="27"/>
  <c r="C10" i="27"/>
  <c r="AI17" i="6"/>
  <c r="AG17" i="6"/>
  <c r="AB17" i="6"/>
  <c r="AA17" i="6"/>
  <c r="Z17" i="6"/>
  <c r="Y17" i="6"/>
  <c r="W12" i="6"/>
  <c r="W13" i="6"/>
  <c r="W14" i="6"/>
  <c r="W15" i="6"/>
  <c r="W16" i="6"/>
  <c r="W17" i="6"/>
  <c r="AI16" i="6"/>
  <c r="AG16" i="6"/>
  <c r="AB16" i="6"/>
  <c r="AA16" i="6"/>
  <c r="Z16" i="6"/>
  <c r="Y16" i="6"/>
  <c r="AI15" i="6"/>
  <c r="AG15" i="6"/>
  <c r="AB15" i="6"/>
  <c r="AA15" i="6"/>
  <c r="Z15" i="6"/>
  <c r="Y15" i="6"/>
  <c r="AI14" i="6"/>
  <c r="AG14" i="6"/>
  <c r="AB14" i="6"/>
  <c r="AA14" i="6"/>
  <c r="Z14" i="6"/>
  <c r="Y14" i="6"/>
  <c r="AI13" i="6"/>
  <c r="AG13" i="6"/>
  <c r="AB13" i="6"/>
  <c r="AA13" i="6"/>
  <c r="Z13" i="6"/>
  <c r="Y13" i="6"/>
  <c r="AI12" i="6"/>
  <c r="AG12" i="6"/>
  <c r="AB12" i="6"/>
  <c r="AA12" i="6"/>
  <c r="Z12" i="6"/>
  <c r="Y12" i="6"/>
  <c r="B14" i="34"/>
  <c r="Q35" i="22"/>
  <c r="V15" i="22"/>
  <c r="E35" i="22" a="1"/>
  <c r="E35" i="22"/>
  <c r="V10" i="22"/>
  <c r="V11" i="22"/>
  <c r="G35" i="22"/>
  <c r="F35" i="22"/>
  <c r="E34" i="22" a="1"/>
  <c r="E34" i="22"/>
  <c r="G34" i="22"/>
  <c r="F34" i="22"/>
  <c r="E33" i="22" a="1"/>
  <c r="E33" i="22"/>
  <c r="G33" i="22"/>
  <c r="F33" i="22"/>
  <c r="E32" i="22" a="1"/>
  <c r="E32" i="22"/>
  <c r="G32" i="22"/>
  <c r="F32" i="22"/>
  <c r="E31" i="22" a="1"/>
  <c r="E31" i="22"/>
  <c r="G31" i="22"/>
  <c r="F31" i="22"/>
  <c r="E30" i="22" a="1"/>
  <c r="E30" i="22"/>
  <c r="G30" i="22"/>
  <c r="F30" i="22"/>
  <c r="E29" i="22" a="1"/>
  <c r="E29" i="22"/>
  <c r="G29" i="22"/>
  <c r="F29" i="22"/>
  <c r="E28" i="22" a="1"/>
  <c r="E28" i="22"/>
  <c r="G28" i="22"/>
  <c r="F28" i="22"/>
  <c r="E27" i="22" a="1"/>
  <c r="E27" i="22"/>
  <c r="G27" i="22"/>
  <c r="F27" i="22"/>
  <c r="E26" i="22" a="1"/>
  <c r="E26" i="22"/>
  <c r="G26" i="22"/>
  <c r="F26" i="22"/>
  <c r="E25" i="22" a="1"/>
  <c r="E25" i="22"/>
  <c r="G25" i="22"/>
  <c r="F25" i="22"/>
  <c r="E24" i="22" a="1"/>
  <c r="E24" i="22"/>
  <c r="G24" i="22"/>
  <c r="F24" i="22"/>
  <c r="E23" i="22" a="1"/>
  <c r="E23" i="22"/>
  <c r="G23" i="22"/>
  <c r="F23" i="22"/>
  <c r="E22" i="22" a="1"/>
  <c r="E22" i="22"/>
  <c r="G22" i="22"/>
  <c r="F22" i="22"/>
  <c r="E21" i="22" a="1"/>
  <c r="E21" i="22"/>
  <c r="G21" i="22"/>
  <c r="F21" i="22"/>
  <c r="E20" i="22" a="1"/>
  <c r="E20" i="22"/>
  <c r="G20" i="22"/>
  <c r="F20" i="22"/>
  <c r="E19" i="22" a="1"/>
  <c r="E19" i="22"/>
  <c r="G19" i="22"/>
  <c r="F19" i="22"/>
  <c r="E18" i="22" a="1"/>
  <c r="E18" i="22"/>
  <c r="G18" i="22"/>
  <c r="F18" i="22"/>
  <c r="W17" i="22"/>
  <c r="E17" i="22" a="1"/>
  <c r="E17" i="22"/>
  <c r="G17" i="22"/>
  <c r="F17" i="22"/>
  <c r="E16" i="22" a="1"/>
  <c r="E16" i="22"/>
  <c r="G16" i="22"/>
  <c r="F16" i="22"/>
  <c r="E15" i="22" a="1"/>
  <c r="E15" i="22"/>
  <c r="G15" i="22"/>
  <c r="F15" i="22"/>
  <c r="E14" i="22" a="1"/>
  <c r="E14" i="22"/>
  <c r="G14" i="22"/>
  <c r="F14" i="22"/>
  <c r="S13" i="22" a="1"/>
  <c r="S13" i="22"/>
  <c r="E7" i="22" a="1"/>
  <c r="E7" i="22"/>
  <c r="G7" i="22"/>
  <c r="F7" i="22"/>
  <c r="G6" i="22"/>
  <c r="F6" i="22"/>
  <c r="E6" i="22"/>
  <c r="AX10" i="6"/>
  <c r="AM93" i="34"/>
  <c r="AL93" i="34"/>
  <c r="AM92" i="34"/>
  <c r="AL92" i="34"/>
  <c r="AM91" i="34"/>
  <c r="AL91" i="34"/>
  <c r="AM90" i="34"/>
  <c r="AL90" i="34"/>
  <c r="AM89" i="34"/>
  <c r="AL89" i="34"/>
  <c r="AM88" i="34"/>
  <c r="AL88" i="34"/>
  <c r="AM87" i="34"/>
  <c r="AL87" i="34"/>
  <c r="AM86" i="34"/>
  <c r="AL86" i="34"/>
  <c r="AM85" i="34"/>
  <c r="AL85" i="34"/>
  <c r="AM84" i="34"/>
  <c r="AL84" i="34"/>
  <c r="AM83" i="34"/>
  <c r="AL83" i="34"/>
  <c r="AM82" i="34"/>
  <c r="AL82" i="34"/>
  <c r="AM81" i="34"/>
  <c r="AL81" i="34"/>
  <c r="AM80" i="34"/>
  <c r="AL80" i="34"/>
  <c r="AM79" i="34"/>
  <c r="AL79" i="34"/>
  <c r="AM78" i="34"/>
  <c r="AL78" i="34"/>
  <c r="AM77" i="34"/>
  <c r="AL77" i="34"/>
  <c r="AM76" i="34"/>
  <c r="AL76" i="34"/>
  <c r="AM75" i="34"/>
  <c r="AL75" i="34"/>
  <c r="AM74" i="34"/>
  <c r="AL74" i="34"/>
  <c r="AM73" i="34"/>
  <c r="AL73" i="34"/>
  <c r="AM72" i="34"/>
  <c r="AL72" i="34"/>
  <c r="AM71" i="34"/>
  <c r="AL71" i="34"/>
  <c r="AM70" i="34"/>
  <c r="AL70" i="34"/>
  <c r="AM69" i="34"/>
  <c r="AL69" i="34"/>
  <c r="AM68" i="34"/>
  <c r="AL68" i="34"/>
  <c r="AM67" i="34"/>
  <c r="AL67" i="34"/>
  <c r="AM66" i="34"/>
  <c r="AL66" i="34"/>
  <c r="AM65" i="34"/>
  <c r="AL65" i="34"/>
  <c r="AM64" i="34"/>
  <c r="AL64" i="34"/>
  <c r="Q69" i="34"/>
  <c r="Q68" i="34"/>
  <c r="Q67" i="34"/>
  <c r="Q66" i="34"/>
  <c r="Q65" i="34"/>
  <c r="Q64" i="34"/>
  <c r="AB207" i="34"/>
  <c r="Z207" i="34"/>
  <c r="AB206" i="34"/>
  <c r="Z206" i="34"/>
  <c r="AB205" i="34"/>
  <c r="Z205" i="34"/>
  <c r="AB204" i="34"/>
  <c r="Z204" i="34"/>
  <c r="AB203" i="34"/>
  <c r="Z203" i="34"/>
  <c r="AB202" i="34"/>
  <c r="Z202" i="34"/>
  <c r="AB201" i="34"/>
  <c r="Z201" i="34"/>
  <c r="AB200" i="34"/>
  <c r="Z200" i="34"/>
  <c r="AB199" i="34"/>
  <c r="Z199" i="34"/>
  <c r="AB198" i="34"/>
  <c r="Z198" i="34"/>
  <c r="AB197" i="34"/>
  <c r="Z197"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M135" i="34"/>
  <c r="AL135" i="34"/>
  <c r="AI135" i="34"/>
  <c r="AH135" i="34"/>
  <c r="AG135" i="34"/>
  <c r="AF135" i="34"/>
  <c r="AE135" i="34"/>
  <c r="AD135" i="34"/>
  <c r="AB135" i="34"/>
  <c r="Z135" i="34"/>
  <c r="Y135" i="34"/>
  <c r="X135" i="34"/>
  <c r="W135" i="34"/>
  <c r="V135" i="34"/>
  <c r="AM134" i="34"/>
  <c r="AL134" i="34"/>
  <c r="AI134" i="34"/>
  <c r="AH134" i="34"/>
  <c r="AG134" i="34"/>
  <c r="AF134" i="34"/>
  <c r="AE134" i="34"/>
  <c r="AD134" i="34"/>
  <c r="AB134" i="34"/>
  <c r="Z134" i="34"/>
  <c r="Y134" i="34"/>
  <c r="X134" i="34"/>
  <c r="W134" i="34"/>
  <c r="V134" i="34"/>
  <c r="AM133" i="34"/>
  <c r="AL133" i="34"/>
  <c r="AI133" i="34"/>
  <c r="AH133" i="34"/>
  <c r="AG133" i="34"/>
  <c r="AF133" i="34"/>
  <c r="AE133" i="34"/>
  <c r="AD133" i="34"/>
  <c r="AB133" i="34"/>
  <c r="Z133" i="34"/>
  <c r="Y133" i="34"/>
  <c r="X133" i="34"/>
  <c r="W133" i="34"/>
  <c r="V133" i="34"/>
  <c r="AM132" i="34"/>
  <c r="AL132" i="34"/>
  <c r="AI132" i="34"/>
  <c r="AH132" i="34"/>
  <c r="AG132" i="34"/>
  <c r="AF132" i="34"/>
  <c r="AE132" i="34"/>
  <c r="AD132" i="34"/>
  <c r="AB132" i="34"/>
  <c r="Z132" i="34"/>
  <c r="Y132" i="34"/>
  <c r="X132" i="34"/>
  <c r="W132" i="34"/>
  <c r="V132" i="34"/>
  <c r="AM131" i="34"/>
  <c r="AL131" i="34"/>
  <c r="AI131" i="34"/>
  <c r="AH131" i="34"/>
  <c r="AG131" i="34"/>
  <c r="AF131" i="34"/>
  <c r="AE131" i="34"/>
  <c r="AD131" i="34"/>
  <c r="AB131" i="34"/>
  <c r="Z131" i="34"/>
  <c r="Y131" i="34"/>
  <c r="X131" i="34"/>
  <c r="W131" i="34"/>
  <c r="V131" i="34"/>
  <c r="AM130" i="34"/>
  <c r="AL130" i="34"/>
  <c r="AI130" i="34"/>
  <c r="AH130" i="34"/>
  <c r="AG130" i="34"/>
  <c r="AF130" i="34"/>
  <c r="AE130" i="34"/>
  <c r="AD130" i="34"/>
  <c r="AB130" i="34"/>
  <c r="Z130" i="34"/>
  <c r="Y130" i="34"/>
  <c r="X130" i="34"/>
  <c r="W130" i="34"/>
  <c r="V130" i="34"/>
  <c r="AM129" i="34"/>
  <c r="AL129" i="34"/>
  <c r="AI129" i="34"/>
  <c r="AH129" i="34"/>
  <c r="AG129" i="34"/>
  <c r="AF129" i="34"/>
  <c r="AE129" i="34"/>
  <c r="AD129" i="34"/>
  <c r="AB129" i="34"/>
  <c r="Z129" i="34"/>
  <c r="Y129" i="34"/>
  <c r="X129" i="34"/>
  <c r="W129" i="34"/>
  <c r="V129" i="34"/>
  <c r="AM128" i="34"/>
  <c r="AL128" i="34"/>
  <c r="AI128" i="34"/>
  <c r="AH128" i="34"/>
  <c r="AG128" i="34"/>
  <c r="AF128" i="34"/>
  <c r="AE128" i="34"/>
  <c r="AD128" i="34"/>
  <c r="AB128" i="34"/>
  <c r="Z128" i="34"/>
  <c r="Y128" i="34"/>
  <c r="X128" i="34"/>
  <c r="W128" i="34"/>
  <c r="V128" i="34"/>
  <c r="AM127" i="34"/>
  <c r="AL127" i="34"/>
  <c r="AI127" i="34"/>
  <c r="AH127" i="34"/>
  <c r="AG127" i="34"/>
  <c r="AF127" i="34"/>
  <c r="AE127" i="34"/>
  <c r="AD127" i="34"/>
  <c r="AB127" i="34"/>
  <c r="Z127" i="34"/>
  <c r="Y127" i="34"/>
  <c r="X127" i="34"/>
  <c r="W127" i="34"/>
  <c r="V127" i="34"/>
  <c r="AM126" i="34"/>
  <c r="AL126" i="34"/>
  <c r="AI126" i="34"/>
  <c r="AH126" i="34"/>
  <c r="AG126" i="34"/>
  <c r="AF126" i="34"/>
  <c r="AE126" i="34"/>
  <c r="AD126" i="34"/>
  <c r="AB126" i="34"/>
  <c r="Z126" i="34"/>
  <c r="Y126" i="34"/>
  <c r="X126" i="34"/>
  <c r="W126" i="34"/>
  <c r="V126" i="34"/>
  <c r="AM125" i="34"/>
  <c r="AL125" i="34"/>
  <c r="AI125" i="34"/>
  <c r="AH125" i="34"/>
  <c r="AG125" i="34"/>
  <c r="AF125" i="34"/>
  <c r="AE125" i="34"/>
  <c r="AD125" i="34"/>
  <c r="AB125" i="34"/>
  <c r="Z125" i="34"/>
  <c r="Y125" i="34"/>
  <c r="X125" i="34"/>
  <c r="W125" i="34"/>
  <c r="V125" i="34"/>
  <c r="AM124" i="34"/>
  <c r="AL124" i="34"/>
  <c r="AI124" i="34"/>
  <c r="AH124" i="34"/>
  <c r="AG124" i="34"/>
  <c r="AF124" i="34"/>
  <c r="AE124" i="34"/>
  <c r="AD124" i="34"/>
  <c r="AB124" i="34"/>
  <c r="Z124" i="34"/>
  <c r="Y124" i="34"/>
  <c r="X124" i="34"/>
  <c r="W124" i="34"/>
  <c r="V124" i="34"/>
  <c r="AM123" i="34"/>
  <c r="AL123" i="34"/>
  <c r="AI123" i="34"/>
  <c r="AH123" i="34"/>
  <c r="AG123" i="34"/>
  <c r="AF123" i="34"/>
  <c r="AE123" i="34"/>
  <c r="AD123" i="34"/>
  <c r="AB123" i="34"/>
  <c r="Z123" i="34"/>
  <c r="Y123" i="34"/>
  <c r="X123" i="34"/>
  <c r="W123" i="34"/>
  <c r="V123" i="34"/>
  <c r="AM122" i="34"/>
  <c r="AL122" i="34"/>
  <c r="AI122" i="34"/>
  <c r="AH122" i="34"/>
  <c r="AG122" i="34"/>
  <c r="AF122" i="34"/>
  <c r="AE122" i="34"/>
  <c r="AD122" i="34"/>
  <c r="AB122" i="34"/>
  <c r="Z122" i="34"/>
  <c r="Y122" i="34"/>
  <c r="X122" i="34"/>
  <c r="W122" i="34"/>
  <c r="V122" i="34"/>
  <c r="AM121" i="34"/>
  <c r="AL121" i="34"/>
  <c r="AI121" i="34"/>
  <c r="AH121" i="34"/>
  <c r="AG121" i="34"/>
  <c r="AF121" i="34"/>
  <c r="AE121" i="34"/>
  <c r="AD121" i="34"/>
  <c r="AB121" i="34"/>
  <c r="Z121" i="34"/>
  <c r="Y121" i="34"/>
  <c r="X121" i="34"/>
  <c r="W121" i="34"/>
  <c r="V121" i="34"/>
  <c r="AM120" i="34"/>
  <c r="AL120" i="34"/>
  <c r="AI120" i="34"/>
  <c r="AH120" i="34"/>
  <c r="AG120" i="34"/>
  <c r="AF120" i="34"/>
  <c r="AE120" i="34"/>
  <c r="AD120" i="34"/>
  <c r="AB120" i="34"/>
  <c r="Z120" i="34"/>
  <c r="Y120" i="34"/>
  <c r="X120" i="34"/>
  <c r="W120" i="34"/>
  <c r="V120" i="34"/>
  <c r="AM119" i="34"/>
  <c r="AL119" i="34"/>
  <c r="AI119" i="34"/>
  <c r="AH119" i="34"/>
  <c r="AG119" i="34"/>
  <c r="AF119" i="34"/>
  <c r="AE119" i="34"/>
  <c r="AD119" i="34"/>
  <c r="AB119" i="34"/>
  <c r="Z119" i="34"/>
  <c r="Y119" i="34"/>
  <c r="X119" i="34"/>
  <c r="W119" i="34"/>
  <c r="V119" i="34"/>
  <c r="AM118" i="34"/>
  <c r="AL118" i="34"/>
  <c r="AI118" i="34"/>
  <c r="AH118" i="34"/>
  <c r="AG118" i="34"/>
  <c r="AF118" i="34"/>
  <c r="AE118" i="34"/>
  <c r="AD118" i="34"/>
  <c r="AB118" i="34"/>
  <c r="Z118" i="34"/>
  <c r="Y118" i="34"/>
  <c r="X118" i="34"/>
  <c r="W118" i="34"/>
  <c r="V118" i="34"/>
  <c r="AM117" i="34"/>
  <c r="AL117" i="34"/>
  <c r="AI117" i="34"/>
  <c r="AH117" i="34"/>
  <c r="AG117" i="34"/>
  <c r="AF117" i="34"/>
  <c r="AE117" i="34"/>
  <c r="AD117" i="34"/>
  <c r="AB117" i="34"/>
  <c r="Z117" i="34"/>
  <c r="Y117" i="34"/>
  <c r="X117" i="34"/>
  <c r="W117" i="34"/>
  <c r="V117" i="34"/>
  <c r="AM116" i="34"/>
  <c r="AL116" i="34"/>
  <c r="AI116" i="34"/>
  <c r="AH116" i="34"/>
  <c r="AG116" i="34"/>
  <c r="AF116" i="34"/>
  <c r="AE116" i="34"/>
  <c r="AD116" i="34"/>
  <c r="AB116" i="34"/>
  <c r="Z116" i="34"/>
  <c r="Y116" i="34"/>
  <c r="X116" i="34"/>
  <c r="W116" i="34"/>
  <c r="V116" i="34"/>
  <c r="AM115" i="34"/>
  <c r="AL115" i="34"/>
  <c r="AI115" i="34"/>
  <c r="AH115" i="34"/>
  <c r="AG115" i="34"/>
  <c r="AF115" i="34"/>
  <c r="AE115" i="34"/>
  <c r="AD115" i="34"/>
  <c r="AB115" i="34"/>
  <c r="Z115" i="34"/>
  <c r="Y115" i="34"/>
  <c r="X115" i="34"/>
  <c r="W115" i="34"/>
  <c r="V115" i="34"/>
  <c r="AM114" i="34"/>
  <c r="AL114" i="34"/>
  <c r="AI114" i="34"/>
  <c r="AH114" i="34"/>
  <c r="AG114" i="34"/>
  <c r="AF114" i="34"/>
  <c r="AE114" i="34"/>
  <c r="AD114" i="34"/>
  <c r="AB114" i="34"/>
  <c r="Z114" i="34"/>
  <c r="Y114" i="34"/>
  <c r="X114" i="34"/>
  <c r="W114" i="34"/>
  <c r="V114" i="34"/>
  <c r="AM113" i="34"/>
  <c r="AL113" i="34"/>
  <c r="AI113" i="34"/>
  <c r="AH113" i="34"/>
  <c r="AG113" i="34"/>
  <c r="AF113" i="34"/>
  <c r="AE113" i="34"/>
  <c r="AD113" i="34"/>
  <c r="AB113" i="34"/>
  <c r="Z113" i="34"/>
  <c r="Y113" i="34"/>
  <c r="X113" i="34"/>
  <c r="W113" i="34"/>
  <c r="V113" i="34"/>
  <c r="AM112" i="34"/>
  <c r="AL112" i="34"/>
  <c r="AI112" i="34"/>
  <c r="AH112" i="34"/>
  <c r="AG112" i="34"/>
  <c r="AF112" i="34"/>
  <c r="AE112" i="34"/>
  <c r="AD112" i="34"/>
  <c r="AB112" i="34"/>
  <c r="Z112" i="34"/>
  <c r="Y112" i="34"/>
  <c r="X112" i="34"/>
  <c r="W112" i="34"/>
  <c r="V112" i="34"/>
  <c r="AM111" i="34"/>
  <c r="AL111" i="34"/>
  <c r="AI111" i="34"/>
  <c r="AH111" i="34"/>
  <c r="AG111" i="34"/>
  <c r="AF111" i="34"/>
  <c r="AE111" i="34"/>
  <c r="AD111" i="34"/>
  <c r="AB111" i="34"/>
  <c r="Z111" i="34"/>
  <c r="Y111" i="34"/>
  <c r="X111" i="34"/>
  <c r="W111" i="34"/>
  <c r="V111" i="34"/>
  <c r="AM110" i="34"/>
  <c r="AL110" i="34"/>
  <c r="AI110" i="34"/>
  <c r="AH110" i="34"/>
  <c r="AG110" i="34"/>
  <c r="AF110" i="34"/>
  <c r="AE110" i="34"/>
  <c r="AD110" i="34"/>
  <c r="AB110" i="34"/>
  <c r="Z110" i="34"/>
  <c r="Y110" i="34"/>
  <c r="X110" i="34"/>
  <c r="W110" i="34"/>
  <c r="V110" i="34"/>
  <c r="AM109" i="34"/>
  <c r="AL109" i="34"/>
  <c r="AI109" i="34"/>
  <c r="AH109" i="34"/>
  <c r="AG109" i="34"/>
  <c r="AF109" i="34"/>
  <c r="AE109" i="34"/>
  <c r="AD109" i="34"/>
  <c r="AB109" i="34"/>
  <c r="Z109" i="34"/>
  <c r="Y109" i="34"/>
  <c r="X109" i="34"/>
  <c r="W109" i="34"/>
  <c r="V109" i="34"/>
  <c r="Q72" i="34"/>
  <c r="Q71" i="34"/>
  <c r="Q70" i="34"/>
  <c r="F12" i="34"/>
  <c r="BR60" i="34"/>
  <c r="F11" i="34"/>
  <c r="BZ51" i="34"/>
  <c r="F10" i="34"/>
  <c r="BY51" i="34"/>
  <c r="F9" i="34"/>
  <c r="BX51" i="34"/>
  <c r="F8" i="34"/>
  <c r="BW51" i="34"/>
  <c r="F7" i="34"/>
  <c r="BV51" i="34"/>
  <c r="F6" i="34"/>
  <c r="BU51" i="34"/>
  <c r="F5" i="34"/>
  <c r="BT51" i="34"/>
  <c r="F4" i="34"/>
  <c r="BS51" i="34"/>
  <c r="C25" i="34"/>
  <c r="BR59" i="34"/>
  <c r="CA51" i="34"/>
  <c r="C24" i="34"/>
  <c r="BR58" i="34"/>
  <c r="C23" i="34"/>
  <c r="BR57" i="34"/>
  <c r="C22" i="34"/>
  <c r="BR56" i="34"/>
  <c r="C21" i="34"/>
  <c r="BR55" i="34"/>
  <c r="C20" i="34"/>
  <c r="BR54" i="34"/>
  <c r="C19" i="34"/>
  <c r="BR53" i="34"/>
  <c r="C18" i="34"/>
  <c r="BR52" i="34"/>
  <c r="C17" i="34"/>
  <c r="BP52" i="34" a="1"/>
  <c r="BP52" i="34"/>
  <c r="BO52" i="34" a="1"/>
  <c r="BO52" i="34"/>
  <c r="BN52" i="34" a="1"/>
  <c r="BN52" i="34"/>
  <c r="BM52" i="34" a="1"/>
  <c r="BM52" i="34"/>
  <c r="BL52" i="34" a="1"/>
  <c r="BL52" i="34"/>
  <c r="BK52" i="34" a="1"/>
  <c r="BK52" i="34"/>
  <c r="BJ52" i="34" a="1"/>
  <c r="BJ52" i="34"/>
  <c r="BI52" i="34" a="1"/>
  <c r="BI52" i="34"/>
  <c r="BH52" i="34" a="1"/>
  <c r="BH52" i="34"/>
  <c r="BG52" i="34" a="1"/>
  <c r="BG52" i="34"/>
  <c r="BF52" i="34" a="1"/>
  <c r="BF52" i="34"/>
  <c r="BE52" i="34" a="1"/>
  <c r="BE52" i="34"/>
  <c r="BD52" i="34" a="1"/>
  <c r="BD52" i="34"/>
  <c r="BC52" i="34" a="1"/>
  <c r="BC52" i="34"/>
  <c r="BB52" i="34" a="1"/>
  <c r="BB52" i="34"/>
  <c r="BA52" i="34" a="1"/>
  <c r="BA52" i="34"/>
  <c r="AZ52" i="34" a="1"/>
  <c r="AZ52" i="34"/>
  <c r="AY52" i="34" a="1"/>
  <c r="AY52" i="34"/>
  <c r="AX52" i="34" a="1"/>
  <c r="AX52" i="34"/>
  <c r="AW52" i="34" a="1"/>
  <c r="AW52" i="34"/>
  <c r="AV52" i="34" a="1"/>
  <c r="AV52" i="34"/>
  <c r="AU52" i="34" a="1"/>
  <c r="AU52" i="34"/>
  <c r="AT52" i="34" a="1"/>
  <c r="AT52" i="34"/>
  <c r="AS52" i="34" a="1"/>
  <c r="AS52" i="34"/>
  <c r="AR52" i="34" a="1"/>
  <c r="AR52" i="34"/>
  <c r="AQ52" i="34" a="1"/>
  <c r="AQ52" i="34"/>
  <c r="AP52" i="34" a="1"/>
  <c r="AP52" i="34"/>
  <c r="AO52" i="34" a="1"/>
  <c r="AO52" i="34"/>
  <c r="AN52" i="34" a="1"/>
  <c r="AN52" i="34"/>
  <c r="AM52" i="34" a="1"/>
  <c r="AM52" i="34"/>
  <c r="AL52" i="34" a="1"/>
  <c r="AL52" i="34"/>
  <c r="AK52" i="34" a="1"/>
  <c r="AK52" i="34"/>
  <c r="AJ52" i="34" a="1"/>
  <c r="AJ52" i="34"/>
  <c r="AI52" i="34" a="1"/>
  <c r="AI52" i="34"/>
  <c r="AH52" i="34" a="1"/>
  <c r="AH52" i="34"/>
  <c r="AG52" i="34" a="1"/>
  <c r="AG52" i="34"/>
  <c r="AF52" i="34" a="1"/>
  <c r="AF52" i="34"/>
  <c r="AE52" i="34" a="1"/>
  <c r="AE52" i="34"/>
  <c r="AD52" i="34" a="1"/>
  <c r="AD52" i="34"/>
  <c r="AC52" i="34" a="1"/>
  <c r="AC52" i="34"/>
  <c r="AB52" i="34" a="1"/>
  <c r="AB52" i="34"/>
  <c r="AA52" i="34" a="1"/>
  <c r="AA52" i="34"/>
  <c r="Z52" i="34" a="1"/>
  <c r="Z52" i="34"/>
  <c r="Y52" i="34" a="1"/>
  <c r="Y52" i="34"/>
  <c r="X52" i="34" a="1"/>
  <c r="X52" i="34"/>
  <c r="W52" i="34" a="1"/>
  <c r="W52" i="34"/>
  <c r="V52" i="34" a="1"/>
  <c r="V52" i="34"/>
  <c r="U52" i="34" a="1"/>
  <c r="U52" i="34"/>
  <c r="T52" i="34" a="1"/>
  <c r="T52" i="34"/>
  <c r="S52" i="34" a="1"/>
  <c r="S52" i="34"/>
  <c r="R52" i="34" a="1"/>
  <c r="R52" i="34"/>
  <c r="Q52" i="34" a="1"/>
  <c r="Q52" i="34"/>
  <c r="P52" i="34" a="1"/>
  <c r="P52" i="34"/>
  <c r="O52" i="34" a="1"/>
  <c r="O52" i="34"/>
  <c r="N52" i="34" a="1"/>
  <c r="N52" i="34"/>
  <c r="M52" i="34" a="1"/>
  <c r="M52" i="34"/>
  <c r="L52" i="34" a="1"/>
  <c r="L52" i="34"/>
  <c r="K52" i="34" a="1"/>
  <c r="K52" i="34"/>
  <c r="J52" i="34" a="1"/>
  <c r="J52" i="34"/>
  <c r="I52" i="34" a="1"/>
  <c r="I52" i="34"/>
  <c r="H52" i="34" a="1"/>
  <c r="H52" i="34"/>
  <c r="G52" i="34" a="1"/>
  <c r="G52" i="34"/>
  <c r="F52" i="34" a="1"/>
  <c r="F52" i="34"/>
  <c r="E52" i="34" a="1"/>
  <c r="E52" i="34"/>
  <c r="BR49" i="34"/>
  <c r="BR48" i="34"/>
  <c r="BR47" i="34"/>
  <c r="BR46" i="34"/>
  <c r="BR45" i="34"/>
  <c r="BR44" i="34"/>
  <c r="BR43" i="34"/>
  <c r="BR42" i="34"/>
  <c r="BR41" i="34"/>
  <c r="CA40" i="34"/>
  <c r="BZ40" i="34"/>
  <c r="BY40" i="34"/>
  <c r="BX40" i="34"/>
  <c r="BW40" i="34"/>
  <c r="BV40" i="34"/>
  <c r="BU40" i="34"/>
  <c r="BT40" i="34"/>
  <c r="BS40" i="34"/>
  <c r="C38" i="34"/>
  <c r="C37" i="34"/>
  <c r="C36" i="34"/>
  <c r="C35" i="34"/>
  <c r="C34" i="34"/>
  <c r="C33" i="34"/>
  <c r="C32" i="34"/>
  <c r="C31" i="34"/>
  <c r="C30" i="34"/>
  <c r="J25" i="34"/>
  <c r="I25" i="34"/>
  <c r="H25" i="34"/>
  <c r="G25" i="34"/>
  <c r="F25" i="34"/>
  <c r="E25" i="34"/>
  <c r="D25" i="34"/>
  <c r="J24" i="34"/>
  <c r="I24" i="34"/>
  <c r="H24" i="34"/>
  <c r="G24" i="34"/>
  <c r="F24" i="34"/>
  <c r="E24" i="34"/>
  <c r="D24" i="34"/>
  <c r="J23" i="34"/>
  <c r="I23" i="34"/>
  <c r="H23" i="34"/>
  <c r="G23" i="34"/>
  <c r="F23" i="34"/>
  <c r="E23" i="34"/>
  <c r="D23" i="34"/>
  <c r="J22" i="34"/>
  <c r="I22" i="34"/>
  <c r="H22" i="34"/>
  <c r="G22" i="34"/>
  <c r="F22" i="34"/>
  <c r="E22" i="34"/>
  <c r="D22" i="34"/>
  <c r="J21" i="34"/>
  <c r="I21" i="34"/>
  <c r="H21" i="34"/>
  <c r="G21" i="34"/>
  <c r="F21" i="34"/>
  <c r="E21" i="34"/>
  <c r="D21" i="34"/>
  <c r="J20" i="34"/>
  <c r="I20" i="34"/>
  <c r="H20" i="34"/>
  <c r="G20" i="34"/>
  <c r="F20" i="34"/>
  <c r="E20" i="34"/>
  <c r="D20" i="34"/>
  <c r="J19" i="34"/>
  <c r="I19" i="34"/>
  <c r="H19" i="34"/>
  <c r="G19" i="34"/>
  <c r="F19" i="34"/>
  <c r="E19" i="34"/>
  <c r="D19" i="34"/>
  <c r="J18" i="34"/>
  <c r="I18" i="34"/>
  <c r="H18" i="34"/>
  <c r="G18" i="34"/>
  <c r="F18" i="34"/>
  <c r="E18" i="34"/>
  <c r="D18" i="34"/>
  <c r="AC17" i="34"/>
  <c r="J17" i="34"/>
  <c r="I17" i="34"/>
  <c r="H17" i="34"/>
  <c r="G17" i="34"/>
  <c r="F17" i="34"/>
  <c r="E17" i="34"/>
  <c r="D17" i="34"/>
  <c r="F13" i="34"/>
  <c r="B13" i="34"/>
  <c r="G19" i="33"/>
  <c r="D33" i="33"/>
  <c r="B33" i="33"/>
  <c r="M33" i="10"/>
  <c r="L33" i="10"/>
  <c r="K33" i="10"/>
  <c r="J33" i="10"/>
  <c r="I33" i="10"/>
  <c r="H33" i="10"/>
  <c r="M24" i="10"/>
  <c r="L24" i="10"/>
  <c r="K24" i="10"/>
  <c r="J24" i="10"/>
  <c r="I24" i="10"/>
  <c r="H24" i="10"/>
  <c r="M15" i="10"/>
  <c r="L15" i="10"/>
  <c r="K15" i="10"/>
  <c r="J15" i="10"/>
  <c r="I15" i="10"/>
  <c r="H15" i="10"/>
  <c r="M6" i="10"/>
  <c r="L6" i="10"/>
  <c r="K6" i="10"/>
  <c r="J6" i="10"/>
  <c r="I6" i="10"/>
  <c r="H6" i="10"/>
  <c r="AT26" i="27"/>
  <c r="AT28" i="27"/>
  <c r="B18" i="33"/>
  <c r="B17" i="33"/>
  <c r="B12" i="33"/>
  <c r="B7" i="33"/>
  <c r="B4" i="33"/>
  <c r="B1" i="33"/>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G12" i="6"/>
  <c r="BF12" i="6"/>
  <c r="BE12" i="6"/>
  <c r="S1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O11" i="6"/>
  <c r="E70" i="9"/>
  <c r="E71" i="9"/>
  <c r="E73" i="9"/>
  <c r="E74" i="9"/>
  <c r="E75" i="9"/>
  <c r="E76" i="9"/>
  <c r="E77" i="9"/>
  <c r="E78" i="9"/>
  <c r="E79" i="9"/>
  <c r="E80" i="9"/>
  <c r="E81" i="9"/>
  <c r="E82" i="9"/>
  <c r="E83" i="9"/>
  <c r="E84" i="9"/>
  <c r="E85" i="9"/>
  <c r="E86" i="9"/>
  <c r="E87" i="9"/>
  <c r="E88" i="9"/>
  <c r="S11" i="26"/>
  <c r="X11" i="27"/>
  <c r="S11" i="24"/>
  <c r="S11" i="21"/>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C3" i="9"/>
  <c r="C4" i="9"/>
  <c r="E68" i="9"/>
  <c r="O5" i="22"/>
  <c r="U11" i="6"/>
  <c r="E69" i="9"/>
  <c r="E89" i="9"/>
  <c r="E46" i="9"/>
  <c r="H59" i="32"/>
  <c r="E48" i="9"/>
  <c r="G59" i="32"/>
  <c r="E39" i="9"/>
  <c r="F59" i="32"/>
  <c r="E60" i="9"/>
  <c r="E59" i="32"/>
  <c r="C59" i="32"/>
  <c r="H54" i="32"/>
  <c r="G54" i="32"/>
  <c r="F54" i="32"/>
  <c r="E54" i="32"/>
  <c r="C54" i="32"/>
  <c r="H49" i="32"/>
  <c r="G49" i="32"/>
  <c r="F49" i="32"/>
  <c r="E49" i="32"/>
  <c r="C49" i="32"/>
  <c r="H44" i="32"/>
  <c r="G44" i="32"/>
  <c r="F44" i="32"/>
  <c r="E44" i="32"/>
  <c r="C44" i="32"/>
  <c r="H39" i="32"/>
  <c r="G39" i="32"/>
  <c r="F39" i="32"/>
  <c r="E39" i="32"/>
  <c r="C39" i="32"/>
  <c r="H34" i="32"/>
  <c r="G34" i="32"/>
  <c r="F34" i="32"/>
  <c r="E34" i="32"/>
  <c r="C34" i="32"/>
  <c r="BS29" i="32"/>
  <c r="BR29" i="32"/>
  <c r="BQ29" i="32"/>
  <c r="E103" i="9"/>
  <c r="AV12" i="6"/>
  <c r="I13" i="31"/>
  <c r="K13" i="31"/>
  <c r="AC13" i="31"/>
  <c r="AD13" i="31"/>
  <c r="U13" i="31"/>
  <c r="I14" i="31"/>
  <c r="K14" i="31"/>
  <c r="AC14" i="31"/>
  <c r="AD14" i="31"/>
  <c r="U14" i="31"/>
  <c r="I15" i="31"/>
  <c r="K15" i="31"/>
  <c r="AC15" i="31"/>
  <c r="AD15" i="31"/>
  <c r="U15" i="31"/>
  <c r="I16" i="31"/>
  <c r="K16" i="31"/>
  <c r="AC16" i="31"/>
  <c r="AD16" i="31"/>
  <c r="U16" i="31"/>
  <c r="I17" i="31"/>
  <c r="K17" i="31"/>
  <c r="AC17" i="31"/>
  <c r="AD17" i="31"/>
  <c r="U17" i="31"/>
  <c r="AV13" i="6"/>
  <c r="AV14" i="6"/>
  <c r="AV15" i="6"/>
  <c r="AV16" i="6"/>
  <c r="AV17" i="6"/>
  <c r="AV22" i="6"/>
  <c r="AV23" i="6"/>
  <c r="AV24" i="6"/>
  <c r="AV25" i="6"/>
  <c r="AV26" i="6"/>
  <c r="AV27" i="6"/>
  <c r="C12" i="27" a="1"/>
  <c r="C12" i="27"/>
  <c r="D12" i="27"/>
  <c r="C29" i="32"/>
  <c r="AO29" i="32"/>
  <c r="AN29" i="32"/>
  <c r="AM29" i="32"/>
  <c r="C24" i="32"/>
  <c r="C19" i="32"/>
  <c r="C14" i="32"/>
  <c r="C9" i="32"/>
  <c r="C4" i="32"/>
  <c r="H29" i="32"/>
  <c r="G29" i="32"/>
  <c r="F29" i="32"/>
  <c r="E29" i="32"/>
  <c r="BS28" i="32"/>
  <c r="BR28" i="32"/>
  <c r="BQ28" i="32"/>
  <c r="E58" i="9"/>
  <c r="AO28" i="32"/>
  <c r="AN28" i="32"/>
  <c r="AM28" i="32"/>
  <c r="BS27" i="32"/>
  <c r="BR27" i="32"/>
  <c r="BQ27" i="32"/>
  <c r="E59" i="9"/>
  <c r="AO27" i="32"/>
  <c r="AN27" i="32"/>
  <c r="AM27" i="32"/>
  <c r="BS26" i="32"/>
  <c r="BR26" i="32"/>
  <c r="BQ26" i="32"/>
  <c r="AO26" i="32"/>
  <c r="AN26" i="32"/>
  <c r="AM26" i="32"/>
  <c r="BS25" i="32"/>
  <c r="BR25" i="32"/>
  <c r="BQ25" i="32"/>
  <c r="AO25" i="32"/>
  <c r="AN25" i="32"/>
  <c r="AM25" i="32"/>
  <c r="BS24" i="32"/>
  <c r="BR24" i="32"/>
  <c r="BQ24" i="32"/>
  <c r="AO24" i="32"/>
  <c r="AN24" i="32"/>
  <c r="AM24" i="32"/>
  <c r="H24" i="32"/>
  <c r="G24" i="32"/>
  <c r="F24" i="32"/>
  <c r="E24" i="32"/>
  <c r="BS23" i="32"/>
  <c r="BR23" i="32"/>
  <c r="BQ23" i="32"/>
  <c r="AO23" i="32"/>
  <c r="AN23" i="32"/>
  <c r="AM23" i="32"/>
  <c r="BS22" i="32"/>
  <c r="BR22" i="32"/>
  <c r="BQ22" i="32"/>
  <c r="AO22" i="32"/>
  <c r="AN22" i="32"/>
  <c r="AM22" i="32"/>
  <c r="BS21" i="32"/>
  <c r="BR21" i="32"/>
  <c r="BQ21" i="32"/>
  <c r="AO21" i="32"/>
  <c r="AN21" i="32"/>
  <c r="AM21" i="32"/>
  <c r="BS20" i="32"/>
  <c r="BR20" i="32"/>
  <c r="BQ20" i="32"/>
  <c r="BN20" i="32"/>
  <c r="BM20" i="32"/>
  <c r="BL20" i="32"/>
  <c r="BI20" i="32"/>
  <c r="BH20" i="32"/>
  <c r="BG20" i="32"/>
  <c r="BD20" i="32"/>
  <c r="BC20" i="32"/>
  <c r="BB20" i="32"/>
  <c r="AY20" i="32"/>
  <c r="AX20" i="32"/>
  <c r="AW20" i="32"/>
  <c r="AT20" i="32"/>
  <c r="AS20" i="32"/>
  <c r="AR20" i="32"/>
  <c r="AO20" i="32"/>
  <c r="AN20" i="32"/>
  <c r="AM20" i="32"/>
  <c r="AJ20" i="32"/>
  <c r="AI20" i="32"/>
  <c r="AH20" i="32"/>
  <c r="AE20" i="32"/>
  <c r="Z20" i="32"/>
  <c r="U20" i="32"/>
  <c r="T20" i="32"/>
  <c r="S20" i="32"/>
  <c r="P20" i="32"/>
  <c r="O20" i="32"/>
  <c r="N20" i="32"/>
  <c r="BS19" i="32"/>
  <c r="BR19" i="32"/>
  <c r="BQ19" i="32"/>
  <c r="BN19" i="32"/>
  <c r="BM19" i="32"/>
  <c r="BL19" i="32"/>
  <c r="BI19" i="32"/>
  <c r="BH19" i="32"/>
  <c r="BG19" i="32"/>
  <c r="BD19" i="32"/>
  <c r="BC19" i="32"/>
  <c r="BB19" i="32"/>
  <c r="AY19" i="32"/>
  <c r="AX19" i="32"/>
  <c r="AW19" i="32"/>
  <c r="AT19" i="32"/>
  <c r="AS19" i="32"/>
  <c r="AR19" i="32"/>
  <c r="AO19" i="32"/>
  <c r="AN19" i="32"/>
  <c r="AM19" i="32"/>
  <c r="AJ19" i="32"/>
  <c r="AE19" i="32"/>
  <c r="AD19" i="32"/>
  <c r="AC19" i="32"/>
  <c r="Z19" i="32"/>
  <c r="Y19" i="32"/>
  <c r="X19" i="32"/>
  <c r="U19" i="32"/>
  <c r="P19" i="32"/>
  <c r="H19" i="32"/>
  <c r="G19" i="32"/>
  <c r="F19" i="32"/>
  <c r="E19" i="32"/>
  <c r="BS18" i="32"/>
  <c r="BR18" i="32"/>
  <c r="BQ18" i="32"/>
  <c r="BN18" i="32"/>
  <c r="BM18" i="32"/>
  <c r="BL18" i="32"/>
  <c r="BI18" i="32"/>
  <c r="BH18" i="32"/>
  <c r="BG18" i="32"/>
  <c r="BD18" i="32"/>
  <c r="BC18" i="32"/>
  <c r="BB18" i="32"/>
  <c r="AY18" i="32"/>
  <c r="AX18" i="32"/>
  <c r="AW18" i="32"/>
  <c r="AT18" i="32"/>
  <c r="AS18" i="32"/>
  <c r="AR18" i="32"/>
  <c r="AO18" i="32"/>
  <c r="AN18" i="32"/>
  <c r="AM18" i="32"/>
  <c r="AJ18" i="32"/>
  <c r="AI18" i="32"/>
  <c r="AH18" i="32"/>
  <c r="AE18" i="32"/>
  <c r="AD18" i="32"/>
  <c r="AC18" i="32"/>
  <c r="Z18" i="32"/>
  <c r="Y18" i="32"/>
  <c r="X18" i="32"/>
  <c r="U18" i="32"/>
  <c r="T18" i="32"/>
  <c r="S18" i="32"/>
  <c r="P18" i="32"/>
  <c r="O18" i="32"/>
  <c r="N18" i="32"/>
  <c r="BS17" i="32"/>
  <c r="BR17" i="32"/>
  <c r="BQ17" i="32"/>
  <c r="AO17" i="32"/>
  <c r="AN17" i="32"/>
  <c r="AM17" i="32"/>
  <c r="BS16" i="32"/>
  <c r="BR16" i="32"/>
  <c r="BQ16" i="32"/>
  <c r="AO16" i="32"/>
  <c r="AN16" i="32"/>
  <c r="AM16" i="32"/>
  <c r="BS15" i="32"/>
  <c r="BR15" i="32"/>
  <c r="BQ15" i="32"/>
  <c r="AO15" i="32"/>
  <c r="AN15" i="32"/>
  <c r="AM15" i="32"/>
  <c r="BS14" i="32"/>
  <c r="BR14" i="32"/>
  <c r="BQ14" i="32"/>
  <c r="AO14" i="32"/>
  <c r="AN14" i="32"/>
  <c r="AM14" i="32"/>
  <c r="H14" i="32"/>
  <c r="G14" i="32"/>
  <c r="F14" i="32"/>
  <c r="E14" i="32"/>
  <c r="BS13" i="32"/>
  <c r="BR13" i="32"/>
  <c r="BQ13" i="32"/>
  <c r="AO13" i="32"/>
  <c r="AN13" i="32"/>
  <c r="AM13" i="32"/>
  <c r="BS12" i="32"/>
  <c r="BR12" i="32"/>
  <c r="BQ12" i="32"/>
  <c r="AO12" i="32"/>
  <c r="AN12" i="32"/>
  <c r="AM12" i="32"/>
  <c r="L12" i="32"/>
  <c r="E9" i="9"/>
  <c r="L11" i="32"/>
  <c r="H9" i="32"/>
  <c r="G9" i="32"/>
  <c r="F9" i="32"/>
  <c r="E9" i="32"/>
  <c r="H4" i="32"/>
  <c r="G4" i="32"/>
  <c r="F4" i="32"/>
  <c r="E4" i="32"/>
  <c r="E115" i="9"/>
  <c r="B1" i="32"/>
  <c r="BP12" i="32"/>
  <c r="BP13" i="32"/>
  <c r="BP14" i="32"/>
  <c r="BP15" i="32"/>
  <c r="BP16" i="32"/>
  <c r="BP17" i="32"/>
  <c r="BP18" i="32"/>
  <c r="BP19" i="32"/>
  <c r="BP20" i="32"/>
  <c r="BP21" i="32"/>
  <c r="BP22" i="32"/>
  <c r="BP23" i="32"/>
  <c r="BP24" i="32"/>
  <c r="BP25" i="32"/>
  <c r="BP26" i="32"/>
  <c r="BP27" i="32"/>
  <c r="BP28" i="32"/>
  <c r="BP29" i="32"/>
  <c r="BT14" i="32"/>
  <c r="F62" i="32"/>
  <c r="BT13" i="32"/>
  <c r="F61" i="32"/>
  <c r="J62" i="32"/>
  <c r="K62" i="32"/>
  <c r="H62" i="32"/>
  <c r="G62" i="32"/>
  <c r="E62" i="32"/>
  <c r="BT12" i="32"/>
  <c r="F60" i="32"/>
  <c r="J61" i="32"/>
  <c r="K61" i="32"/>
  <c r="H61" i="32"/>
  <c r="G61" i="32"/>
  <c r="E61" i="32"/>
  <c r="J60" i="32"/>
  <c r="K60" i="32"/>
  <c r="H60" i="32"/>
  <c r="G60" i="32"/>
  <c r="E60" i="32"/>
  <c r="J59" i="32"/>
  <c r="BK18" i="32"/>
  <c r="BK19" i="32"/>
  <c r="BK20" i="32"/>
  <c r="BF18" i="32"/>
  <c r="BF19" i="32"/>
  <c r="BF20" i="32"/>
  <c r="BA18" i="32"/>
  <c r="BA19" i="32"/>
  <c r="BA20" i="32"/>
  <c r="AV18" i="32"/>
  <c r="AV19" i="32"/>
  <c r="AV20" i="32"/>
  <c r="AQ18" i="32"/>
  <c r="AQ19" i="32"/>
  <c r="AQ20" i="32"/>
  <c r="AL12" i="32"/>
  <c r="AL13" i="32"/>
  <c r="AL14" i="32"/>
  <c r="AL15" i="32"/>
  <c r="AL16" i="32"/>
  <c r="AL17" i="32"/>
  <c r="AL18" i="32"/>
  <c r="AL19" i="32"/>
  <c r="AL20" i="32"/>
  <c r="AL21" i="32"/>
  <c r="AL22" i="32"/>
  <c r="AL23" i="32"/>
  <c r="AL24" i="32"/>
  <c r="AL25" i="32"/>
  <c r="AL26" i="32"/>
  <c r="AL27" i="32"/>
  <c r="AL28" i="32"/>
  <c r="AL29" i="32"/>
  <c r="AP14" i="32"/>
  <c r="F32" i="32"/>
  <c r="J33" i="32"/>
  <c r="AP13" i="32"/>
  <c r="F31" i="32"/>
  <c r="J32" i="32"/>
  <c r="K32" i="32"/>
  <c r="H32" i="32"/>
  <c r="G32" i="32"/>
  <c r="E32" i="32"/>
  <c r="AP12" i="32"/>
  <c r="F30" i="32"/>
  <c r="J31" i="32"/>
  <c r="K31" i="32"/>
  <c r="H31" i="32"/>
  <c r="G31" i="32"/>
  <c r="E31" i="32"/>
  <c r="J30" i="32"/>
  <c r="K30" i="32"/>
  <c r="H30" i="32"/>
  <c r="G30" i="32"/>
  <c r="E30" i="32"/>
  <c r="BT29" i="32"/>
  <c r="AP29" i="32"/>
  <c r="AG18" i="32"/>
  <c r="AG20" i="32"/>
  <c r="AB18" i="32"/>
  <c r="AB19" i="32"/>
  <c r="W18" i="32"/>
  <c r="W19" i="32"/>
  <c r="R18" i="32"/>
  <c r="R20" i="32"/>
  <c r="M18" i="32"/>
  <c r="M20" i="32"/>
  <c r="J29" i="32"/>
  <c r="BT28" i="32"/>
  <c r="AP28" i="32"/>
  <c r="BT27" i="32"/>
  <c r="AP27" i="32"/>
  <c r="BT26" i="32"/>
  <c r="AP26" i="32"/>
  <c r="BT25" i="32"/>
  <c r="AP25" i="32"/>
  <c r="BT24" i="32"/>
  <c r="AP24" i="32"/>
  <c r="BT23" i="32"/>
  <c r="AP23" i="32"/>
  <c r="BT22" i="32"/>
  <c r="AP22" i="32"/>
  <c r="BT21" i="32"/>
  <c r="AP21" i="32"/>
  <c r="BT20" i="32"/>
  <c r="AP20" i="32"/>
  <c r="BT19" i="32"/>
  <c r="AP19" i="32"/>
  <c r="BT18" i="32"/>
  <c r="AP18" i="32"/>
  <c r="BT17" i="32"/>
  <c r="AP17" i="32"/>
  <c r="BT16" i="32"/>
  <c r="AP16" i="32"/>
  <c r="BT15" i="32"/>
  <c r="AP15" i="32"/>
  <c r="BS11" i="32"/>
  <c r="BN11" i="32"/>
  <c r="BI11" i="32"/>
  <c r="BD11" i="32"/>
  <c r="AY11" i="32"/>
  <c r="AT11" i="32"/>
  <c r="AO11" i="32"/>
  <c r="AJ11" i="32"/>
  <c r="AE11" i="32"/>
  <c r="Z11" i="32"/>
  <c r="U11" i="32"/>
  <c r="P11" i="32"/>
  <c r="E25" i="9"/>
  <c r="AC11" i="6"/>
  <c r="AD27" i="6"/>
  <c r="AD26" i="6"/>
  <c r="AD25" i="6"/>
  <c r="AD24" i="6"/>
  <c r="AD23" i="6"/>
  <c r="AD22" i="6"/>
  <c r="AD17" i="6"/>
  <c r="AD16" i="6"/>
  <c r="AD15" i="6"/>
  <c r="AD14" i="6"/>
  <c r="AD13" i="6"/>
  <c r="AD12" i="6"/>
  <c r="G12" i="21"/>
  <c r="AA12" i="21"/>
  <c r="E67" i="9"/>
  <c r="E26" i="9"/>
  <c r="Y16" i="26"/>
  <c r="AA16" i="26"/>
  <c r="G12" i="26"/>
  <c r="I13" i="26"/>
  <c r="Y15" i="26"/>
  <c r="AA15" i="26"/>
  <c r="Y13" i="26"/>
  <c r="AA13" i="26"/>
  <c r="Y12" i="26"/>
  <c r="AA12" i="26"/>
  <c r="Y21" i="24"/>
  <c r="AA21" i="24"/>
  <c r="Y17" i="24"/>
  <c r="AA17" i="24"/>
  <c r="G17" i="24"/>
  <c r="Y18" i="24"/>
  <c r="AA18" i="24"/>
  <c r="I18" i="24"/>
  <c r="Y20" i="24"/>
  <c r="AA20" i="24"/>
  <c r="Y15" i="24"/>
  <c r="AA15" i="24"/>
  <c r="G15" i="24"/>
  <c r="Y14" i="24"/>
  <c r="AA14" i="24"/>
  <c r="G14" i="24"/>
  <c r="Y13" i="24"/>
  <c r="AA13" i="24"/>
  <c r="G13" i="24"/>
  <c r="Y12" i="24"/>
  <c r="AA12" i="24"/>
  <c r="G12" i="24"/>
  <c r="AA13" i="21"/>
  <c r="Y14" i="21"/>
  <c r="AA14" i="21"/>
  <c r="Y15" i="21"/>
  <c r="AA15" i="21"/>
  <c r="AA16" i="21"/>
  <c r="Y17" i="21"/>
  <c r="AA17" i="21"/>
  <c r="G13" i="21"/>
  <c r="G14" i="21"/>
  <c r="G15" i="21"/>
  <c r="G16" i="21"/>
  <c r="G17" i="21"/>
  <c r="E123" i="9"/>
  <c r="E122" i="9"/>
  <c r="E124" i="9"/>
  <c r="E125" i="9"/>
  <c r="F34" i="10"/>
  <c r="F25" i="10"/>
  <c r="F16" i="10"/>
  <c r="F7" i="10"/>
  <c r="E62" i="9"/>
  <c r="M11" i="26"/>
  <c r="E63" i="9"/>
  <c r="P11" i="26"/>
  <c r="E61" i="9"/>
  <c r="J11" i="26"/>
  <c r="Q16" i="26"/>
  <c r="Q15" i="26"/>
  <c r="Q13" i="26"/>
  <c r="Q12" i="26"/>
  <c r="Q21" i="24"/>
  <c r="N21" i="24"/>
  <c r="K21" i="24"/>
  <c r="Q20" i="24"/>
  <c r="N20" i="24"/>
  <c r="K20" i="24"/>
  <c r="N18" i="24"/>
  <c r="K18" i="24"/>
  <c r="N17" i="24"/>
  <c r="K17" i="24"/>
  <c r="J11" i="24"/>
  <c r="M11" i="24"/>
  <c r="P11" i="24"/>
  <c r="Q18" i="24"/>
  <c r="Q17" i="24"/>
  <c r="Q15" i="24"/>
  <c r="Q14" i="24"/>
  <c r="Q13" i="24"/>
  <c r="Q12" i="24"/>
  <c r="Y16" i="21"/>
  <c r="Y13" i="21"/>
  <c r="Y12" i="21"/>
  <c r="J11" i="21"/>
  <c r="M11" i="21"/>
  <c r="P11" i="21"/>
  <c r="Q17" i="21"/>
  <c r="Q16" i="21"/>
  <c r="Q15" i="21"/>
  <c r="Q14" i="21"/>
  <c r="Q13" i="21"/>
  <c r="Q12" i="21"/>
  <c r="P29" i="27"/>
  <c r="P28" i="27"/>
  <c r="P27" i="27"/>
  <c r="P26" i="27"/>
  <c r="P25" i="27"/>
  <c r="P24" i="27"/>
  <c r="P23" i="27"/>
  <c r="P22" i="27"/>
  <c r="P21" i="27"/>
  <c r="P20" i="27"/>
  <c r="P19" i="27"/>
  <c r="P18" i="27"/>
  <c r="P17" i="27"/>
  <c r="P16" i="27"/>
  <c r="P15" i="27"/>
  <c r="P14" i="27"/>
  <c r="P13" i="27"/>
  <c r="P12" i="27"/>
  <c r="O11" i="27"/>
  <c r="L11" i="27"/>
  <c r="X13" i="31"/>
  <c r="Y13" i="31"/>
  <c r="Z13" i="31"/>
  <c r="AA13" i="31"/>
  <c r="W24" i="31"/>
  <c r="W11" i="31"/>
  <c r="E121" i="9"/>
  <c r="U24" i="31"/>
  <c r="U11" i="31"/>
  <c r="E65" i="9"/>
  <c r="F24" i="31"/>
  <c r="E66" i="9"/>
  <c r="F10" i="31"/>
  <c r="F11" i="31"/>
  <c r="R24" i="31"/>
  <c r="O24" i="31"/>
  <c r="L24" i="31"/>
  <c r="E64" i="9"/>
  <c r="H20" i="31"/>
  <c r="R11" i="31"/>
  <c r="O11" i="31"/>
  <c r="L11" i="31"/>
  <c r="S30" i="31"/>
  <c r="P30" i="31"/>
  <c r="M30" i="31"/>
  <c r="S29" i="31"/>
  <c r="P29" i="31"/>
  <c r="M29" i="31"/>
  <c r="S28" i="31"/>
  <c r="P28" i="31"/>
  <c r="M28" i="31"/>
  <c r="S27" i="31"/>
  <c r="P27" i="31"/>
  <c r="M27" i="31"/>
  <c r="S26" i="31"/>
  <c r="P26" i="31"/>
  <c r="M26" i="31"/>
  <c r="S25" i="31"/>
  <c r="P25" i="31"/>
  <c r="M25" i="31"/>
  <c r="S17" i="31"/>
  <c r="P17" i="31"/>
  <c r="M17" i="31"/>
  <c r="S16" i="31"/>
  <c r="P16" i="31"/>
  <c r="M16" i="31"/>
  <c r="S15" i="31"/>
  <c r="P15" i="31"/>
  <c r="M15" i="31"/>
  <c r="S14" i="31"/>
  <c r="P14" i="31"/>
  <c r="M14" i="31"/>
  <c r="S13" i="31"/>
  <c r="P13" i="31"/>
  <c r="M13" i="31"/>
  <c r="S12" i="31"/>
  <c r="P12" i="31"/>
  <c r="M12" i="31"/>
  <c r="E14" i="9"/>
  <c r="I24" i="31"/>
  <c r="E24" i="31"/>
  <c r="D24" i="31"/>
  <c r="E33" i="9"/>
  <c r="C24" i="31"/>
  <c r="I11" i="31"/>
  <c r="E11" i="31"/>
  <c r="D11" i="31"/>
  <c r="C11" i="31"/>
  <c r="E6" i="9"/>
  <c r="H7" i="31"/>
  <c r="AE30" i="31"/>
  <c r="X30" i="31"/>
  <c r="Y30" i="31"/>
  <c r="AA30" i="31"/>
  <c r="Z30" i="31"/>
  <c r="W30" i="31"/>
  <c r="AE29" i="31"/>
  <c r="X29" i="31"/>
  <c r="Y29" i="31"/>
  <c r="AA29" i="31"/>
  <c r="Z29" i="31"/>
  <c r="W29" i="31"/>
  <c r="AE28" i="31"/>
  <c r="X28" i="31"/>
  <c r="Y28" i="31"/>
  <c r="AA28" i="31"/>
  <c r="Z28" i="31"/>
  <c r="W28" i="31"/>
  <c r="AE27" i="31"/>
  <c r="X27" i="31"/>
  <c r="Y27" i="31"/>
  <c r="AA27" i="31"/>
  <c r="Z27" i="31"/>
  <c r="W27" i="31"/>
  <c r="AE26" i="31"/>
  <c r="X26" i="31"/>
  <c r="Y26" i="31"/>
  <c r="AA26" i="31"/>
  <c r="Z26" i="31"/>
  <c r="W26" i="31"/>
  <c r="AE25" i="31"/>
  <c r="W25" i="31"/>
  <c r="AE17" i="31"/>
  <c r="X17" i="31"/>
  <c r="Y17" i="31"/>
  <c r="AA17" i="31"/>
  <c r="Z17" i="31"/>
  <c r="W17" i="31"/>
  <c r="AE16" i="31"/>
  <c r="X16" i="31"/>
  <c r="Y16" i="31"/>
  <c r="AA16" i="31"/>
  <c r="Z16" i="31"/>
  <c r="W16" i="31"/>
  <c r="AE15" i="31"/>
  <c r="X15" i="31"/>
  <c r="Y15" i="31"/>
  <c r="AA15" i="31"/>
  <c r="Z15" i="31"/>
  <c r="W15" i="31"/>
  <c r="AE14" i="31"/>
  <c r="X14" i="31"/>
  <c r="Y14" i="31"/>
  <c r="AA14" i="31"/>
  <c r="Z14" i="31"/>
  <c r="W14" i="31"/>
  <c r="AE13" i="31"/>
  <c r="W13" i="31"/>
  <c r="AE12" i="31"/>
  <c r="W12" i="31"/>
  <c r="E49" i="9"/>
  <c r="AG11" i="6"/>
  <c r="L11" i="6"/>
  <c r="I11"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R18" i="22"/>
  <c r="E116" i="9"/>
  <c r="E104" i="9"/>
  <c r="AL29" i="27"/>
  <c r="AL28" i="27"/>
  <c r="AL27" i="27"/>
  <c r="AL26" i="27"/>
  <c r="AT25" i="27"/>
  <c r="E10" i="9"/>
  <c r="AS25" i="27"/>
  <c r="E27" i="9"/>
  <c r="E24" i="9"/>
  <c r="AF25" i="27"/>
  <c r="E23" i="9"/>
  <c r="AE25" i="27"/>
  <c r="E22" i="9"/>
  <c r="AD25" i="27"/>
  <c r="E21" i="9"/>
  <c r="AC25" i="27"/>
  <c r="AL22" i="27"/>
  <c r="AL21" i="27"/>
  <c r="AL20" i="27"/>
  <c r="AL19" i="27"/>
  <c r="AT18" i="27"/>
  <c r="AS18" i="27"/>
  <c r="AF18" i="27"/>
  <c r="AE18" i="27"/>
  <c r="AD18" i="27"/>
  <c r="AC18" i="27"/>
  <c r="M17" i="27"/>
  <c r="M18" i="27"/>
  <c r="M19" i="27"/>
  <c r="M20" i="27"/>
  <c r="M21" i="27"/>
  <c r="M22" i="27"/>
  <c r="M23" i="27"/>
  <c r="M24" i="27"/>
  <c r="M25" i="27"/>
  <c r="M26" i="27"/>
  <c r="M27" i="27"/>
  <c r="M28" i="27"/>
  <c r="M29" i="27"/>
  <c r="E107" i="9"/>
  <c r="H33" i="27"/>
  <c r="E57" i="9"/>
  <c r="AA10" i="27"/>
  <c r="AR10" i="27"/>
  <c r="AL13" i="27"/>
  <c r="AL14" i="27"/>
  <c r="AL15" i="27"/>
  <c r="AL12" i="27"/>
  <c r="AT11" i="27"/>
  <c r="AS11" i="27"/>
  <c r="AF11" i="27"/>
  <c r="AE11" i="27"/>
  <c r="AD11" i="27"/>
  <c r="AC11" i="27"/>
  <c r="I33" i="27"/>
  <c r="E29" i="9"/>
  <c r="I31" i="27"/>
  <c r="M16" i="27"/>
  <c r="M15" i="27"/>
  <c r="M14" i="27"/>
  <c r="M13" i="27"/>
  <c r="M12" i="27"/>
  <c r="E12" i="27"/>
  <c r="E15" i="9"/>
  <c r="I11" i="27"/>
  <c r="E11" i="27"/>
  <c r="D11" i="27"/>
  <c r="C11" i="27"/>
  <c r="E55" i="9"/>
  <c r="E20" i="9"/>
  <c r="Y10" i="27"/>
  <c r="E19" i="9"/>
  <c r="E21" i="24"/>
  <c r="E20" i="24"/>
  <c r="E16" i="26"/>
  <c r="E15" i="26"/>
  <c r="E114" i="9"/>
  <c r="R17" i="22"/>
  <c r="E53" i="9"/>
  <c r="C10" i="26"/>
  <c r="E13" i="26"/>
  <c r="E12" i="26"/>
  <c r="G21" i="26"/>
  <c r="F21" i="26"/>
  <c r="G18" i="26"/>
  <c r="N16" i="26"/>
  <c r="K16" i="26"/>
  <c r="E109" i="9"/>
  <c r="F16" i="26"/>
  <c r="N15" i="26"/>
  <c r="K15" i="26"/>
  <c r="E108" i="9"/>
  <c r="F15" i="26"/>
  <c r="E54" i="9"/>
  <c r="C14" i="26"/>
  <c r="N13" i="26"/>
  <c r="K13" i="26"/>
  <c r="N12" i="26"/>
  <c r="K12" i="26"/>
  <c r="G11" i="26"/>
  <c r="E11" i="26"/>
  <c r="D11" i="26"/>
  <c r="C11" i="26"/>
  <c r="T9" i="26"/>
  <c r="G7" i="26"/>
  <c r="C3" i="25"/>
  <c r="C4" i="25"/>
  <c r="C14" i="25"/>
  <c r="C19" i="25"/>
  <c r="C23" i="25"/>
  <c r="C24" i="25"/>
  <c r="C25" i="25"/>
  <c r="C26" i="25"/>
  <c r="C27" i="25"/>
  <c r="C28" i="25"/>
  <c r="C29" i="25"/>
  <c r="C30" i="25"/>
  <c r="C31" i="25"/>
  <c r="C32" i="25"/>
  <c r="C33" i="25"/>
  <c r="C34"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X17" i="22"/>
  <c r="AV21" i="6"/>
  <c r="E12" i="24"/>
  <c r="E12" i="21"/>
  <c r="B13" i="6"/>
  <c r="B12" i="6"/>
  <c r="E117" i="9"/>
  <c r="E118" i="9"/>
  <c r="E119" i="9"/>
  <c r="E120" i="9"/>
  <c r="T11" i="22"/>
  <c r="E91" i="9"/>
  <c r="AU21" i="6"/>
  <c r="AU11" i="6"/>
  <c r="AV11" i="6"/>
  <c r="E16" i="9"/>
  <c r="AU20" i="6"/>
  <c r="AU10" i="6"/>
  <c r="E113" i="9"/>
  <c r="R16" i="22"/>
  <c r="E112" i="9"/>
  <c r="R15" i="22"/>
  <c r="E110" i="9"/>
  <c r="E111" i="9"/>
  <c r="R22" i="22"/>
  <c r="E106" i="9"/>
  <c r="C11" i="24"/>
  <c r="C11" i="21"/>
  <c r="E56" i="9"/>
  <c r="B3" i="10"/>
  <c r="E40" i="9"/>
  <c r="W30" i="6"/>
  <c r="G26" i="24"/>
  <c r="F26" i="24"/>
  <c r="G23" i="24"/>
  <c r="F21" i="24"/>
  <c r="F20" i="24"/>
  <c r="C19" i="24"/>
  <c r="C16" i="24"/>
  <c r="N15" i="24"/>
  <c r="K15" i="24"/>
  <c r="N14" i="24"/>
  <c r="K14" i="24"/>
  <c r="N13" i="24"/>
  <c r="K13" i="24"/>
  <c r="N12" i="24"/>
  <c r="K12" i="24"/>
  <c r="G11" i="24"/>
  <c r="E11" i="24"/>
  <c r="D11" i="24"/>
  <c r="T9" i="24"/>
  <c r="G7" i="24"/>
  <c r="E41" i="9"/>
  <c r="R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R13" i="22"/>
  <c r="E44" i="9"/>
  <c r="R11" i="22"/>
  <c r="E43" i="9"/>
  <c r="R9" i="22"/>
  <c r="E42" i="9"/>
  <c r="R7" i="22"/>
  <c r="E45" i="9"/>
  <c r="T5" i="22"/>
  <c r="R5" i="22"/>
  <c r="E31" i="9"/>
  <c r="L5" i="22"/>
  <c r="E34" i="9"/>
  <c r="I5" i="22"/>
  <c r="E17" i="9"/>
  <c r="H5" i="22"/>
  <c r="G5" i="22"/>
  <c r="F5" i="22"/>
  <c r="E5" i="22"/>
  <c r="C5" i="22"/>
  <c r="P4" i="22"/>
  <c r="E32" i="9"/>
  <c r="E4" i="22"/>
  <c r="C4" i="22"/>
  <c r="E30" i="9"/>
  <c r="E2" i="22"/>
  <c r="G22" i="21"/>
  <c r="F22" i="21"/>
  <c r="G7" i="21"/>
  <c r="G19" i="21"/>
  <c r="N17" i="21"/>
  <c r="N16" i="21"/>
  <c r="N15" i="21"/>
  <c r="N14" i="21"/>
  <c r="N13" i="21"/>
  <c r="N12" i="21"/>
  <c r="T9" i="21"/>
  <c r="K13" i="21"/>
  <c r="K14" i="21"/>
  <c r="K15" i="21"/>
  <c r="K16" i="21"/>
  <c r="K17" i="21"/>
  <c r="G11" i="21"/>
  <c r="D11" i="21"/>
  <c r="E11" i="21"/>
  <c r="K12" i="21"/>
  <c r="E28" i="9"/>
  <c r="E97" i="9"/>
  <c r="E7" i="9"/>
  <c r="E11" i="6"/>
  <c r="E18" i="9"/>
  <c r="AH23" i="6"/>
  <c r="AH24" i="6"/>
  <c r="AH25" i="6"/>
  <c r="AH26" i="6"/>
  <c r="AH27" i="6"/>
  <c r="W22" i="6"/>
  <c r="W20" i="6"/>
  <c r="AH22" i="6"/>
  <c r="AB21" i="6"/>
  <c r="AA21" i="6"/>
  <c r="Z21" i="6"/>
  <c r="Y21" i="6"/>
  <c r="W10" i="6"/>
  <c r="E105" i="9"/>
  <c r="E13" i="9"/>
  <c r="E93" i="9"/>
  <c r="E94" i="9"/>
  <c r="E12" i="9"/>
  <c r="E11" i="9"/>
  <c r="E8" i="9"/>
  <c r="E38" i="9"/>
  <c r="E96" i="9"/>
  <c r="E92" i="9"/>
  <c r="E98" i="9"/>
  <c r="E101" i="9"/>
  <c r="E100" i="9"/>
  <c r="E102" i="9"/>
  <c r="E126" i="9"/>
  <c r="E52" i="9"/>
  <c r="E51" i="9"/>
  <c r="E50" i="9"/>
  <c r="A1" i="13"/>
  <c r="D11" i="6"/>
  <c r="C11" i="6"/>
  <c r="E47" i="9"/>
  <c r="B4" i="10"/>
  <c r="G34" i="10"/>
  <c r="G16" i="10"/>
  <c r="G25" i="10"/>
  <c r="G7" i="10"/>
  <c r="B2" i="10"/>
  <c r="C34" i="10"/>
  <c r="C25" i="10"/>
  <c r="C16" i="10"/>
  <c r="C7" i="10"/>
  <c r="E95" i="9"/>
  <c r="L1" i="9"/>
  <c r="E35" i="9"/>
  <c r="E36" i="9"/>
  <c r="E37" i="9"/>
  <c r="F9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AB11" i="6"/>
  <c r="AA11" i="6"/>
  <c r="Z11" i="6"/>
  <c r="Y11" i="6"/>
  <c r="F11" i="6"/>
  <c r="B11" i="6"/>
  <c r="B10" i="6"/>
  <c r="K1" i="9"/>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1" i="25"/>
  <c r="C12" i="25"/>
  <c r="C13" i="25"/>
  <c r="C41" i="25"/>
  <c r="C42" i="25"/>
  <c r="C43" i="25"/>
  <c r="C20" i="6"/>
  <c r="D20" i="6"/>
  <c r="B20" i="6"/>
  <c r="C23" i="6"/>
  <c r="C22" i="6"/>
  <c r="C21" i="6"/>
  <c r="D23" i="6"/>
  <c r="D22" i="6"/>
  <c r="D21" i="6"/>
  <c r="B23" i="6"/>
  <c r="B22" i="6"/>
  <c r="B21" i="6"/>
  <c r="C15" i="25"/>
  <c r="C16" i="25"/>
  <c r="C17" i="25"/>
  <c r="C18" i="25"/>
  <c r="C20" i="25"/>
  <c r="C21" i="25"/>
  <c r="C22" i="25"/>
  <c r="C45" i="25"/>
  <c r="C46" i="25"/>
  <c r="C47" i="25"/>
  <c r="C48" i="25"/>
  <c r="C50" i="25"/>
  <c r="C51" i="25"/>
  <c r="C52" i="25"/>
  <c r="B24" i="6"/>
  <c r="B25" i="6"/>
  <c r="B26" i="6"/>
  <c r="B27" i="6"/>
  <c r="B28" i="6"/>
  <c r="B29" i="6"/>
  <c r="B30" i="6"/>
  <c r="B31" i="6"/>
  <c r="D24" i="6"/>
  <c r="D25" i="6"/>
  <c r="D26" i="6"/>
  <c r="D27" i="6"/>
  <c r="D28" i="6"/>
  <c r="D29" i="6"/>
  <c r="D30" i="6"/>
  <c r="D31" i="6"/>
  <c r="C24" i="6"/>
  <c r="C25" i="6"/>
  <c r="C26" i="6"/>
  <c r="C27" i="6"/>
  <c r="C28" i="6"/>
  <c r="C29" i="6"/>
  <c r="C30" i="6"/>
  <c r="C31" i="6"/>
  <c r="C12" i="26" a="1"/>
  <c r="C12" i="26"/>
  <c r="C16" i="26"/>
  <c r="C15" i="26"/>
  <c r="C13" i="26"/>
  <c r="D12" i="26"/>
  <c r="D13" i="26"/>
  <c r="D15" i="26"/>
  <c r="D16" i="26"/>
  <c r="I18" i="26"/>
  <c r="S17" i="22"/>
  <c r="D12" i="24"/>
  <c r="D12" i="21"/>
  <c r="AK30" i="6"/>
  <c r="AR13" i="6"/>
  <c r="AR14" i="6"/>
  <c r="AR15" i="6"/>
  <c r="AR16" i="6"/>
  <c r="AR17" i="6"/>
  <c r="AR12" i="6"/>
  <c r="N8" i="10"/>
  <c r="N13" i="10"/>
  <c r="N12" i="10"/>
  <c r="N11" i="10"/>
  <c r="N10" i="10"/>
  <c r="N9" i="10"/>
  <c r="N17" i="10"/>
  <c r="N18" i="10"/>
  <c r="N19" i="10"/>
  <c r="N20" i="10"/>
  <c r="N21" i="10"/>
  <c r="N22" i="10"/>
  <c r="N26" i="10"/>
  <c r="N27" i="10"/>
  <c r="N28" i="10"/>
  <c r="N29" i="10"/>
  <c r="N30" i="10"/>
  <c r="N31" i="10"/>
  <c r="N35" i="10"/>
  <c r="N36" i="10"/>
  <c r="N37" i="10"/>
  <c r="N38" i="10"/>
  <c r="N39" i="10"/>
  <c r="N40" i="10"/>
  <c r="C19" i="27" a="1"/>
  <c r="C19" i="27"/>
  <c r="D19" i="27" a="1"/>
  <c r="D19" i="27"/>
  <c r="S19" i="32"/>
  <c r="R19" i="32"/>
  <c r="E19" i="27"/>
  <c r="T19" i="32"/>
  <c r="Z17" i="34"/>
  <c r="Z22"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Z23"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Z24"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Z25"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8" i="22" a="1"/>
  <c r="E8" i="22"/>
  <c r="F8" i="22"/>
  <c r="C5" i="25"/>
  <c r="E9" i="22" a="1"/>
  <c r="E9" i="22"/>
  <c r="F9" i="22"/>
  <c r="C6" i="25"/>
  <c r="E10" i="22" a="1"/>
  <c r="E10" i="22"/>
  <c r="F10" i="22"/>
  <c r="C7" i="25"/>
  <c r="E11" i="22" a="1"/>
  <c r="E11" i="22"/>
  <c r="F11" i="22"/>
  <c r="C8" i="25"/>
  <c r="E12" i="22" a="1"/>
  <c r="E12" i="22"/>
  <c r="F12" i="22"/>
  <c r="C9" i="25"/>
  <c r="E13" i="22" a="1"/>
  <c r="E13" i="22"/>
  <c r="F13" i="22"/>
  <c r="C10" i="25"/>
  <c r="C35" i="25"/>
  <c r="C36" i="25"/>
  <c r="C37" i="25"/>
  <c r="C38" i="25"/>
  <c r="C39" i="25"/>
  <c r="C40"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T24" i="22" a="1"/>
  <c r="T24" i="22"/>
  <c r="F8" i="25"/>
  <c r="E3" i="25"/>
  <c r="S24" i="22" a="1"/>
  <c r="S24" i="22"/>
  <c r="E6" i="25"/>
  <c r="B14" i="6"/>
  <c r="B15" i="6"/>
  <c r="B16" i="6"/>
  <c r="B17" i="6"/>
  <c r="B18" i="6"/>
  <c r="B19" i="6"/>
  <c r="G12" i="22"/>
  <c r="D18" i="6"/>
  <c r="G13" i="22"/>
  <c r="D19" i="6"/>
  <c r="G8" i="22"/>
  <c r="D14" i="6"/>
  <c r="G9" i="22"/>
  <c r="D15" i="6"/>
  <c r="G10" i="22"/>
  <c r="D16" i="6"/>
  <c r="G11" i="22"/>
  <c r="D17" i="6"/>
  <c r="C17" i="6"/>
  <c r="C16" i="6"/>
  <c r="C15" i="6"/>
  <c r="C14" i="6"/>
  <c r="C18" i="6"/>
  <c r="C19" i="6"/>
  <c r="F2" i="25" a="1"/>
  <c r="F2" i="25"/>
  <c r="G2" i="25"/>
  <c r="R26" i="22"/>
  <c r="R25" i="22"/>
  <c r="AS30" i="27" a="1"/>
  <c r="AS30" i="27"/>
  <c r="AT27" i="27"/>
  <c r="AT29" i="27"/>
  <c r="P12" i="32"/>
  <c r="N12" i="32"/>
  <c r="M12" i="32"/>
  <c r="P13" i="32"/>
  <c r="C13" i="27" a="1"/>
  <c r="C13" i="27"/>
  <c r="D13" i="27" a="1"/>
  <c r="D13" i="27"/>
  <c r="N13" i="32"/>
  <c r="M13" i="32"/>
  <c r="P14" i="32"/>
  <c r="N14" i="32"/>
  <c r="M14" i="32"/>
  <c r="P15" i="32"/>
  <c r="N15" i="32"/>
  <c r="M15" i="32"/>
  <c r="P16" i="32"/>
  <c r="C16" i="27" a="1"/>
  <c r="C16" i="27"/>
  <c r="D16" i="27" a="1"/>
  <c r="D16" i="27"/>
  <c r="N16" i="32"/>
  <c r="M16" i="32"/>
  <c r="P17" i="32"/>
  <c r="N17" i="32"/>
  <c r="M17" i="32"/>
  <c r="N19" i="32"/>
  <c r="M19" i="32"/>
  <c r="P21" i="32"/>
  <c r="N21" i="32"/>
  <c r="M21" i="32"/>
  <c r="P22" i="32"/>
  <c r="C22" i="27" a="1"/>
  <c r="C22" i="27"/>
  <c r="D22" i="27" a="1"/>
  <c r="D22" i="27"/>
  <c r="N22" i="32"/>
  <c r="M22" i="32"/>
  <c r="P23" i="32"/>
  <c r="N23" i="32"/>
  <c r="M23" i="32"/>
  <c r="P24" i="32"/>
  <c r="N24" i="32"/>
  <c r="M24" i="32"/>
  <c r="P25" i="32"/>
  <c r="N25" i="32"/>
  <c r="M25" i="32"/>
  <c r="P26" i="32"/>
  <c r="N26" i="32"/>
  <c r="M26" i="32"/>
  <c r="P27" i="32"/>
  <c r="N27" i="32"/>
  <c r="M27" i="32"/>
  <c r="P28" i="32"/>
  <c r="C28" i="27" a="1"/>
  <c r="C28" i="27"/>
  <c r="D28" i="27" a="1"/>
  <c r="D28" i="27"/>
  <c r="N28" i="32"/>
  <c r="M28" i="32"/>
  <c r="P29" i="32"/>
  <c r="N29" i="32"/>
  <c r="M29" i="32"/>
  <c r="Q12" i="32"/>
  <c r="L13" i="32"/>
  <c r="E5" i="32"/>
  <c r="E13" i="27"/>
  <c r="O13" i="32"/>
  <c r="G5" i="32"/>
  <c r="H5" i="32"/>
  <c r="F5" i="32"/>
  <c r="Q13" i="32"/>
  <c r="F6" i="32"/>
  <c r="J5" i="32"/>
  <c r="K5" i="32"/>
  <c r="L16" i="32"/>
  <c r="L19" i="32"/>
  <c r="E6" i="32"/>
  <c r="E16" i="27"/>
  <c r="O16" i="32"/>
  <c r="O19" i="32"/>
  <c r="G6" i="32"/>
  <c r="H6" i="32"/>
  <c r="Q14" i="32"/>
  <c r="F7" i="32"/>
  <c r="J6" i="32"/>
  <c r="K6" i="32"/>
  <c r="L28" i="32"/>
  <c r="E7" i="32"/>
  <c r="E28" i="27"/>
  <c r="O28" i="32"/>
  <c r="G7" i="32"/>
  <c r="H7" i="32"/>
  <c r="J7" i="32"/>
  <c r="K7" i="32"/>
  <c r="J8" i="32"/>
  <c r="U12" i="32"/>
  <c r="S12" i="32"/>
  <c r="R12" i="32"/>
  <c r="U13" i="32"/>
  <c r="S13" i="32"/>
  <c r="R13" i="32"/>
  <c r="U14" i="32"/>
  <c r="S14" i="32"/>
  <c r="R14" i="32"/>
  <c r="U15" i="32"/>
  <c r="S15" i="32"/>
  <c r="R15" i="32"/>
  <c r="U16" i="32"/>
  <c r="S16" i="32"/>
  <c r="R16" i="32"/>
  <c r="U17" i="32"/>
  <c r="S17" i="32"/>
  <c r="R17" i="32"/>
  <c r="U21" i="32"/>
  <c r="S21" i="32"/>
  <c r="R21" i="32"/>
  <c r="U22" i="32"/>
  <c r="S22" i="32"/>
  <c r="R22" i="32"/>
  <c r="U23" i="32"/>
  <c r="S23" i="32"/>
  <c r="R23" i="32"/>
  <c r="U24" i="32"/>
  <c r="S24" i="32"/>
  <c r="R24" i="32"/>
  <c r="U25" i="32"/>
  <c r="C25" i="27" a="1"/>
  <c r="C25" i="27"/>
  <c r="D25" i="27" a="1"/>
  <c r="D25" i="27"/>
  <c r="S25" i="32"/>
  <c r="R25" i="32"/>
  <c r="U26" i="32"/>
  <c r="S26" i="32"/>
  <c r="R26" i="32"/>
  <c r="U27" i="32"/>
  <c r="C27" i="27" a="1"/>
  <c r="C27" i="27"/>
  <c r="D27" i="27" a="1"/>
  <c r="D27" i="27"/>
  <c r="S27" i="32"/>
  <c r="R27" i="32"/>
  <c r="U28" i="32"/>
  <c r="S28" i="32"/>
  <c r="R28" i="32"/>
  <c r="U29" i="32"/>
  <c r="S29" i="32"/>
  <c r="R29" i="32"/>
  <c r="V12" i="32"/>
  <c r="F10" i="32"/>
  <c r="J9" i="32"/>
  <c r="L27" i="32"/>
  <c r="E10" i="32"/>
  <c r="E27" i="27"/>
  <c r="T27" i="32"/>
  <c r="T16" i="32"/>
  <c r="G10" i="32"/>
  <c r="H10" i="32"/>
  <c r="V13" i="32"/>
  <c r="F11" i="32"/>
  <c r="J10" i="32"/>
  <c r="K10" i="32"/>
  <c r="E11" i="32"/>
  <c r="G11" i="32"/>
  <c r="H11" i="32"/>
  <c r="V14" i="32"/>
  <c r="F12" i="32"/>
  <c r="J11" i="32"/>
  <c r="K11" i="32"/>
  <c r="L25" i="32"/>
  <c r="E12" i="32"/>
  <c r="E25" i="27"/>
  <c r="T25" i="32"/>
  <c r="G12" i="32"/>
  <c r="H12" i="32"/>
  <c r="J12" i="32"/>
  <c r="K12" i="32"/>
  <c r="J13" i="32"/>
  <c r="Q15" i="32"/>
  <c r="V15" i="32"/>
  <c r="AJ12" i="32"/>
  <c r="AH12" i="32"/>
  <c r="AG12" i="32"/>
  <c r="AJ13" i="32"/>
  <c r="AH13" i="32"/>
  <c r="AG13" i="32"/>
  <c r="AJ14" i="32"/>
  <c r="AH14" i="32"/>
  <c r="AG14" i="32"/>
  <c r="AJ15" i="32"/>
  <c r="AH15" i="32"/>
  <c r="AG15" i="32"/>
  <c r="AJ16" i="32"/>
  <c r="AH16" i="32"/>
  <c r="AG16" i="32"/>
  <c r="AJ17" i="32"/>
  <c r="AH17" i="32"/>
  <c r="AG17" i="32"/>
  <c r="AH19" i="32"/>
  <c r="AG19" i="32"/>
  <c r="AJ21" i="32"/>
  <c r="AH21" i="32"/>
  <c r="AG21" i="32"/>
  <c r="AJ22" i="32"/>
  <c r="AH22" i="32"/>
  <c r="AG22" i="32"/>
  <c r="AJ23" i="32"/>
  <c r="AH23" i="32"/>
  <c r="AG23" i="32"/>
  <c r="AJ24" i="32"/>
  <c r="AH24" i="32"/>
  <c r="AG24" i="32"/>
  <c r="AJ25" i="32"/>
  <c r="AH25" i="32"/>
  <c r="AG25" i="32"/>
  <c r="AJ26" i="32"/>
  <c r="AH26" i="32"/>
  <c r="AG26" i="32"/>
  <c r="AJ27" i="32"/>
  <c r="AH27" i="32"/>
  <c r="AG27" i="32"/>
  <c r="AJ28" i="32"/>
  <c r="AH28" i="32"/>
  <c r="AG28" i="32"/>
  <c r="AJ29" i="32"/>
  <c r="AH29" i="32"/>
  <c r="AG29" i="32"/>
  <c r="AK15" i="32"/>
  <c r="AY12" i="32"/>
  <c r="AW12" i="32"/>
  <c r="AV12" i="32"/>
  <c r="AY13" i="32"/>
  <c r="AW13" i="32"/>
  <c r="AV13" i="32"/>
  <c r="AY14" i="32"/>
  <c r="AW14" i="32"/>
  <c r="AV14" i="32"/>
  <c r="AY15" i="32"/>
  <c r="AW15" i="32"/>
  <c r="AV15" i="32"/>
  <c r="AY16" i="32"/>
  <c r="AW16" i="32"/>
  <c r="AV16" i="32"/>
  <c r="AY17" i="32"/>
  <c r="AW17" i="32"/>
  <c r="AV17" i="32"/>
  <c r="AY21" i="32"/>
  <c r="AW21" i="32"/>
  <c r="AV21" i="32"/>
  <c r="AY22" i="32"/>
  <c r="AW22" i="32"/>
  <c r="AV22" i="32"/>
  <c r="AY23" i="32"/>
  <c r="AW23" i="32"/>
  <c r="AV23" i="32"/>
  <c r="AY24" i="32"/>
  <c r="AW24" i="32"/>
  <c r="AV24" i="32"/>
  <c r="AY25" i="32"/>
  <c r="AW25" i="32"/>
  <c r="AV25" i="32"/>
  <c r="AY26" i="32"/>
  <c r="AW26" i="32"/>
  <c r="AV26" i="32"/>
  <c r="AY27" i="32"/>
  <c r="AW27" i="32"/>
  <c r="AV27" i="32"/>
  <c r="AY28" i="32"/>
  <c r="AW28" i="32"/>
  <c r="AV28" i="32"/>
  <c r="AY29" i="32"/>
  <c r="AW29" i="32"/>
  <c r="AV29" i="32"/>
  <c r="AZ15" i="32"/>
  <c r="BD12" i="32"/>
  <c r="BB12" i="32"/>
  <c r="BA12" i="32"/>
  <c r="BD13" i="32"/>
  <c r="BB13" i="32"/>
  <c r="BA13" i="32"/>
  <c r="BD14" i="32"/>
  <c r="BB14" i="32"/>
  <c r="BA14" i="32"/>
  <c r="BD15" i="32"/>
  <c r="BB15" i="32"/>
  <c r="BA15" i="32"/>
  <c r="BD16" i="32"/>
  <c r="BB16" i="32"/>
  <c r="BA16" i="32"/>
  <c r="BD17" i="32"/>
  <c r="BB17" i="32"/>
  <c r="BA17" i="32"/>
  <c r="BD21" i="32"/>
  <c r="BB21" i="32"/>
  <c r="BA21" i="32"/>
  <c r="BD22" i="32"/>
  <c r="BB22" i="32"/>
  <c r="BA22" i="32"/>
  <c r="BD23" i="32"/>
  <c r="BB23" i="32"/>
  <c r="BA23" i="32"/>
  <c r="BD24" i="32"/>
  <c r="BB24" i="32"/>
  <c r="BA24" i="32"/>
  <c r="BD25" i="32"/>
  <c r="BB25" i="32"/>
  <c r="BA25" i="32"/>
  <c r="BD26" i="32"/>
  <c r="BB26" i="32"/>
  <c r="BA26" i="32"/>
  <c r="BD27" i="32"/>
  <c r="BB27" i="32"/>
  <c r="BA27" i="32"/>
  <c r="BD28" i="32"/>
  <c r="BB28" i="32"/>
  <c r="BA28" i="32"/>
  <c r="BD29" i="32"/>
  <c r="BB29" i="32"/>
  <c r="BA29" i="32"/>
  <c r="BE15" i="32"/>
  <c r="BN12" i="32"/>
  <c r="BL12" i="32"/>
  <c r="BK12" i="32"/>
  <c r="BN13" i="32"/>
  <c r="BL13" i="32"/>
  <c r="BK13" i="32"/>
  <c r="BN14" i="32"/>
  <c r="BL14" i="32"/>
  <c r="BK14" i="32"/>
  <c r="BN15" i="32"/>
  <c r="BL15" i="32"/>
  <c r="BK15" i="32"/>
  <c r="BN16" i="32"/>
  <c r="BL16" i="32"/>
  <c r="BK16" i="32"/>
  <c r="BN17" i="32"/>
  <c r="BL17" i="32"/>
  <c r="BK17" i="32"/>
  <c r="BN21" i="32"/>
  <c r="BL21" i="32"/>
  <c r="BK21" i="32"/>
  <c r="BN22" i="32"/>
  <c r="BL22" i="32"/>
  <c r="BK22" i="32"/>
  <c r="BN23" i="32"/>
  <c r="BL23" i="32"/>
  <c r="BK23" i="32"/>
  <c r="BN24" i="32"/>
  <c r="BL24" i="32"/>
  <c r="BK24" i="32"/>
  <c r="BN25" i="32"/>
  <c r="BL25" i="32"/>
  <c r="BK25" i="32"/>
  <c r="BN26" i="32"/>
  <c r="BL26" i="32"/>
  <c r="BK26" i="32"/>
  <c r="BN27" i="32"/>
  <c r="BL27" i="32"/>
  <c r="BK27" i="32"/>
  <c r="BN28" i="32"/>
  <c r="BL28" i="32"/>
  <c r="BK28" i="32"/>
  <c r="BN29" i="32"/>
  <c r="BL29" i="32"/>
  <c r="BK29" i="32"/>
  <c r="BO15" i="32"/>
  <c r="Q16" i="32"/>
  <c r="V16" i="32"/>
  <c r="AK16" i="32"/>
  <c r="AZ16" i="32"/>
  <c r="BE16" i="32"/>
  <c r="BO16" i="32"/>
  <c r="Q17" i="32"/>
  <c r="V17" i="32"/>
  <c r="AK17" i="32"/>
  <c r="AZ17" i="32"/>
  <c r="BE17" i="32"/>
  <c r="BO17" i="32"/>
  <c r="Q18" i="32"/>
  <c r="V18" i="32"/>
  <c r="AK18" i="32"/>
  <c r="AZ18" i="32"/>
  <c r="BE18" i="32"/>
  <c r="BO18" i="32"/>
  <c r="Q19" i="32"/>
  <c r="V19" i="32"/>
  <c r="AK19" i="32"/>
  <c r="AZ19" i="32"/>
  <c r="BE19" i="32"/>
  <c r="BO19" i="32"/>
  <c r="Q20" i="32"/>
  <c r="V20" i="32"/>
  <c r="AK20" i="32"/>
  <c r="AZ20" i="32"/>
  <c r="BE20" i="32"/>
  <c r="BO20" i="32"/>
  <c r="Q21" i="32"/>
  <c r="V21" i="32"/>
  <c r="AK21" i="32"/>
  <c r="AZ21" i="32"/>
  <c r="BE21" i="32"/>
  <c r="BO21" i="32"/>
  <c r="Q22" i="32"/>
  <c r="V22" i="32"/>
  <c r="AK22" i="32"/>
  <c r="AZ22" i="32"/>
  <c r="BE22" i="32"/>
  <c r="BO22" i="32"/>
  <c r="Q23" i="32"/>
  <c r="V23" i="32"/>
  <c r="AK23" i="32"/>
  <c r="AZ23" i="32"/>
  <c r="BE23" i="32"/>
  <c r="BO23" i="32"/>
  <c r="AK12" i="32"/>
  <c r="F25" i="32"/>
  <c r="J24" i="32"/>
  <c r="Q24" i="32"/>
  <c r="V24" i="32"/>
  <c r="AK24" i="32"/>
  <c r="AZ24" i="32"/>
  <c r="BE24" i="32"/>
  <c r="BO24" i="32"/>
  <c r="E25" i="32"/>
  <c r="AI13" i="32"/>
  <c r="AI16" i="32"/>
  <c r="AI27" i="32"/>
  <c r="G25" i="32"/>
  <c r="H25" i="32"/>
  <c r="AK13" i="32"/>
  <c r="F26" i="32"/>
  <c r="J25" i="32"/>
  <c r="K25" i="32"/>
  <c r="Q25" i="32"/>
  <c r="V25" i="32"/>
  <c r="AK25" i="32"/>
  <c r="AZ25" i="32"/>
  <c r="BE25" i="32"/>
  <c r="BO25" i="32"/>
  <c r="E26" i="32"/>
  <c r="AI19" i="32"/>
  <c r="G26" i="32"/>
  <c r="H26" i="32"/>
  <c r="AK14" i="32"/>
  <c r="F27" i="32"/>
  <c r="J26" i="32"/>
  <c r="K26" i="32"/>
  <c r="Q26" i="32"/>
  <c r="V26" i="32"/>
  <c r="AK26" i="32"/>
  <c r="AZ26" i="32"/>
  <c r="BE26" i="32"/>
  <c r="BO26" i="32"/>
  <c r="E27" i="32"/>
  <c r="AI25" i="32"/>
  <c r="G27" i="32"/>
  <c r="H27" i="32"/>
  <c r="J27" i="32"/>
  <c r="K27" i="32"/>
  <c r="Q27" i="32"/>
  <c r="V27" i="32"/>
  <c r="AK27" i="32"/>
  <c r="AZ27" i="32"/>
  <c r="BE27" i="32"/>
  <c r="BO27" i="32"/>
  <c r="J28" i="32"/>
  <c r="Q28" i="32"/>
  <c r="V28" i="32"/>
  <c r="AK28" i="32"/>
  <c r="AZ28" i="32"/>
  <c r="BE28" i="32"/>
  <c r="BO28" i="32"/>
  <c r="Q29" i="32"/>
  <c r="V29" i="32"/>
  <c r="AK29" i="32"/>
  <c r="AZ29" i="32"/>
  <c r="BE29" i="32"/>
  <c r="BO29" i="32"/>
  <c r="AZ12" i="32"/>
  <c r="F40" i="32"/>
  <c r="J39" i="32"/>
  <c r="E40" i="32"/>
  <c r="AX27" i="32"/>
  <c r="G40" i="32"/>
  <c r="H40" i="32"/>
  <c r="AZ13" i="32"/>
  <c r="F41" i="32"/>
  <c r="J40" i="32"/>
  <c r="K40" i="32"/>
  <c r="E41" i="32"/>
  <c r="G41" i="32"/>
  <c r="H41" i="32"/>
  <c r="AZ14" i="32"/>
  <c r="F42" i="32"/>
  <c r="J41" i="32"/>
  <c r="K41" i="32"/>
  <c r="E42" i="32"/>
  <c r="G42" i="32"/>
  <c r="H42" i="32"/>
  <c r="J42" i="32"/>
  <c r="K42" i="32"/>
  <c r="J43" i="32"/>
  <c r="BE12" i="32"/>
  <c r="F45" i="32"/>
  <c r="J44" i="32"/>
  <c r="E45" i="32"/>
  <c r="BC13" i="32"/>
  <c r="G45" i="32"/>
  <c r="H45" i="32"/>
  <c r="BE13" i="32"/>
  <c r="F46" i="32"/>
  <c r="J45" i="32"/>
  <c r="K45" i="32"/>
  <c r="L22" i="32"/>
  <c r="E46" i="32"/>
  <c r="E22" i="27"/>
  <c r="BC22" i="32"/>
  <c r="G46" i="32"/>
  <c r="H46" i="32"/>
  <c r="BE14" i="32"/>
  <c r="F47" i="32"/>
  <c r="J46" i="32"/>
  <c r="K46" i="32"/>
  <c r="E47" i="32"/>
  <c r="BC25" i="32"/>
  <c r="G47" i="32"/>
  <c r="H47" i="32"/>
  <c r="J47" i="32"/>
  <c r="K47" i="32"/>
  <c r="J48" i="32"/>
  <c r="BO12" i="32"/>
  <c r="F55" i="32"/>
  <c r="J54" i="32"/>
  <c r="E55" i="32"/>
  <c r="BM16" i="32"/>
  <c r="G55" i="32"/>
  <c r="H55" i="32"/>
  <c r="BO13" i="32"/>
  <c r="F56" i="32"/>
  <c r="J55" i="32"/>
  <c r="K55" i="32"/>
  <c r="E56" i="32"/>
  <c r="BM22" i="32"/>
  <c r="G56" i="32"/>
  <c r="H56" i="32"/>
  <c r="BO14" i="32"/>
  <c r="F57" i="32"/>
  <c r="J56" i="32"/>
  <c r="K56" i="32"/>
  <c r="E57" i="32"/>
  <c r="BM28" i="32"/>
  <c r="G57" i="32"/>
  <c r="H57" i="32"/>
  <c r="J57" i="32"/>
  <c r="K57" i="32"/>
  <c r="J58" i="32"/>
  <c r="C24" i="27" a="1"/>
  <c r="C24" i="27"/>
  <c r="L24" i="32"/>
  <c r="C21" i="27" a="1"/>
  <c r="C21" i="27"/>
  <c r="L21" i="32"/>
  <c r="C18" i="27" a="1"/>
  <c r="C18" i="27"/>
  <c r="L18" i="32"/>
  <c r="C15" i="27" a="1"/>
  <c r="C15" i="27"/>
  <c r="L15" i="32"/>
  <c r="BI12" i="32"/>
  <c r="BG12" i="32"/>
  <c r="BF12" i="32"/>
  <c r="BI13" i="32"/>
  <c r="BG13" i="32"/>
  <c r="BF13" i="32"/>
  <c r="BI14" i="32"/>
  <c r="C14" i="27" a="1"/>
  <c r="C14" i="27"/>
  <c r="D14" i="27" a="1"/>
  <c r="D14" i="27"/>
  <c r="BG14" i="32"/>
  <c r="BF14" i="32"/>
  <c r="BI15" i="32"/>
  <c r="BG15" i="32"/>
  <c r="BF15" i="32"/>
  <c r="BI16" i="32"/>
  <c r="BG16" i="32"/>
  <c r="BF16" i="32"/>
  <c r="BI17" i="32"/>
  <c r="BG17" i="32"/>
  <c r="BF17" i="32"/>
  <c r="BI21" i="32"/>
  <c r="BG21" i="32"/>
  <c r="BF21" i="32"/>
  <c r="BI22" i="32"/>
  <c r="BG22" i="32"/>
  <c r="BF22" i="32"/>
  <c r="BI23" i="32"/>
  <c r="C23" i="27" a="1"/>
  <c r="C23" i="27"/>
  <c r="D23" i="27" a="1"/>
  <c r="D23" i="27"/>
  <c r="BG23" i="32"/>
  <c r="BF23" i="32"/>
  <c r="BI24" i="32"/>
  <c r="BG24" i="32"/>
  <c r="BF24" i="32"/>
  <c r="BI25" i="32"/>
  <c r="BG25" i="32"/>
  <c r="BF25" i="32"/>
  <c r="BI26" i="32"/>
  <c r="C26" i="27" a="1"/>
  <c r="C26" i="27"/>
  <c r="D26" i="27" a="1"/>
  <c r="D26" i="27"/>
  <c r="BG26" i="32"/>
  <c r="BF26" i="32"/>
  <c r="BI27" i="32"/>
  <c r="BG27" i="32"/>
  <c r="BF27" i="32"/>
  <c r="BI28" i="32"/>
  <c r="BG28" i="32"/>
  <c r="BF28" i="32"/>
  <c r="BI29" i="32"/>
  <c r="BG29" i="32"/>
  <c r="BF29" i="32"/>
  <c r="BJ14" i="32"/>
  <c r="F52" i="32"/>
  <c r="J53" i="32"/>
  <c r="BJ13" i="32"/>
  <c r="F51" i="32"/>
  <c r="J52" i="32"/>
  <c r="K52" i="32"/>
  <c r="H52" i="32"/>
  <c r="E26" i="27"/>
  <c r="BH26" i="32"/>
  <c r="G52" i="32"/>
  <c r="L26" i="32"/>
  <c r="E52" i="32"/>
  <c r="BJ12" i="32"/>
  <c r="F50" i="32"/>
  <c r="J51" i="32"/>
  <c r="K51" i="32"/>
  <c r="H51" i="32"/>
  <c r="E23" i="27"/>
  <c r="BH23" i="32"/>
  <c r="G51" i="32"/>
  <c r="L23" i="32"/>
  <c r="E51" i="32"/>
  <c r="J50" i="32"/>
  <c r="K50" i="32"/>
  <c r="H50" i="32"/>
  <c r="E14" i="27"/>
  <c r="BH14" i="32"/>
  <c r="G50" i="32"/>
  <c r="L14" i="32"/>
  <c r="E50" i="32"/>
  <c r="J49" i="32"/>
  <c r="AT12" i="32"/>
  <c r="AR12" i="32"/>
  <c r="AQ12" i="32"/>
  <c r="AT13" i="32"/>
  <c r="AR13" i="32"/>
  <c r="AQ13" i="32"/>
  <c r="AT14" i="32"/>
  <c r="AR14" i="32"/>
  <c r="AQ14" i="32"/>
  <c r="AT15" i="32"/>
  <c r="AR15" i="32"/>
  <c r="AQ15" i="32"/>
  <c r="AT16" i="32"/>
  <c r="AR16" i="32"/>
  <c r="AQ16" i="32"/>
  <c r="AT17" i="32"/>
  <c r="C17" i="27" a="1"/>
  <c r="C17" i="27"/>
  <c r="D17" i="27" a="1"/>
  <c r="D17" i="27"/>
  <c r="AR17" i="32"/>
  <c r="AQ17" i="32"/>
  <c r="AT21" i="32"/>
  <c r="AR21" i="32"/>
  <c r="AQ21" i="32"/>
  <c r="AT22" i="32"/>
  <c r="AR22" i="32"/>
  <c r="AQ22" i="32"/>
  <c r="AT23" i="32"/>
  <c r="AR23" i="32"/>
  <c r="AQ23" i="32"/>
  <c r="AT24" i="32"/>
  <c r="AR24" i="32"/>
  <c r="AQ24" i="32"/>
  <c r="AT25" i="32"/>
  <c r="AR25" i="32"/>
  <c r="AQ25" i="32"/>
  <c r="AT26" i="32"/>
  <c r="AR26" i="32"/>
  <c r="AQ26" i="32"/>
  <c r="AT27" i="32"/>
  <c r="AR27" i="32"/>
  <c r="AQ27" i="32"/>
  <c r="AT28" i="32"/>
  <c r="AR28" i="32"/>
  <c r="AQ28" i="32"/>
  <c r="AT29" i="32"/>
  <c r="C29" i="27" a="1"/>
  <c r="C29" i="27"/>
  <c r="D29" i="27" a="1"/>
  <c r="D29" i="27"/>
  <c r="AR29" i="32"/>
  <c r="AQ29" i="32"/>
  <c r="AU14" i="32"/>
  <c r="F37" i="32"/>
  <c r="J38" i="32"/>
  <c r="AU13" i="32"/>
  <c r="F36" i="32"/>
  <c r="J37" i="32"/>
  <c r="K37" i="32"/>
  <c r="H37" i="32"/>
  <c r="E29" i="27"/>
  <c r="AS29" i="32"/>
  <c r="G37" i="32"/>
  <c r="L29" i="32"/>
  <c r="E37" i="32"/>
  <c r="AU12" i="32"/>
  <c r="F35" i="32"/>
  <c r="J36" i="32"/>
  <c r="K36" i="32"/>
  <c r="H36" i="32"/>
  <c r="AS23" i="32"/>
  <c r="G36" i="32"/>
  <c r="E36" i="32"/>
  <c r="J35" i="32"/>
  <c r="K35" i="32"/>
  <c r="H35" i="32"/>
  <c r="E17" i="27"/>
  <c r="AS17" i="32"/>
  <c r="G35" i="32"/>
  <c r="L17" i="32"/>
  <c r="E35" i="32"/>
  <c r="J34" i="32"/>
  <c r="BJ29" i="32"/>
  <c r="AU29" i="32"/>
  <c r="AE12" i="32"/>
  <c r="AC12" i="32"/>
  <c r="AB12" i="32"/>
  <c r="AE13" i="32"/>
  <c r="AC13" i="32"/>
  <c r="AB13" i="32"/>
  <c r="AE14" i="32"/>
  <c r="AC14" i="32"/>
  <c r="AB14" i="32"/>
  <c r="AE15" i="32"/>
  <c r="AC15" i="32"/>
  <c r="AB15" i="32"/>
  <c r="AE16" i="32"/>
  <c r="AC16" i="32"/>
  <c r="AB16" i="32"/>
  <c r="AE17" i="32"/>
  <c r="AC17" i="32"/>
  <c r="AB17" i="32"/>
  <c r="C20" i="27" a="1"/>
  <c r="C20" i="27"/>
  <c r="D20" i="27" a="1"/>
  <c r="D20" i="27"/>
  <c r="AC20" i="32"/>
  <c r="AB20" i="32"/>
  <c r="AE21" i="32"/>
  <c r="AC21" i="32"/>
  <c r="AB21" i="32"/>
  <c r="AE22" i="32"/>
  <c r="AC22" i="32"/>
  <c r="AB22" i="32"/>
  <c r="AE23" i="32"/>
  <c r="AC23" i="32"/>
  <c r="AB23" i="32"/>
  <c r="AE24" i="32"/>
  <c r="AC24" i="32"/>
  <c r="AB24" i="32"/>
  <c r="AE25" i="32"/>
  <c r="AC25" i="32"/>
  <c r="AB25" i="32"/>
  <c r="AE26" i="32"/>
  <c r="AC26" i="32"/>
  <c r="AB26" i="32"/>
  <c r="AE27" i="32"/>
  <c r="AC27" i="32"/>
  <c r="AB27" i="32"/>
  <c r="AE28" i="32"/>
  <c r="AC28" i="32"/>
  <c r="AB28" i="32"/>
  <c r="AE29" i="32"/>
  <c r="AC29" i="32"/>
  <c r="AB29" i="32"/>
  <c r="AF29" i="32"/>
  <c r="Z12" i="32"/>
  <c r="X12" i="32"/>
  <c r="W12" i="32"/>
  <c r="Z13" i="32"/>
  <c r="X13" i="32"/>
  <c r="W13" i="32"/>
  <c r="Z14" i="32"/>
  <c r="X14" i="32"/>
  <c r="W14" i="32"/>
  <c r="Z15" i="32"/>
  <c r="X15" i="32"/>
  <c r="W15" i="32"/>
  <c r="Z16" i="32"/>
  <c r="X16" i="32"/>
  <c r="W16" i="32"/>
  <c r="Z17" i="32"/>
  <c r="X17" i="32"/>
  <c r="W17" i="32"/>
  <c r="X20" i="32"/>
  <c r="W20" i="32"/>
  <c r="Z21" i="32"/>
  <c r="X21" i="32"/>
  <c r="W21" i="32"/>
  <c r="Z22" i="32"/>
  <c r="X22" i="32"/>
  <c r="W22" i="32"/>
  <c r="Z23" i="32"/>
  <c r="X23" i="32"/>
  <c r="W23" i="32"/>
  <c r="Z24" i="32"/>
  <c r="X24" i="32"/>
  <c r="W24" i="32"/>
  <c r="Z25" i="32"/>
  <c r="X25" i="32"/>
  <c r="W25" i="32"/>
  <c r="Z26" i="32"/>
  <c r="X26" i="32"/>
  <c r="W26" i="32"/>
  <c r="Z27" i="32"/>
  <c r="X27" i="32"/>
  <c r="W27" i="32"/>
  <c r="Z28" i="32"/>
  <c r="X28" i="32"/>
  <c r="W28" i="32"/>
  <c r="Z29" i="32"/>
  <c r="X29" i="32"/>
  <c r="W29" i="32"/>
  <c r="AA29" i="32"/>
  <c r="BJ28" i="32"/>
  <c r="AU28" i="32"/>
  <c r="AF28" i="32"/>
  <c r="AA28" i="32"/>
  <c r="BJ27" i="32"/>
  <c r="AU27" i="32"/>
  <c r="AF27" i="32"/>
  <c r="AA27" i="32"/>
  <c r="BJ26" i="32"/>
  <c r="AU26" i="32"/>
  <c r="AF26" i="32"/>
  <c r="AA26" i="32"/>
  <c r="BJ25" i="32"/>
  <c r="AU25" i="32"/>
  <c r="AF25" i="32"/>
  <c r="AA25" i="32"/>
  <c r="BJ24" i="32"/>
  <c r="AU24" i="32"/>
  <c r="AF24" i="32"/>
  <c r="AA24" i="32"/>
  <c r="BJ23" i="32"/>
  <c r="AU23" i="32"/>
  <c r="AF23" i="32"/>
  <c r="AA23" i="32"/>
  <c r="AF14" i="32"/>
  <c r="F22" i="32"/>
  <c r="J23" i="32"/>
  <c r="BJ22" i="32"/>
  <c r="AU22" i="32"/>
  <c r="AF22" i="32"/>
  <c r="AA22" i="32"/>
  <c r="AF13" i="32"/>
  <c r="F21" i="32"/>
  <c r="J22" i="32"/>
  <c r="K22" i="32"/>
  <c r="H22" i="32"/>
  <c r="E20" i="27"/>
  <c r="AD20" i="32"/>
  <c r="AD29" i="32"/>
  <c r="AD26" i="32"/>
  <c r="G22" i="32"/>
  <c r="L20" i="32"/>
  <c r="E22" i="32"/>
  <c r="BJ21" i="32"/>
  <c r="AU21" i="32"/>
  <c r="AF21" i="32"/>
  <c r="AA21" i="32"/>
  <c r="AF12" i="32"/>
  <c r="F20" i="32"/>
  <c r="E21" i="32"/>
  <c r="J21" i="32"/>
  <c r="K21" i="32"/>
  <c r="H21" i="32"/>
  <c r="AD17" i="32"/>
  <c r="G21" i="32"/>
  <c r="BJ20" i="32"/>
  <c r="AU20" i="32"/>
  <c r="AF20" i="32"/>
  <c r="AA20" i="32"/>
  <c r="E20" i="32"/>
  <c r="J20" i="32"/>
  <c r="K20" i="32"/>
  <c r="H20" i="32"/>
  <c r="AD14" i="32"/>
  <c r="G20" i="32"/>
  <c r="BJ19" i="32"/>
  <c r="AU19" i="32"/>
  <c r="AF19" i="32"/>
  <c r="AA19" i="32"/>
  <c r="J19" i="32"/>
  <c r="BJ18" i="32"/>
  <c r="AU18" i="32"/>
  <c r="AF18" i="32"/>
  <c r="AA18" i="32"/>
  <c r="AA14" i="32"/>
  <c r="F17" i="32"/>
  <c r="J18" i="32"/>
  <c r="BJ17" i="32"/>
  <c r="AU17" i="32"/>
  <c r="AF17" i="32"/>
  <c r="AA17" i="32"/>
  <c r="AA13" i="32"/>
  <c r="F16" i="32"/>
  <c r="J17" i="32"/>
  <c r="K17" i="32"/>
  <c r="H17" i="32"/>
  <c r="Y20" i="32"/>
  <c r="Y26" i="32"/>
  <c r="Y29" i="32"/>
  <c r="G17" i="32"/>
  <c r="E17" i="32"/>
  <c r="BJ16" i="32"/>
  <c r="AU16" i="32"/>
  <c r="AF16" i="32"/>
  <c r="AA16" i="32"/>
  <c r="AA12" i="32"/>
  <c r="F15" i="32"/>
  <c r="E16" i="32"/>
  <c r="J16" i="32"/>
  <c r="K16" i="32"/>
  <c r="H16" i="32"/>
  <c r="Y17" i="32"/>
  <c r="G16" i="32"/>
  <c r="BJ15" i="32"/>
  <c r="AU15" i="32"/>
  <c r="AF15" i="32"/>
  <c r="AA15" i="32"/>
  <c r="E15" i="32"/>
  <c r="J15" i="32"/>
  <c r="K15" i="32"/>
  <c r="H15" i="32"/>
  <c r="Y14" i="32"/>
  <c r="G15" i="32"/>
  <c r="J14" i="32"/>
  <c r="D15" i="27" a="1"/>
  <c r="D15" i="27"/>
  <c r="D24" i="27" a="1"/>
  <c r="D24" i="27"/>
  <c r="D21" i="27" a="1"/>
  <c r="D21" i="27"/>
  <c r="D18" i="27" a="1"/>
  <c r="D18" i="27"/>
  <c r="K31" i="27"/>
  <c r="S18" i="22"/>
  <c r="E18" i="27"/>
  <c r="E21" i="27"/>
  <c r="E24" i="27"/>
  <c r="E15" i="27"/>
  <c r="AA26" i="27"/>
  <c r="AT20" i="27"/>
  <c r="AT22" i="27"/>
  <c r="AS23" i="27" a="1"/>
  <c r="AS23" i="27"/>
  <c r="AA19" i="27"/>
  <c r="AT13" i="27"/>
  <c r="AT15" i="27"/>
  <c r="AA12" i="27"/>
  <c r="AI27" i="6"/>
  <c r="AG27" i="6"/>
  <c r="AB27" i="6"/>
  <c r="AA27" i="6"/>
  <c r="Z27" i="6"/>
  <c r="Y27" i="6"/>
  <c r="AI26" i="6"/>
  <c r="AG26" i="6"/>
  <c r="AB26" i="6"/>
  <c r="AA26" i="6"/>
  <c r="Z26" i="6"/>
  <c r="Y26" i="6"/>
  <c r="AI25" i="6"/>
  <c r="AG25" i="6"/>
  <c r="AB25" i="6"/>
  <c r="AA25" i="6"/>
  <c r="Z25" i="6"/>
  <c r="Y25" i="6"/>
  <c r="AI24" i="6"/>
  <c r="AG24" i="6"/>
  <c r="AB24" i="6"/>
  <c r="AA24" i="6"/>
  <c r="Z24" i="6"/>
  <c r="Y24" i="6"/>
  <c r="AI23" i="6"/>
  <c r="AG23" i="6"/>
  <c r="AB23" i="6"/>
  <c r="AA23" i="6"/>
  <c r="Z23" i="6"/>
  <c r="Y23" i="6"/>
  <c r="AI22" i="6"/>
  <c r="AG22" i="6"/>
  <c r="AB22" i="6"/>
  <c r="AA22" i="6"/>
  <c r="Z22" i="6"/>
  <c r="Y22" i="6"/>
  <c r="W23" i="6"/>
  <c r="W24" i="6"/>
  <c r="W25" i="6"/>
  <c r="W26" i="6"/>
  <c r="W27" i="6"/>
  <c r="AR27" i="6"/>
  <c r="AR26" i="6"/>
  <c r="AR25" i="6"/>
  <c r="AR24" i="6"/>
  <c r="AR23" i="6"/>
  <c r="AR22" i="6"/>
  <c r="I12" i="21"/>
  <c r="C13" i="21" a="1"/>
  <c r="C13" i="21"/>
  <c r="E13" i="21"/>
  <c r="I13" i="21"/>
  <c r="I14" i="21"/>
  <c r="I15" i="21"/>
  <c r="C16" i="21" a="1"/>
  <c r="C16" i="21"/>
  <c r="E16" i="21"/>
  <c r="C15" i="21" a="1"/>
  <c r="C15" i="21"/>
  <c r="E15" i="21"/>
  <c r="C14" i="21" a="1"/>
  <c r="C14" i="21"/>
  <c r="E14" i="21"/>
  <c r="I16" i="21"/>
  <c r="C17" i="21" a="1"/>
  <c r="C17" i="21"/>
  <c r="E17" i="21"/>
  <c r="I12" i="24"/>
  <c r="C13" i="24" a="1"/>
  <c r="C13" i="24"/>
  <c r="E13" i="24"/>
  <c r="I13" i="24"/>
  <c r="C14" i="24" a="1"/>
  <c r="C14" i="24"/>
  <c r="E14" i="24"/>
  <c r="I14" i="24"/>
  <c r="C15" i="24" a="1"/>
  <c r="C15" i="24"/>
  <c r="E15" i="24"/>
  <c r="I15" i="24"/>
  <c r="C17" i="24" a="1"/>
  <c r="C17" i="24"/>
  <c r="C18" i="24"/>
  <c r="E18" i="24"/>
  <c r="E17" i="24"/>
  <c r="C20" i="24"/>
  <c r="C21" i="24"/>
  <c r="D17" i="24" a="1"/>
  <c r="D17" i="24"/>
  <c r="D18" i="24" a="1"/>
  <c r="D18" i="24"/>
  <c r="D20" i="24"/>
  <c r="D21" i="24"/>
  <c r="I23" i="24"/>
  <c r="S16" i="22"/>
  <c r="D15" i="24" a="1"/>
  <c r="D15" i="24"/>
  <c r="D14" i="24" a="1"/>
  <c r="D14" i="24"/>
  <c r="D13" i="24" a="1"/>
  <c r="D13" i="24"/>
  <c r="D17" i="21" a="1"/>
  <c r="D17" i="21"/>
  <c r="I19" i="21"/>
  <c r="S15" i="22"/>
  <c r="D14" i="21" a="1"/>
  <c r="D14" i="21"/>
  <c r="D15" i="21" a="1"/>
  <c r="D15" i="21"/>
  <c r="D16" i="21" a="1"/>
  <c r="D16" i="21"/>
  <c r="D13" i="21" a="1"/>
  <c r="D13" i="21"/>
  <c r="I17" i="21"/>
  <c r="Z17" i="21"/>
  <c r="AB17" i="21"/>
  <c r="AC17" i="21"/>
  <c r="W17" i="21"/>
  <c r="G23" i="21"/>
  <c r="X17" i="21"/>
  <c r="G24" i="21"/>
  <c r="Z16" i="21"/>
  <c r="AB16" i="21"/>
  <c r="AC16" i="21"/>
  <c r="W16" i="21"/>
  <c r="G25" i="21"/>
  <c r="X16" i="21"/>
  <c r="G26" i="21"/>
  <c r="Z15" i="21"/>
  <c r="AB15" i="21"/>
  <c r="AC15" i="21"/>
  <c r="W15" i="21"/>
  <c r="G27" i="21"/>
  <c r="X15" i="21"/>
  <c r="G28" i="21"/>
  <c r="Z14" i="21"/>
  <c r="AB14" i="21"/>
  <c r="AC14" i="21"/>
  <c r="W14" i="21"/>
  <c r="G29" i="21"/>
  <c r="X14" i="21"/>
  <c r="G30" i="21"/>
  <c r="Z13" i="21"/>
  <c r="AB13" i="21"/>
  <c r="AC13" i="21"/>
  <c r="W13" i="21"/>
  <c r="G31" i="21"/>
  <c r="X13" i="21"/>
  <c r="G32" i="21"/>
  <c r="Z12" i="21"/>
  <c r="AB12" i="21"/>
  <c r="AC12" i="21"/>
  <c r="W12" i="21"/>
  <c r="G33" i="21"/>
  <c r="X12" i="21"/>
  <c r="G34" i="21"/>
  <c r="I17" i="24"/>
  <c r="Z17" i="24"/>
  <c r="AB17" i="24"/>
  <c r="AC17" i="24"/>
  <c r="W17" i="24"/>
  <c r="G21" i="24"/>
  <c r="G18" i="24"/>
  <c r="Z18" i="24"/>
  <c r="AB18" i="24"/>
  <c r="AC18" i="24"/>
  <c r="W18" i="24"/>
  <c r="I21" i="24"/>
  <c r="Z21" i="24"/>
  <c r="AB21" i="24"/>
  <c r="AC21" i="24"/>
  <c r="W21" i="24"/>
  <c r="G27" i="24"/>
  <c r="X21" i="24"/>
  <c r="G28" i="24"/>
  <c r="X17" i="24"/>
  <c r="G20" i="24"/>
  <c r="X18" i="24"/>
  <c r="I20" i="24"/>
  <c r="Z20" i="24"/>
  <c r="AB20" i="24"/>
  <c r="AC20" i="24"/>
  <c r="W20" i="24"/>
  <c r="G29" i="24"/>
  <c r="X20" i="24"/>
  <c r="G30" i="24"/>
  <c r="Z15" i="24"/>
  <c r="AB15" i="24"/>
  <c r="AC15" i="24"/>
  <c r="W15" i="24"/>
  <c r="G31" i="24"/>
  <c r="X15" i="24"/>
  <c r="G32" i="24"/>
  <c r="Z14" i="24"/>
  <c r="AB14" i="24"/>
  <c r="AC14" i="24"/>
  <c r="W14" i="24"/>
  <c r="G33" i="24"/>
  <c r="X14" i="24"/>
  <c r="G34" i="24"/>
  <c r="Z13" i="24"/>
  <c r="AB13" i="24"/>
  <c r="AC13" i="24"/>
  <c r="W13" i="24"/>
  <c r="G35" i="24"/>
  <c r="X13" i="24"/>
  <c r="G36" i="24"/>
  <c r="Z12" i="24"/>
  <c r="AB12" i="24"/>
  <c r="AC12" i="24"/>
  <c r="W12" i="24"/>
  <c r="G37" i="24"/>
  <c r="X12" i="24"/>
  <c r="G38" i="24"/>
  <c r="I12" i="26"/>
  <c r="Z12" i="26"/>
  <c r="AB12" i="26"/>
  <c r="AC12" i="26"/>
  <c r="W12" i="26"/>
  <c r="G16" i="26"/>
  <c r="G13" i="26"/>
  <c r="Z13" i="26"/>
  <c r="AB13" i="26"/>
  <c r="AC13" i="26"/>
  <c r="W13" i="26"/>
  <c r="I16" i="26"/>
  <c r="Z16" i="26"/>
  <c r="AB16" i="26"/>
  <c r="AC16" i="26"/>
  <c r="W16" i="26"/>
  <c r="G22" i="26"/>
  <c r="X16" i="26"/>
  <c r="G23" i="26"/>
  <c r="X12" i="26"/>
  <c r="G15" i="26"/>
  <c r="X13" i="26"/>
  <c r="I15" i="26"/>
  <c r="Z15" i="26"/>
  <c r="AB15" i="26"/>
  <c r="AC15" i="26"/>
  <c r="W15" i="26"/>
  <c r="G24" i="26"/>
  <c r="X15" i="26"/>
  <c r="G25" i="26"/>
  <c r="O12" i="32"/>
  <c r="T12" i="32"/>
  <c r="Y12" i="32"/>
  <c r="AD12" i="32"/>
  <c r="AI12" i="32"/>
  <c r="AS12" i="32"/>
  <c r="AX12" i="32"/>
  <c r="BC12" i="32"/>
  <c r="BH12" i="32"/>
  <c r="BM12" i="32"/>
  <c r="T13" i="32"/>
  <c r="Y13" i="32"/>
  <c r="AD13" i="32"/>
  <c r="AS13" i="32"/>
  <c r="AX13" i="32"/>
  <c r="BH13" i="32"/>
  <c r="BM13" i="32"/>
  <c r="O14" i="32"/>
  <c r="T14" i="32"/>
  <c r="AI14" i="32"/>
  <c r="AS14" i="32"/>
  <c r="AX14" i="32"/>
  <c r="BC14" i="32"/>
  <c r="BM14" i="32"/>
  <c r="O15" i="32"/>
  <c r="T15" i="32"/>
  <c r="Y15" i="32"/>
  <c r="AD15" i="32"/>
  <c r="AI15" i="32"/>
  <c r="AS15" i="32"/>
  <c r="AX15" i="32"/>
  <c r="BC15" i="32"/>
  <c r="BH15" i="32"/>
  <c r="BM15" i="32"/>
  <c r="Y16" i="32"/>
  <c r="AD16" i="32"/>
  <c r="AS16" i="32"/>
  <c r="AX16" i="32"/>
  <c r="BC16" i="32"/>
  <c r="BH16" i="32"/>
  <c r="O17" i="32"/>
  <c r="T17" i="32"/>
  <c r="AI17" i="32"/>
  <c r="AX17" i="32"/>
  <c r="BC17" i="32"/>
  <c r="BH17" i="32"/>
  <c r="BM17" i="32"/>
  <c r="O21" i="32"/>
  <c r="T21" i="32"/>
  <c r="Y21" i="32"/>
  <c r="AD21" i="32"/>
  <c r="AI21" i="32"/>
  <c r="AS21" i="32"/>
  <c r="AX21" i="32"/>
  <c r="BC21" i="32"/>
  <c r="BH21" i="32"/>
  <c r="BM21" i="32"/>
  <c r="O22" i="32"/>
  <c r="T22" i="32"/>
  <c r="Y22" i="32"/>
  <c r="AD22" i="32"/>
  <c r="AI22" i="32"/>
  <c r="AS22" i="32"/>
  <c r="AX22" i="32"/>
  <c r="BH22" i="32"/>
  <c r="O23" i="32"/>
  <c r="T23" i="32"/>
  <c r="Y23" i="32"/>
  <c r="AD23" i="32"/>
  <c r="AI23" i="32"/>
  <c r="AX23" i="32"/>
  <c r="BC23" i="32"/>
  <c r="BM23" i="32"/>
  <c r="O24" i="32"/>
  <c r="T24" i="32"/>
  <c r="Y24" i="32"/>
  <c r="AD24" i="32"/>
  <c r="AI24" i="32"/>
  <c r="AS24" i="32"/>
  <c r="AX24" i="32"/>
  <c r="BC24" i="32"/>
  <c r="BH24" i="32"/>
  <c r="BM24" i="32"/>
  <c r="O25" i="32"/>
  <c r="Y25" i="32"/>
  <c r="AD25" i="32"/>
  <c r="AS25" i="32"/>
  <c r="AX25" i="32"/>
  <c r="BH25" i="32"/>
  <c r="BM25" i="32"/>
  <c r="O26" i="32"/>
  <c r="T26" i="32"/>
  <c r="AI26" i="32"/>
  <c r="AS26" i="32"/>
  <c r="AX26" i="32"/>
  <c r="BC26" i="32"/>
  <c r="BM26" i="32"/>
  <c r="O27" i="32"/>
  <c r="Y27" i="32"/>
  <c r="AD27" i="32"/>
  <c r="AS27" i="32"/>
  <c r="BC27" i="32"/>
  <c r="BH27" i="32"/>
  <c r="BM27" i="32"/>
  <c r="T28" i="32"/>
  <c r="Y28" i="32"/>
  <c r="AD28" i="32"/>
  <c r="AI28" i="32"/>
  <c r="AS28" i="32"/>
  <c r="AX28" i="32"/>
  <c r="BC28" i="32"/>
  <c r="BH28" i="32"/>
  <c r="O29" i="32"/>
  <c r="T29" i="32"/>
  <c r="AI29" i="32"/>
  <c r="AX29" i="32"/>
  <c r="BC29" i="32"/>
  <c r="BH29" i="32"/>
  <c r="BM29" i="32"/>
  <c r="AL20" i="6"/>
  <c r="AM20" i="6"/>
  <c r="AN20" i="6"/>
  <c r="AO20" i="6"/>
  <c r="AP20" i="6"/>
  <c r="AQ20" i="6"/>
  <c r="Z17" i="17"/>
  <c r="Z18" i="17"/>
  <c r="Z19" i="17"/>
  <c r="Z20" i="17"/>
  <c r="Z21"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AB15" i="27"/>
  <c r="I37" i="27"/>
  <c r="AB14" i="27"/>
  <c r="I36" i="27"/>
  <c r="AB13" i="27"/>
  <c r="I35" i="27"/>
  <c r="AB12" i="27"/>
  <c r="I34" i="27"/>
  <c r="AA13" i="27"/>
  <c r="AA14" i="27"/>
  <c r="AA15" i="27"/>
  <c r="AM15" i="27"/>
  <c r="AM14" i="27"/>
  <c r="AM13" i="27"/>
  <c r="AM12" i="27"/>
  <c r="AK15" i="27"/>
  <c r="AK14" i="27"/>
  <c r="AK13" i="27"/>
  <c r="AK12" i="27"/>
  <c r="AF13" i="27"/>
  <c r="AF12" i="27"/>
  <c r="AF15" i="27"/>
  <c r="AF14" i="27"/>
  <c r="AE15" i="27"/>
  <c r="AE14" i="27"/>
  <c r="AE13" i="27"/>
  <c r="AE12" i="27"/>
  <c r="AD15" i="27"/>
  <c r="AD14" i="27"/>
  <c r="AD13" i="27"/>
  <c r="AD12" i="27"/>
  <c r="AC15" i="27"/>
  <c r="AC14" i="27"/>
  <c r="AC13" i="27"/>
  <c r="AC12" i="27"/>
  <c r="Z18" i="28"/>
  <c r="Z19" i="28"/>
  <c r="Z20" i="28"/>
  <c r="Z21" i="28"/>
  <c r="Z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AA20" i="27"/>
  <c r="AA21" i="27"/>
  <c r="AA22" i="27"/>
  <c r="AC19" i="27"/>
  <c r="AD19" i="27"/>
  <c r="AE19" i="27"/>
  <c r="AF19" i="27"/>
  <c r="AK19" i="27"/>
  <c r="AM19" i="27"/>
  <c r="AC20" i="27"/>
  <c r="AD20" i="27"/>
  <c r="AE20" i="27"/>
  <c r="AF20" i="27"/>
  <c r="AK20" i="27"/>
  <c r="AM20" i="27"/>
  <c r="AC21" i="27"/>
  <c r="AD21" i="27"/>
  <c r="AE21" i="27"/>
  <c r="AF21" i="27"/>
  <c r="AK21" i="27"/>
  <c r="AM21" i="27"/>
  <c r="AC22" i="27"/>
  <c r="AD22" i="27"/>
  <c r="AE22" i="27"/>
  <c r="AF22" i="27"/>
  <c r="AK22" i="27"/>
  <c r="AM22" i="27"/>
  <c r="AB20" i="27"/>
  <c r="I39" i="27"/>
  <c r="AB21" i="27"/>
  <c r="I40" i="27"/>
  <c r="AB22" i="27"/>
  <c r="I41" i="27"/>
  <c r="AB19" i="27"/>
  <c r="I38" i="27"/>
  <c r="AA27" i="27"/>
  <c r="AA28" i="27"/>
  <c r="AA29" i="27"/>
  <c r="AC26" i="27"/>
  <c r="AD26" i="27"/>
  <c r="AE26" i="27"/>
  <c r="AF26" i="27"/>
  <c r="AK26" i="27"/>
  <c r="AM26" i="27"/>
  <c r="AC27" i="27"/>
  <c r="AD27" i="27"/>
  <c r="AE27" i="27"/>
  <c r="AF27" i="27"/>
  <c r="AK27" i="27"/>
  <c r="AM27" i="27"/>
  <c r="AC28" i="27"/>
  <c r="AD28" i="27"/>
  <c r="AE28" i="27"/>
  <c r="AF28" i="27"/>
  <c r="AK28" i="27"/>
  <c r="AM28" i="27"/>
  <c r="AC29" i="27"/>
  <c r="AD29" i="27"/>
  <c r="AE29" i="27"/>
  <c r="AF29" i="27"/>
  <c r="AK29" i="27"/>
  <c r="AM29" i="27"/>
  <c r="AB26" i="27"/>
  <c r="I42" i="27"/>
  <c r="AB29" i="27"/>
  <c r="I45" i="27"/>
  <c r="AB28" i="27"/>
  <c r="I44" i="27"/>
  <c r="AB27" i="27"/>
  <c r="I43" i="27"/>
</calcChain>
</file>

<file path=xl/sharedStrings.xml><?xml version="1.0" encoding="utf-8"?>
<sst xmlns="http://schemas.openxmlformats.org/spreadsheetml/2006/main" count="1794" uniqueCount="414">
  <si>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</si>
  <si>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</si>
  <si>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</si>
  <si>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</si>
  <si>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</si>
  <si>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</si>
  <si>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</si>
  <si>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</si>
  <si>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</si>
  <si>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</si>
  <si>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</si>
  <si>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</si>
  <si>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</si>
  <si>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</si>
  <si>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</si>
  <si>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</si>
  <si>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</si>
  <si>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</si>
  <si>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</si>
  <si>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</si>
  <si>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</si>
  <si>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</si>
  <si>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</si>
  <si>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</si>
  <si>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</si>
  <si>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</si>
  <si>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</si>
  <si>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</si>
  <si>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</si>
  <si>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</si>
  <si>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</si>
  <si>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</si>
  <si>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</si>
  <si>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</si>
  <si>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</si>
  <si>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</si>
  <si>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</si>
  <si>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</si>
  <si>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</si>
  <si>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</si>
  <si>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</si>
  <si>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</si>
  <si>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</si>
  <si>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</si>
  <si>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</si>
  <si>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</si>
  <si>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</si>
  <si>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</si>
  <si>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</si>
  <si>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</si>
  <si>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</si>
  <si>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</si>
  <si>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</si>
  <si>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</si>
  <si>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</si>
  <si>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</si>
  <si>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</si>
  <si>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</si>
  <si>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</si>
  <si>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</si>
  <si>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</si>
  <si>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</si>
  <si>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</si>
  <si>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</si>
  <si>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</si>
  <si>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</si>
  <si>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</si>
  <si>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</si>
  <si>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</si>
  <si>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</si>
  <si>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</si>
  <si>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</si>
  <si>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</si>
  <si>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</si>
  <si>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</si>
  <si>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</si>
  <si>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</si>
  <si>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</si>
  <si>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</si>
  <si>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</si>
  <si>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</si>
  <si>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</si>
  <si>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</si>
  <si>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</si>
  <si>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</si>
  <si>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</si>
  <si>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</si>
  <si>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</si>
  <si>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</si>
  <si>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</si>
  <si>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</si>
  <si>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</si>
  <si>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</si>
  <si>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</si>
  <si>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</si>
  <si>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</si>
  <si>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</si>
  <si>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</si>
  <si>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</si>
  <si>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</si>
  <si>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</si>
  <si>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</si>
  <si>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</si>
  <si>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</si>
  <si>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</si>
  <si>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</si>
  <si>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</si>
  <si>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</si>
  <si>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</si>
  <si>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</si>
  <si>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</si>
  <si>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</si>
  <si>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</si>
  <si>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</si>
  <si>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</si>
  <si>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</si>
  <si>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</si>
  <si>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</si>
  <si>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</si>
  <si>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</si>
  <si>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</si>
  <si>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</si>
  <si>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</si>
  <si>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</si>
  <si>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</si>
  <si>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</si>
  <si>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</si>
  <si>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</si>
  <si>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</si>
  <si>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</si>
  <si>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</si>
  <si>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</si>
  <si>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</si>
  <si>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</si>
  <si>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</si>
  <si>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</si>
  <si>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</si>
  <si>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</si>
  <si>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</si>
  <si>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</si>
  <si>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</si>
  <si>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</si>
  <si>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</si>
  <si>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</si>
  <si>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</si>
  <si>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</si>
  <si>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</si>
  <si>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</si>
  <si>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</si>
  <si>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</si>
  <si>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</si>
  <si>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</si>
  <si>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</si>
  <si>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</si>
  <si>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</si>
  <si>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</si>
  <si>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</si>
  <si>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</si>
  <si>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</si>
  <si>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</si>
  <si>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</si>
  <si>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</si>
  <si>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</si>
  <si>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</si>
  <si>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</si>
  <si>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</si>
  <si>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</si>
  <si>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</si>
  <si>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</si>
  <si>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</si>
  <si>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</si>
  <si>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</si>
  <si>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</si>
  <si>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</si>
  <si>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</si>
  <si>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</si>
  <si>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</si>
  <si>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</si>
  <si>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</si>
  <si>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</si>
  <si>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</si>
  <si>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</si>
  <si>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</si>
  <si>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</si>
  <si>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</si>
  <si>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</si>
  <si>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</si>
  <si>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</si>
  <si>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</si>
  <si>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</si>
  <si>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</si>
  <si>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</si>
  <si>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</si>
  <si>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</si>
  <si>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</si>
  <si>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</si>
  <si>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</si>
  <si>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</si>
  <si>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</si>
  <si>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</si>
  <si>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 Break Vorrunde</t>
  </si>
  <si>
    <t>Tie break preliminary round</t>
  </si>
  <si>
    <t>6A - 6B</t>
  </si>
  <si>
    <t>5A - 5B</t>
  </si>
  <si>
    <t>4A - 4B</t>
  </si>
  <si>
    <t>3A - 3B</t>
  </si>
  <si>
    <t>2A - 2B</t>
  </si>
  <si>
    <t>1A - 1B</t>
  </si>
  <si>
    <t>Zusätzl. Pause (min)</t>
  </si>
  <si>
    <t>Addit. Pause (min)</t>
  </si>
  <si>
    <t>Turnierende:</t>
  </si>
  <si>
    <t>Tournament end:</t>
  </si>
  <si>
    <t>End of preliminary round:</t>
  </si>
  <si>
    <t>Ende der Vorrunde:</t>
  </si>
  <si>
    <t>Playing time per match:</t>
  </si>
  <si>
    <t>Spielzeit pro Spiel:</t>
  </si>
  <si>
    <t>Change time:</t>
  </si>
  <si>
    <t>Wechselzeit:</t>
  </si>
  <si>
    <t>Field</t>
  </si>
  <si>
    <t>Rang</t>
  </si>
  <si>
    <t>Rank</t>
  </si>
  <si>
    <t>1A - 2B</t>
  </si>
  <si>
    <t>1B - 2A</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</si>
  <si>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</si>
  <si>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</si>
  <si>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</si>
  <si>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</si>
  <si>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</si>
  <si>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</si>
  <si>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</si>
  <si>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</si>
  <si>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</si>
  <si>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</si>
  <si>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</si>
  <si>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</si>
  <si>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</si>
  <si>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</si>
  <si>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</si>
  <si>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</si>
  <si>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</si>
  <si>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</si>
  <si>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Mainz 05</t>
  </si>
  <si>
    <t>Inter Mailand</t>
  </si>
  <si>
    <t>Manchester City</t>
  </si>
  <si>
    <t>SSV Wildbach</t>
  </si>
  <si>
    <t>FC Grönlingen</t>
  </si>
  <si>
    <t>Sporthalle Wiesengrund, Wendiger Str. 51, 65432 Riedwald</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</si>
  <si>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</si>
  <si>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</si>
  <si>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</si>
  <si>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</si>
  <si>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</si>
  <si>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</si>
  <si>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</si>
  <si>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</si>
  <si>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</si>
  <si>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</si>
  <si>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</si>
  <si>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</si>
  <si>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</si>
  <si>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</si>
  <si>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</si>
  <si>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</si>
  <si>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</si>
  <si>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</si>
  <si>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</si>
  <si>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</si>
  <si>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</si>
  <si>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</si>
  <si>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</si>
  <si>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</si>
  <si>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</si>
  <si>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</si>
  <si>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</si>
  <si>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</si>
  <si>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</si>
  <si>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</si>
  <si>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</si>
  <si>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</si>
  <si>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</si>
  <si>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</si>
  <si>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</si>
  <si>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</si>
  <si>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</si>
  <si>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</si>
  <si>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</si>
  <si>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</si>
  <si>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</si>
  <si>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</si>
  <si>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</si>
  <si>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</si>
  <si>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</si>
  <si>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</si>
  <si>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</si>
  <si>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</si>
  <si>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</si>
  <si>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</si>
  <si>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</si>
  <si>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</si>
  <si>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</si>
  <si>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</si>
  <si>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</si>
  <si>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</si>
  <si>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</si>
  <si>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</si>
  <si>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</si>
  <si>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</si>
  <si>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</si>
  <si>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</si>
  <si>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</si>
  <si>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</si>
  <si>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</si>
  <si>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1st set</t>
  </si>
  <si>
    <t>1. Satz</t>
  </si>
  <si>
    <t>2nd set</t>
  </si>
  <si>
    <t>2. Satz</t>
  </si>
  <si>
    <t>balls</t>
  </si>
  <si>
    <t>Bälle</t>
  </si>
  <si>
    <t>3rd set</t>
  </si>
  <si>
    <t>3. Satz</t>
  </si>
  <si>
    <t>Sets won</t>
  </si>
  <si>
    <t>result</t>
  </si>
  <si>
    <t>Pts+ GD</t>
  </si>
  <si>
    <t>Tie-Break</t>
  </si>
  <si>
    <t>Tie break</t>
  </si>
  <si>
    <t>invalid 1</t>
  </si>
  <si>
    <t>invalid 2</t>
  </si>
  <si>
    <t>invalid 3</t>
  </si>
  <si>
    <t>Tie break final round 4</t>
  </si>
  <si>
    <t>Tie Break Endrunde 4</t>
  </si>
  <si>
    <t>Team IDs</t>
  </si>
  <si>
    <t>Team-Kürzel</t>
  </si>
  <si>
    <t>e.g.  A2 - A4</t>
  </si>
  <si>
    <t>z.B.  A2 - A4</t>
  </si>
  <si>
    <t>Winner</t>
  </si>
  <si>
    <t>Sieger</t>
  </si>
  <si>
    <t>Red font means that the ranking is not clear even with the direct comparison. A playoff match or drawing of lots must decide here.</t>
  </si>
  <si>
    <t>Rote Schrift bedeutet, dass die Rangfolge auch mit dem direkten Vergleich nicht geklärt ist. Ein Entscheidungsspiel oder Los muss hier entscheiden.</t>
  </si>
  <si>
    <t>Ball difference or ball quotient</t>
  </si>
  <si>
    <t>Balldifferenz oder Ballquotient</t>
  </si>
  <si>
    <t>Ball difference</t>
  </si>
  <si>
    <t>Balldifferenz</t>
  </si>
  <si>
    <t>Ball quotient</t>
  </si>
  <si>
    <t>Ballquotient</t>
  </si>
  <si>
    <t>Diff./Quot.</t>
  </si>
  <si>
    <t>max quot.</t>
  </si>
  <si>
    <t>Quot.</t>
  </si>
  <si>
    <t>Nr of dec places</t>
  </si>
  <si>
    <t>Display in the crosstabs of the preliminary round:</t>
  </si>
  <si>
    <t>Anzeige in den Kreuztabellen der Vorrunde:</t>
  </si>
  <si>
    <t>Ball points</t>
  </si>
  <si>
    <t>Ballpunkte</t>
  </si>
  <si>
    <t>Set points</t>
  </si>
  <si>
    <t>Satzpunkte</t>
  </si>
  <si>
    <t>Ball/Set points</t>
  </si>
  <si>
    <t>3rd set?</t>
  </si>
  <si>
    <t>winner</t>
  </si>
  <si>
    <t>looser</t>
  </si>
  <si>
    <t>valid 3</t>
  </si>
  <si>
    <t>valid 1 + 2</t>
  </si>
  <si>
    <t>Diff/Quot</t>
  </si>
  <si>
    <t>Sets lost</t>
  </si>
  <si>
    <t>sets</t>
  </si>
  <si>
    <t>Sätze</t>
  </si>
  <si>
    <t>Schiedsrichter</t>
  </si>
  <si>
    <t>Referee</t>
  </si>
  <si>
    <t>bonus</t>
  </si>
  <si>
    <t>Bonus</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</si>
  <si>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</si>
  <si>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</si>
  <si>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</si>
  <si>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</si>
  <si>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</si>
  <si>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</si>
  <si>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</si>
  <si>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</si>
  <si>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</si>
  <si>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</si>
  <si>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</si>
  <si>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</si>
  <si>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</si>
  <si>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</si>
  <si>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</si>
  <si>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</si>
  <si>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</si>
  <si>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</si>
  <si>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</si>
  <si>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</si>
  <si>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</si>
  <si>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</si>
  <si>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</si>
  <si>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GD/Quot</t>
  </si>
  <si>
    <t>Sets diff</t>
  </si>
  <si>
    <t>rank</t>
  </si>
  <si>
    <t>&lt;-- max(A;B;C;D) --&gt;</t>
  </si>
  <si>
    <t>Pts/Sets won</t>
  </si>
  <si>
    <t>TieBr+PO</t>
  </si>
  <si>
    <t>DirC + TieBr/PO</t>
  </si>
  <si>
    <t>playoffs</t>
  </si>
  <si>
    <t>Sets</t>
  </si>
  <si>
    <t>Balls</t>
  </si>
  <si>
    <t>pts/sets</t>
  </si>
  <si>
    <t>Diff</t>
  </si>
  <si>
    <t>Dzero</t>
  </si>
  <si>
    <t>sets won</t>
  </si>
  <si>
    <t>goals</t>
  </si>
  <si>
    <t xml:space="preserve"> - </t>
  </si>
  <si>
    <t xml:space="preserve"> : </t>
  </si>
  <si>
    <t>Balldifferenz oder Ballquotient:</t>
  </si>
  <si>
    <t>Ball difference or ball quotient:</t>
  </si>
  <si>
    <t>z.B.  1A - 2B</t>
  </si>
  <si>
    <t>e.g.  1A - 2B</t>
  </si>
  <si>
    <t>Version  2.0
18.08.2025</t>
  </si>
  <si>
    <t>Internationales U10-Turnier am 18.08.2025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</si>
</sst>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1"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b/>
      <sz val="14"/>
      <color rgb="FFDA0000"/>
      <name val="Calibri"/>
      <family val="2"/>
      <scheme val="minor"/>
    </font>
    <font>
      <sz val="10"/>
      <color rgb="FFDA0000"/>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20"/>
      <color rgb="FF0070C0"/>
      <name val="Arial"/>
      <family val="2"/>
    </font>
    <font>
      <b/>
      <sz val="8"/>
      <name val="Arial"/>
      <family val="2"/>
    </font>
    <font>
      <b/>
      <sz val="9"/>
      <name val="Arial"/>
      <family val="2"/>
    </font>
    <font>
      <sz val="9"/>
      <name val="Arial"/>
      <family val="2"/>
    </font>
    <font>
      <sz val="9"/>
      <color theme="5"/>
      <name val="Arial"/>
      <family val="2"/>
    </font>
    <font>
      <b/>
      <sz val="16"/>
      <color rgb="FF0070C0"/>
      <name val="Calibri"/>
      <family val="2"/>
    </font>
    <font>
      <sz val="11"/>
      <color theme="8" tint="-0.499984740745262"/>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99">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medium">
        <color theme="2" tint="-0.499984740745262"/>
      </right>
      <top style="thin">
        <color theme="2" tint="-0.24994659260841701"/>
      </top>
      <bottom/>
      <diagonal/>
    </border>
    <border>
      <left style="thin">
        <color theme="2" tint="-0.499984740745262"/>
      </left>
      <right style="thin">
        <color theme="2" tint="-0.24994659260841701"/>
      </right>
      <top style="thick">
        <color theme="2" tint="-0.499984740745262"/>
      </top>
      <bottom style="thin">
        <color theme="2" tint="-0.499984740745262"/>
      </bottom>
      <diagonal/>
    </border>
    <border>
      <left style="thin">
        <color theme="2" tint="-0.24994659260841701"/>
      </left>
      <right/>
      <top style="thin">
        <color theme="2" tint="-0.24994659260841701"/>
      </top>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bottom style="thin">
        <color theme="2" tint="-0.24994659260841701"/>
      </bottom>
      <diagonal/>
    </border>
    <border>
      <left/>
      <right style="medium">
        <color theme="2" tint="-0.499984740745262"/>
      </right>
      <top style="thin">
        <color theme="2" tint="-0.24994659260841701"/>
      </top>
      <bottom style="thick">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style="thick">
        <color theme="9" tint="0.39991454817346722"/>
      </left>
      <right/>
      <top/>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9" tint="0.39994506668294322"/>
      </left>
      <right/>
      <top/>
      <bottom/>
      <diagonal/>
    </border>
    <border>
      <left style="thin">
        <color theme="2" tint="-0.24994659260841701"/>
      </left>
      <right style="medium">
        <color theme="2" tint="-0.499984740745262"/>
      </right>
      <top style="thick">
        <color theme="2" tint="-0.499984740745262"/>
      </top>
      <bottom style="thin">
        <color theme="2" tint="-0.499984740745262"/>
      </bottom>
      <diagonal/>
    </border>
    <border>
      <left/>
      <right style="thin">
        <color theme="2" tint="-0.24994659260841701"/>
      </right>
      <top style="thin">
        <color theme="2" tint="-0.24994659260841701"/>
      </top>
      <bottom/>
      <diagonal/>
    </border>
    <border>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24994659260841701"/>
      </top>
      <bottom/>
      <diagonal/>
    </border>
    <border>
      <left style="medium">
        <color theme="2" tint="-0.499984740745262"/>
      </left>
      <right/>
      <top/>
      <bottom style="thick">
        <color theme="2" tint="-0.499984740745262"/>
      </bottom>
      <diagonal/>
    </border>
    <border>
      <left/>
      <right style="thick">
        <color theme="9" tint="0.39994506668294322"/>
      </right>
      <top/>
      <bottom/>
      <diagonal/>
    </border>
    <border>
      <left style="thin">
        <color auto="1"/>
      </left>
      <right style="thin">
        <color auto="1"/>
      </right>
      <top style="thin">
        <color auto="1"/>
      </top>
      <bottom style="thin">
        <color theme="2" tint="-0.24994659260841701"/>
      </bottom>
      <diagonal/>
    </border>
    <border>
      <left style="thin">
        <color auto="1"/>
      </left>
      <right style="thin">
        <color auto="1"/>
      </right>
      <top style="thin">
        <color theme="2" tint="-0.24994659260841701"/>
      </top>
      <bottom style="thin">
        <color theme="2" tint="-0.24994659260841701"/>
      </bottom>
      <diagonal/>
    </border>
    <border>
      <left style="thin">
        <color auto="1"/>
      </left>
      <right style="thin">
        <color auto="1"/>
      </right>
      <top style="thin">
        <color theme="2" tint="-0.24994659260841701"/>
      </top>
      <bottom style="thin">
        <color auto="1"/>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1021">
    <xf numFmtId="0" fontId="0" fillId="0" borderId="0" xfId="0"/>
    <xf numFmtId="0" fontId="7" fillId="0" borderId="0" xfId="0" applyNumberFormat="1" applyFont="1" applyFill="1" applyAlignment="1" applyProtection="1">
      <alignment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18" fillId="0" borderId="0" xfId="0" applyFont="1"/>
    <xf numFmtId="0" fontId="21" fillId="0" borderId="55" xfId="0" applyFont="1" applyBorder="1" applyAlignment="1">
      <alignment horizontal="center" vertical="center"/>
    </xf>
    <xf numFmtId="0" fontId="21" fillId="0" borderId="69" xfId="0" applyFont="1" applyBorder="1" applyAlignment="1">
      <alignment horizontal="left" vertical="center"/>
    </xf>
    <xf numFmtId="0" fontId="21" fillId="0" borderId="50" xfId="0" applyFont="1" applyBorder="1" applyAlignment="1">
      <alignment horizontal="right" vertical="center"/>
    </xf>
    <xf numFmtId="0" fontId="18" fillId="0" borderId="0" xfId="0" applyNumberFormat="1" applyFont="1" applyAlignment="1">
      <alignment horizontal="center"/>
    </xf>
    <xf numFmtId="165" fontId="18" fillId="0" borderId="0" xfId="0" applyNumberFormat="1" applyFont="1" applyAlignment="1">
      <alignment horizontal="center" vertical="center"/>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6" xfId="0" applyFill="1" applyBorder="1" applyAlignment="1" applyProtection="1">
      <alignment horizontal="left" indent="1"/>
      <protection locked="0"/>
    </xf>
    <xf numFmtId="0" fontId="0" fillId="13" borderId="97" xfId="0" applyFill="1" applyBorder="1" applyAlignment="1" applyProtection="1">
      <alignment horizontal="left" indent="1"/>
      <protection locked="0"/>
    </xf>
    <xf numFmtId="0" fontId="0" fillId="14" borderId="98" xfId="0" applyFill="1" applyBorder="1" applyAlignment="1" applyProtection="1">
      <alignment horizontal="left" indent="1"/>
      <protection locked="0"/>
    </xf>
    <xf numFmtId="0" fontId="36" fillId="0" borderId="91" xfId="0" applyFont="1" applyFill="1" applyBorder="1" applyAlignment="1">
      <alignment horizontal="left" indent="1"/>
    </xf>
    <xf numFmtId="0" fontId="0" fillId="0" borderId="92" xfId="0" applyBorder="1" applyAlignment="1">
      <alignment horizontal="left" indent="1"/>
    </xf>
    <xf numFmtId="0" fontId="0" fillId="0" borderId="99" xfId="0" applyBorder="1" applyAlignment="1">
      <alignment horizontal="left" indent="1"/>
    </xf>
    <xf numFmtId="0" fontId="36" fillId="0" borderId="94" xfId="0" applyFont="1" applyFill="1" applyBorder="1" applyAlignment="1">
      <alignment horizontal="left" indent="1"/>
    </xf>
    <xf numFmtId="0" fontId="0" fillId="0" borderId="0" xfId="0" applyBorder="1" applyAlignment="1">
      <alignment horizontal="left" indent="1"/>
    </xf>
    <xf numFmtId="0" fontId="0" fillId="0" borderId="90"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8" xfId="0" applyFill="1" applyBorder="1" applyAlignment="1" applyProtection="1">
      <alignment horizontal="left" vertical="top" wrapText="1" indent="1"/>
      <protection locked="0"/>
    </xf>
    <xf numFmtId="0" fontId="0" fillId="12" borderId="96"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101" xfId="0" applyFill="1" applyBorder="1" applyAlignment="1" applyProtection="1">
      <alignment horizontal="left" vertical="top" wrapText="1" indent="1"/>
      <protection locked="0"/>
    </xf>
    <xf numFmtId="0" fontId="0" fillId="13" borderId="95" xfId="0" applyFill="1" applyBorder="1" applyAlignment="1" applyProtection="1">
      <alignment horizontal="left" vertical="top" indent="1"/>
      <protection locked="0"/>
    </xf>
    <xf numFmtId="0" fontId="4" fillId="12" borderId="96"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top" wrapText="1" indent="1"/>
      <protection locked="0"/>
    </xf>
    <xf numFmtId="0" fontId="4" fillId="12" borderId="96" xfId="0" applyFont="1" applyFill="1" applyBorder="1" applyAlignment="1" applyProtection="1">
      <alignment horizontal="left" indent="1"/>
      <protection locked="0"/>
    </xf>
    <xf numFmtId="0" fontId="4" fillId="14" borderId="98" xfId="0" applyFont="1" applyFill="1" applyBorder="1" applyAlignment="1" applyProtection="1">
      <alignment horizontal="left" indent="1"/>
      <protection locked="0"/>
    </xf>
    <xf numFmtId="0" fontId="4" fillId="14" borderId="98" xfId="0" applyFont="1" applyFill="1" applyBorder="1" applyAlignment="1">
      <alignment horizontal="left" indent="1"/>
    </xf>
    <xf numFmtId="0" fontId="4" fillId="13" borderId="97" xfId="0" applyFont="1" applyFill="1" applyBorder="1" applyAlignment="1" applyProtection="1">
      <alignment horizontal="left" indent="1"/>
      <protection locked="0"/>
    </xf>
    <xf numFmtId="0" fontId="4" fillId="12" borderId="100" xfId="0" applyFont="1" applyFill="1" applyBorder="1" applyAlignment="1" applyProtection="1">
      <alignment horizontal="left" vertical="top" indent="1"/>
      <protection locked="0"/>
    </xf>
    <xf numFmtId="0" fontId="4" fillId="14" borderId="98" xfId="0" applyFont="1" applyFill="1" applyBorder="1" applyAlignment="1" applyProtection="1">
      <alignment horizontal="left" vertical="top" indent="1"/>
      <protection locked="0"/>
    </xf>
    <xf numFmtId="0" fontId="4" fillId="0" borderId="0" xfId="0" applyFont="1"/>
    <xf numFmtId="0" fontId="32" fillId="0" borderId="0" xfId="0" applyFont="1" applyBorder="1" applyAlignment="1">
      <alignment horizontal="left" vertical="center" wrapText="1"/>
    </xf>
    <xf numFmtId="0" fontId="4" fillId="12" borderId="102" xfId="0" applyFont="1" applyFill="1" applyBorder="1" applyAlignment="1" applyProtection="1">
      <alignment horizontal="left" vertical="top" indent="1"/>
      <protection locked="0"/>
    </xf>
    <xf numFmtId="0" fontId="1" fillId="13" borderId="89" xfId="0" applyFont="1" applyFill="1" applyBorder="1" applyAlignment="1" applyProtection="1">
      <alignment horizontal="center" vertical="center"/>
      <protection locked="0"/>
    </xf>
    <xf numFmtId="0" fontId="4" fillId="14" borderId="94" xfId="0" applyFont="1" applyFill="1" applyBorder="1" applyAlignment="1" applyProtection="1">
      <alignment horizontal="left" vertical="top" indent="1"/>
      <protection locked="0"/>
    </xf>
    <xf numFmtId="0" fontId="20" fillId="0" borderId="110" xfId="0" applyFont="1" applyBorder="1" applyAlignment="1">
      <alignment horizontal="center" vertical="center"/>
    </xf>
    <xf numFmtId="0" fontId="20" fillId="0" borderId="44" xfId="0" applyFont="1" applyBorder="1" applyAlignment="1">
      <alignment horizontal="center" vertical="center"/>
    </xf>
    <xf numFmtId="0" fontId="20" fillId="0" borderId="47" xfId="0" applyFont="1" applyBorder="1" applyAlignment="1">
      <alignment horizontal="center" vertical="center"/>
    </xf>
    <xf numFmtId="0" fontId="31" fillId="13" borderId="111" xfId="0" applyFont="1" applyFill="1" applyBorder="1" applyAlignment="1">
      <alignment horizontal="center" vertical="center"/>
    </xf>
    <xf numFmtId="164" fontId="20" fillId="0" borderId="34" xfId="0" applyNumberFormat="1" applyFont="1" applyBorder="1" applyAlignment="1">
      <alignment horizontal="center" vertical="center"/>
    </xf>
    <xf numFmtId="164" fontId="20" fillId="0" borderId="35" xfId="0" applyNumberFormat="1" applyFont="1" applyBorder="1" applyAlignment="1">
      <alignment horizontal="center" vertical="center"/>
    </xf>
    <xf numFmtId="0" fontId="18" fillId="13" borderId="33" xfId="0" applyFont="1" applyFill="1" applyBorder="1"/>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4" xfId="0" applyFont="1" applyFill="1" applyBorder="1" applyAlignment="1">
      <alignment horizontal="center" vertical="center"/>
    </xf>
    <xf numFmtId="0" fontId="31" fillId="13" borderId="115" xfId="0" applyFont="1" applyFill="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31" fillId="13" borderId="113" xfId="0" applyFont="1" applyFill="1" applyBorder="1" applyAlignment="1">
      <alignment horizontal="center" vertical="center"/>
    </xf>
    <xf numFmtId="0" fontId="40" fillId="0" borderId="114" xfId="0" applyFont="1" applyBorder="1" applyAlignment="1">
      <alignment horizontal="center" vertical="center"/>
    </xf>
    <xf numFmtId="0" fontId="40" fillId="0" borderId="49" xfId="0" applyFont="1" applyBorder="1" applyAlignment="1">
      <alignment horizontal="center" vertical="center"/>
    </xf>
    <xf numFmtId="0" fontId="40" fillId="0" borderId="51" xfId="0" applyFont="1" applyBorder="1" applyAlignment="1">
      <alignment horizontal="center" vertical="center"/>
    </xf>
    <xf numFmtId="165" fontId="21" fillId="13" borderId="119" xfId="0" applyNumberFormat="1" applyFont="1" applyFill="1" applyBorder="1" applyAlignment="1">
      <alignment horizontal="center" vertical="center"/>
    </xf>
    <xf numFmtId="165" fontId="21" fillId="13" borderId="111"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21" xfId="0" applyFont="1" applyFill="1" applyBorder="1" applyAlignment="1">
      <alignment horizontal="center" vertical="center"/>
    </xf>
    <xf numFmtId="0" fontId="20" fillId="0" borderId="122" xfId="0" applyFont="1" applyBorder="1" applyAlignment="1">
      <alignment horizontal="center" vertical="center"/>
    </xf>
    <xf numFmtId="0" fontId="20" fillId="0" borderId="124" xfId="0" applyFont="1" applyBorder="1" applyAlignment="1">
      <alignment horizontal="center" vertical="center"/>
    </xf>
    <xf numFmtId="0" fontId="4" fillId="12" borderId="96" xfId="0" applyFont="1" applyFill="1" applyBorder="1" applyAlignment="1" applyProtection="1">
      <alignment horizontal="left" vertical="top" wrapText="1" indent="1"/>
      <protection locked="0"/>
    </xf>
    <xf numFmtId="0" fontId="7" fillId="0" borderId="37" xfId="0" applyNumberFormat="1" applyFont="1" applyFill="1" applyBorder="1" applyAlignment="1" applyProtection="1">
      <alignment horizontal="center" vertical="center"/>
      <protection hidden="1"/>
    </xf>
    <xf numFmtId="0" fontId="7" fillId="0" borderId="36" xfId="0" applyNumberFormat="1" applyFont="1" applyFill="1" applyBorder="1" applyAlignment="1" applyProtection="1">
      <alignment horizontal="center" vertical="center"/>
      <protection hidden="1"/>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31" fillId="13" borderId="130" xfId="0" applyFont="1" applyFill="1" applyBorder="1" applyAlignment="1">
      <alignment horizontal="center" vertical="center"/>
    </xf>
    <xf numFmtId="0" fontId="20" fillId="0" borderId="120" xfId="0" applyFont="1" applyBorder="1" applyAlignment="1">
      <alignment horizontal="center" vertical="center"/>
    </xf>
    <xf numFmtId="0" fontId="20" fillId="0" borderId="55" xfId="0" applyFont="1" applyBorder="1" applyAlignment="1">
      <alignment horizontal="center" vertical="center"/>
    </xf>
    <xf numFmtId="0" fontId="20" fillId="0" borderId="56" xfId="0" applyFont="1" applyBorder="1" applyAlignment="1">
      <alignment horizontal="center" vertical="center"/>
    </xf>
    <xf numFmtId="165" fontId="21" fillId="13" borderId="133" xfId="0" applyNumberFormat="1" applyFont="1" applyFill="1" applyBorder="1" applyAlignment="1">
      <alignment horizontal="center" vertical="center"/>
    </xf>
    <xf numFmtId="0" fontId="20" fillId="0" borderId="134" xfId="0" applyFont="1" applyBorder="1" applyAlignment="1">
      <alignment horizontal="center" vertical="center"/>
    </xf>
    <xf numFmtId="0" fontId="20" fillId="0" borderId="45" xfId="0" applyFont="1" applyBorder="1" applyAlignment="1">
      <alignment horizontal="center" vertical="center"/>
    </xf>
    <xf numFmtId="0" fontId="20" fillId="8" borderId="48"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102" xfId="0" applyFont="1" applyFill="1" applyBorder="1" applyAlignment="1" applyProtection="1">
      <alignment horizontal="left" vertical="top" wrapText="1" indent="1"/>
      <protection locked="0"/>
    </xf>
    <xf numFmtId="0" fontId="4" fillId="14" borderId="94"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18" fillId="0" borderId="0" xfId="0" applyFont="1" applyProtection="1"/>
    <xf numFmtId="0" fontId="21" fillId="0" borderId="0" xfId="0" applyFont="1" applyProtection="1"/>
    <xf numFmtId="0" fontId="47" fillId="0" borderId="0" xfId="0" applyFont="1" applyBorder="1" applyAlignment="1">
      <alignment horizontal="left" vertical="center" wrapText="1"/>
    </xf>
    <xf numFmtId="0" fontId="48" fillId="0" borderId="0" xfId="0" applyFont="1" applyAlignment="1">
      <alignment horizontal="right" indent="1"/>
    </xf>
    <xf numFmtId="167" fontId="23" fillId="0" borderId="44" xfId="0" applyNumberFormat="1" applyFont="1" applyBorder="1" applyAlignment="1">
      <alignment horizontal="center" vertical="center"/>
    </xf>
    <xf numFmtId="0" fontId="23" fillId="0" borderId="110" xfId="0" applyNumberFormat="1" applyFont="1" applyBorder="1" applyAlignment="1">
      <alignment horizontal="center" vertical="center"/>
    </xf>
    <xf numFmtId="0" fontId="23" fillId="0" borderId="44" xfId="0" applyNumberFormat="1" applyFont="1" applyBorder="1" applyAlignment="1">
      <alignment horizontal="center" vertical="center"/>
    </xf>
    <xf numFmtId="167" fontId="23" fillId="0" borderId="47" xfId="0" applyNumberFormat="1" applyFont="1" applyBorder="1" applyAlignment="1">
      <alignment horizontal="center" vertical="center"/>
    </xf>
    <xf numFmtId="0" fontId="23" fillId="0" borderId="47" xfId="0" applyNumberFormat="1" applyFont="1" applyBorder="1" applyAlignment="1">
      <alignment horizontal="center" vertical="center"/>
    </xf>
    <xf numFmtId="0" fontId="21" fillId="0" borderId="56" xfId="0" applyFont="1" applyBorder="1" applyAlignment="1">
      <alignment horizontal="center" vertical="center"/>
    </xf>
    <xf numFmtId="0" fontId="21" fillId="0" borderId="146" xfId="0" applyFont="1" applyBorder="1" applyAlignment="1">
      <alignment horizontal="right" vertical="center"/>
    </xf>
    <xf numFmtId="0" fontId="21" fillId="0" borderId="147" xfId="0" applyFont="1" applyBorder="1" applyAlignment="1">
      <alignment horizontal="center" vertical="center"/>
    </xf>
    <xf numFmtId="0" fontId="21" fillId="0" borderId="149" xfId="0" applyFont="1" applyBorder="1" applyAlignment="1">
      <alignment horizontal="left" vertical="center"/>
    </xf>
    <xf numFmtId="0" fontId="19" fillId="9" borderId="150" xfId="0" applyFont="1" applyFill="1" applyBorder="1" applyAlignment="1">
      <alignment horizontal="center"/>
    </xf>
    <xf numFmtId="0" fontId="19" fillId="9" borderId="113" xfId="0" applyFont="1" applyFill="1" applyBorder="1" applyAlignment="1">
      <alignment horizontal="center"/>
    </xf>
    <xf numFmtId="167" fontId="23" fillId="0" borderId="110" xfId="0" applyNumberFormat="1" applyFont="1" applyBorder="1" applyAlignment="1">
      <alignment horizontal="center" vertical="center"/>
    </xf>
    <xf numFmtId="0" fontId="20" fillId="0" borderId="131" xfId="0" applyFont="1" applyBorder="1" applyAlignment="1">
      <alignment horizontal="left" vertical="center"/>
    </xf>
    <xf numFmtId="0" fontId="20" fillId="0" borderId="123" xfId="0" applyFont="1" applyBorder="1" applyAlignment="1">
      <alignment horizontal="left" vertical="center"/>
    </xf>
    <xf numFmtId="0" fontId="20" fillId="0" borderId="132" xfId="0" applyFont="1" applyBorder="1" applyAlignment="1">
      <alignment horizontal="left" vertical="center"/>
    </xf>
    <xf numFmtId="0" fontId="6" fillId="0" borderId="44"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1"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65" xfId="0" applyFont="1" applyFill="1" applyBorder="1" applyAlignment="1">
      <alignment horizontal="center" vertical="center" shrinkToFit="1"/>
    </xf>
    <xf numFmtId="165" fontId="14" fillId="9" borderId="61" xfId="0" applyNumberFormat="1" applyFont="1" applyFill="1" applyBorder="1" applyAlignment="1">
      <alignment vertical="center" shrinkToFit="1"/>
    </xf>
    <xf numFmtId="165" fontId="14" fillId="9" borderId="70" xfId="0" applyNumberFormat="1" applyFont="1" applyFill="1" applyBorder="1" applyAlignment="1">
      <alignment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7" xfId="0" applyFont="1" applyBorder="1" applyAlignment="1">
      <alignment horizontal="right" vertical="center" shrinkToFit="1"/>
    </xf>
    <xf numFmtId="0" fontId="6" fillId="0" borderId="138" xfId="0" applyFont="1" applyBorder="1" applyAlignment="1">
      <alignment horizontal="center" vertical="center" shrinkToFit="1"/>
    </xf>
    <xf numFmtId="0" fontId="6" fillId="0" borderId="135" xfId="0" applyFont="1" applyBorder="1" applyAlignment="1">
      <alignment horizontal="left" vertical="center" shrinkToFit="1"/>
    </xf>
    <xf numFmtId="0" fontId="16" fillId="0" borderId="139" xfId="0" applyFont="1" applyBorder="1" applyAlignment="1">
      <alignment horizontal="center" vertical="center" shrinkToFit="1"/>
    </xf>
    <xf numFmtId="0" fontId="6" fillId="8" borderId="140" xfId="0" applyFont="1" applyFill="1" applyBorder="1" applyAlignment="1">
      <alignment horizontal="center" vertical="center" shrinkToFit="1"/>
    </xf>
    <xf numFmtId="0" fontId="6" fillId="0" borderId="139"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49" xfId="0" applyFont="1" applyBorder="1" applyAlignment="1">
      <alignment horizontal="center" vertical="center" shrinkToFit="1"/>
    </xf>
    <xf numFmtId="0" fontId="6" fillId="0" borderId="50" xfId="0" applyFont="1" applyBorder="1" applyAlignment="1">
      <alignment horizontal="center" vertical="center" shrinkToFit="1"/>
    </xf>
    <xf numFmtId="0" fontId="6" fillId="0" borderId="50"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49" xfId="0" applyFont="1" applyBorder="1" applyAlignment="1">
      <alignment horizontal="left" vertical="center" shrinkToFit="1"/>
    </xf>
    <xf numFmtId="0" fontId="16" fillId="0" borderId="45" xfId="0" applyFont="1" applyBorder="1" applyAlignment="1">
      <alignment horizontal="center" vertical="center" shrinkToFit="1"/>
    </xf>
    <xf numFmtId="0" fontId="6" fillId="0" borderId="43" xfId="0" applyFont="1" applyBorder="1" applyAlignment="1">
      <alignment horizontal="center" vertical="center" shrinkToFit="1"/>
    </xf>
    <xf numFmtId="0" fontId="6" fillId="8" borderId="44" xfId="0" applyFont="1" applyFill="1" applyBorder="1" applyAlignment="1">
      <alignment horizontal="center" vertical="center" shrinkToFit="1"/>
    </xf>
    <xf numFmtId="0" fontId="6" fillId="0" borderId="45"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1" xfId="0" applyFont="1" applyBorder="1" applyAlignment="1">
      <alignment horizontal="center" vertical="center" shrinkToFit="1"/>
    </xf>
    <xf numFmtId="0" fontId="6" fillId="0" borderId="47"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2"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1" xfId="0" applyFont="1" applyBorder="1" applyAlignment="1">
      <alignment horizontal="left" vertical="center" shrinkToFit="1"/>
    </xf>
    <xf numFmtId="0" fontId="16" fillId="0" borderId="48" xfId="0" applyFont="1" applyBorder="1" applyAlignment="1">
      <alignment horizontal="center" vertical="center" shrinkToFit="1"/>
    </xf>
    <xf numFmtId="0" fontId="6" fillId="0" borderId="46" xfId="0" applyFont="1" applyBorder="1" applyAlignment="1">
      <alignment horizontal="center" vertical="center" shrinkToFit="1"/>
    </xf>
    <xf numFmtId="0" fontId="6" fillId="8" borderId="48"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90" xfId="0" applyFill="1" applyBorder="1" applyAlignment="1" applyProtection="1">
      <alignment horizontal="left" indent="1"/>
      <protection locked="0"/>
    </xf>
    <xf numFmtId="0" fontId="21" fillId="0" borderId="159" xfId="0" applyFont="1" applyBorder="1" applyAlignment="1">
      <alignment horizontal="right" vertical="center"/>
    </xf>
    <xf numFmtId="0" fontId="21" fillId="0" borderId="42"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4" fillId="14" borderId="161" xfId="0" applyFont="1" applyFill="1" applyBorder="1" applyAlignment="1" applyProtection="1">
      <alignment horizontal="left" vertical="top" wrapText="1" indent="1"/>
      <protection locked="0"/>
    </xf>
    <xf numFmtId="0" fontId="4" fillId="12" borderId="162" xfId="0" applyFont="1" applyFill="1" applyBorder="1" applyAlignment="1" applyProtection="1">
      <alignment horizontal="left" vertical="top" wrapText="1" indent="1"/>
      <protection locked="0"/>
    </xf>
    <xf numFmtId="0" fontId="4" fillId="14" borderId="163" xfId="0" applyFont="1" applyFill="1" applyBorder="1" applyAlignment="1" applyProtection="1">
      <alignment horizontal="left" vertical="top" wrapText="1" indent="1"/>
      <protection locked="0"/>
    </xf>
    <xf numFmtId="0" fontId="4" fillId="12" borderId="164" xfId="0" applyFont="1" applyFill="1" applyBorder="1" applyAlignment="1" applyProtection="1">
      <alignment horizontal="left" vertical="top" wrapText="1" indent="1"/>
      <protection locked="0"/>
    </xf>
    <xf numFmtId="0" fontId="0" fillId="13" borderId="165"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indent="1"/>
      <protection locked="0"/>
    </xf>
    <xf numFmtId="0" fontId="0" fillId="12" borderId="168" xfId="0" applyFill="1" applyBorder="1" applyAlignment="1" applyProtection="1">
      <alignment horizontal="left" vertical="top" indent="1"/>
      <protection locked="0"/>
    </xf>
    <xf numFmtId="0" fontId="0" fillId="13" borderId="169"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3" borderId="171"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wrapText="1" indent="1"/>
      <protection locked="0"/>
    </xf>
    <xf numFmtId="0" fontId="0" fillId="12" borderId="167" xfId="0" applyFill="1" applyBorder="1" applyAlignment="1" applyProtection="1">
      <alignment horizontal="left" vertical="top" wrapText="1" indent="1"/>
      <protection locked="0"/>
    </xf>
    <xf numFmtId="0" fontId="0" fillId="14" borderId="172" xfId="0" applyFill="1" applyBorder="1" applyAlignment="1" applyProtection="1">
      <alignment horizontal="left" vertical="top" wrapText="1" indent="1"/>
      <protection locked="0"/>
    </xf>
    <xf numFmtId="0" fontId="0" fillId="12" borderId="173" xfId="0" applyFill="1" applyBorder="1" applyAlignment="1" applyProtection="1">
      <alignment horizontal="left" vertical="top" wrapText="1" indent="1"/>
      <protection locked="0"/>
    </xf>
    <xf numFmtId="0" fontId="0" fillId="13" borderId="174" xfId="0" applyFill="1" applyBorder="1" applyAlignment="1" applyProtection="1">
      <alignment horizontal="left" vertical="top" wrapText="1" indent="1"/>
      <protection locked="0"/>
    </xf>
    <xf numFmtId="0" fontId="39" fillId="0" borderId="0" xfId="0" applyFont="1"/>
    <xf numFmtId="0" fontId="4" fillId="12" borderId="166" xfId="0" applyFont="1" applyFill="1" applyBorder="1" applyAlignment="1" applyProtection="1">
      <alignment horizontal="left" vertical="top" indent="1"/>
      <protection locked="0"/>
    </xf>
    <xf numFmtId="0" fontId="14" fillId="9" borderId="53" xfId="0" applyFont="1" applyFill="1" applyBorder="1" applyAlignment="1">
      <alignment horizontal="center" vertical="center" shrinkToFit="1"/>
    </xf>
    <xf numFmtId="0" fontId="5" fillId="0" borderId="0" xfId="0" applyFont="1" applyBorder="1"/>
    <xf numFmtId="0" fontId="38" fillId="0" borderId="0" xfId="0" applyFont="1" applyAlignment="1"/>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0" fillId="0" borderId="0" xfId="0" applyFont="1" applyFill="1" applyBorder="1" applyAlignment="1" applyProtection="1">
      <alignment vertical="center"/>
    </xf>
    <xf numFmtId="164" fontId="24" fillId="0" borderId="0" xfId="0" applyNumberFormat="1" applyFont="1" applyFill="1" applyBorder="1" applyAlignment="1">
      <alignment vertical="center"/>
    </xf>
    <xf numFmtId="0" fontId="6" fillId="0" borderId="0" xfId="0" applyFont="1" applyFill="1" applyBorder="1" applyAlignment="1" applyProtection="1">
      <alignment horizontal="center" vertical="center" shrinkToFit="1"/>
    </xf>
    <xf numFmtId="167" fontId="49" fillId="0" borderId="0" xfId="0" applyNumberFormat="1" applyFont="1" applyFill="1" applyBorder="1" applyAlignment="1" applyProtection="1">
      <alignment horizontal="center" vertical="center" shrinkToFit="1"/>
    </xf>
    <xf numFmtId="0" fontId="49" fillId="0" borderId="0" xfId="0" applyFont="1" applyFill="1" applyBorder="1" applyAlignment="1" applyProtection="1">
      <alignment horizontal="center" vertical="center" shrinkToFit="1"/>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right" vertical="center" shrinkToFit="1"/>
    </xf>
    <xf numFmtId="0" fontId="6" fillId="0" borderId="0" xfId="0" applyFont="1" applyFill="1" applyBorder="1" applyAlignment="1" applyProtection="1">
      <alignment horizontal="lef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2"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4" fillId="0" borderId="0" xfId="0" applyFont="1" applyAlignment="1">
      <alignment vertical="center"/>
    </xf>
    <xf numFmtId="0" fontId="55" fillId="0" borderId="125" xfId="0" applyFont="1" applyBorder="1" applyAlignment="1">
      <alignment horizontal="center" vertical="center" shrinkToFit="1"/>
    </xf>
    <xf numFmtId="0" fontId="55" fillId="0" borderId="126" xfId="0" applyFont="1" applyBorder="1" applyAlignment="1">
      <alignment horizontal="center" vertical="center" shrinkToFit="1"/>
    </xf>
    <xf numFmtId="0" fontId="55" fillId="0" borderId="127" xfId="0" applyFont="1" applyBorder="1" applyAlignment="1">
      <alignment horizontal="center" vertical="center" shrinkToFit="1"/>
    </xf>
    <xf numFmtId="0" fontId="41" fillId="0" borderId="0" xfId="0" applyNumberFormat="1" applyFont="1" applyBorder="1" applyAlignment="1">
      <alignment vertical="top"/>
    </xf>
    <xf numFmtId="0" fontId="23" fillId="0" borderId="146" xfId="0" applyNumberFormat="1" applyFont="1" applyBorder="1" applyAlignment="1">
      <alignment horizontal="center" vertical="center"/>
    </xf>
    <xf numFmtId="0" fontId="23" fillId="0" borderId="50"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23" fillId="0" borderId="159"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81" xfId="0" applyFont="1" applyBorder="1" applyAlignment="1">
      <alignment horizontal="left" vertical="center" shrinkToFit="1"/>
    </xf>
    <xf numFmtId="0" fontId="38" fillId="0" borderId="0" xfId="0" applyFont="1" applyAlignment="1" applyProtection="1">
      <alignment horizontal="center" vertical="center" wrapText="1"/>
    </xf>
    <xf numFmtId="0" fontId="45" fillId="0" borderId="71"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41" fillId="0" borderId="0" xfId="0" applyNumberFormat="1" applyFont="1" applyFill="1" applyBorder="1" applyAlignment="1"/>
    <xf numFmtId="0" fontId="56" fillId="0" borderId="0" xfId="0" applyFont="1" applyAlignment="1" applyProtection="1"/>
    <xf numFmtId="0" fontId="58" fillId="0" borderId="71" xfId="0" applyFont="1" applyFill="1" applyBorder="1" applyAlignment="1"/>
    <xf numFmtId="0" fontId="58"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9" fillId="0" borderId="71"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6" xfId="0" applyFont="1" applyFill="1" applyBorder="1" applyAlignment="1" applyProtection="1">
      <alignment horizontal="right" vertical="center"/>
    </xf>
    <xf numFmtId="0" fontId="22" fillId="17" borderId="147" xfId="0" applyFont="1" applyFill="1" applyBorder="1" applyAlignment="1" applyProtection="1">
      <alignment horizontal="center" vertical="center"/>
    </xf>
    <xf numFmtId="0" fontId="22" fillId="17" borderId="148" xfId="0" applyFont="1" applyFill="1" applyBorder="1" applyAlignment="1" applyProtection="1">
      <alignment horizontal="left" vertical="center"/>
    </xf>
    <xf numFmtId="0" fontId="22" fillId="17" borderId="50" xfId="0" applyFont="1" applyFill="1" applyBorder="1" applyAlignment="1" applyProtection="1">
      <alignment horizontal="right" vertical="center"/>
    </xf>
    <xf numFmtId="0" fontId="22" fillId="17" borderId="55" xfId="0" applyFont="1" applyFill="1" applyBorder="1" applyAlignment="1" applyProtection="1">
      <alignment horizontal="center" vertical="center"/>
    </xf>
    <xf numFmtId="0" fontId="22" fillId="17" borderId="49" xfId="0" applyFont="1" applyFill="1" applyBorder="1" applyAlignment="1" applyProtection="1">
      <alignment horizontal="left" vertical="center"/>
    </xf>
    <xf numFmtId="0" fontId="22" fillId="17" borderId="52" xfId="0" applyFont="1" applyFill="1" applyBorder="1" applyAlignment="1" applyProtection="1">
      <alignment horizontal="right" vertical="center"/>
    </xf>
    <xf numFmtId="0" fontId="22" fillId="17" borderId="56" xfId="0" applyFont="1" applyFill="1" applyBorder="1" applyAlignment="1" applyProtection="1">
      <alignment horizontal="center" vertical="center"/>
    </xf>
    <xf numFmtId="0" fontId="22" fillId="17" borderId="51" xfId="0" applyFont="1" applyFill="1" applyBorder="1" applyAlignment="1" applyProtection="1">
      <alignment horizontal="left" vertical="center"/>
    </xf>
    <xf numFmtId="0" fontId="18" fillId="0" borderId="0" xfId="0" applyFont="1" applyAlignment="1">
      <alignment vertical="center"/>
    </xf>
    <xf numFmtId="0" fontId="20" fillId="10" borderId="55" xfId="0" applyFont="1" applyFill="1" applyBorder="1" applyAlignment="1" applyProtection="1">
      <alignment horizontal="center" vertical="center"/>
      <protection locked="0"/>
    </xf>
    <xf numFmtId="0" fontId="20" fillId="10" borderId="69" xfId="0" applyFont="1" applyFill="1" applyBorder="1" applyAlignment="1" applyProtection="1">
      <alignment horizontal="center" vertical="center"/>
      <protection locked="0"/>
    </xf>
    <xf numFmtId="0" fontId="20" fillId="10" borderId="56" xfId="0" applyFont="1" applyFill="1" applyBorder="1" applyAlignment="1" applyProtection="1">
      <alignment horizontal="center" vertical="center"/>
      <protection locked="0"/>
    </xf>
    <xf numFmtId="0" fontId="20" fillId="10" borderId="184" xfId="0" applyFont="1" applyFill="1" applyBorder="1" applyAlignment="1" applyProtection="1">
      <alignment horizontal="center" vertical="center"/>
      <protection locked="0"/>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20" fillId="0" borderId="49" xfId="0" applyFont="1" applyBorder="1" applyAlignment="1">
      <alignment horizontal="left" vertical="center"/>
    </xf>
    <xf numFmtId="0" fontId="20" fillId="0" borderId="51" xfId="0" applyFont="1" applyBorder="1" applyAlignment="1">
      <alignment horizontal="left" vertical="center"/>
    </xf>
    <xf numFmtId="0" fontId="61" fillId="0" borderId="44" xfId="0" applyFont="1" applyBorder="1" applyAlignment="1">
      <alignment horizontal="center" vertical="center"/>
    </xf>
    <xf numFmtId="0" fontId="61" fillId="0" borderId="47" xfId="0" applyFont="1" applyBorder="1" applyAlignment="1">
      <alignment horizontal="center" vertical="center"/>
    </xf>
    <xf numFmtId="0" fontId="61" fillId="0" borderId="185" xfId="0" applyFont="1" applyBorder="1" applyAlignment="1">
      <alignment horizontal="center" vertical="center"/>
    </xf>
    <xf numFmtId="0" fontId="20" fillId="0" borderId="146" xfId="0" applyFont="1" applyBorder="1" applyAlignment="1">
      <alignment horizontal="left" vertical="center"/>
    </xf>
    <xf numFmtId="0" fontId="20" fillId="0" borderId="147" xfId="0" applyFont="1" applyBorder="1" applyAlignment="1">
      <alignment horizontal="center" vertical="center"/>
    </xf>
    <xf numFmtId="0" fontId="20" fillId="0" borderId="148" xfId="0" applyFont="1" applyBorder="1" applyAlignment="1">
      <alignment horizontal="left" vertical="center"/>
    </xf>
    <xf numFmtId="0" fontId="14" fillId="9" borderId="111" xfId="0" applyFont="1" applyFill="1" applyBorder="1" applyAlignment="1">
      <alignment horizontal="center" vertical="center"/>
    </xf>
    <xf numFmtId="0" fontId="20" fillId="10" borderId="146" xfId="0" applyFont="1" applyFill="1" applyBorder="1" applyAlignment="1" applyProtection="1">
      <alignment horizontal="center" vertical="center"/>
      <protection locked="0"/>
    </xf>
    <xf numFmtId="0" fontId="20" fillId="10" borderId="149"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20" fillId="10" borderId="147" xfId="0" applyFont="1" applyFill="1" applyBorder="1" applyAlignment="1">
      <alignment horizontal="center" vertical="center"/>
    </xf>
    <xf numFmtId="0" fontId="20" fillId="10" borderId="55" xfId="0" applyFont="1" applyFill="1" applyBorder="1" applyAlignment="1">
      <alignment horizontal="center" vertical="center"/>
    </xf>
    <xf numFmtId="0" fontId="20" fillId="10" borderId="71" xfId="0" applyFont="1" applyFill="1" applyBorder="1" applyAlignment="1">
      <alignment horizontal="center" vertical="center"/>
    </xf>
    <xf numFmtId="0" fontId="21" fillId="0" borderId="185" xfId="0" applyFont="1" applyBorder="1" applyAlignment="1">
      <alignment horizontal="center" vertical="center"/>
    </xf>
    <xf numFmtId="0" fontId="21" fillId="0" borderId="186" xfId="0" applyFont="1" applyBorder="1" applyAlignment="1">
      <alignment horizontal="center" vertical="center"/>
    </xf>
    <xf numFmtId="0" fontId="14" fillId="9" borderId="113" xfId="0" applyFont="1" applyFill="1" applyBorder="1" applyAlignment="1">
      <alignment horizontal="center" vertical="center"/>
    </xf>
    <xf numFmtId="167" fontId="21" fillId="0" borderId="148"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1" xfId="0" applyNumberFormat="1" applyFont="1" applyBorder="1" applyAlignment="1">
      <alignment horizontal="center" vertical="center"/>
    </xf>
    <xf numFmtId="0" fontId="14" fillId="0" borderId="40"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147" xfId="0" applyFont="1" applyFill="1" applyBorder="1" applyAlignment="1" applyProtection="1">
      <alignment horizontal="center" vertical="center"/>
      <protection locked="0"/>
    </xf>
    <xf numFmtId="0" fontId="20" fillId="10" borderId="187" xfId="0" applyFont="1" applyFill="1" applyBorder="1" applyAlignment="1" applyProtection="1">
      <alignment horizontal="center" vertical="center"/>
      <protection locked="0"/>
    </xf>
    <xf numFmtId="0" fontId="20" fillId="10" borderId="188" xfId="0" applyFont="1" applyFill="1" applyBorder="1" applyAlignment="1" applyProtection="1">
      <alignment horizontal="center" vertical="center"/>
      <protection locked="0"/>
    </xf>
    <xf numFmtId="0" fontId="20" fillId="10" borderId="189"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0" borderId="191"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4" xfId="0" applyFont="1" applyBorder="1" applyAlignment="1">
      <alignment horizontal="center" vertical="center"/>
    </xf>
    <xf numFmtId="0" fontId="61" fillId="0" borderId="194" xfId="0" applyFont="1" applyBorder="1" applyAlignment="1">
      <alignment horizontal="center" vertical="center"/>
    </xf>
    <xf numFmtId="0" fontId="20" fillId="0" borderId="195" xfId="0" applyFont="1" applyBorder="1" applyAlignment="1">
      <alignment horizontal="left" vertical="center"/>
    </xf>
    <xf numFmtId="0" fontId="20" fillId="0" borderId="142" xfId="0" applyFont="1" applyBorder="1" applyAlignment="1">
      <alignment horizontal="center" vertical="center"/>
    </xf>
    <xf numFmtId="0" fontId="20" fillId="0" borderId="196" xfId="0" applyFont="1" applyBorder="1" applyAlignment="1">
      <alignment horizontal="left" vertical="center"/>
    </xf>
    <xf numFmtId="0" fontId="20" fillId="10" borderId="195" xfId="0" applyFont="1" applyFill="1" applyBorder="1" applyAlignment="1" applyProtection="1">
      <alignment horizontal="center" vertical="center"/>
      <protection locked="0"/>
    </xf>
    <xf numFmtId="0" fontId="20" fillId="10" borderId="142"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1" fillId="0" borderId="47" xfId="0" applyFont="1" applyBorder="1" applyAlignment="1">
      <alignment horizontal="center" vertical="center"/>
    </xf>
    <xf numFmtId="0" fontId="20" fillId="10" borderId="56" xfId="0" applyFont="1" applyFill="1" applyBorder="1" applyAlignment="1">
      <alignment horizontal="center" vertical="center"/>
    </xf>
    <xf numFmtId="0" fontId="21" fillId="0" borderId="110" xfId="0" applyFont="1" applyBorder="1" applyAlignment="1">
      <alignment horizontal="center" vertical="center"/>
    </xf>
    <xf numFmtId="0" fontId="61" fillId="0" borderId="110" xfId="0" applyFont="1" applyBorder="1" applyAlignment="1">
      <alignment horizontal="center" vertical="center"/>
    </xf>
    <xf numFmtId="0" fontId="20" fillId="0" borderId="197" xfId="0" applyFont="1" applyBorder="1" applyAlignment="1">
      <alignment horizontal="left" vertical="center"/>
    </xf>
    <xf numFmtId="0" fontId="20" fillId="0" borderId="114" xfId="0" applyFont="1" applyBorder="1" applyAlignment="1">
      <alignment horizontal="left" vertical="center"/>
    </xf>
    <xf numFmtId="0" fontId="20" fillId="10" borderId="197" xfId="0" applyFont="1" applyFill="1" applyBorder="1" applyAlignment="1" applyProtection="1">
      <alignment horizontal="center" vertical="center"/>
      <protection locked="0"/>
    </xf>
    <xf numFmtId="0" fontId="20" fillId="10" borderId="120" xfId="0" applyFont="1" applyFill="1" applyBorder="1" applyAlignment="1">
      <alignment horizontal="center" vertical="center"/>
    </xf>
    <xf numFmtId="164" fontId="6" fillId="0" borderId="140" xfId="0" applyNumberFormat="1" applyFont="1" applyBorder="1" applyAlignment="1">
      <alignment vertical="center" shrinkToFit="1"/>
    </xf>
    <xf numFmtId="0" fontId="6" fillId="0" borderId="139" xfId="0" applyFont="1" applyBorder="1" applyAlignment="1">
      <alignment horizontal="left" vertical="center" shrinkToFit="1"/>
    </xf>
    <xf numFmtId="164" fontId="6" fillId="0" borderId="43" xfId="0" applyNumberFormat="1" applyFont="1" applyBorder="1" applyAlignment="1">
      <alignment vertical="center" shrinkToFit="1"/>
    </xf>
    <xf numFmtId="0" fontId="6" fillId="0" borderId="45" xfId="0" applyFont="1" applyBorder="1" applyAlignment="1">
      <alignment horizontal="left" vertical="center" shrinkToFit="1"/>
    </xf>
    <xf numFmtId="164" fontId="6" fillId="0" borderId="46" xfId="0" applyNumberFormat="1" applyFont="1" applyBorder="1" applyAlignment="1">
      <alignment vertical="center" shrinkToFit="1"/>
    </xf>
    <xf numFmtId="0" fontId="6" fillId="0" borderId="48" xfId="0" applyFont="1" applyBorder="1" applyAlignment="1">
      <alignment horizontal="left" vertical="center" shrinkToFit="1"/>
    </xf>
    <xf numFmtId="0" fontId="21" fillId="0" borderId="40"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43" xfId="0" applyNumberFormat="1" applyFont="1" applyBorder="1" applyAlignment="1">
      <alignment horizontal="center" vertical="center"/>
    </xf>
    <xf numFmtId="0" fontId="21" fillId="0" borderId="46" xfId="0" applyNumberFormat="1" applyFont="1" applyBorder="1" applyAlignment="1">
      <alignment horizontal="center" vertical="center"/>
    </xf>
    <xf numFmtId="0" fontId="21" fillId="0" borderId="199" xfId="0" applyNumberFormat="1" applyFont="1" applyBorder="1" applyAlignment="1">
      <alignment horizontal="center" vertical="center"/>
    </xf>
    <xf numFmtId="0" fontId="21" fillId="0" borderId="144" xfId="0" applyNumberFormat="1" applyFont="1" applyBorder="1" applyAlignment="1">
      <alignment horizontal="center" vertical="center"/>
    </xf>
    <xf numFmtId="0" fontId="21" fillId="0" borderId="183" xfId="0" applyNumberFormat="1" applyFont="1" applyBorder="1" applyAlignment="1">
      <alignment horizontal="center" vertical="center"/>
    </xf>
    <xf numFmtId="167" fontId="21" fillId="0" borderId="110" xfId="0" applyNumberFormat="1" applyFont="1" applyBorder="1" applyAlignment="1">
      <alignment horizontal="center" vertical="center"/>
    </xf>
    <xf numFmtId="167" fontId="21" fillId="0" borderId="44"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21" fillId="0" borderId="141" xfId="0" applyNumberFormat="1" applyFont="1" applyBorder="1" applyAlignment="1">
      <alignment horizontal="center" vertical="center"/>
    </xf>
    <xf numFmtId="167" fontId="21" fillId="0" borderId="194" xfId="0" applyNumberFormat="1" applyFont="1" applyBorder="1" applyAlignment="1">
      <alignment horizontal="center" vertical="center"/>
    </xf>
    <xf numFmtId="0" fontId="21" fillId="0" borderId="57" xfId="0" applyNumberFormat="1" applyFont="1" applyBorder="1" applyAlignment="1">
      <alignment horizontal="center" vertical="center"/>
    </xf>
    <xf numFmtId="0" fontId="14" fillId="9" borderId="150" xfId="0"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4" xfId="0" applyNumberFormat="1" applyFont="1" applyFill="1" applyBorder="1" applyAlignment="1">
      <alignment horizontal="center" vertical="center"/>
    </xf>
    <xf numFmtId="164" fontId="20" fillId="11" borderId="144" xfId="0" applyNumberFormat="1" applyFont="1" applyFill="1" applyBorder="1" applyAlignment="1">
      <alignment horizontal="center" vertical="center"/>
    </xf>
    <xf numFmtId="164" fontId="20" fillId="0" borderId="144" xfId="0" applyNumberFormat="1" applyFont="1" applyBorder="1" applyAlignment="1">
      <alignment horizontal="center" vertical="center"/>
    </xf>
    <xf numFmtId="164" fontId="20" fillId="0" borderId="183" xfId="0" applyNumberFormat="1" applyFont="1" applyBorder="1" applyAlignment="1">
      <alignment horizontal="center" vertical="center"/>
    </xf>
    <xf numFmtId="165" fontId="20" fillId="0" borderId="0" xfId="0" applyNumberFormat="1" applyFont="1"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0" fillId="0" borderId="20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4" xfId="0" applyFont="1" applyFill="1" applyBorder="1" applyAlignment="1">
      <alignment horizontal="center" vertical="center" shrinkToFit="1"/>
    </xf>
    <xf numFmtId="0" fontId="21" fillId="15" borderId="149" xfId="0" applyFont="1" applyFill="1" applyBorder="1" applyAlignment="1" applyProtection="1"/>
    <xf numFmtId="0" fontId="21" fillId="15" borderId="184" xfId="0" applyFont="1" applyFill="1" applyBorder="1" applyAlignment="1" applyProtection="1"/>
    <xf numFmtId="164" fontId="15" fillId="0" borderId="43" xfId="0" applyNumberFormat="1" applyFont="1" applyBorder="1" applyAlignment="1">
      <alignment horizontal="center" vertical="center" shrinkToFit="1"/>
    </xf>
    <xf numFmtId="164" fontId="15" fillId="0" borderId="46" xfId="0" applyNumberFormat="1" applyFont="1" applyBorder="1" applyAlignment="1">
      <alignment horizontal="center" vertical="center" shrinkToFit="1"/>
    </xf>
    <xf numFmtId="164" fontId="15" fillId="0" borderId="57" xfId="0" applyNumberFormat="1" applyFont="1" applyBorder="1" applyAlignment="1">
      <alignment horizontal="center" vertical="center" shrinkToFit="1"/>
    </xf>
    <xf numFmtId="0" fontId="14" fillId="9" borderId="150" xfId="0" applyFont="1" applyFill="1" applyBorder="1" applyAlignment="1">
      <alignment horizontal="center" vertical="center" shrinkToFit="1"/>
    </xf>
    <xf numFmtId="0" fontId="5" fillId="0" borderId="0" xfId="0" applyFont="1" applyAlignment="1">
      <alignment wrapText="1"/>
    </xf>
    <xf numFmtId="0" fontId="0" fillId="0" borderId="0" xfId="0" applyAlignment="1">
      <alignment horizontal="center" vertical="center"/>
    </xf>
    <xf numFmtId="0" fontId="20" fillId="0" borderId="218" xfId="0" applyFont="1" applyBorder="1" applyAlignment="1">
      <alignment horizontal="center" vertical="center"/>
    </xf>
    <xf numFmtId="0" fontId="18" fillId="0" borderId="0" xfId="0" applyFont="1" applyAlignment="1">
      <alignment horizontal="center" vertical="top"/>
    </xf>
    <xf numFmtId="0" fontId="23" fillId="0" borderId="57"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6" fillId="0" borderId="120" xfId="0" applyFont="1" applyBorder="1" applyAlignment="1">
      <alignment horizontal="center" vertical="center" shrinkToFit="1"/>
    </xf>
    <xf numFmtId="0" fontId="13" fillId="0" borderId="199" xfId="0" applyFont="1" applyBorder="1" applyAlignment="1">
      <alignment horizontal="center" vertical="center" shrinkToFit="1"/>
    </xf>
    <xf numFmtId="0" fontId="13" fillId="0" borderId="144" xfId="0" applyFont="1" applyBorder="1" applyAlignment="1">
      <alignment horizontal="center" vertical="center" shrinkToFit="1"/>
    </xf>
    <xf numFmtId="0" fontId="13" fillId="0" borderId="183" xfId="0" applyFont="1" applyBorder="1" applyAlignment="1">
      <alignment horizontal="center" vertical="center" shrinkToFit="1"/>
    </xf>
    <xf numFmtId="0" fontId="6" fillId="10" borderId="120" xfId="0" applyFont="1" applyFill="1" applyBorder="1" applyAlignment="1" applyProtection="1">
      <alignment horizontal="right" vertical="center" shrinkToFit="1"/>
      <protection locked="0"/>
    </xf>
    <xf numFmtId="0" fontId="6" fillId="10" borderId="55"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167" fontId="49" fillId="0" borderId="110" xfId="0" applyNumberFormat="1" applyFont="1" applyBorder="1" applyAlignment="1">
      <alignment horizontal="center" vertical="center" shrinkToFit="1"/>
    </xf>
    <xf numFmtId="0" fontId="49" fillId="0" borderId="110" xfId="0" applyFont="1" applyBorder="1" applyAlignment="1">
      <alignment horizontal="center" vertical="center" shrinkToFit="1"/>
    </xf>
    <xf numFmtId="167" fontId="49" fillId="0" borderId="44" xfId="0" applyNumberFormat="1" applyFont="1" applyBorder="1" applyAlignment="1">
      <alignment horizontal="center" vertical="center" shrinkToFit="1"/>
    </xf>
    <xf numFmtId="0" fontId="49" fillId="0" borderId="44" xfId="0" applyFont="1" applyBorder="1" applyAlignment="1">
      <alignment horizontal="center" vertical="center" shrinkToFit="1"/>
    </xf>
    <xf numFmtId="167" fontId="49" fillId="0" borderId="47" xfId="0" applyNumberFormat="1" applyFont="1" applyBorder="1" applyAlignment="1">
      <alignment horizontal="center" vertical="center" shrinkToFit="1"/>
    </xf>
    <xf numFmtId="0" fontId="49" fillId="0" borderId="47" xfId="0" applyFont="1" applyBorder="1" applyAlignment="1">
      <alignment horizontal="center" vertical="center" shrinkToFit="1"/>
    </xf>
    <xf numFmtId="0" fontId="6" fillId="0" borderId="197"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6" fillId="0" borderId="114" xfId="0" applyFont="1" applyBorder="1" applyAlignment="1">
      <alignment vertical="center" shrinkToFit="1"/>
    </xf>
    <xf numFmtId="0" fontId="6" fillId="0" borderId="49" xfId="0" applyFont="1" applyBorder="1" applyAlignment="1">
      <alignment vertical="center" shrinkToFit="1"/>
    </xf>
    <xf numFmtId="0" fontId="6" fillId="0" borderId="51" xfId="0" applyFont="1" applyBorder="1" applyAlignment="1">
      <alignment vertical="center" shrinkToFit="1"/>
    </xf>
    <xf numFmtId="0" fontId="20" fillId="0" borderId="0" xfId="0" applyNumberFormat="1" applyFont="1" applyBorder="1" applyAlignment="1">
      <alignment horizontal="left" vertical="center"/>
    </xf>
    <xf numFmtId="0" fontId="21" fillId="0" borderId="125"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20" xfId="0" applyFont="1" applyBorder="1" applyAlignment="1">
      <alignment horizontal="center" vertical="center"/>
    </xf>
    <xf numFmtId="0" fontId="20" fillId="0" borderId="221" xfId="0" applyFont="1" applyBorder="1" applyAlignment="1">
      <alignment horizontal="center" vertical="center"/>
    </xf>
    <xf numFmtId="0" fontId="20" fillId="0" borderId="222" xfId="0" applyFont="1" applyBorder="1" applyAlignment="1">
      <alignment horizontal="center" vertical="center"/>
    </xf>
    <xf numFmtId="0" fontId="68" fillId="8" borderId="200" xfId="0" applyFont="1" applyFill="1" applyBorder="1" applyAlignment="1" applyProtection="1">
      <alignment horizontal="center" vertical="center"/>
      <protection locked="0"/>
    </xf>
    <xf numFmtId="0" fontId="68" fillId="8" borderId="201" xfId="0" applyFont="1" applyFill="1" applyBorder="1" applyAlignment="1" applyProtection="1">
      <alignment horizontal="center" vertical="center"/>
      <protection locked="0"/>
    </xf>
    <xf numFmtId="0" fontId="68" fillId="8" borderId="207" xfId="0" applyFont="1" applyFill="1" applyBorder="1" applyAlignment="1" applyProtection="1">
      <alignment horizontal="center" vertical="center"/>
      <protection locked="0"/>
    </xf>
    <xf numFmtId="0" fontId="68" fillId="8" borderId="202" xfId="0" applyFont="1" applyFill="1" applyBorder="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208" xfId="0" applyFont="1" applyBorder="1" applyAlignment="1" applyProtection="1">
      <alignment horizontal="center" vertical="center"/>
      <protection locked="0"/>
    </xf>
    <xf numFmtId="0" fontId="68" fillId="8" borderId="210" xfId="0" applyFont="1" applyFill="1" applyBorder="1" applyAlignment="1" applyProtection="1">
      <alignment horizontal="center" vertical="center"/>
      <protection locked="0"/>
    </xf>
    <xf numFmtId="0" fontId="68" fillId="0" borderId="211" xfId="0" applyFont="1" applyBorder="1" applyAlignment="1" applyProtection="1">
      <alignment horizontal="center" vertical="center"/>
      <protection locked="0"/>
    </xf>
    <xf numFmtId="0" fontId="68" fillId="0" borderId="212" xfId="0" applyFont="1" applyBorder="1" applyAlignment="1" applyProtection="1">
      <alignment horizontal="center" vertical="center"/>
      <protection locked="0"/>
    </xf>
    <xf numFmtId="0" fontId="0" fillId="0" borderId="232" xfId="0" applyBorder="1"/>
    <xf numFmtId="0" fontId="0" fillId="0" borderId="232"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33" xfId="0" applyFont="1" applyBorder="1" applyAlignment="1">
      <alignment horizontal="center" vertical="center"/>
    </xf>
    <xf numFmtId="165" fontId="18" fillId="0" borderId="0" xfId="0" applyNumberFormat="1" applyFont="1" applyAlignment="1">
      <alignment horizontal="right" indent="1"/>
    </xf>
    <xf numFmtId="0" fontId="21" fillId="0" borderId="217" xfId="0" applyNumberFormat="1" applyFont="1" applyBorder="1" applyAlignment="1">
      <alignment horizontal="center" vertical="center"/>
    </xf>
    <xf numFmtId="167" fontId="21" fillId="0" borderId="185" xfId="0" applyNumberFormat="1" applyFont="1" applyBorder="1" applyAlignment="1">
      <alignment horizontal="center" vertical="center"/>
    </xf>
    <xf numFmtId="0" fontId="21" fillId="15" borderId="69" xfId="0" applyFont="1" applyFill="1" applyBorder="1" applyAlignment="1" applyProtection="1"/>
    <xf numFmtId="0" fontId="18" fillId="15" borderId="217" xfId="0" applyFont="1" applyFill="1" applyBorder="1" applyAlignment="1" applyProtection="1">
      <alignment horizontal="left" vertical="center" indent="1" shrinkToFit="1"/>
    </xf>
    <xf numFmtId="0" fontId="18" fillId="15" borderId="144" xfId="0" applyFont="1" applyFill="1" applyBorder="1" applyAlignment="1" applyProtection="1">
      <alignment horizontal="left" vertical="center" indent="1" shrinkToFit="1"/>
    </xf>
    <xf numFmtId="0" fontId="18" fillId="15" borderId="183" xfId="0" applyFont="1" applyFill="1" applyBorder="1" applyAlignment="1" applyProtection="1">
      <alignment horizontal="left" vertical="center" indent="1" shrinkToFit="1"/>
    </xf>
    <xf numFmtId="167" fontId="53" fillId="15" borderId="147" xfId="0" applyNumberFormat="1" applyFont="1" applyFill="1" applyBorder="1" applyAlignment="1" applyProtection="1">
      <alignment horizontal="right" indent="1"/>
    </xf>
    <xf numFmtId="167" fontId="53" fillId="15" borderId="55" xfId="0" applyNumberFormat="1" applyFont="1" applyFill="1" applyBorder="1" applyAlignment="1" applyProtection="1">
      <alignment horizontal="right" indent="1"/>
    </xf>
    <xf numFmtId="167" fontId="53" fillId="15" borderId="56" xfId="0" applyNumberFormat="1" applyFont="1" applyFill="1" applyBorder="1" applyAlignment="1" applyProtection="1">
      <alignment horizontal="right" indent="1"/>
    </xf>
    <xf numFmtId="0" fontId="14" fillId="9" borderId="53"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30" xfId="0" applyFont="1" applyFill="1" applyBorder="1" applyAlignment="1">
      <alignment horizontal="center" vertical="center"/>
    </xf>
    <xf numFmtId="0" fontId="20" fillId="0" borderId="147" xfId="0" applyFont="1" applyBorder="1" applyAlignment="1">
      <alignment horizontal="left" vertical="center"/>
    </xf>
    <xf numFmtId="0" fontId="20" fillId="0" borderId="55" xfId="0" applyFont="1" applyBorder="1" applyAlignment="1">
      <alignment horizontal="left" vertical="center"/>
    </xf>
    <xf numFmtId="0" fontId="14" fillId="9" borderId="234" xfId="0" applyFont="1" applyFill="1" applyBorder="1" applyAlignment="1">
      <alignment horizontal="center" vertical="center"/>
    </xf>
    <xf numFmtId="0" fontId="19" fillId="9" borderId="150" xfId="0" applyFont="1" applyFill="1" applyBorder="1" applyAlignment="1">
      <alignment vertical="center"/>
    </xf>
    <xf numFmtId="0" fontId="19" fillId="9" borderId="133" xfId="0" applyFont="1" applyFill="1" applyBorder="1" applyAlignment="1">
      <alignment vertical="center" shrinkToFit="1"/>
    </xf>
    <xf numFmtId="164" fontId="6" fillId="0" borderId="140" xfId="0" applyNumberFormat="1" applyFont="1" applyBorder="1" applyAlignment="1">
      <alignment horizontal="center" vertical="center" shrinkToFit="1"/>
    </xf>
    <xf numFmtId="0" fontId="6" fillId="0" borderId="140" xfId="0" applyFont="1" applyBorder="1" applyAlignment="1">
      <alignment horizontal="center" vertical="center" shrinkToFit="1"/>
    </xf>
    <xf numFmtId="0" fontId="6" fillId="0" borderId="138" xfId="0" applyFont="1" applyBorder="1" applyAlignment="1">
      <alignment horizontal="center" vertical="center"/>
    </xf>
    <xf numFmtId="0" fontId="20" fillId="0" borderId="58" xfId="0" applyFont="1" applyFill="1" applyBorder="1" applyAlignment="1" applyProtection="1">
      <alignment vertical="center" shrinkToFit="1"/>
    </xf>
    <xf numFmtId="164" fontId="6" fillId="0" borderId="43" xfId="0" applyNumberFormat="1" applyFont="1" applyBorder="1" applyAlignment="1">
      <alignment horizontal="center" vertical="center" shrinkToFit="1"/>
    </xf>
    <xf numFmtId="0" fontId="6" fillId="0" borderId="55" xfId="0" applyFont="1" applyBorder="1" applyAlignment="1">
      <alignment horizontal="center" vertical="center"/>
    </xf>
    <xf numFmtId="49" fontId="24" fillId="0" borderId="43" xfId="0" applyNumberFormat="1" applyFont="1" applyBorder="1" applyAlignment="1">
      <alignment horizontal="center" vertical="center"/>
    </xf>
    <xf numFmtId="0" fontId="20" fillId="0" borderId="45" xfId="0" applyFont="1" applyFill="1" applyBorder="1" applyAlignment="1" applyProtection="1">
      <alignment vertical="center" shrinkToFit="1"/>
    </xf>
    <xf numFmtId="164" fontId="6" fillId="0" borderId="46"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6" xfId="0" applyNumberFormat="1" applyFont="1" applyBorder="1" applyAlignment="1">
      <alignment horizontal="center" vertical="center"/>
    </xf>
    <xf numFmtId="0" fontId="20" fillId="0" borderId="48"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40"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17" borderId="146" xfId="0" applyFont="1" applyFill="1" applyBorder="1" applyAlignment="1">
      <alignment horizontal="right" vertical="center"/>
    </xf>
    <xf numFmtId="0" fontId="21" fillId="17" borderId="147" xfId="0" applyFont="1" applyFill="1" applyBorder="1" applyAlignment="1">
      <alignment horizontal="center" vertical="center"/>
    </xf>
    <xf numFmtId="0" fontId="21" fillId="17" borderId="148" xfId="0" applyFont="1" applyFill="1" applyBorder="1" applyAlignment="1">
      <alignment horizontal="left" vertical="center"/>
    </xf>
    <xf numFmtId="0" fontId="21" fillId="17" borderId="50" xfId="0" applyFont="1" applyFill="1" applyBorder="1" applyAlignment="1">
      <alignment horizontal="right" vertical="center"/>
    </xf>
    <xf numFmtId="0" fontId="21" fillId="17" borderId="55" xfId="0" applyFont="1" applyFill="1" applyBorder="1" applyAlignment="1">
      <alignment horizontal="center" vertical="center"/>
    </xf>
    <xf numFmtId="0" fontId="21" fillId="17" borderId="49" xfId="0" applyFont="1" applyFill="1" applyBorder="1" applyAlignment="1">
      <alignment horizontal="left" vertical="center"/>
    </xf>
    <xf numFmtId="0" fontId="21" fillId="17" borderId="52"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1" xfId="0" applyFont="1" applyFill="1" applyBorder="1" applyAlignment="1">
      <alignment horizontal="left" vertical="center"/>
    </xf>
    <xf numFmtId="0" fontId="21" fillId="0" borderId="44" xfId="0" applyFont="1" applyBorder="1" applyAlignment="1">
      <alignment horizontal="center" vertical="center"/>
    </xf>
    <xf numFmtId="0" fontId="20" fillId="0" borderId="71" xfId="0" applyFont="1" applyBorder="1" applyAlignment="1">
      <alignment horizontal="left" vertical="center"/>
    </xf>
    <xf numFmtId="0" fontId="20" fillId="0" borderId="71" xfId="0" applyFont="1" applyBorder="1" applyAlignment="1">
      <alignment horizontal="center" vertical="center"/>
    </xf>
    <xf numFmtId="0" fontId="20" fillId="0" borderId="241" xfId="0" applyFont="1" applyBorder="1" applyAlignment="1">
      <alignment horizontal="left" vertical="center"/>
    </xf>
    <xf numFmtId="0" fontId="18" fillId="0" borderId="0" xfId="0" quotePrefix="1" applyFont="1"/>
    <xf numFmtId="0" fontId="60" fillId="0" borderId="0" xfId="0" applyFont="1" applyBorder="1" applyAlignment="1">
      <alignment vertical="center"/>
    </xf>
    <xf numFmtId="0" fontId="60" fillId="0" borderId="245" xfId="0" applyFont="1" applyBorder="1" applyAlignment="1">
      <alignment vertical="center"/>
    </xf>
    <xf numFmtId="14" fontId="62" fillId="0" borderId="0" xfId="0" applyNumberFormat="1" applyFont="1" applyBorder="1" applyAlignment="1">
      <alignment vertical="center"/>
    </xf>
    <xf numFmtId="14" fontId="62" fillId="0" borderId="245" xfId="0" applyNumberFormat="1" applyFont="1" applyBorder="1" applyAlignment="1">
      <alignment vertical="center"/>
    </xf>
    <xf numFmtId="0" fontId="62" fillId="0" borderId="0" xfId="0" applyFont="1" applyBorder="1" applyAlignment="1">
      <alignment vertical="center"/>
    </xf>
    <xf numFmtId="0" fontId="62" fillId="0" borderId="245"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52" xfId="0" applyNumberFormat="1" applyFont="1" applyFill="1" applyBorder="1" applyAlignment="1">
      <alignment vertical="center" shrinkToFit="1"/>
    </xf>
    <xf numFmtId="0" fontId="7" fillId="0" borderId="1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horizontal="center" vertical="center"/>
      <protection hidden="1"/>
    </xf>
    <xf numFmtId="0" fontId="7" fillId="0" borderId="107"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horizontal="center" vertical="center"/>
      <protection hidden="1"/>
    </xf>
    <xf numFmtId="0" fontId="7" fillId="0" borderId="109" xfId="1" applyNumberFormat="1" applyFont="1" applyFill="1" applyBorder="1" applyAlignment="1" applyProtection="1">
      <alignment horizontal="center" vertical="center"/>
      <protection hidden="1"/>
    </xf>
    <xf numFmtId="166" fontId="7" fillId="0" borderId="108" xfId="1" applyNumberFormat="1" applyFont="1" applyFill="1" applyBorder="1" applyAlignment="1" applyProtection="1">
      <alignment horizontal="center" vertical="center"/>
      <protection hidden="1"/>
    </xf>
    <xf numFmtId="0" fontId="14" fillId="0" borderId="0"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xf>
    <xf numFmtId="0" fontId="5" fillId="0" borderId="0" xfId="0" applyFont="1" applyFill="1" applyBorder="1" applyProtection="1"/>
    <xf numFmtId="0" fontId="14" fillId="9" borderId="133" xfId="0" applyFont="1" applyFill="1" applyBorder="1" applyAlignment="1">
      <alignment vertical="center" shrinkToFit="1"/>
    </xf>
    <xf numFmtId="0" fontId="6" fillId="0" borderId="58" xfId="0" applyFont="1" applyBorder="1" applyAlignment="1">
      <alignment horizontal="left" vertical="center" shrinkToFit="1"/>
    </xf>
    <xf numFmtId="0" fontId="15" fillId="0" borderId="0" xfId="0" applyFont="1" applyAlignment="1">
      <alignment horizontal="center"/>
    </xf>
    <xf numFmtId="0" fontId="18" fillId="0" borderId="0" xfId="4" applyFont="1"/>
    <xf numFmtId="0" fontId="18" fillId="0" borderId="0" xfId="4" applyFont="1" applyFill="1"/>
    <xf numFmtId="165" fontId="29" fillId="0" borderId="71" xfId="4" applyNumberFormat="1" applyFont="1" applyBorder="1" applyAlignment="1">
      <alignment wrapText="1"/>
    </xf>
    <xf numFmtId="165" fontId="29" fillId="0" borderId="0" xfId="4" applyNumberFormat="1" applyFont="1" applyBorder="1" applyAlignment="1">
      <alignment wrapText="1"/>
    </xf>
    <xf numFmtId="0" fontId="18" fillId="0" borderId="0" xfId="4" applyFont="1" applyAlignment="1">
      <alignment vertical="center" wrapText="1"/>
    </xf>
    <xf numFmtId="0" fontId="18" fillId="0" borderId="0" xfId="4" applyFont="1" applyFill="1" applyAlignment="1">
      <alignment horizontal="center" vertical="center" wrapText="1"/>
    </xf>
    <xf numFmtId="0" fontId="18" fillId="0" borderId="0" xfId="4" applyFont="1" applyAlignment="1">
      <alignment horizontal="center" vertical="center" wrapText="1"/>
    </xf>
    <xf numFmtId="0" fontId="6" fillId="0" borderId="0" xfId="4" applyFont="1" applyFill="1" applyBorder="1" applyAlignment="1">
      <alignment vertical="center" shrinkToFit="1"/>
    </xf>
    <xf numFmtId="0" fontId="31" fillId="9" borderId="150" xfId="4" applyFont="1" applyFill="1" applyBorder="1" applyAlignment="1">
      <alignment horizontal="center" vertical="center"/>
    </xf>
    <xf numFmtId="0" fontId="31" fillId="9" borderId="113" xfId="4" applyFont="1" applyFill="1" applyBorder="1" applyAlignment="1">
      <alignment horizontal="center" vertical="center"/>
    </xf>
    <xf numFmtId="0" fontId="31" fillId="9" borderId="261" xfId="4" applyFont="1" applyFill="1" applyBorder="1" applyAlignment="1">
      <alignment horizontal="center" vertical="center"/>
    </xf>
    <xf numFmtId="0" fontId="70" fillId="0" borderId="0" xfId="4" applyFont="1" applyAlignment="1">
      <alignment horizontal="center"/>
    </xf>
    <xf numFmtId="0" fontId="71" fillId="0" borderId="40" xfId="4" applyNumberFormat="1" applyFont="1" applyBorder="1" applyAlignment="1">
      <alignment horizontal="center" vertical="center"/>
    </xf>
    <xf numFmtId="0" fontId="23" fillId="0" borderId="262" xfId="4" applyNumberFormat="1" applyFont="1" applyBorder="1" applyAlignment="1">
      <alignment horizontal="center" vertical="center"/>
    </xf>
    <xf numFmtId="20" fontId="20" fillId="10" borderId="146" xfId="4" applyNumberFormat="1" applyFont="1" applyFill="1" applyBorder="1" applyAlignment="1" applyProtection="1">
      <alignment horizontal="center" vertical="center"/>
      <protection locked="0"/>
    </xf>
    <xf numFmtId="0" fontId="20" fillId="10" borderId="146" xfId="4" applyFont="1" applyFill="1" applyBorder="1" applyAlignment="1" applyProtection="1">
      <alignment horizontal="center" vertical="center"/>
      <protection locked="0"/>
    </xf>
    <xf numFmtId="0" fontId="20" fillId="10" borderId="50" xfId="4" applyFont="1" applyFill="1" applyBorder="1" applyAlignment="1" applyProtection="1">
      <alignment horizontal="right" vertical="center"/>
      <protection locked="0"/>
    </xf>
    <xf numFmtId="0" fontId="20" fillId="10" borderId="55" xfId="4" applyFont="1" applyFill="1" applyBorder="1" applyAlignment="1" applyProtection="1">
      <alignment horizontal="center" vertical="center"/>
    </xf>
    <xf numFmtId="0" fontId="20" fillId="10" borderId="49" xfId="4" applyFont="1" applyFill="1" applyBorder="1" applyAlignment="1" applyProtection="1">
      <alignment horizontal="left" vertical="center"/>
      <protection locked="0"/>
    </xf>
    <xf numFmtId="0" fontId="20" fillId="0" borderId="197" xfId="4" applyFont="1" applyBorder="1" applyAlignment="1">
      <alignment horizontal="left" vertical="center" shrinkToFit="1"/>
    </xf>
    <xf numFmtId="0" fontId="20" fillId="0" borderId="120" xfId="4" applyFont="1" applyBorder="1" applyAlignment="1">
      <alignment horizontal="center" vertical="center" shrinkToFit="1"/>
    </xf>
    <xf numFmtId="0" fontId="20" fillId="0" borderId="114" xfId="4" applyFont="1" applyBorder="1" applyAlignment="1">
      <alignment horizontal="left" vertical="center" shrinkToFit="1"/>
    </xf>
    <xf numFmtId="0" fontId="20" fillId="10" borderId="146" xfId="4" applyFont="1" applyFill="1" applyBorder="1" applyAlignment="1" applyProtection="1">
      <alignment horizontal="right" vertical="center"/>
      <protection locked="0"/>
    </xf>
    <xf numFmtId="0" fontId="20" fillId="10" borderId="120" xfId="4" applyFont="1" applyFill="1" applyBorder="1" applyAlignment="1">
      <alignment horizontal="center" vertical="center"/>
    </xf>
    <xf numFmtId="0" fontId="20" fillId="10" borderId="148" xfId="4" applyFont="1" applyFill="1" applyBorder="1" applyAlignment="1" applyProtection="1">
      <alignment horizontal="left" vertical="center"/>
      <protection locked="0"/>
    </xf>
    <xf numFmtId="0" fontId="20" fillId="10" borderId="197" xfId="4" applyFont="1" applyFill="1" applyBorder="1" applyAlignment="1" applyProtection="1">
      <alignment horizontal="right" vertical="center"/>
      <protection locked="0"/>
    </xf>
    <xf numFmtId="0" fontId="20" fillId="10" borderId="198" xfId="4" applyFont="1" applyFill="1" applyBorder="1" applyAlignment="1" applyProtection="1">
      <alignment horizontal="left" vertical="center"/>
      <protection locked="0"/>
    </xf>
    <xf numFmtId="0" fontId="20" fillId="0" borderId="263" xfId="4" applyFont="1" applyBorder="1" applyAlignment="1">
      <alignment horizontal="center" vertical="center" shrinkToFit="1"/>
    </xf>
    <xf numFmtId="0" fontId="53" fillId="0" borderId="0" xfId="4" applyFont="1" applyAlignment="1">
      <alignment horizontal="left" vertical="center"/>
    </xf>
    <xf numFmtId="0" fontId="18" fillId="0" borderId="0" xfId="4" applyFont="1" applyAlignment="1">
      <alignment horizontal="center" vertical="center"/>
    </xf>
    <xf numFmtId="0" fontId="72" fillId="0" borderId="0" xfId="4" applyFont="1" applyAlignment="1">
      <alignment horizontal="center" vertical="center"/>
    </xf>
    <xf numFmtId="0" fontId="23" fillId="0" borderId="43" xfId="4" applyNumberFormat="1" applyFont="1" applyBorder="1" applyAlignment="1">
      <alignment horizontal="center" vertical="center"/>
    </xf>
    <xf numFmtId="0" fontId="20" fillId="10" borderId="50" xfId="4" applyFont="1" applyFill="1" applyBorder="1" applyAlignment="1" applyProtection="1">
      <alignment horizontal="center" vertical="center"/>
      <protection locked="0"/>
    </xf>
    <xf numFmtId="0" fontId="20" fillId="0" borderId="50" xfId="4" applyFont="1" applyBorder="1" applyAlignment="1">
      <alignment horizontal="left" vertical="center" shrinkToFit="1"/>
    </xf>
    <xf numFmtId="0" fontId="20" fillId="0" borderId="55" xfId="4" applyFont="1" applyBorder="1" applyAlignment="1">
      <alignment horizontal="center" vertical="center" shrinkToFit="1"/>
    </xf>
    <xf numFmtId="0" fontId="20" fillId="0" borderId="49" xfId="4" applyFont="1" applyBorder="1" applyAlignment="1">
      <alignment horizontal="left" vertical="center" shrinkToFit="1"/>
    </xf>
    <xf numFmtId="0" fontId="20" fillId="10" borderId="55" xfId="4" applyFont="1" applyFill="1" applyBorder="1" applyAlignment="1">
      <alignment horizontal="center" vertical="center"/>
    </xf>
    <xf numFmtId="0" fontId="20" fillId="10" borderId="69" xfId="4" applyFont="1" applyFill="1" applyBorder="1" applyAlignment="1" applyProtection="1">
      <alignment horizontal="left" vertical="center"/>
      <protection locked="0"/>
    </xf>
    <xf numFmtId="0" fontId="20" fillId="0" borderId="264" xfId="4" applyFont="1" applyBorder="1" applyAlignment="1">
      <alignment horizontal="center" vertical="center" shrinkToFit="1"/>
    </xf>
    <xf numFmtId="0" fontId="23" fillId="0" borderId="46" xfId="4" applyNumberFormat="1" applyFont="1" applyBorder="1" applyAlignment="1">
      <alignment horizontal="center" vertical="center"/>
    </xf>
    <xf numFmtId="0" fontId="20" fillId="10" borderId="52" xfId="4" applyFont="1" applyFill="1" applyBorder="1" applyAlignment="1" applyProtection="1">
      <alignment horizontal="center" vertical="center"/>
      <protection locked="0"/>
    </xf>
    <xf numFmtId="0" fontId="20" fillId="10" borderId="52" xfId="4" applyFont="1" applyFill="1" applyBorder="1" applyAlignment="1" applyProtection="1">
      <alignment horizontal="right" vertical="center"/>
      <protection locked="0"/>
    </xf>
    <xf numFmtId="0" fontId="20" fillId="10" borderId="56" xfId="4" applyFont="1" applyFill="1" applyBorder="1" applyAlignment="1" applyProtection="1">
      <alignment horizontal="center" vertical="center"/>
    </xf>
    <xf numFmtId="0" fontId="20" fillId="10" borderId="51" xfId="4" applyFont="1" applyFill="1" applyBorder="1" applyAlignment="1" applyProtection="1">
      <alignment horizontal="left" vertical="center"/>
      <protection locked="0"/>
    </xf>
    <xf numFmtId="0" fontId="20" fillId="0" borderId="52" xfId="4" applyFont="1" applyBorder="1" applyAlignment="1">
      <alignment horizontal="left" vertical="center" shrinkToFit="1"/>
    </xf>
    <xf numFmtId="0" fontId="20" fillId="0" borderId="56" xfId="4" applyFont="1" applyBorder="1" applyAlignment="1">
      <alignment horizontal="center" vertical="center" shrinkToFit="1"/>
    </xf>
    <xf numFmtId="0" fontId="20" fillId="0" borderId="51" xfId="4" applyFont="1" applyBorder="1" applyAlignment="1">
      <alignment horizontal="left" vertical="center" shrinkToFit="1"/>
    </xf>
    <xf numFmtId="0" fontId="20" fillId="10" borderId="56" xfId="4" applyFont="1" applyFill="1" applyBorder="1" applyAlignment="1">
      <alignment horizontal="center" vertical="center"/>
    </xf>
    <xf numFmtId="0" fontId="20" fillId="10" borderId="184" xfId="4" applyFont="1" applyFill="1" applyBorder="1" applyAlignment="1" applyProtection="1">
      <alignment horizontal="left" vertical="center"/>
      <protection locked="0"/>
    </xf>
    <xf numFmtId="0" fontId="20" fillId="0" borderId="265"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Fill="1" applyBorder="1" applyAlignment="1" applyProtection="1">
      <alignment horizontal="center" vertical="center"/>
    </xf>
    <xf numFmtId="167" fontId="23" fillId="0" borderId="0" xfId="4" applyNumberFormat="1" applyFont="1" applyFill="1" applyBorder="1" applyAlignment="1" applyProtection="1">
      <alignment horizontal="center" vertical="center"/>
    </xf>
    <xf numFmtId="0" fontId="23" fillId="0" borderId="0" xfId="4" applyNumberFormat="1" applyFont="1" applyFill="1" applyBorder="1" applyAlignment="1" applyProtection="1">
      <alignment horizontal="center" vertical="center"/>
    </xf>
    <xf numFmtId="0" fontId="21" fillId="0" borderId="0" xfId="4" applyFont="1" applyFill="1" applyBorder="1" applyAlignment="1" applyProtection="1">
      <alignment horizontal="right" vertical="center"/>
    </xf>
    <xf numFmtId="0" fontId="21" fillId="0" borderId="0" xfId="4" applyFont="1" applyFill="1" applyBorder="1" applyAlignment="1" applyProtection="1">
      <alignment horizontal="center" vertical="center"/>
    </xf>
    <xf numFmtId="0" fontId="21" fillId="0" borderId="0" xfId="4" applyFont="1" applyFill="1" applyBorder="1" applyAlignment="1" applyProtection="1">
      <alignment horizontal="left" vertical="center"/>
    </xf>
    <xf numFmtId="165" fontId="20" fillId="0" borderId="0" xfId="4" applyNumberFormat="1" applyFont="1" applyFill="1" applyBorder="1" applyAlignment="1" applyProtection="1">
      <alignment horizontal="left" vertical="center" shrinkToFit="1"/>
    </xf>
    <xf numFmtId="0" fontId="20" fillId="0" borderId="0" xfId="4" applyFont="1" applyFill="1" applyBorder="1" applyAlignment="1" applyProtection="1">
      <alignment horizontal="center" vertical="center" shrinkToFit="1"/>
    </xf>
    <xf numFmtId="0" fontId="20" fillId="0" borderId="0" xfId="4" applyFont="1" applyFill="1" applyBorder="1" applyAlignment="1" applyProtection="1">
      <alignment horizontal="right" vertical="center"/>
    </xf>
    <xf numFmtId="0" fontId="20" fillId="0" borderId="0" xfId="4" applyFont="1" applyFill="1" applyBorder="1" applyAlignment="1" applyProtection="1">
      <alignment horizontal="center" vertical="center"/>
    </xf>
    <xf numFmtId="0" fontId="20" fillId="0" borderId="0" xfId="4" applyFont="1" applyFill="1" applyBorder="1" applyAlignment="1" applyProtection="1">
      <alignment horizontal="left" vertical="center"/>
    </xf>
    <xf numFmtId="0" fontId="21" fillId="0" borderId="0" xfId="4" applyFont="1" applyFill="1" applyBorder="1" applyAlignment="1" applyProtection="1">
      <alignment horizontal="center"/>
    </xf>
    <xf numFmtId="49" fontId="24" fillId="0" borderId="57" xfId="0" applyNumberFormat="1" applyFont="1" applyBorder="1" applyAlignment="1">
      <alignment horizontal="center" vertical="center"/>
    </xf>
    <xf numFmtId="49" fontId="24" fillId="0" borderId="59" xfId="0" applyNumberFormat="1" applyFont="1" applyBorder="1" applyAlignment="1">
      <alignment horizontal="center" vertical="center"/>
    </xf>
    <xf numFmtId="0" fontId="20" fillId="10" borderId="147" xfId="0" applyFont="1" applyFill="1" applyBorder="1" applyAlignment="1" applyProtection="1">
      <alignment horizontal="center" vertical="center"/>
    </xf>
    <xf numFmtId="0" fontId="20" fillId="10" borderId="55" xfId="0" applyFont="1" applyFill="1" applyBorder="1" applyAlignment="1" applyProtection="1">
      <alignment horizontal="center" vertical="center"/>
    </xf>
    <xf numFmtId="0" fontId="20" fillId="10" borderId="79" xfId="0" applyFont="1" applyFill="1" applyBorder="1" applyAlignment="1" applyProtection="1">
      <alignment horizontal="center" vertical="center"/>
    </xf>
    <xf numFmtId="0" fontId="21" fillId="10" borderId="131" xfId="0" applyFont="1" applyFill="1" applyBorder="1" applyAlignment="1" applyProtection="1">
      <alignment horizontal="center" vertical="center"/>
      <protection locked="0"/>
    </xf>
    <xf numFmtId="0" fontId="21" fillId="10" borderId="123" xfId="0" applyFont="1" applyFill="1" applyBorder="1" applyAlignment="1" applyProtection="1">
      <alignment horizontal="center" vertical="center"/>
      <protection locked="0"/>
    </xf>
    <xf numFmtId="0" fontId="21" fillId="10" borderId="266" xfId="0" applyFont="1" applyFill="1" applyBorder="1" applyAlignment="1" applyProtection="1">
      <alignment horizontal="center" vertical="center"/>
      <protection locked="0"/>
    </xf>
    <xf numFmtId="0" fontId="21" fillId="0" borderId="253" xfId="0" applyFont="1" applyFill="1" applyBorder="1" applyAlignment="1" applyProtection="1">
      <alignment horizontal="center" vertical="center"/>
    </xf>
    <xf numFmtId="0" fontId="20" fillId="10" borderId="80" xfId="0" applyFont="1" applyFill="1" applyBorder="1" applyAlignment="1" applyProtection="1">
      <alignment horizontal="center" vertical="center"/>
      <protection locked="0"/>
    </xf>
    <xf numFmtId="0" fontId="14" fillId="9" borderId="111" xfId="0" applyFont="1" applyFill="1" applyBorder="1" applyAlignment="1">
      <alignment horizontal="center" vertical="center"/>
    </xf>
    <xf numFmtId="0" fontId="20" fillId="10" borderId="114" xfId="0" applyFont="1" applyFill="1" applyBorder="1" applyAlignment="1" applyProtection="1">
      <alignment horizontal="center" vertical="center"/>
      <protection locked="0"/>
    </xf>
    <xf numFmtId="0" fontId="20" fillId="10" borderId="49" xfId="0" applyFont="1" applyFill="1" applyBorder="1" applyAlignment="1" applyProtection="1">
      <alignment horizontal="center" vertical="center"/>
      <protection locked="0"/>
    </xf>
    <xf numFmtId="0" fontId="20" fillId="10" borderId="268"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165" fontId="14" fillId="0" borderId="0" xfId="0" applyNumberFormat="1" applyFont="1" applyFill="1" applyBorder="1" applyAlignment="1" applyProtection="1">
      <alignment horizontal="center" vertical="center" shrinkToFit="1"/>
    </xf>
    <xf numFmtId="165" fontId="6" fillId="0" borderId="0" xfId="0" applyNumberFormat="1" applyFont="1" applyFill="1" applyBorder="1" applyAlignment="1" applyProtection="1">
      <alignment horizontal="center" vertical="center"/>
    </xf>
    <xf numFmtId="0" fontId="18" fillId="0" borderId="132" xfId="0" applyFont="1" applyBorder="1" applyAlignment="1">
      <alignment vertical="center"/>
    </xf>
    <xf numFmtId="0" fontId="21" fillId="10" borderId="132" xfId="0" applyFont="1" applyFill="1" applyBorder="1" applyAlignment="1" applyProtection="1">
      <alignment horizontal="center" vertical="center"/>
      <protection locked="0"/>
    </xf>
    <xf numFmtId="0" fontId="20" fillId="10" borderId="196" xfId="0" applyFont="1" applyFill="1" applyBorder="1" applyAlignment="1" applyProtection="1">
      <alignment horizontal="center" vertical="center"/>
      <protection locked="0"/>
    </xf>
    <xf numFmtId="0" fontId="0" fillId="0" borderId="0" xfId="0" applyAlignment="1">
      <alignment vertical="center"/>
    </xf>
    <xf numFmtId="0" fontId="20" fillId="10" borderId="56" xfId="0" applyFont="1" applyFill="1" applyBorder="1" applyAlignment="1" applyProtection="1">
      <alignment horizontal="center" vertical="center"/>
    </xf>
    <xf numFmtId="0" fontId="20" fillId="10" borderId="142" xfId="0" applyFont="1" applyFill="1" applyBorder="1" applyAlignment="1" applyProtection="1">
      <alignment horizontal="center" vertical="center"/>
    </xf>
    <xf numFmtId="0" fontId="20" fillId="10" borderId="148" xfId="0" applyFont="1" applyFill="1" applyBorder="1" applyAlignment="1" applyProtection="1">
      <alignment horizontal="center" vertical="center"/>
      <protection locked="0"/>
    </xf>
    <xf numFmtId="0" fontId="6" fillId="10" borderId="114" xfId="0" applyFont="1" applyFill="1" applyBorder="1" applyAlignment="1" applyProtection="1">
      <alignment horizontal="left" vertical="center" shrinkToFit="1"/>
      <protection locked="0"/>
    </xf>
    <xf numFmtId="0" fontId="6" fillId="10" borderId="49"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73" fillId="0" borderId="0" xfId="0" applyFont="1" applyAlignment="1">
      <alignment horizontal="center"/>
    </xf>
    <xf numFmtId="0" fontId="73" fillId="0" borderId="0" xfId="0" applyFont="1"/>
    <xf numFmtId="0" fontId="18"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5" fillId="9" borderId="269" xfId="0" applyFont="1" applyFill="1" applyBorder="1" applyAlignment="1">
      <alignment horizontal="center" vertical="center"/>
    </xf>
    <xf numFmtId="0" fontId="75" fillId="9" borderId="270" xfId="0" applyFont="1" applyFill="1" applyBorder="1" applyAlignment="1">
      <alignment horizontal="center" vertical="center"/>
    </xf>
    <xf numFmtId="0" fontId="75" fillId="9" borderId="271" xfId="0" applyFont="1" applyFill="1" applyBorder="1" applyAlignment="1">
      <alignment horizontal="center" vertical="center"/>
    </xf>
    <xf numFmtId="0" fontId="75" fillId="9" borderId="272" xfId="0" applyFont="1" applyFill="1" applyBorder="1" applyAlignment="1">
      <alignment horizontal="center" vertical="center"/>
    </xf>
    <xf numFmtId="0" fontId="3" fillId="0" borderId="273" xfId="0" applyFont="1" applyBorder="1" applyAlignment="1">
      <alignment horizontal="center" vertical="center"/>
    </xf>
    <xf numFmtId="167" fontId="0" fillId="0" borderId="185" xfId="0" applyNumberFormat="1" applyBorder="1" applyAlignment="1">
      <alignment horizontal="center" vertical="center"/>
    </xf>
    <xf numFmtId="0" fontId="0" fillId="0" borderId="146" xfId="0" applyBorder="1" applyAlignment="1">
      <alignment horizontal="center" vertical="center"/>
    </xf>
    <xf numFmtId="0" fontId="0" fillId="0" borderId="274" xfId="0" applyBorder="1" applyAlignment="1">
      <alignment vertical="center"/>
    </xf>
    <xf numFmtId="167" fontId="0" fillId="0" borderId="44" xfId="0" applyNumberFormat="1" applyBorder="1" applyAlignment="1">
      <alignment horizontal="center" vertical="center"/>
    </xf>
    <xf numFmtId="0" fontId="0" fillId="0" borderId="50" xfId="0" applyBorder="1" applyAlignment="1">
      <alignment horizontal="center" vertical="center"/>
    </xf>
    <xf numFmtId="0" fontId="0" fillId="0" borderId="221" xfId="0" applyBorder="1" applyAlignment="1">
      <alignment vertical="center"/>
    </xf>
    <xf numFmtId="0" fontId="3" fillId="0" borderId="107" xfId="0" applyFont="1" applyBorder="1" applyAlignment="1">
      <alignment horizontal="center" vertical="center"/>
    </xf>
    <xf numFmtId="167" fontId="0" fillId="0" borderId="275" xfId="0" applyNumberFormat="1" applyBorder="1" applyAlignment="1">
      <alignment horizontal="center" vertical="center"/>
    </xf>
    <xf numFmtId="0" fontId="0" fillId="0" borderId="276" xfId="0" applyBorder="1" applyAlignment="1">
      <alignment horizontal="center" vertical="center"/>
    </xf>
    <xf numFmtId="0" fontId="0" fillId="0" borderId="277" xfId="0" applyBorder="1" applyAlignment="1">
      <alignment vertical="center"/>
    </xf>
    <xf numFmtId="0" fontId="76" fillId="0" borderId="0" xfId="0" applyFont="1" applyAlignment="1">
      <alignment horizontal="center"/>
    </xf>
    <xf numFmtId="0" fontId="0" fillId="0" borderId="72" xfId="0" applyBorder="1" applyAlignment="1">
      <alignment horizontal="center"/>
    </xf>
    <xf numFmtId="0" fontId="0" fillId="0" borderId="73" xfId="0" applyNumberFormat="1" applyBorder="1" applyAlignment="1">
      <alignment horizontal="center"/>
    </xf>
    <xf numFmtId="0" fontId="0" fillId="0" borderId="73" xfId="0" applyBorder="1" applyAlignment="1">
      <alignment horizontal="center"/>
    </xf>
    <xf numFmtId="0" fontId="0" fillId="0" borderId="73" xfId="0" applyBorder="1"/>
    <xf numFmtId="0" fontId="0" fillId="0" borderId="74"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7" xfId="0" applyNumberFormat="1" applyBorder="1" applyAlignment="1">
      <alignment horizontal="center"/>
    </xf>
    <xf numFmtId="0" fontId="0" fillId="0" borderId="77" xfId="0" applyBorder="1" applyAlignment="1">
      <alignment horizontal="center"/>
    </xf>
    <xf numFmtId="0" fontId="0" fillId="0" borderId="77" xfId="0" applyBorder="1"/>
    <xf numFmtId="0" fontId="0" fillId="0" borderId="78" xfId="0" applyBorder="1" applyAlignment="1">
      <alignment horizontal="center"/>
    </xf>
    <xf numFmtId="0" fontId="25" fillId="0" borderId="0" xfId="0" applyFont="1" applyAlignment="1">
      <alignment horizontal="center"/>
    </xf>
    <xf numFmtId="0" fontId="14" fillId="9" borderId="278" xfId="0" applyFont="1" applyFill="1" applyBorder="1" applyAlignment="1">
      <alignment horizontal="center" vertical="center"/>
    </xf>
    <xf numFmtId="165" fontId="29" fillId="0" borderId="0" xfId="0" applyNumberFormat="1" applyFont="1" applyBorder="1" applyAlignment="1">
      <alignment wrapText="1"/>
    </xf>
    <xf numFmtId="0" fontId="21" fillId="10" borderId="131" xfId="0" applyFont="1" applyFill="1" applyBorder="1" applyAlignment="1" applyProtection="1">
      <alignment horizontal="center"/>
      <protection locked="0"/>
    </xf>
    <xf numFmtId="0" fontId="21" fillId="10" borderId="123" xfId="0" applyFont="1" applyFill="1" applyBorder="1" applyAlignment="1" applyProtection="1">
      <alignment horizontal="center"/>
      <protection locked="0"/>
    </xf>
    <xf numFmtId="0" fontId="21" fillId="10" borderId="266" xfId="0" applyFont="1" applyFill="1" applyBorder="1" applyAlignment="1" applyProtection="1">
      <alignment horizontal="center"/>
      <protection locked="0"/>
    </xf>
    <xf numFmtId="0" fontId="21" fillId="10" borderId="280" xfId="0" applyFont="1" applyFill="1" applyBorder="1" applyAlignment="1" applyProtection="1">
      <alignment horizontal="center"/>
      <protection locked="0"/>
    </xf>
    <xf numFmtId="0" fontId="19" fillId="9" borderId="278" xfId="0" applyFont="1" applyFill="1" applyBorder="1" applyAlignment="1">
      <alignment horizontal="center" shrinkToFit="1"/>
    </xf>
    <xf numFmtId="0" fontId="21" fillId="10" borderId="2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shrinkToFit="1"/>
      <protection locked="0"/>
    </xf>
    <xf numFmtId="0" fontId="21" fillId="10" borderId="219" xfId="0" applyFont="1" applyFill="1" applyBorder="1" applyAlignment="1" applyProtection="1">
      <alignment horizontal="center" vertical="center" shrinkToFit="1"/>
      <protection locked="0"/>
    </xf>
    <xf numFmtId="0" fontId="13" fillId="0" borderId="279" xfId="0" applyFont="1" applyBorder="1" applyAlignment="1">
      <alignment horizontal="center" vertical="center"/>
    </xf>
    <xf numFmtId="0" fontId="13" fillId="0" borderId="129" xfId="0" applyFont="1" applyBorder="1" applyAlignment="1">
      <alignment horizontal="center" vertical="center"/>
    </xf>
    <xf numFmtId="0" fontId="13" fillId="0" borderId="181" xfId="0" applyFont="1" applyBorder="1" applyAlignment="1">
      <alignment horizontal="center" vertical="center"/>
    </xf>
    <xf numFmtId="0" fontId="17" fillId="0" borderId="282" xfId="0" applyFont="1" applyFill="1" applyBorder="1" applyAlignment="1" applyProtection="1">
      <alignment vertical="top"/>
    </xf>
    <xf numFmtId="0" fontId="17" fillId="0" borderId="0" xfId="0" applyFont="1" applyFill="1" applyBorder="1" applyAlignment="1" applyProtection="1">
      <alignment vertical="top"/>
    </xf>
    <xf numFmtId="14" fontId="26" fillId="0" borderId="282"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82" xfId="0" applyFont="1" applyFill="1" applyBorder="1" applyAlignment="1" applyProtection="1">
      <alignment vertical="center"/>
    </xf>
    <xf numFmtId="0" fontId="26" fillId="0" borderId="0" xfId="0" applyFont="1" applyFill="1" applyBorder="1" applyAlignment="1" applyProtection="1">
      <alignment vertical="center"/>
    </xf>
    <xf numFmtId="0" fontId="57" fillId="0" borderId="0" xfId="0" applyFont="1" applyFill="1" applyBorder="1" applyAlignment="1" applyProtection="1"/>
    <xf numFmtId="0" fontId="14" fillId="9" borderId="278" xfId="0" applyFont="1" applyFill="1" applyBorder="1" applyAlignment="1">
      <alignment horizontal="center" vertical="center" shrinkToFit="1"/>
    </xf>
    <xf numFmtId="0" fontId="21" fillId="10" borderId="279" xfId="0" applyFont="1" applyFill="1" applyBorder="1" applyAlignment="1" applyProtection="1">
      <alignment horizontal="center" vertical="center" shrinkToFit="1"/>
      <protection locked="0"/>
    </xf>
    <xf numFmtId="0" fontId="21" fillId="10" borderId="182" xfId="0" applyFont="1" applyFill="1" applyBorder="1" applyAlignment="1" applyProtection="1">
      <alignment horizontal="center" vertical="center" shrinkToFit="1"/>
      <protection locked="0"/>
    </xf>
    <xf numFmtId="0" fontId="21" fillId="10" borderId="1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protection locked="0"/>
    </xf>
    <xf numFmtId="0" fontId="21" fillId="10" borderId="182" xfId="0" applyFont="1" applyFill="1" applyBorder="1" applyAlignment="1" applyProtection="1">
      <alignment horizontal="center" vertical="center"/>
      <protection locked="0"/>
    </xf>
    <xf numFmtId="0" fontId="21" fillId="10" borderId="181"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14" fillId="9" borderId="53" xfId="0" applyFont="1" applyFill="1" applyBorder="1" applyAlignment="1">
      <alignment horizontal="center" vertical="center" shrinkToFit="1"/>
    </xf>
    <xf numFmtId="0" fontId="6" fillId="10" borderId="55" xfId="0" applyFont="1" applyFill="1" applyBorder="1" applyAlignment="1" applyProtection="1">
      <alignment horizontal="left" vertical="center" shrinkToFit="1"/>
      <protection locked="0"/>
    </xf>
    <xf numFmtId="0" fontId="6" fillId="10" borderId="120" xfId="0" applyFont="1" applyFill="1" applyBorder="1" applyAlignment="1">
      <alignment horizontal="center" vertical="center"/>
    </xf>
    <xf numFmtId="0" fontId="6" fillId="10" borderId="55" xfId="0" applyFont="1" applyFill="1" applyBorder="1" applyAlignment="1">
      <alignment horizontal="center" vertical="center"/>
    </xf>
    <xf numFmtId="0" fontId="6" fillId="10" borderId="56" xfId="0" applyFont="1" applyFill="1" applyBorder="1" applyAlignment="1">
      <alignment horizontal="center" vertical="center"/>
    </xf>
    <xf numFmtId="0" fontId="6" fillId="10" borderId="120" xfId="0" applyFont="1" applyFill="1" applyBorder="1" applyAlignment="1" applyProtection="1">
      <alignment horizontal="center" vertical="center"/>
    </xf>
    <xf numFmtId="0" fontId="6" fillId="10" borderId="55" xfId="0" applyFont="1" applyFill="1" applyBorder="1" applyAlignment="1" applyProtection="1">
      <alignment horizontal="center" vertical="center"/>
    </xf>
    <xf numFmtId="0" fontId="6" fillId="10" borderId="56" xfId="0" applyFont="1" applyFill="1" applyBorder="1" applyAlignment="1" applyProtection="1">
      <alignment horizontal="center" vertical="center"/>
    </xf>
    <xf numFmtId="0" fontId="6" fillId="10" borderId="197" xfId="0" applyFont="1" applyFill="1" applyBorder="1" applyAlignment="1" applyProtection="1">
      <alignment horizontal="right" vertical="center" shrinkToFit="1"/>
      <protection locked="0"/>
    </xf>
    <xf numFmtId="0" fontId="6" fillId="10" borderId="50"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10" borderId="120" xfId="0" applyFont="1" applyFill="1" applyBorder="1" applyAlignment="1" applyProtection="1">
      <alignment horizontal="left" vertical="center" shrinkToFit="1"/>
      <protection locked="0"/>
    </xf>
    <xf numFmtId="0" fontId="6" fillId="10" borderId="56" xfId="0" applyFont="1" applyFill="1" applyBorder="1" applyAlignment="1" applyProtection="1">
      <alignment horizontal="left" vertical="center" shrinkToFit="1"/>
      <protection locked="0"/>
    </xf>
    <xf numFmtId="0" fontId="6" fillId="10" borderId="146" xfId="0" applyFont="1" applyFill="1" applyBorder="1" applyAlignment="1" applyProtection="1">
      <alignment horizontal="right" vertical="center" shrinkToFit="1"/>
      <protection locked="0"/>
    </xf>
    <xf numFmtId="0" fontId="6" fillId="10" borderId="147" xfId="0" applyFont="1" applyFill="1" applyBorder="1" applyAlignment="1" applyProtection="1">
      <alignment horizontal="center" vertical="center"/>
    </xf>
    <xf numFmtId="0" fontId="6" fillId="0" borderId="147" xfId="0" applyFont="1" applyFill="1" applyBorder="1" applyAlignment="1" applyProtection="1">
      <alignment horizontal="center" vertical="center"/>
    </xf>
    <xf numFmtId="0" fontId="6" fillId="0" borderId="55" xfId="0" applyFont="1" applyFill="1" applyBorder="1" applyAlignment="1" applyProtection="1">
      <alignment horizontal="center" vertical="center"/>
    </xf>
    <xf numFmtId="0" fontId="6" fillId="0" borderId="69" xfId="0" applyFont="1" applyFill="1" applyBorder="1" applyAlignment="1" applyProtection="1">
      <alignment horizontal="left" vertical="center" shrinkToFit="1"/>
    </xf>
    <xf numFmtId="0" fontId="6" fillId="0" borderId="56" xfId="0" applyFont="1" applyFill="1" applyBorder="1" applyAlignment="1" applyProtection="1">
      <alignment horizontal="center" vertical="center"/>
    </xf>
    <xf numFmtId="0" fontId="6" fillId="0" borderId="184" xfId="0" applyFont="1" applyFill="1" applyBorder="1" applyAlignment="1" applyProtection="1">
      <alignment horizontal="left" vertical="center" shrinkToFit="1"/>
    </xf>
    <xf numFmtId="0" fontId="6" fillId="0" borderId="284" xfId="0" applyFont="1" applyFill="1" applyBorder="1" applyAlignment="1" applyProtection="1">
      <alignment horizontal="right" vertical="center" shrinkToFit="1"/>
    </xf>
    <xf numFmtId="0" fontId="6" fillId="0" borderId="149" xfId="0" applyFont="1" applyFill="1" applyBorder="1" applyAlignment="1" applyProtection="1">
      <alignment horizontal="left" vertical="center" shrinkToFit="1"/>
    </xf>
    <xf numFmtId="0" fontId="6" fillId="0" borderId="285" xfId="0" applyFont="1" applyFill="1" applyBorder="1" applyAlignment="1" applyProtection="1">
      <alignment horizontal="right" vertical="center" shrinkToFit="1"/>
    </xf>
    <xf numFmtId="0" fontId="6" fillId="0" borderId="286" xfId="0" applyFont="1" applyFill="1" applyBorder="1" applyAlignment="1" applyProtection="1">
      <alignment horizontal="right" vertical="center" shrinkToFit="1"/>
    </xf>
    <xf numFmtId="0" fontId="4" fillId="0" borderId="0" xfId="4" applyAlignment="1">
      <alignment horizontal="right"/>
    </xf>
    <xf numFmtId="0" fontId="52" fillId="0" borderId="0" xfId="4" applyFont="1"/>
    <xf numFmtId="0" fontId="4" fillId="0" borderId="0" xfId="4"/>
    <xf numFmtId="0" fontId="39" fillId="0" borderId="0" xfId="4" applyFont="1" applyAlignment="1">
      <alignment horizontal="right"/>
    </xf>
    <xf numFmtId="0" fontId="39" fillId="0" borderId="0" xfId="4" applyFont="1"/>
    <xf numFmtId="0" fontId="39" fillId="15" borderId="158" xfId="4" applyFont="1" applyFill="1" applyBorder="1" applyAlignment="1" applyProtection="1">
      <alignment horizontal="center"/>
      <protection locked="0"/>
    </xf>
    <xf numFmtId="0" fontId="39" fillId="0" borderId="0" xfId="4" applyFont="1" applyAlignment="1"/>
    <xf numFmtId="0" fontId="50" fillId="0" borderId="0" xfId="4" applyNumberFormat="1" applyFont="1" applyAlignment="1">
      <alignment horizontal="center" vertical="center"/>
    </xf>
    <xf numFmtId="0" fontId="54" fillId="15" borderId="158"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 fillId="0" borderId="0" xfId="4" applyFont="1"/>
    <xf numFmtId="0" fontId="50" fillId="0" borderId="0" xfId="4" applyFont="1" applyAlignment="1">
      <alignment horizontal="center"/>
    </xf>
    <xf numFmtId="0" fontId="4" fillId="0" borderId="0" xfId="4" applyFont="1" applyAlignment="1">
      <alignment vertical="top" wrapText="1"/>
    </xf>
    <xf numFmtId="0" fontId="7" fillId="0" borderId="0" xfId="4" applyNumberFormat="1" applyFont="1" applyFill="1" applyAlignment="1" applyProtection="1">
      <alignment vertical="center"/>
      <protection hidden="1"/>
    </xf>
    <xf numFmtId="0" fontId="7" fillId="0" borderId="0" xfId="4" applyNumberFormat="1" applyFont="1" applyFill="1" applyBorder="1" applyAlignment="1" applyProtection="1">
      <alignment horizontal="center" vertical="center"/>
      <protection hidden="1"/>
    </xf>
    <xf numFmtId="0" fontId="7" fillId="0" borderId="0" xfId="4" applyNumberFormat="1" applyFont="1" applyFill="1" applyAlignment="1" applyProtection="1">
      <alignment horizontal="center" vertical="center"/>
      <protection hidden="1"/>
    </xf>
    <xf numFmtId="0" fontId="42" fillId="0" borderId="0" xfId="4" applyNumberFormat="1" applyFont="1" applyFill="1" applyAlignment="1" applyProtection="1">
      <alignment horizontal="center" vertical="center"/>
      <protection hidden="1"/>
    </xf>
    <xf numFmtId="0" fontId="12" fillId="0" borderId="0" xfId="4" applyNumberFormat="1" applyFont="1" applyFill="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8" fillId="0" borderId="0" xfId="4" applyNumberFormat="1" applyFont="1" applyFill="1" applyAlignment="1" applyProtection="1">
      <alignment horizontal="center" vertical="center"/>
      <protection hidden="1"/>
    </xf>
    <xf numFmtId="0" fontId="7" fillId="0" borderId="31" xfId="4" applyNumberFormat="1" applyFont="1" applyFill="1" applyBorder="1" applyAlignment="1" applyProtection="1">
      <alignment horizontal="center" vertical="center"/>
      <protection hidden="1"/>
    </xf>
    <xf numFmtId="0" fontId="7" fillId="0" borderId="28" xfId="4" applyNumberFormat="1" applyFont="1" applyFill="1" applyBorder="1" applyAlignment="1" applyProtection="1">
      <alignment horizontal="center" vertical="center"/>
      <protection hidden="1"/>
    </xf>
    <xf numFmtId="0" fontId="7" fillId="0" borderId="0" xfId="4" quotePrefix="1" applyNumberFormat="1" applyFont="1" applyFill="1" applyAlignment="1" applyProtection="1">
      <alignment vertical="center"/>
      <protection hidden="1"/>
    </xf>
    <xf numFmtId="0" fontId="10" fillId="0" borderId="15" xfId="4" applyNumberFormat="1" applyFont="1" applyFill="1" applyBorder="1" applyAlignment="1" applyProtection="1">
      <alignment horizontal="center" vertical="center"/>
      <protection hidden="1"/>
    </xf>
    <xf numFmtId="0" fontId="7" fillId="13" borderId="160" xfId="4" applyNumberFormat="1" applyFont="1" applyFill="1" applyBorder="1" applyAlignment="1" applyProtection="1">
      <alignment horizontal="center" vertical="center"/>
      <protection hidden="1"/>
    </xf>
    <xf numFmtId="3" fontId="7" fillId="0" borderId="31" xfId="4" applyNumberFormat="1" applyFont="1" applyFill="1" applyBorder="1" applyAlignment="1" applyProtection="1">
      <alignment horizontal="center" vertical="center"/>
      <protection hidden="1"/>
    </xf>
    <xf numFmtId="0" fontId="10" fillId="0" borderId="16" xfId="4" applyNumberFormat="1" applyFont="1" applyFill="1" applyBorder="1" applyAlignment="1" applyProtection="1">
      <alignment horizontal="center" vertical="center"/>
      <protection hidden="1"/>
    </xf>
    <xf numFmtId="3" fontId="7" fillId="0" borderId="0" xfId="4" applyNumberFormat="1" applyFont="1" applyFill="1" applyAlignment="1" applyProtection="1">
      <alignment vertical="center"/>
      <protection hidden="1"/>
    </xf>
    <xf numFmtId="3" fontId="7" fillId="0" borderId="0" xfId="4" applyNumberFormat="1" applyFont="1" applyFill="1" applyAlignment="1" applyProtection="1">
      <alignment horizontal="right" vertical="center"/>
      <protection hidden="1"/>
    </xf>
    <xf numFmtId="0" fontId="10" fillId="0" borderId="17" xfId="4" applyNumberFormat="1" applyFont="1" applyFill="1" applyBorder="1" applyAlignment="1" applyProtection="1">
      <alignment horizontal="center" vertical="center"/>
      <protection hidden="1"/>
    </xf>
    <xf numFmtId="0" fontId="7" fillId="0" borderId="18" xfId="4" applyNumberFormat="1" applyFont="1" applyFill="1" applyBorder="1" applyAlignment="1" applyProtection="1">
      <alignment horizontal="center" vertical="center"/>
      <protection hidden="1"/>
    </xf>
    <xf numFmtId="0" fontId="7" fillId="7" borderId="2" xfId="4" applyNumberFormat="1" applyFont="1" applyFill="1" applyBorder="1" applyAlignment="1" applyProtection="1">
      <alignment horizontal="center" vertical="center"/>
      <protection hidden="1"/>
    </xf>
    <xf numFmtId="11" fontId="7" fillId="0" borderId="0" xfId="4" applyNumberFormat="1" applyFont="1" applyFill="1" applyAlignment="1" applyProtection="1">
      <alignment vertical="center"/>
      <protection hidden="1"/>
    </xf>
    <xf numFmtId="0" fontId="50" fillId="0" borderId="0" xfId="4" applyNumberFormat="1" applyFont="1" applyFill="1" applyBorder="1" applyAlignment="1">
      <alignment vertical="center"/>
    </xf>
    <xf numFmtId="0" fontId="7" fillId="0" borderId="0" xfId="4" applyNumberFormat="1" applyFont="1" applyFill="1" applyBorder="1" applyAlignment="1" applyProtection="1">
      <alignment vertical="center"/>
      <protection hidden="1"/>
    </xf>
    <xf numFmtId="0" fontId="7" fillId="0" borderId="0" xfId="4" applyNumberFormat="1" applyFont="1" applyAlignment="1">
      <alignment horizontal="center" vertical="center"/>
    </xf>
    <xf numFmtId="0" fontId="77" fillId="0" borderId="0" xfId="2" applyNumberFormat="1" applyFont="1" applyFill="1" applyBorder="1" applyAlignment="1" applyProtection="1">
      <alignment horizontal="center" vertical="center" readingOrder="1"/>
    </xf>
    <xf numFmtId="0" fontId="9" fillId="0" borderId="0" xfId="2" applyNumberFormat="1" applyFill="1" applyBorder="1" applyAlignment="1" applyProtection="1">
      <alignment horizontal="center" vertical="center" readingOrder="1"/>
    </xf>
    <xf numFmtId="0" fontId="50" fillId="0" borderId="0" xfId="4" applyNumberFormat="1" applyFont="1" applyFill="1" applyBorder="1" applyAlignment="1">
      <alignment horizontal="center" vertical="center"/>
    </xf>
    <xf numFmtId="3" fontId="11" fillId="0" borderId="0" xfId="4" applyNumberFormat="1" applyFont="1" applyFill="1" applyBorder="1" applyAlignment="1" applyProtection="1">
      <alignment horizontal="center" vertical="center"/>
      <protection hidden="1"/>
    </xf>
    <xf numFmtId="0" fontId="7" fillId="0" borderId="72" xfId="4" applyNumberFormat="1" applyFont="1" applyFill="1" applyBorder="1" applyAlignment="1" applyProtection="1">
      <alignment vertical="center"/>
      <protection hidden="1"/>
    </xf>
    <xf numFmtId="0" fontId="7" fillId="0" borderId="73" xfId="4" applyNumberFormat="1" applyFont="1" applyFill="1" applyBorder="1" applyAlignment="1" applyProtection="1">
      <alignment vertical="center"/>
      <protection hidden="1"/>
    </xf>
    <xf numFmtId="0" fontId="7" fillId="0" borderId="74" xfId="4" applyNumberFormat="1" applyFont="1" applyFill="1" applyBorder="1" applyAlignment="1" applyProtection="1">
      <alignment vertical="center"/>
      <protection hidden="1"/>
    </xf>
    <xf numFmtId="3" fontId="11" fillId="0" borderId="0" xfId="4" applyNumberFormat="1" applyFont="1" applyAlignment="1">
      <alignment horizontal="center"/>
    </xf>
    <xf numFmtId="168" fontId="10" fillId="0" borderId="0" xfId="4" applyNumberFormat="1" applyFont="1" applyFill="1" applyBorder="1" applyAlignment="1" applyProtection="1">
      <alignment horizontal="center" vertical="center"/>
      <protection hidden="1"/>
    </xf>
    <xf numFmtId="0" fontId="7" fillId="0" borderId="1" xfId="4" applyNumberFormat="1" applyFont="1" applyFill="1" applyBorder="1" applyAlignment="1" applyProtection="1">
      <alignment vertical="center"/>
      <protection hidden="1"/>
    </xf>
    <xf numFmtId="0" fontId="7" fillId="0" borderId="75" xfId="4" applyNumberFormat="1" applyFont="1" applyFill="1" applyBorder="1" applyAlignment="1" applyProtection="1">
      <alignment vertical="center"/>
      <protection hidden="1"/>
    </xf>
    <xf numFmtId="0" fontId="7" fillId="0" borderId="76" xfId="4" applyNumberFormat="1" applyFont="1" applyFill="1" applyBorder="1" applyAlignment="1" applyProtection="1">
      <alignment vertical="center"/>
      <protection hidden="1"/>
    </xf>
    <xf numFmtId="0" fontId="7" fillId="0" borderId="77" xfId="4" applyNumberFormat="1" applyFont="1" applyFill="1" applyBorder="1" applyAlignment="1" applyProtection="1">
      <alignment vertical="center"/>
      <protection hidden="1"/>
    </xf>
    <xf numFmtId="0" fontId="7" fillId="0" borderId="78" xfId="4" applyNumberFormat="1" applyFont="1" applyFill="1" applyBorder="1" applyAlignment="1" applyProtection="1">
      <alignment vertical="center"/>
      <protection hidden="1"/>
    </xf>
    <xf numFmtId="0" fontId="8" fillId="0" borderId="0" xfId="4" applyNumberFormat="1" applyFont="1" applyFill="1" applyAlignment="1" applyProtection="1">
      <alignment vertical="center"/>
      <protection hidden="1"/>
    </xf>
    <xf numFmtId="0" fontId="78" fillId="0" borderId="0" xfId="4" applyNumberFormat="1" applyFont="1" applyFill="1" applyAlignment="1" applyProtection="1">
      <alignment vertical="center"/>
      <protection hidden="1"/>
    </xf>
    <xf numFmtId="0" fontId="7" fillId="0" borderId="0" xfId="4" quotePrefix="1" applyNumberFormat="1" applyFont="1" applyFill="1" applyBorder="1" applyAlignment="1" applyProtection="1">
      <alignment vertical="center"/>
      <protection hidden="1"/>
    </xf>
    <xf numFmtId="0" fontId="7" fillId="0" borderId="9" xfId="4" applyNumberFormat="1" applyFont="1" applyFill="1" applyBorder="1" applyAlignment="1" applyProtection="1">
      <alignment vertical="center"/>
      <protection hidden="1"/>
    </xf>
    <xf numFmtId="0" fontId="7" fillId="0" borderId="10" xfId="4" applyNumberFormat="1" applyFont="1" applyFill="1" applyBorder="1" applyAlignment="1" applyProtection="1">
      <alignment vertical="center"/>
      <protection hidden="1"/>
    </xf>
    <xf numFmtId="0" fontId="7" fillId="3" borderId="2" xfId="4" applyNumberFormat="1" applyFont="1" applyFill="1" applyBorder="1" applyAlignment="1" applyProtection="1">
      <alignment vertical="center"/>
      <protection hidden="1"/>
    </xf>
    <xf numFmtId="0" fontId="7" fillId="4" borderId="2" xfId="4" applyNumberFormat="1" applyFont="1" applyFill="1" applyBorder="1" applyAlignment="1" applyProtection="1">
      <alignment horizontal="center" vertical="center"/>
      <protection hidden="1"/>
    </xf>
    <xf numFmtId="0" fontId="7" fillId="5" borderId="2" xfId="4" applyNumberFormat="1" applyFont="1" applyFill="1" applyBorder="1" applyAlignment="1" applyProtection="1">
      <alignment horizontal="center" vertical="center"/>
      <protection hidden="1"/>
    </xf>
    <xf numFmtId="0" fontId="7" fillId="0" borderId="11" xfId="4" applyNumberFormat="1" applyFont="1" applyFill="1" applyBorder="1" applyAlignment="1" applyProtection="1">
      <alignment vertical="center"/>
      <protection hidden="1"/>
    </xf>
    <xf numFmtId="0" fontId="7" fillId="0" borderId="12" xfId="4" applyNumberFormat="1" applyFont="1" applyFill="1" applyBorder="1" applyAlignment="1" applyProtection="1">
      <alignment vertical="center"/>
      <protection hidden="1"/>
    </xf>
    <xf numFmtId="0" fontId="7" fillId="0" borderId="13" xfId="4" applyNumberFormat="1" applyFont="1" applyFill="1" applyBorder="1" applyAlignment="1" applyProtection="1">
      <alignment vertical="center"/>
      <protection hidden="1"/>
    </xf>
    <xf numFmtId="0" fontId="7" fillId="0" borderId="14" xfId="4" applyNumberFormat="1" applyFont="1" applyFill="1" applyBorder="1" applyAlignment="1" applyProtection="1">
      <alignment vertical="center"/>
      <protection hidden="1"/>
    </xf>
    <xf numFmtId="0" fontId="12" fillId="0" borderId="71"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42" fillId="0" borderId="0" xfId="4" applyNumberFormat="1" applyFont="1" applyFill="1" applyBorder="1" applyAlignment="1" applyProtection="1">
      <alignment vertical="center"/>
      <protection hidden="1"/>
    </xf>
    <xf numFmtId="0" fontId="4" fillId="0" borderId="153" xfId="4" applyBorder="1" applyAlignment="1">
      <alignment horizontal="right" indent="1"/>
    </xf>
    <xf numFmtId="0" fontId="4" fillId="0" borderId="154" xfId="4" applyBorder="1" applyAlignment="1">
      <alignment horizontal="left"/>
    </xf>
    <xf numFmtId="0" fontId="7" fillId="0" borderId="0" xfId="4" applyNumberFormat="1" applyFont="1" applyFill="1" applyBorder="1" applyAlignment="1" applyProtection="1">
      <alignment horizontal="left" vertical="center"/>
      <protection hidden="1"/>
    </xf>
    <xf numFmtId="0" fontId="7" fillId="0" borderId="36" xfId="4" applyNumberFormat="1" applyFont="1" applyFill="1" applyBorder="1" applyAlignment="1" applyProtection="1">
      <alignment horizontal="right" vertical="center" indent="1"/>
      <protection hidden="1"/>
    </xf>
    <xf numFmtId="0" fontId="7" fillId="0" borderId="38" xfId="4" applyNumberFormat="1" applyFont="1" applyFill="1" applyBorder="1" applyAlignment="1" applyProtection="1">
      <alignment horizontal="left" vertical="center"/>
      <protection hidden="1"/>
    </xf>
    <xf numFmtId="0" fontId="7" fillId="0" borderId="81" xfId="4" applyNumberFormat="1" applyFont="1" applyFill="1" applyBorder="1" applyAlignment="1" applyProtection="1">
      <alignment horizontal="right" vertical="center" indent="1"/>
      <protection hidden="1"/>
    </xf>
    <xf numFmtId="0" fontId="7" fillId="0" borderId="19" xfId="4" applyNumberFormat="1" applyFont="1" applyFill="1" applyBorder="1" applyAlignment="1" applyProtection="1">
      <alignment horizontal="center" vertical="center"/>
      <protection hidden="1"/>
    </xf>
    <xf numFmtId="0" fontId="7" fillId="0" borderId="20" xfId="4" applyNumberFormat="1" applyFont="1" applyFill="1" applyBorder="1" applyAlignment="1" applyProtection="1">
      <alignment horizontal="center" vertical="center"/>
      <protection hidden="1"/>
    </xf>
    <xf numFmtId="0" fontId="7" fillId="0" borderId="21" xfId="4" applyNumberFormat="1" applyFont="1" applyFill="1" applyBorder="1" applyAlignment="1" applyProtection="1">
      <alignment horizontal="center" vertical="center"/>
      <protection hidden="1"/>
    </xf>
    <xf numFmtId="0" fontId="7" fillId="0" borderId="19" xfId="4" applyNumberFormat="1" applyFont="1" applyFill="1" applyBorder="1" applyAlignment="1" applyProtection="1">
      <alignment vertical="center"/>
      <protection hidden="1"/>
    </xf>
    <xf numFmtId="0" fontId="7" fillId="0" borderId="37" xfId="4" applyNumberFormat="1" applyFont="1" applyFill="1" applyBorder="1" applyAlignment="1" applyProtection="1">
      <alignment horizontal="center" vertical="center"/>
      <protection hidden="1"/>
    </xf>
    <xf numFmtId="0" fontId="7" fillId="0" borderId="38" xfId="4" applyNumberFormat="1" applyFont="1" applyFill="1" applyBorder="1" applyAlignment="1" applyProtection="1">
      <alignment horizontal="center" vertical="center"/>
      <protection hidden="1"/>
    </xf>
    <xf numFmtId="0" fontId="7" fillId="0" borderId="36" xfId="4" applyNumberFormat="1" applyFont="1" applyFill="1" applyBorder="1" applyAlignment="1" applyProtection="1">
      <alignment horizontal="center" vertical="center"/>
      <protection hidden="1"/>
    </xf>
    <xf numFmtId="0" fontId="4" fillId="0" borderId="105" xfId="4" applyBorder="1" applyAlignment="1">
      <alignment horizontal="right" indent="1"/>
    </xf>
    <xf numFmtId="0" fontId="4" fillId="0" borderId="106" xfId="4" applyBorder="1" applyAlignment="1">
      <alignment horizontal="left"/>
    </xf>
    <xf numFmtId="0" fontId="7" fillId="0" borderId="287" xfId="4" applyNumberFormat="1" applyFont="1" applyFill="1" applyBorder="1" applyAlignment="1" applyProtection="1">
      <alignment horizontal="center" vertical="center"/>
      <protection hidden="1"/>
    </xf>
    <xf numFmtId="0" fontId="7" fillId="0" borderId="155"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horizontal="right" vertical="center" indent="1"/>
      <protection hidden="1"/>
    </xf>
    <xf numFmtId="0" fontId="7" fillId="0" borderId="40" xfId="4" applyNumberFormat="1" applyFont="1" applyFill="1" applyBorder="1" applyAlignment="1" applyProtection="1">
      <alignment horizontal="left" vertical="center"/>
      <protection hidden="1"/>
    </xf>
    <xf numFmtId="0" fontId="7" fillId="0" borderId="82" xfId="4" applyNumberFormat="1" applyFont="1" applyFill="1" applyBorder="1" applyAlignment="1" applyProtection="1">
      <alignment horizontal="right" vertical="center" indent="1"/>
      <protection hidden="1"/>
    </xf>
    <xf numFmtId="0" fontId="7" fillId="0" borderId="22" xfId="4" applyNumberFormat="1" applyFont="1" applyFill="1" applyBorder="1" applyAlignment="1" applyProtection="1">
      <alignment horizontal="center" vertical="center"/>
      <protection hidden="1"/>
    </xf>
    <xf numFmtId="0" fontId="7" fillId="0" borderId="23" xfId="4" applyNumberFormat="1" applyFont="1" applyFill="1" applyBorder="1" applyAlignment="1" applyProtection="1">
      <alignment horizontal="center" vertical="center"/>
      <protection hidden="1"/>
    </xf>
    <xf numFmtId="0" fontId="7" fillId="0" borderId="22" xfId="4" applyNumberFormat="1" applyFont="1" applyFill="1" applyBorder="1" applyAlignment="1" applyProtection="1">
      <alignment vertical="center"/>
      <protection hidden="1"/>
    </xf>
    <xf numFmtId="0" fontId="7" fillId="0" borderId="40" xfId="4" applyNumberFormat="1" applyFont="1" applyFill="1" applyBorder="1" applyAlignment="1" applyProtection="1">
      <alignment horizontal="center" vertical="center"/>
      <protection hidden="1"/>
    </xf>
    <xf numFmtId="0" fontId="7" fillId="0" borderId="39" xfId="4" applyNumberFormat="1" applyFont="1" applyFill="1" applyBorder="1" applyAlignment="1" applyProtection="1">
      <alignment horizontal="center" vertical="center"/>
      <protection hidden="1"/>
    </xf>
    <xf numFmtId="0" fontId="7" fillId="0" borderId="107" xfId="4" applyNumberFormat="1" applyFont="1" applyFill="1" applyBorder="1" applyAlignment="1" applyProtection="1">
      <alignment horizontal="right" vertical="center" indent="1"/>
      <protection hidden="1"/>
    </xf>
    <xf numFmtId="0" fontId="7" fillId="0" borderId="109" xfId="4" applyNumberFormat="1" applyFont="1" applyFill="1" applyBorder="1" applyAlignment="1" applyProtection="1">
      <alignment horizontal="left" vertical="center"/>
      <protection hidden="1"/>
    </xf>
    <xf numFmtId="0" fontId="7" fillId="0" borderId="41" xfId="4" applyNumberFormat="1" applyFont="1" applyFill="1" applyBorder="1" applyAlignment="1" applyProtection="1">
      <alignment horizontal="right" vertical="center" indent="1"/>
      <protection hidden="1"/>
    </xf>
    <xf numFmtId="0" fontId="7" fillId="0" borderId="42" xfId="4" applyNumberFormat="1" applyFont="1" applyFill="1" applyBorder="1" applyAlignment="1" applyProtection="1">
      <alignment horizontal="left" vertical="center"/>
      <protection hidden="1"/>
    </xf>
    <xf numFmtId="0" fontId="7" fillId="0" borderId="175" xfId="4" applyNumberFormat="1" applyFont="1" applyFill="1" applyBorder="1" applyAlignment="1" applyProtection="1">
      <alignment horizontal="right" vertical="center" indent="1"/>
      <protection hidden="1"/>
    </xf>
    <xf numFmtId="0" fontId="7" fillId="0" borderId="176" xfId="4" applyNumberFormat="1" applyFont="1" applyFill="1" applyBorder="1" applyAlignment="1" applyProtection="1">
      <alignment horizontal="center" vertical="center"/>
      <protection hidden="1"/>
    </xf>
    <xf numFmtId="0" fontId="7" fillId="0" borderId="177" xfId="4" applyNumberFormat="1" applyFont="1" applyFill="1" applyBorder="1" applyAlignment="1" applyProtection="1">
      <alignment horizontal="center" vertical="center"/>
      <protection hidden="1"/>
    </xf>
    <xf numFmtId="0" fontId="7" fillId="0" borderId="178" xfId="4" applyNumberFormat="1" applyFont="1" applyFill="1" applyBorder="1" applyAlignment="1" applyProtection="1">
      <alignment horizontal="center" vertical="center"/>
      <protection hidden="1"/>
    </xf>
    <xf numFmtId="0" fontId="7" fillId="0" borderId="176" xfId="4" applyNumberFormat="1" applyFont="1" applyFill="1" applyBorder="1" applyAlignment="1" applyProtection="1">
      <alignment vertical="center"/>
      <protection hidden="1"/>
    </xf>
    <xf numFmtId="0" fontId="7" fillId="0" borderId="179" xfId="4" applyNumberFormat="1" applyFont="1" applyFill="1" applyBorder="1" applyAlignment="1" applyProtection="1">
      <alignment horizontal="center" vertical="center"/>
      <protection hidden="1"/>
    </xf>
    <xf numFmtId="0" fontId="7" fillId="0" borderId="180" xfId="4" applyNumberFormat="1" applyFont="1" applyFill="1" applyBorder="1" applyAlignment="1" applyProtection="1">
      <alignment horizontal="center" vertical="center"/>
      <protection hidden="1"/>
    </xf>
    <xf numFmtId="0" fontId="7" fillId="0" borderId="40"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vertical="center"/>
      <protection hidden="1"/>
    </xf>
    <xf numFmtId="0" fontId="7" fillId="0" borderId="83" xfId="4" applyNumberFormat="1" applyFont="1" applyFill="1" applyBorder="1" applyAlignment="1" applyProtection="1">
      <alignment horizontal="right" vertical="center" indent="1"/>
      <protection hidden="1"/>
    </xf>
    <xf numFmtId="0" fontId="7" fillId="0" borderId="24" xfId="4" applyNumberFormat="1" applyFont="1" applyFill="1" applyBorder="1" applyAlignment="1" applyProtection="1">
      <alignment horizontal="center" vertical="center"/>
      <protection hidden="1"/>
    </xf>
    <xf numFmtId="0" fontId="7" fillId="0" borderId="25" xfId="4" applyNumberFormat="1" applyFont="1" applyFill="1" applyBorder="1" applyAlignment="1" applyProtection="1">
      <alignment horizontal="center" vertical="center"/>
      <protection hidden="1"/>
    </xf>
    <xf numFmtId="0" fontId="7" fillId="0" borderId="26" xfId="4" applyNumberFormat="1" applyFont="1" applyFill="1" applyBorder="1" applyAlignment="1" applyProtection="1">
      <alignment horizontal="center" vertical="center"/>
      <protection hidden="1"/>
    </xf>
    <xf numFmtId="0" fontId="7" fillId="0" borderId="7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horizontal="center" vertical="center"/>
      <protection hidden="1"/>
    </xf>
    <xf numFmtId="0" fontId="7" fillId="0" borderId="255" xfId="4" applyNumberFormat="1" applyFont="1" applyFill="1" applyBorder="1" applyAlignment="1" applyProtection="1">
      <alignment horizontal="center" vertical="center"/>
      <protection hidden="1"/>
    </xf>
    <xf numFmtId="0" fontId="7" fillId="0" borderId="37" xfId="4" applyNumberFormat="1" applyFont="1" applyFill="1" applyBorder="1" applyAlignment="1" applyProtection="1">
      <alignment vertical="center"/>
      <protection hidden="1"/>
    </xf>
    <xf numFmtId="0" fontId="7" fillId="0" borderId="0" xfId="4" applyNumberFormat="1" applyFont="1"/>
    <xf numFmtId="0" fontId="7" fillId="0" borderId="256" xfId="4" applyNumberFormat="1" applyFont="1" applyFill="1" applyBorder="1" applyAlignment="1" applyProtection="1">
      <alignment horizontal="center" vertical="center"/>
      <protection hidden="1"/>
    </xf>
    <xf numFmtId="0" fontId="7" fillId="0" borderId="0" xfId="4" applyNumberFormat="1" applyFont="1" applyBorder="1"/>
    <xf numFmtId="0" fontId="7" fillId="0" borderId="288" xfId="4" applyNumberFormat="1" applyFont="1" applyFill="1" applyBorder="1" applyAlignment="1" applyProtection="1">
      <alignment horizontal="center" vertical="center"/>
      <protection hidden="1"/>
    </xf>
    <xf numFmtId="0" fontId="7" fillId="0" borderId="256" xfId="4" applyNumberFormat="1" applyFont="1" applyFill="1" applyBorder="1" applyAlignment="1" applyProtection="1">
      <alignment vertical="center"/>
      <protection hidden="1"/>
    </xf>
    <xf numFmtId="0" fontId="7" fillId="0" borderId="24" xfId="4" applyNumberFormat="1" applyFont="1" applyFill="1" applyBorder="1" applyAlignment="1" applyProtection="1">
      <alignment vertical="center"/>
      <protection hidden="1"/>
    </xf>
    <xf numFmtId="0" fontId="7" fillId="0" borderId="257" xfId="4" applyNumberFormat="1" applyFont="1" applyFill="1" applyBorder="1" applyAlignment="1" applyProtection="1">
      <alignment vertical="center"/>
      <protection hidden="1"/>
    </xf>
    <xf numFmtId="3" fontId="77" fillId="0" borderId="0" xfId="4" applyNumberFormat="1" applyFont="1" applyFill="1" applyBorder="1" applyAlignment="1" applyProtection="1">
      <alignment horizontal="left" vertical="center"/>
      <protection hidden="1"/>
    </xf>
    <xf numFmtId="0" fontId="14" fillId="9" borderId="53" xfId="0" applyFont="1" applyFill="1" applyBorder="1" applyAlignment="1">
      <alignment horizontal="center" vertical="center" shrinkToFit="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6" fillId="10" borderId="258" xfId="0" applyFont="1" applyFill="1" applyBorder="1" applyAlignment="1" applyProtection="1">
      <alignment horizontal="center" vertical="center"/>
      <protection locked="0"/>
    </xf>
    <xf numFmtId="0" fontId="6" fillId="10" borderId="259" xfId="0" applyFont="1" applyFill="1" applyBorder="1" applyAlignment="1" applyProtection="1">
      <alignment horizontal="center" vertical="center"/>
      <protection locked="0"/>
    </xf>
    <xf numFmtId="0" fontId="6" fillId="10" borderId="260" xfId="0" applyFont="1" applyFill="1" applyBorder="1" applyAlignment="1" applyProtection="1">
      <alignment horizontal="center" vertical="center"/>
      <protection locked="0"/>
    </xf>
    <xf numFmtId="167" fontId="20" fillId="15" borderId="253" xfId="0" applyNumberFormat="1" applyFont="1" applyFill="1" applyBorder="1" applyAlignment="1">
      <alignment vertical="center"/>
    </xf>
    <xf numFmtId="167" fontId="20" fillId="15" borderId="108" xfId="0" applyNumberFormat="1" applyFont="1" applyFill="1" applyBorder="1" applyAlignment="1">
      <alignment vertical="center"/>
    </xf>
    <xf numFmtId="0" fontId="17" fillId="0" borderId="245" xfId="0" applyFont="1" applyFill="1" applyBorder="1" applyAlignment="1" applyProtection="1">
      <alignment vertical="top"/>
    </xf>
    <xf numFmtId="14" fontId="26" fillId="0" borderId="245" xfId="0" applyNumberFormat="1" applyFont="1" applyFill="1" applyBorder="1" applyAlignment="1" applyProtection="1">
      <alignment vertical="center"/>
    </xf>
    <xf numFmtId="0" fontId="26" fillId="0" borderId="245" xfId="0" applyFont="1" applyFill="1" applyBorder="1" applyAlignment="1" applyProtection="1">
      <alignment vertical="center"/>
    </xf>
    <xf numFmtId="0" fontId="57" fillId="0" borderId="283" xfId="0" applyFont="1" applyFill="1" applyBorder="1" applyAlignment="1" applyProtection="1">
      <alignment vertical="center"/>
    </xf>
    <xf numFmtId="0" fontId="57" fillId="0" borderId="0" xfId="0" applyFont="1" applyFill="1" applyBorder="1" applyAlignment="1" applyProtection="1">
      <alignment vertical="center"/>
    </xf>
    <xf numFmtId="0" fontId="20" fillId="10" borderId="50"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268" xfId="0" applyFont="1" applyFill="1" applyBorder="1" applyAlignment="1" applyProtection="1">
      <alignment horizontal="right" vertical="center"/>
      <protection locked="0"/>
    </xf>
    <xf numFmtId="0" fontId="20" fillId="10" borderId="146" xfId="0" applyFont="1" applyFill="1" applyBorder="1" applyAlignment="1" applyProtection="1">
      <alignment horizontal="right" vertical="center"/>
      <protection locked="0"/>
    </xf>
    <xf numFmtId="0" fontId="20" fillId="10" borderId="197" xfId="0" applyFont="1" applyFill="1" applyBorder="1" applyAlignment="1" applyProtection="1">
      <alignment horizontal="right" vertical="center"/>
      <protection locked="0"/>
    </xf>
    <xf numFmtId="0" fontId="20" fillId="10" borderId="114" xfId="0" applyFont="1" applyFill="1" applyBorder="1" applyAlignment="1" applyProtection="1">
      <alignment horizontal="left" vertical="center"/>
      <protection locked="0"/>
    </xf>
    <xf numFmtId="0" fontId="20" fillId="10" borderId="49"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291" xfId="0" applyFont="1" applyFill="1" applyBorder="1" applyAlignment="1" applyProtection="1">
      <alignment horizontal="left" vertical="center"/>
      <protection locked="0"/>
    </xf>
    <xf numFmtId="0" fontId="20" fillId="10" borderId="292" xfId="0" applyFont="1" applyFill="1" applyBorder="1" applyAlignment="1" applyProtection="1">
      <alignment horizontal="left" vertical="center"/>
      <protection locked="0"/>
    </xf>
    <xf numFmtId="0" fontId="20" fillId="10" borderId="123" xfId="0" applyFont="1" applyFill="1" applyBorder="1" applyAlignment="1" applyProtection="1">
      <alignment horizontal="left" vertical="center"/>
      <protection locked="0"/>
    </xf>
    <xf numFmtId="0" fontId="20" fillId="10" borderId="266" xfId="0" applyFont="1" applyFill="1" applyBorder="1" applyAlignment="1" applyProtection="1">
      <alignment horizontal="left" vertical="center"/>
      <protection locked="0"/>
    </xf>
    <xf numFmtId="0" fontId="56" fillId="0" borderId="0" xfId="0" applyFont="1" applyBorder="1" applyAlignment="1">
      <alignment horizontal="left"/>
    </xf>
    <xf numFmtId="0" fontId="20" fillId="0" borderId="147" xfId="0" applyFont="1" applyFill="1" applyBorder="1" applyAlignment="1" applyProtection="1">
      <alignment horizontal="center" vertical="center"/>
    </xf>
    <xf numFmtId="0" fontId="20" fillId="0" borderId="55" xfId="0" applyFont="1" applyFill="1" applyBorder="1" applyAlignment="1" applyProtection="1">
      <alignment horizontal="center" vertical="center"/>
    </xf>
    <xf numFmtId="0" fontId="20" fillId="0" borderId="79" xfId="0" applyFont="1" applyFill="1" applyBorder="1" applyAlignment="1" applyProtection="1">
      <alignment horizontal="center" vertical="center"/>
    </xf>
    <xf numFmtId="0" fontId="20" fillId="0" borderId="71" xfId="0" applyFont="1" applyFill="1" applyBorder="1" applyAlignment="1" applyProtection="1">
      <alignment horizontal="center" vertical="center"/>
    </xf>
    <xf numFmtId="0" fontId="20" fillId="0" borderId="285" xfId="0" applyFont="1" applyFill="1" applyBorder="1" applyAlignment="1" applyProtection="1">
      <alignment horizontal="right" vertical="center"/>
    </xf>
    <xf numFmtId="0" fontId="20" fillId="0" borderId="55" xfId="0" applyFont="1" applyFill="1" applyBorder="1" applyAlignment="1" applyProtection="1">
      <alignment horizontal="left" vertical="center"/>
    </xf>
    <xf numFmtId="0" fontId="20" fillId="0" borderId="293" xfId="0" applyFont="1" applyFill="1" applyBorder="1" applyAlignment="1" applyProtection="1">
      <alignment horizontal="right" vertical="center"/>
    </xf>
    <xf numFmtId="0" fontId="20" fillId="0" borderId="79" xfId="0" applyFont="1" applyFill="1" applyBorder="1" applyAlignment="1" applyProtection="1">
      <alignment horizontal="left" vertical="center"/>
    </xf>
    <xf numFmtId="0" fontId="20" fillId="0" borderId="80" xfId="0" applyFont="1" applyFill="1" applyBorder="1" applyAlignment="1" applyProtection="1">
      <alignment horizontal="left" vertical="center"/>
    </xf>
    <xf numFmtId="0" fontId="20" fillId="0" borderId="294" xfId="0" applyFont="1" applyFill="1" applyBorder="1" applyAlignment="1" applyProtection="1">
      <alignment horizontal="right" vertical="center"/>
    </xf>
    <xf numFmtId="0" fontId="20" fillId="0" borderId="42" xfId="0" applyFont="1" applyFill="1" applyBorder="1" applyAlignment="1" applyProtection="1">
      <alignment horizontal="left" vertical="center"/>
    </xf>
    <xf numFmtId="0" fontId="60" fillId="0" borderId="282" xfId="0" applyFont="1" applyBorder="1" applyAlignment="1">
      <alignment vertical="center"/>
    </xf>
    <xf numFmtId="14" fontId="62" fillId="0" borderId="282" xfId="0" applyNumberFormat="1" applyFont="1" applyBorder="1" applyAlignment="1">
      <alignment vertical="center"/>
    </xf>
    <xf numFmtId="0" fontId="62" fillId="0" borderId="282" xfId="0" applyFont="1" applyBorder="1" applyAlignment="1">
      <alignment vertical="center"/>
    </xf>
    <xf numFmtId="0" fontId="63" fillId="0" borderId="295" xfId="0" applyFont="1" applyFill="1" applyBorder="1" applyAlignment="1">
      <alignment vertical="center"/>
    </xf>
    <xf numFmtId="0" fontId="63" fillId="0" borderId="283" xfId="0" applyFont="1" applyFill="1" applyBorder="1" applyAlignment="1">
      <alignment vertical="center"/>
    </xf>
    <xf numFmtId="0" fontId="20" fillId="10" borderId="296" xfId="0" applyFont="1" applyFill="1" applyBorder="1" applyAlignment="1" applyProtection="1">
      <alignment horizontal="center" vertical="center"/>
      <protection locked="0"/>
    </xf>
    <xf numFmtId="0" fontId="20" fillId="10" borderId="297" xfId="0" applyFont="1" applyFill="1" applyBorder="1" applyAlignment="1" applyProtection="1">
      <alignment horizontal="center" vertical="center"/>
      <protection locked="0"/>
    </xf>
    <xf numFmtId="0" fontId="20" fillId="10" borderId="298" xfId="0" applyFont="1" applyFill="1" applyBorder="1" applyAlignment="1" applyProtection="1">
      <alignment horizontal="center" vertical="center"/>
      <protection locked="0"/>
    </xf>
    <xf numFmtId="0" fontId="20" fillId="0" borderId="114" xfId="0" applyFont="1" applyBorder="1" applyAlignment="1">
      <alignment horizontal="center" vertical="center"/>
    </xf>
    <xf numFmtId="0" fontId="20" fillId="0" borderId="49" xfId="0" applyFont="1" applyBorder="1" applyAlignment="1">
      <alignment horizontal="center" vertical="center"/>
    </xf>
    <xf numFmtId="0" fontId="20" fillId="0" borderId="51" xfId="0" applyFont="1" applyBorder="1" applyAlignment="1">
      <alignment horizontal="center" vertical="center"/>
    </xf>
    <xf numFmtId="0" fontId="20" fillId="10" borderId="280" xfId="0" applyFont="1" applyFill="1" applyBorder="1" applyAlignment="1" applyProtection="1">
      <alignment horizontal="left" vertical="center"/>
      <protection locked="0"/>
    </xf>
    <xf numFmtId="0" fontId="21" fillId="0" borderId="125" xfId="0" applyFont="1" applyBorder="1" applyAlignment="1">
      <alignment horizontal="center" vertical="center" shrinkToFit="1"/>
    </xf>
    <xf numFmtId="0" fontId="67"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71" xfId="0" applyFont="1" applyBorder="1" applyAlignment="1">
      <alignment horizontal="left" vertical="center"/>
    </xf>
    <xf numFmtId="0" fontId="18" fillId="0" borderId="0" xfId="0" applyFont="1" applyAlignment="1">
      <alignment horizontal="center" wrapText="1"/>
    </xf>
    <xf numFmtId="0" fontId="18" fillId="0" borderId="108" xfId="0" applyFont="1" applyBorder="1" applyAlignment="1">
      <alignment horizontal="center" wrapText="1"/>
    </xf>
    <xf numFmtId="167" fontId="20" fillId="10" borderId="142" xfId="0" applyNumberFormat="1" applyFont="1" applyFill="1" applyBorder="1" applyAlignment="1" applyProtection="1">
      <alignment horizontal="right" vertical="center" indent="1"/>
      <protection locked="0"/>
    </xf>
    <xf numFmtId="167" fontId="20" fillId="10" borderId="55" xfId="0" applyNumberFormat="1" applyFont="1" applyFill="1" applyBorder="1" applyAlignment="1" applyProtection="1">
      <alignment horizontal="right" vertical="center" indent="1"/>
      <protection locked="0"/>
    </xf>
    <xf numFmtId="0" fontId="20" fillId="0" borderId="143" xfId="0" applyFont="1" applyBorder="1" applyAlignment="1">
      <alignment horizontal="left" vertical="center"/>
    </xf>
    <xf numFmtId="0" fontId="20" fillId="0" borderId="69" xfId="0" applyFont="1" applyBorder="1" applyAlignment="1">
      <alignment horizontal="left" vertical="center"/>
    </xf>
    <xf numFmtId="0" fontId="20" fillId="10" borderId="55" xfId="0" applyFont="1" applyFill="1" applyBorder="1" applyAlignment="1" applyProtection="1">
      <alignment horizontal="right" vertical="center" indent="1"/>
      <protection locked="0"/>
    </xf>
    <xf numFmtId="0" fontId="20" fillId="15" borderId="214" xfId="0" applyFont="1" applyFill="1" applyBorder="1" applyAlignment="1">
      <alignment horizontal="center" vertical="center"/>
    </xf>
    <xf numFmtId="0" fontId="20" fillId="15" borderId="216" xfId="0" applyFont="1" applyFill="1" applyBorder="1" applyAlignment="1">
      <alignment horizontal="center" vertical="center"/>
    </xf>
    <xf numFmtId="165" fontId="66" fillId="0" borderId="0" xfId="0" applyNumberFormat="1" applyFont="1" applyAlignment="1" applyProtection="1">
      <alignment horizontal="left" vertical="top" wrapText="1" indent="1"/>
    </xf>
    <xf numFmtId="0" fontId="20" fillId="10" borderId="79" xfId="0" applyFont="1" applyFill="1" applyBorder="1" applyAlignment="1" applyProtection="1">
      <alignment horizontal="right" vertical="center" indent="1"/>
      <protection locked="0"/>
    </xf>
    <xf numFmtId="0" fontId="65" fillId="0" borderId="69" xfId="0" applyFont="1" applyBorder="1" applyAlignment="1">
      <alignment horizontal="left" vertical="center"/>
    </xf>
    <xf numFmtId="0" fontId="65" fillId="0" borderId="80" xfId="0" applyFont="1" applyBorder="1" applyAlignment="1">
      <alignment horizontal="left" vertical="center"/>
    </xf>
    <xf numFmtId="0" fontId="19" fillId="9" borderId="61"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65" xfId="0" applyFont="1" applyFill="1" applyBorder="1" applyAlignment="1">
      <alignment horizontal="left" vertical="center"/>
    </xf>
    <xf numFmtId="0" fontId="19" fillId="9" borderId="66" xfId="0" applyFont="1" applyFill="1" applyBorder="1" applyAlignment="1">
      <alignment horizontal="left" vertical="center"/>
    </xf>
    <xf numFmtId="0" fontId="19" fillId="9" borderId="111" xfId="0" applyFont="1" applyFill="1" applyBorder="1" applyAlignment="1">
      <alignment horizontal="center"/>
    </xf>
    <xf numFmtId="0" fontId="19" fillId="9" borderId="133" xfId="0" applyFont="1" applyFill="1" applyBorder="1" applyAlignment="1">
      <alignment horizontal="center"/>
    </xf>
    <xf numFmtId="0" fontId="21" fillId="0" borderId="141" xfId="0" applyFont="1" applyBorder="1" applyAlignment="1">
      <alignment horizontal="left" vertical="center" indent="1"/>
    </xf>
    <xf numFmtId="0" fontId="21" fillId="0" borderId="144" xfId="0" applyFont="1" applyBorder="1" applyAlignment="1">
      <alignment horizontal="left" vertical="center" indent="1"/>
    </xf>
    <xf numFmtId="49" fontId="24" fillId="0" borderId="60" xfId="0" applyNumberFormat="1" applyFont="1" applyBorder="1" applyAlignment="1">
      <alignment horizontal="center" vertical="center"/>
    </xf>
    <xf numFmtId="49" fontId="24" fillId="0" borderId="57"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0" fillId="10" borderId="58" xfId="0" applyFont="1" applyFill="1" applyBorder="1" applyAlignment="1" applyProtection="1">
      <alignment horizontal="left" vertical="center"/>
      <protection locked="0"/>
    </xf>
    <xf numFmtId="49" fontId="24" fillId="0" borderId="59" xfId="0" applyNumberFormat="1" applyFont="1" applyBorder="1" applyAlignment="1">
      <alignment horizontal="center" vertical="center"/>
    </xf>
    <xf numFmtId="0" fontId="20" fillId="10" borderId="63" xfId="0" applyFont="1" applyFill="1" applyBorder="1" applyAlignment="1" applyProtection="1">
      <alignment horizontal="left" vertical="center"/>
      <protection locked="0"/>
    </xf>
    <xf numFmtId="0" fontId="21" fillId="15" borderId="213" xfId="0" applyFont="1" applyFill="1" applyBorder="1" applyAlignment="1">
      <alignment horizontal="left" vertical="center" indent="1"/>
    </xf>
    <xf numFmtId="0" fontId="21" fillId="15" borderId="215" xfId="0" applyFont="1" applyFill="1" applyBorder="1" applyAlignment="1">
      <alignment horizontal="left" vertical="center" indent="1"/>
    </xf>
    <xf numFmtId="0" fontId="21" fillId="0" borderId="145" xfId="0" applyFont="1" applyBorder="1" applyAlignment="1">
      <alignment horizontal="left" vertical="center" indent="1"/>
    </xf>
    <xf numFmtId="0" fontId="20" fillId="10" borderId="68" xfId="0" applyFont="1" applyFill="1" applyBorder="1" applyAlignment="1" applyProtection="1">
      <alignment horizontal="left" vertical="center"/>
      <protection locked="0"/>
    </xf>
    <xf numFmtId="164" fontId="24" fillId="0" borderId="0" xfId="0" applyNumberFormat="1" applyFont="1" applyFill="1" applyBorder="1" applyAlignment="1">
      <alignment horizontal="center" vertical="center"/>
    </xf>
    <xf numFmtId="164" fontId="24" fillId="0" borderId="71" xfId="0" applyNumberFormat="1" applyFont="1" applyFill="1" applyBorder="1" applyAlignment="1">
      <alignment horizontal="center" vertical="center"/>
    </xf>
    <xf numFmtId="0" fontId="24" fillId="0" borderId="0" xfId="0" applyFont="1" applyAlignment="1">
      <alignment horizontal="left" vertical="center"/>
    </xf>
    <xf numFmtId="0" fontId="24" fillId="0" borderId="71" xfId="0" applyFont="1" applyBorder="1" applyAlignment="1">
      <alignment horizontal="left" vertical="center"/>
    </xf>
    <xf numFmtId="49" fontId="24" fillId="0" borderId="67" xfId="0" applyNumberFormat="1" applyFont="1" applyBorder="1" applyAlignment="1">
      <alignment horizontal="center" vertical="center"/>
    </xf>
    <xf numFmtId="0" fontId="0" fillId="0" borderId="0" xfId="0" applyAlignment="1">
      <alignment horizontal="center" vertical="center"/>
    </xf>
    <xf numFmtId="0" fontId="51" fillId="0" borderId="0" xfId="0" applyFont="1" applyAlignment="1">
      <alignment horizontal="center" vertical="top" textRotation="90"/>
    </xf>
    <xf numFmtId="0" fontId="59" fillId="0" borderId="0" xfId="0" applyFont="1" applyAlignment="1" applyProtection="1">
      <alignment horizontal="center" vertical="top" wrapText="1"/>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0" fontId="56" fillId="0" borderId="71" xfId="0" applyFont="1" applyBorder="1" applyAlignment="1">
      <alignment horizontal="center"/>
    </xf>
    <xf numFmtId="0" fontId="13" fillId="9" borderId="36" xfId="0" applyFont="1" applyFill="1" applyBorder="1" applyAlignment="1">
      <alignment horizontal="center" vertical="center" shrinkToFit="1"/>
    </xf>
    <xf numFmtId="0" fontId="13" fillId="9" borderId="38"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37"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4" fillId="9" borderId="237" xfId="0" applyFont="1" applyFill="1" applyBorder="1" applyAlignment="1">
      <alignment horizontal="center" vertical="center" shrinkToFit="1"/>
    </xf>
    <xf numFmtId="0" fontId="14" fillId="9" borderId="238" xfId="0" applyFont="1" applyFill="1" applyBorder="1" applyAlignment="1">
      <alignment horizontal="center" vertical="center" shrinkToFit="1"/>
    </xf>
    <xf numFmtId="0" fontId="14" fillId="9" borderId="239" xfId="0" applyFont="1" applyFill="1" applyBorder="1" applyAlignment="1">
      <alignment horizontal="center" vertical="center" shrinkToFit="1"/>
    </xf>
    <xf numFmtId="14" fontId="26" fillId="10" borderId="226" xfId="0" applyNumberFormat="1" applyFont="1" applyFill="1" applyBorder="1" applyAlignment="1" applyProtection="1">
      <alignment horizontal="center" vertical="center"/>
      <protection locked="0"/>
    </xf>
    <xf numFmtId="14" fontId="26" fillId="10" borderId="190" xfId="0" applyNumberFormat="1" applyFont="1" applyFill="1" applyBorder="1" applyAlignment="1" applyProtection="1">
      <alignment horizontal="center" vertical="center"/>
      <protection locked="0"/>
    </xf>
    <xf numFmtId="14" fontId="26" fillId="10" borderId="227" xfId="0" applyNumberFormat="1" applyFont="1" applyFill="1" applyBorder="1" applyAlignment="1" applyProtection="1">
      <alignment horizontal="center" vertical="center"/>
      <protection locked="0"/>
    </xf>
    <xf numFmtId="0" fontId="26" fillId="10" borderId="226" xfId="0" applyFont="1" applyFill="1" applyBorder="1" applyAlignment="1" applyProtection="1">
      <alignment horizontal="center" vertical="center"/>
      <protection locked="0"/>
    </xf>
    <xf numFmtId="0" fontId="26" fillId="10" borderId="190" xfId="0" applyFont="1" applyFill="1" applyBorder="1" applyAlignment="1" applyProtection="1">
      <alignment horizontal="center" vertical="center"/>
      <protection locked="0"/>
    </xf>
    <xf numFmtId="0" fontId="26" fillId="10" borderId="227" xfId="0" applyFont="1" applyFill="1" applyBorder="1" applyAlignment="1" applyProtection="1">
      <alignment horizontal="center" vertical="center"/>
      <protection locked="0"/>
    </xf>
    <xf numFmtId="0" fontId="26" fillId="10" borderId="228" xfId="0" applyFont="1" applyFill="1" applyBorder="1" applyAlignment="1" applyProtection="1">
      <alignment horizontal="center" vertical="center"/>
      <protection locked="0"/>
    </xf>
    <xf numFmtId="0" fontId="26" fillId="10" borderId="229" xfId="0" applyFont="1" applyFill="1" applyBorder="1" applyAlignment="1" applyProtection="1">
      <alignment horizontal="center" vertical="center"/>
      <protection locked="0"/>
    </xf>
    <xf numFmtId="0" fontId="26" fillId="10" borderId="230" xfId="0" applyFont="1" applyFill="1" applyBorder="1" applyAlignment="1" applyProtection="1">
      <alignment horizontal="center" vertical="center"/>
      <protection locked="0"/>
    </xf>
    <xf numFmtId="0" fontId="57" fillId="16" borderId="289" xfId="0" applyFont="1" applyFill="1" applyBorder="1" applyAlignment="1" applyProtection="1">
      <alignment horizontal="center" vertical="center"/>
    </xf>
    <xf numFmtId="0" fontId="57" fillId="16" borderId="0" xfId="0" applyFont="1" applyFill="1" applyBorder="1" applyAlignment="1" applyProtection="1">
      <alignment horizontal="center" vertical="center"/>
    </xf>
    <xf numFmtId="0" fontId="80" fillId="0" borderId="0" xfId="0" applyFont="1" applyAlignment="1">
      <alignment horizontal="center" vertical="top" wrapText="1"/>
    </xf>
    <xf numFmtId="0" fontId="38" fillId="0" borderId="0" xfId="0" applyFont="1" applyAlignment="1">
      <alignment horizontal="center"/>
    </xf>
    <xf numFmtId="0" fontId="14" fillId="9" borderId="111" xfId="0" applyFont="1" applyFill="1" applyBorder="1" applyAlignment="1">
      <alignment horizontal="center" vertical="center"/>
    </xf>
    <xf numFmtId="0" fontId="14" fillId="9" borderId="234" xfId="0" applyFont="1" applyFill="1" applyBorder="1" applyAlignment="1">
      <alignment horizontal="center" vertical="center"/>
    </xf>
    <xf numFmtId="0" fontId="14" fillId="9" borderId="119" xfId="0" applyFont="1" applyFill="1" applyBorder="1" applyAlignment="1">
      <alignment horizontal="center" vertical="center"/>
    </xf>
    <xf numFmtId="0" fontId="14" fillId="9" borderId="133" xfId="0" applyFont="1" applyFill="1" applyBorder="1" applyAlignment="1">
      <alignment horizontal="center" vertical="center"/>
    </xf>
    <xf numFmtId="0" fontId="17" fillId="10" borderId="223" xfId="0" applyFont="1" applyFill="1" applyBorder="1" applyAlignment="1" applyProtection="1">
      <alignment horizontal="center" vertical="top"/>
      <protection locked="0"/>
    </xf>
    <xf numFmtId="0" fontId="17" fillId="10" borderId="224" xfId="0" applyFont="1" applyFill="1" applyBorder="1" applyAlignment="1" applyProtection="1">
      <alignment horizontal="center" vertical="top"/>
      <protection locked="0"/>
    </xf>
    <xf numFmtId="0" fontId="17" fillId="10" borderId="225" xfId="0" applyFont="1" applyFill="1" applyBorder="1" applyAlignment="1" applyProtection="1">
      <alignment horizontal="center" vertical="top"/>
      <protection locked="0"/>
    </xf>
    <xf numFmtId="0" fontId="15" fillId="0" borderId="71" xfId="4" applyFont="1" applyBorder="1" applyAlignment="1">
      <alignment horizontal="left" vertical="center"/>
    </xf>
    <xf numFmtId="0" fontId="31" fillId="9" borderId="234" xfId="4" applyFont="1" applyFill="1" applyBorder="1" applyAlignment="1">
      <alignment horizontal="center" vertical="center"/>
    </xf>
    <xf numFmtId="0" fontId="31" fillId="9" borderId="130" xfId="4" applyFont="1" applyFill="1" applyBorder="1" applyAlignment="1">
      <alignment horizontal="center" vertical="center"/>
    </xf>
    <xf numFmtId="0" fontId="31" fillId="9" borderId="113" xfId="4" applyFont="1" applyFill="1" applyBorder="1" applyAlignment="1">
      <alignment horizontal="center" vertical="center"/>
    </xf>
    <xf numFmtId="0" fontId="14" fillId="9" borderId="234" xfId="4" applyFont="1" applyFill="1" applyBorder="1" applyAlignment="1">
      <alignment horizontal="center" vertical="center"/>
    </xf>
    <xf numFmtId="0" fontId="14" fillId="9" borderId="130" xfId="4" applyFont="1" applyFill="1" applyBorder="1" applyAlignment="1">
      <alignment horizontal="center" vertical="center"/>
    </xf>
    <xf numFmtId="0" fontId="14" fillId="9" borderId="113" xfId="4" applyFont="1" applyFill="1" applyBorder="1" applyAlignment="1">
      <alignment horizontal="center" vertical="center"/>
    </xf>
    <xf numFmtId="0" fontId="14" fillId="9" borderId="254" xfId="4" applyFont="1" applyFill="1" applyBorder="1" applyAlignment="1">
      <alignment horizontal="center" vertical="center"/>
    </xf>
    <xf numFmtId="0" fontId="63" fillId="16" borderId="0" xfId="4" applyFont="1" applyFill="1" applyBorder="1" applyAlignment="1">
      <alignment horizontal="center" vertical="center"/>
    </xf>
    <xf numFmtId="0" fontId="69" fillId="0" borderId="71" xfId="4" applyNumberFormat="1" applyFont="1" applyBorder="1" applyAlignment="1">
      <alignment horizontal="center" wrapText="1"/>
    </xf>
    <xf numFmtId="0" fontId="60" fillId="0" borderId="223" xfId="4" applyFont="1" applyBorder="1" applyAlignment="1">
      <alignment horizontal="center" vertical="center"/>
    </xf>
    <xf numFmtId="0" fontId="60" fillId="0" borderId="224" xfId="4" applyFont="1" applyBorder="1" applyAlignment="1">
      <alignment horizontal="center" vertical="center"/>
    </xf>
    <xf numFmtId="0" fontId="60" fillId="0" borderId="225" xfId="4" applyFont="1" applyBorder="1" applyAlignment="1">
      <alignment horizontal="center" vertical="center"/>
    </xf>
    <xf numFmtId="14" fontId="62" fillId="0" borderId="226" xfId="4" applyNumberFormat="1" applyFont="1" applyBorder="1" applyAlignment="1">
      <alignment horizontal="center" vertical="center"/>
    </xf>
    <xf numFmtId="14" fontId="62" fillId="0" borderId="190" xfId="4" applyNumberFormat="1" applyFont="1" applyBorder="1" applyAlignment="1">
      <alignment horizontal="center" vertical="center"/>
    </xf>
    <xf numFmtId="14" fontId="62" fillId="0" borderId="227" xfId="4" applyNumberFormat="1" applyFont="1" applyBorder="1" applyAlignment="1">
      <alignment horizontal="center" vertical="center"/>
    </xf>
    <xf numFmtId="0" fontId="62" fillId="0" borderId="226" xfId="4" applyFont="1" applyBorder="1" applyAlignment="1">
      <alignment horizontal="center" vertical="center"/>
    </xf>
    <xf numFmtId="0" fontId="62" fillId="0" borderId="190" xfId="4" applyFont="1" applyBorder="1" applyAlignment="1">
      <alignment horizontal="center" vertical="center"/>
    </xf>
    <xf numFmtId="0" fontId="62" fillId="0" borderId="227" xfId="4" applyFont="1" applyBorder="1" applyAlignment="1">
      <alignment horizontal="center" vertical="center"/>
    </xf>
    <xf numFmtId="0" fontId="62" fillId="0" borderId="228" xfId="4" applyFont="1" applyBorder="1" applyAlignment="1">
      <alignment horizontal="center" vertical="center"/>
    </xf>
    <xf numFmtId="0" fontId="62" fillId="0" borderId="229" xfId="4" applyFont="1" applyBorder="1" applyAlignment="1">
      <alignment horizontal="center" vertical="center"/>
    </xf>
    <xf numFmtId="0" fontId="62" fillId="0" borderId="230" xfId="4" applyFont="1" applyBorder="1" applyAlignment="1">
      <alignment horizontal="center" vertical="center"/>
    </xf>
    <xf numFmtId="0" fontId="73" fillId="0" borderId="0" xfId="0" applyFont="1" applyAlignment="1">
      <alignment horizontal="center"/>
    </xf>
    <xf numFmtId="0" fontId="40" fillId="0" borderId="56" xfId="0" applyFont="1" applyBorder="1" applyAlignment="1">
      <alignment horizontal="left" vertical="center" indent="1"/>
    </xf>
    <xf numFmtId="0" fontId="40" fillId="0" borderId="184" xfId="0" applyFont="1" applyBorder="1" applyAlignment="1">
      <alignment horizontal="left" vertical="center" indent="1"/>
    </xf>
    <xf numFmtId="0" fontId="21" fillId="0" borderId="126" xfId="0" applyFont="1" applyBorder="1" applyAlignment="1">
      <alignment horizontal="left" vertical="center"/>
    </xf>
    <xf numFmtId="0" fontId="21" fillId="0" borderId="127" xfId="0" applyFont="1" applyBorder="1" applyAlignment="1">
      <alignment horizontal="left" vertical="center"/>
    </xf>
    <xf numFmtId="0" fontId="40" fillId="0" borderId="55" xfId="0" applyFont="1" applyBorder="1" applyAlignment="1">
      <alignment horizontal="left" vertical="center" indent="1"/>
    </xf>
    <xf numFmtId="0" fontId="40" fillId="0" borderId="69" xfId="0" applyFont="1" applyBorder="1" applyAlignment="1">
      <alignment horizontal="left" vertical="center" indent="1"/>
    </xf>
    <xf numFmtId="0" fontId="40" fillId="18" borderId="142" xfId="0" applyFont="1" applyFill="1" applyBorder="1" applyAlignment="1">
      <alignment horizontal="left" vertical="center" indent="1"/>
    </xf>
    <xf numFmtId="0" fontId="40" fillId="18" borderId="143" xfId="0" applyFont="1" applyFill="1" applyBorder="1" applyAlignment="1">
      <alignment horizontal="left" vertical="center" indent="1"/>
    </xf>
    <xf numFmtId="0" fontId="40" fillId="19" borderId="55" xfId="0" applyFont="1" applyFill="1" applyBorder="1" applyAlignment="1">
      <alignment horizontal="left" vertical="center" indent="1"/>
    </xf>
    <xf numFmtId="0" fontId="40" fillId="19" borderId="69" xfId="0" applyFont="1" applyFill="1" applyBorder="1" applyAlignment="1">
      <alignment horizontal="left" vertical="center" indent="1"/>
    </xf>
    <xf numFmtId="0" fontId="40" fillId="11" borderId="55" xfId="0" applyFont="1" applyFill="1" applyBorder="1" applyAlignment="1">
      <alignment horizontal="left" vertical="center" indent="1"/>
    </xf>
    <xf numFmtId="0" fontId="40" fillId="11" borderId="69" xfId="0" applyFont="1" applyFill="1" applyBorder="1" applyAlignment="1">
      <alignment horizontal="left" vertical="center" indent="1"/>
    </xf>
    <xf numFmtId="0" fontId="14" fillId="9" borderId="32"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9" xfId="0" applyFont="1" applyFill="1" applyBorder="1" applyAlignment="1">
      <alignment horizontal="center" vertical="center"/>
    </xf>
    <xf numFmtId="167" fontId="21" fillId="15" borderId="0" xfId="0" applyNumberFormat="1" applyFont="1" applyFill="1" applyBorder="1" applyAlignment="1">
      <alignment horizontal="right" vertical="center" indent="1"/>
    </xf>
    <xf numFmtId="0" fontId="14" fillId="9" borderId="30" xfId="0" applyFont="1" applyFill="1" applyBorder="1" applyAlignment="1">
      <alignment horizontal="center" vertical="center"/>
    </xf>
    <xf numFmtId="167" fontId="24" fillId="0" borderId="71" xfId="0" applyNumberFormat="1" applyFont="1" applyBorder="1" applyAlignment="1">
      <alignment horizontal="left"/>
    </xf>
    <xf numFmtId="0" fontId="60" fillId="0" borderId="223" xfId="0" applyFont="1" applyBorder="1" applyAlignment="1">
      <alignment horizontal="center" vertical="center"/>
    </xf>
    <xf numFmtId="0" fontId="60" fillId="0" borderId="224" xfId="0" applyFont="1" applyBorder="1" applyAlignment="1">
      <alignment horizontal="center" vertical="center"/>
    </xf>
    <xf numFmtId="0" fontId="60" fillId="0" borderId="225" xfId="0" applyFont="1" applyBorder="1" applyAlignment="1">
      <alignment horizontal="center" vertical="center"/>
    </xf>
    <xf numFmtId="14" fontId="62" fillId="0" borderId="226" xfId="0" applyNumberFormat="1" applyFont="1" applyBorder="1" applyAlignment="1">
      <alignment horizontal="center" vertical="center"/>
    </xf>
    <xf numFmtId="14" fontId="62" fillId="0" borderId="190" xfId="0" applyNumberFormat="1" applyFont="1" applyBorder="1" applyAlignment="1">
      <alignment horizontal="center" vertical="center"/>
    </xf>
    <xf numFmtId="14" fontId="62" fillId="0" borderId="227" xfId="0" applyNumberFormat="1" applyFont="1" applyBorder="1" applyAlignment="1">
      <alignment horizontal="center" vertical="center"/>
    </xf>
    <xf numFmtId="0" fontId="62" fillId="0" borderId="226" xfId="0" applyFont="1" applyBorder="1" applyAlignment="1">
      <alignment horizontal="center" vertical="center"/>
    </xf>
    <xf numFmtId="0" fontId="62" fillId="0" borderId="190" xfId="0" applyFont="1" applyBorder="1" applyAlignment="1">
      <alignment horizontal="center" vertical="center"/>
    </xf>
    <xf numFmtId="0" fontId="62" fillId="0" borderId="227" xfId="0" applyFont="1" applyBorder="1" applyAlignment="1">
      <alignment horizontal="center" vertical="center"/>
    </xf>
    <xf numFmtId="0" fontId="62" fillId="0" borderId="228" xfId="0" applyFont="1" applyBorder="1" applyAlignment="1">
      <alignment horizontal="center" vertical="center"/>
    </xf>
    <xf numFmtId="0" fontId="62" fillId="0" borderId="229" xfId="0" applyFont="1" applyBorder="1" applyAlignment="1">
      <alignment horizontal="center" vertical="center"/>
    </xf>
    <xf numFmtId="0" fontId="62" fillId="0" borderId="230" xfId="0" applyFont="1" applyBorder="1" applyAlignment="1">
      <alignment horizontal="center" vertical="center"/>
    </xf>
    <xf numFmtId="0" fontId="14" fillId="9" borderId="267" xfId="0" applyFont="1" applyFill="1" applyBorder="1" applyAlignment="1">
      <alignment horizontal="center" vertical="center"/>
    </xf>
    <xf numFmtId="0" fontId="63" fillId="16" borderId="246" xfId="0" applyFont="1" applyFill="1" applyBorder="1" applyAlignment="1">
      <alignment horizontal="center" vertical="center"/>
    </xf>
    <xf numFmtId="0" fontId="63" fillId="16" borderId="247" xfId="0" applyFont="1" applyFill="1" applyBorder="1" applyAlignment="1">
      <alignment horizontal="center" vertical="center"/>
    </xf>
    <xf numFmtId="0" fontId="63" fillId="16" borderId="248" xfId="0" applyFont="1" applyFill="1" applyBorder="1" applyAlignment="1">
      <alignment horizontal="center" vertical="center"/>
    </xf>
    <xf numFmtId="0" fontId="63" fillId="16" borderId="249" xfId="0" applyFont="1" applyFill="1" applyBorder="1" applyAlignment="1">
      <alignment horizontal="center" vertical="center"/>
    </xf>
    <xf numFmtId="0" fontId="63" fillId="16" borderId="250" xfId="0" applyFont="1" applyFill="1" applyBorder="1" applyAlignment="1">
      <alignment horizontal="center" vertical="center"/>
    </xf>
    <xf numFmtId="0" fontId="63" fillId="16" borderId="251" xfId="0" applyFont="1" applyFill="1" applyBorder="1" applyAlignment="1">
      <alignment horizontal="center" vertical="center"/>
    </xf>
    <xf numFmtId="0" fontId="40" fillId="0" borderId="55" xfId="0" applyFont="1" applyBorder="1" applyAlignment="1">
      <alignment horizontal="left" vertical="center"/>
    </xf>
    <xf numFmtId="0" fontId="40" fillId="0" borderId="69" xfId="0" applyFont="1" applyBorder="1" applyAlignment="1">
      <alignment horizontal="left" vertical="center"/>
    </xf>
    <xf numFmtId="0" fontId="40" fillId="0" borderId="56" xfId="0" applyFont="1" applyBorder="1" applyAlignment="1">
      <alignment horizontal="left" vertical="center"/>
    </xf>
    <xf numFmtId="0" fontId="40" fillId="0" borderId="184" xfId="0" applyFont="1" applyBorder="1" applyAlignment="1">
      <alignment horizontal="left" vertical="center"/>
    </xf>
    <xf numFmtId="0" fontId="40" fillId="11" borderId="55" xfId="0" applyFont="1" applyFill="1" applyBorder="1" applyAlignment="1">
      <alignment horizontal="left" vertical="center"/>
    </xf>
    <xf numFmtId="0" fontId="40" fillId="11" borderId="69" xfId="0" applyFont="1" applyFill="1" applyBorder="1" applyAlignment="1">
      <alignment horizontal="left" vertical="center"/>
    </xf>
    <xf numFmtId="0" fontId="21" fillId="0" borderId="192" xfId="0" applyFont="1" applyBorder="1" applyAlignment="1">
      <alignment horizontal="left" vertical="center"/>
    </xf>
    <xf numFmtId="0" fontId="21" fillId="0" borderId="193" xfId="0" applyFont="1" applyBorder="1" applyAlignment="1">
      <alignment horizontal="left" vertical="center"/>
    </xf>
    <xf numFmtId="0" fontId="40" fillId="18" borderId="142" xfId="0" applyFont="1" applyFill="1" applyBorder="1" applyAlignment="1">
      <alignment horizontal="left" vertical="center"/>
    </xf>
    <xf numFmtId="0" fontId="40" fillId="18" borderId="143" xfId="0" applyFont="1" applyFill="1" applyBorder="1" applyAlignment="1">
      <alignment horizontal="left" vertical="center"/>
    </xf>
    <xf numFmtId="0" fontId="40" fillId="19" borderId="55" xfId="0" applyFont="1" applyFill="1" applyBorder="1" applyAlignment="1">
      <alignment horizontal="left" vertical="center"/>
    </xf>
    <xf numFmtId="0" fontId="40" fillId="19" borderId="69" xfId="0" applyFont="1" applyFill="1" applyBorder="1" applyAlignment="1">
      <alignment horizontal="left" vertical="center"/>
    </xf>
    <xf numFmtId="167" fontId="24" fillId="0" borderId="231" xfId="0" applyNumberFormat="1" applyFont="1" applyBorder="1" applyAlignment="1">
      <alignment horizontal="left"/>
    </xf>
    <xf numFmtId="0" fontId="21" fillId="0" borderId="242" xfId="0" applyFont="1" applyBorder="1" applyAlignment="1">
      <alignment horizontal="left" vertical="center"/>
    </xf>
    <xf numFmtId="0" fontId="21" fillId="0" borderId="243" xfId="0" applyFont="1" applyBorder="1" applyAlignment="1">
      <alignment horizontal="left" vertical="center"/>
    </xf>
    <xf numFmtId="0" fontId="21" fillId="0" borderId="244" xfId="0" applyFont="1" applyBorder="1" applyAlignment="1">
      <alignment horizontal="left" vertical="center"/>
    </xf>
    <xf numFmtId="0" fontId="56" fillId="0" borderId="71" xfId="0" applyFont="1" applyBorder="1" applyAlignment="1">
      <alignment horizontal="left"/>
    </xf>
    <xf numFmtId="0" fontId="79" fillId="0" borderId="71" xfId="0" applyFont="1" applyBorder="1" applyAlignment="1">
      <alignment horizontal="left"/>
    </xf>
    <xf numFmtId="0" fontId="79" fillId="0" borderId="0" xfId="0" applyFont="1" applyBorder="1" applyAlignment="1">
      <alignment horizontal="left"/>
    </xf>
    <xf numFmtId="0" fontId="13" fillId="9" borderId="235" xfId="0" applyFont="1" applyFill="1" applyBorder="1" applyAlignment="1">
      <alignment horizontal="center" vertical="center" shrinkToFit="1"/>
    </xf>
    <xf numFmtId="0" fontId="13" fillId="9" borderId="236" xfId="0" applyFont="1" applyFill="1" applyBorder="1" applyAlignment="1">
      <alignment horizontal="center" vertical="center" shrinkToFit="1"/>
    </xf>
    <xf numFmtId="0" fontId="14" fillId="9" borderId="290" xfId="0" applyFont="1" applyFill="1" applyBorder="1" applyAlignment="1">
      <alignment horizontal="center" vertical="center"/>
    </xf>
    <xf numFmtId="0" fontId="25" fillId="0" borderId="0" xfId="0" applyFont="1" applyAlignment="1">
      <alignment horizontal="center" vertical="center"/>
    </xf>
    <xf numFmtId="0" fontId="64" fillId="0" borderId="0" xfId="0" applyFont="1" applyAlignment="1">
      <alignment horizontal="center" vertical="top"/>
    </xf>
    <xf numFmtId="0" fontId="46" fillId="0" borderId="0" xfId="0" applyFont="1" applyAlignment="1">
      <alignment horizontal="left" vertical="center"/>
    </xf>
    <xf numFmtId="0" fontId="74" fillId="0" borderId="0" xfId="0" applyFont="1" applyAlignment="1">
      <alignment horizontal="center" vertical="center"/>
    </xf>
    <xf numFmtId="0" fontId="35" fillId="13" borderId="93" xfId="0" applyFont="1" applyFill="1" applyBorder="1" applyAlignment="1">
      <alignment horizontal="center" vertical="center" wrapText="1"/>
    </xf>
    <xf numFmtId="0" fontId="35" fillId="13" borderId="95" xfId="0" applyFont="1" applyFill="1" applyBorder="1" applyAlignment="1">
      <alignment horizontal="center" vertical="center"/>
    </xf>
    <xf numFmtId="0" fontId="34" fillId="0" borderId="88"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90" xfId="0" applyBorder="1" applyAlignment="1" applyProtection="1">
      <alignment horizontal="center"/>
      <protection locked="0"/>
    </xf>
    <xf numFmtId="0" fontId="39" fillId="14" borderId="91" xfId="0" applyFont="1" applyFill="1" applyBorder="1" applyAlignment="1">
      <alignment horizontal="center" vertical="center" wrapText="1"/>
    </xf>
    <xf numFmtId="0" fontId="39" fillId="14" borderId="94" xfId="0" applyFont="1" applyFill="1" applyBorder="1" applyAlignment="1">
      <alignment horizontal="center" vertical="center"/>
    </xf>
    <xf numFmtId="0" fontId="39" fillId="12" borderId="156" xfId="0" applyFont="1" applyFill="1" applyBorder="1" applyAlignment="1">
      <alignment horizontal="center" vertical="center" wrapText="1"/>
    </xf>
    <xf numFmtId="0" fontId="39" fillId="12" borderId="157" xfId="0" applyFont="1" applyFill="1" applyBorder="1" applyAlignment="1">
      <alignment horizontal="center" vertical="center"/>
    </xf>
    <xf numFmtId="0" fontId="18" fillId="11" borderId="103" xfId="0" applyFont="1" applyFill="1" applyBorder="1" applyAlignment="1" applyProtection="1">
      <alignment horizontal="center"/>
    </xf>
    <xf numFmtId="0" fontId="18" fillId="11" borderId="104" xfId="0" applyFont="1" applyFill="1" applyBorder="1" applyAlignment="1" applyProtection="1">
      <alignment horizontal="center"/>
    </xf>
    <xf numFmtId="0" fontId="18" fillId="11" borderId="152" xfId="0" applyFont="1" applyFill="1" applyBorder="1" applyAlignment="1" applyProtection="1">
      <alignment horizontal="center"/>
    </xf>
    <xf numFmtId="0" fontId="18" fillId="11" borderId="84" xfId="0" applyFont="1" applyFill="1" applyBorder="1" applyAlignment="1" applyProtection="1">
      <alignment horizontal="center"/>
    </xf>
    <xf numFmtId="0" fontId="18" fillId="11" borderId="85" xfId="0" applyFont="1" applyFill="1" applyBorder="1" applyAlignment="1" applyProtection="1">
      <alignment horizontal="center"/>
    </xf>
    <xf numFmtId="0" fontId="18" fillId="11" borderId="151" xfId="0" applyFont="1" applyFill="1" applyBorder="1" applyAlignment="1" applyProtection="1">
      <alignment horizontal="center"/>
    </xf>
    <xf numFmtId="0" fontId="18" fillId="11" borderId="86"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7" xfId="0" applyFont="1" applyFill="1" applyBorder="1" applyAlignment="1" applyProtection="1">
      <alignment horizontal="center" vertical="center"/>
    </xf>
    <xf numFmtId="0" fontId="30" fillId="11" borderId="86"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7" xfId="3" applyFill="1" applyBorder="1" applyAlignment="1" applyProtection="1">
      <alignment horizontal="center" vertical="center"/>
      <protection locked="0"/>
    </xf>
    <xf numFmtId="3" fontId="7" fillId="0" borderId="112" xfId="4" applyNumberFormat="1" applyFont="1" applyFill="1" applyBorder="1" applyAlignment="1" applyProtection="1">
      <alignment horizontal="center" vertical="center"/>
      <protection hidden="1"/>
    </xf>
    <xf numFmtId="0" fontId="7" fillId="0" borderId="112" xfId="4" applyNumberFormat="1" applyFont="1" applyFill="1" applyBorder="1" applyAlignment="1" applyProtection="1">
      <alignment horizontal="center" vertical="center"/>
      <protection hidden="1"/>
    </xf>
    <xf numFmtId="0" fontId="7" fillId="0" borderId="4" xfId="4" applyNumberFormat="1" applyFont="1" applyFill="1" applyBorder="1" applyAlignment="1" applyProtection="1">
      <alignment horizontal="center" vertical="center"/>
      <protection hidden="1"/>
    </xf>
    <xf numFmtId="0" fontId="7" fillId="0" borderId="5" xfId="4" applyNumberFormat="1" applyFont="1" applyFill="1" applyBorder="1" applyAlignment="1" applyProtection="1">
      <alignment horizontal="center" vertical="center"/>
      <protection hidden="1"/>
    </xf>
    <xf numFmtId="0" fontId="7" fillId="0" borderId="6" xfId="4" applyNumberFormat="1" applyFont="1" applyFill="1" applyBorder="1" applyAlignment="1" applyProtection="1">
      <alignment horizontal="center" vertical="center"/>
      <protection hidden="1"/>
    </xf>
    <xf numFmtId="0" fontId="7" fillId="0" borderId="7" xfId="4" applyNumberFormat="1" applyFont="1" applyFill="1" applyBorder="1" applyAlignment="1" applyProtection="1">
      <alignment horizontal="center" vertical="center"/>
      <protection hidden="1"/>
    </xf>
    <xf numFmtId="0" fontId="7" fillId="0" borderId="8" xfId="4" applyNumberFormat="1" applyFont="1" applyFill="1" applyBorder="1" applyAlignment="1" applyProtection="1">
      <alignment horizontal="center" vertical="center"/>
      <protection hidden="1"/>
    </xf>
    <xf numFmtId="0" fontId="12" fillId="0" borderId="25"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DDE96A6C-A63C-4371-A4A2-12FAE9250528}"/>
  </cellStyles>
  <dxfs count="4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DA0000"/>
      </font>
    </dxf>
    <dxf>
      <numFmt numFmtId="165" formatCode=";;;"/>
    </dxf>
    <dxf>
      <numFmt numFmtId="165" formatCode=";;;"/>
    </dxf>
    <dxf>
      <font>
        <color rgb="FFFF0000"/>
      </font>
    </dxf>
    <dxf>
      <font>
        <color theme="2" tint="-9.9948118533890809E-2"/>
      </font>
    </dxf>
    <dxf>
      <font>
        <color theme="2" tint="-9.9948118533890809E-2"/>
      </font>
    </dxf>
    <dxf>
      <font>
        <color rgb="FFFF0000"/>
      </font>
    </dxf>
    <dxf>
      <numFmt numFmtId="165" formatCode=";;;"/>
    </dxf>
    <dxf>
      <font>
        <color rgb="FFFF0000"/>
      </font>
    </dxf>
    <dxf>
      <font>
        <color theme="2" tint="-9.9948118533890809E-2"/>
      </font>
    </dxf>
    <dxf>
      <font>
        <color rgb="FFFF0000"/>
      </font>
    </dxf>
    <dxf>
      <font>
        <color theme="2" tint="-9.9948118533890809E-2"/>
      </font>
    </dxf>
    <dxf>
      <numFmt numFmtId="165" formatCode=";;;"/>
    </dxf>
    <dxf>
      <font>
        <color rgb="FFFF0000"/>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b val="0"/>
        <i val="0"/>
        <color rgb="FFDA0000"/>
      </font>
    </dxf>
    <dxf>
      <numFmt numFmtId="165" formatCode=";;;"/>
    </dxf>
    <dxf>
      <font>
        <color theme="2" tint="-9.9948118533890809E-2"/>
      </font>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color theme="2" tint="-9.9948118533890809E-2"/>
      </font>
    </dxf>
    <dxf>
      <font>
        <b/>
        <i val="0"/>
        <color rgb="FFDA0000"/>
      </font>
    </dxf>
    <dxf>
      <fill>
        <patternFill>
          <bgColor rgb="FFFFB4B4"/>
        </patternFill>
      </fill>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142875</xdr:rowOff>
    </xdr:from>
    <xdr:to>
      <xdr:col>4</xdr:col>
      <xdr:colOff>114300</xdr:colOff>
      <xdr:row>6</xdr:row>
      <xdr:rowOff>9525</xdr:rowOff>
    </xdr:to>
    <xdr:pic>
      <xdr:nvPicPr>
        <xdr:cNvPr id="4" name="Grafik 3">
          <a:extLst>
            <a:ext uri="{FF2B5EF4-FFF2-40B4-BE49-F238E27FC236}">
              <a16:creationId xmlns:a16="http://schemas.microsoft.com/office/drawing/2014/main" id="{84DB84AA-358A-4121-AC49-A3356A89F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314325"/>
          <a:ext cx="1581150" cy="1581150"/>
        </a:xfrm>
        <a:prstGeom prst="rect">
          <a:avLst/>
        </a:prstGeom>
      </xdr:spPr>
    </xdr:pic>
    <xdr:clientData/>
  </xdr:twoCellAnchor>
  <xdr:twoCellAnchor editAs="oneCell">
    <xdr:from>
      <xdr:col>4</xdr:col>
      <xdr:colOff>219075</xdr:colOff>
      <xdr:row>1</xdr:row>
      <xdr:rowOff>95250</xdr:rowOff>
    </xdr:from>
    <xdr:to>
      <xdr:col>6</xdr:col>
      <xdr:colOff>180975</xdr:colOff>
      <xdr:row>4</xdr:row>
      <xdr:rowOff>370928</xdr:rowOff>
    </xdr:to>
    <xdr:pic>
      <xdr:nvPicPr>
        <xdr:cNvPr id="3" name="Grafik 2">
          <a:extLst>
            <a:ext uri="{FF2B5EF4-FFF2-40B4-BE49-F238E27FC236}">
              <a16:creationId xmlns:a16="http://schemas.microsoft.com/office/drawing/2014/main" id="{8F7EAE97-2A21-4961-A65A-A0A18677DE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7375" y="26670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323850</xdr:colOff>
      <xdr:row>1</xdr:row>
      <xdr:rowOff>57150</xdr:rowOff>
    </xdr:from>
    <xdr:to>
      <xdr:col>4</xdr:col>
      <xdr:colOff>171450</xdr:colOff>
      <xdr:row>4</xdr:row>
      <xdr:rowOff>332828</xdr:rowOff>
    </xdr:to>
    <xdr:pic>
      <xdr:nvPicPr>
        <xdr:cNvPr id="3" name="Grafik 2">
          <a:extLst>
            <a:ext uri="{FF2B5EF4-FFF2-40B4-BE49-F238E27FC236}">
              <a16:creationId xmlns:a16="http://schemas.microsoft.com/office/drawing/2014/main" id="{8BBC4BA7-8812-4BF1-90A6-035EF16CD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3850" y="228600"/>
          <a:ext cx="2066925" cy="1494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428625</xdr:colOff>
      <xdr:row>1</xdr:row>
      <xdr:rowOff>142875</xdr:rowOff>
    </xdr:from>
    <xdr:to>
      <xdr:col>3</xdr:col>
      <xdr:colOff>504825</xdr:colOff>
      <xdr:row>5</xdr:row>
      <xdr:rowOff>123825</xdr:rowOff>
    </xdr:to>
    <xdr:pic>
      <xdr:nvPicPr>
        <xdr:cNvPr id="3" name="Grafik 2">
          <a:extLst>
            <a:ext uri="{FF2B5EF4-FFF2-40B4-BE49-F238E27FC236}">
              <a16:creationId xmlns:a16="http://schemas.microsoft.com/office/drawing/2014/main" id="{4A2B3439-AA2B-499E-9611-7F1276B8A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 y="314325"/>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1</xdr:row>
      <xdr:rowOff>66675</xdr:rowOff>
    </xdr:from>
    <xdr:to>
      <xdr:col>3</xdr:col>
      <xdr:colOff>695325</xdr:colOff>
      <xdr:row>4</xdr:row>
      <xdr:rowOff>332828</xdr:rowOff>
    </xdr:to>
    <xdr:pic>
      <xdr:nvPicPr>
        <xdr:cNvPr id="4" name="Grafik 3">
          <a:extLst>
            <a:ext uri="{FF2B5EF4-FFF2-40B4-BE49-F238E27FC236}">
              <a16:creationId xmlns:a16="http://schemas.microsoft.com/office/drawing/2014/main" id="{47C60C9F-AD9B-4DD5-87AF-FB748F6CD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238125"/>
          <a:ext cx="2066925"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371475</xdr:colOff>
      <xdr:row>1</xdr:row>
      <xdr:rowOff>171450</xdr:rowOff>
    </xdr:from>
    <xdr:to>
      <xdr:col>3</xdr:col>
      <xdr:colOff>457200</xdr:colOff>
      <xdr:row>5</xdr:row>
      <xdr:rowOff>142875</xdr:rowOff>
    </xdr:to>
    <xdr:pic>
      <xdr:nvPicPr>
        <xdr:cNvPr id="3" name="Grafik 2">
          <a:extLst>
            <a:ext uri="{FF2B5EF4-FFF2-40B4-BE49-F238E27FC236}">
              <a16:creationId xmlns:a16="http://schemas.microsoft.com/office/drawing/2014/main" id="{74BD6790-06B0-401B-8B05-4C9C50DB41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1475" y="342900"/>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247650</xdr:colOff>
      <xdr:row>1</xdr:row>
      <xdr:rowOff>161925</xdr:rowOff>
    </xdr:from>
    <xdr:to>
      <xdr:col>5</xdr:col>
      <xdr:colOff>47625</xdr:colOff>
      <xdr:row>5</xdr:row>
      <xdr:rowOff>142875</xdr:rowOff>
    </xdr:to>
    <xdr:pic>
      <xdr:nvPicPr>
        <xdr:cNvPr id="3" name="Grafik 2">
          <a:extLst>
            <a:ext uri="{FF2B5EF4-FFF2-40B4-BE49-F238E27FC236}">
              <a16:creationId xmlns:a16="http://schemas.microsoft.com/office/drawing/2014/main" id="{CBFA94B2-6706-4790-983C-2958D2437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675" y="333375"/>
          <a:ext cx="1581150" cy="1581150"/>
        </a:xfrm>
        <a:prstGeom prst="rect">
          <a:avLst/>
        </a:prstGeom>
      </xdr:spPr>
    </xdr:pic>
    <xdr:clientData/>
  </xdr:twoCellAnchor>
  <xdr:twoCellAnchor editAs="oneCell">
    <xdr:from>
      <xdr:col>6</xdr:col>
      <xdr:colOff>66675</xdr:colOff>
      <xdr:row>1</xdr:row>
      <xdr:rowOff>66675</xdr:rowOff>
    </xdr:from>
    <xdr:to>
      <xdr:col>8</xdr:col>
      <xdr:colOff>1657350</xdr:colOff>
      <xdr:row>4</xdr:row>
      <xdr:rowOff>342353</xdr:rowOff>
    </xdr:to>
    <xdr:pic>
      <xdr:nvPicPr>
        <xdr:cNvPr id="4" name="Grafik 3">
          <a:extLst>
            <a:ext uri="{FF2B5EF4-FFF2-40B4-BE49-F238E27FC236}">
              <a16:creationId xmlns:a16="http://schemas.microsoft.com/office/drawing/2014/main" id="{786E93F8-4929-453A-9C04-A8F15DA1AA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28875" y="238125"/>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5B139A4-2A75-467C-BC76-740E43F7B8B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'Endrunde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'Endrunde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76592858-E05A-43A3-9C96-B8A0EA63FF7A}"/>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'Endrunde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B0AF1D67-D90C-4AA2-A1D0-19897EA58111}"/>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'DirVergleich_A'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'DirVergleich_B'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'Vorrunde'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'Endrunde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5C064EAC-5B43-4425-B75E-18AAB9D51CF6}"/>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C39"/>
  <sheetViews>
    <sheetView showGridLines="0" showRowColHeaders="0" workbookViewId="0">
      <selection activeCell="C7" sqref="C7:C8"/>
    </sheetView>
  </sheetViews>
  <sheetFormatPr baseColWidth="10" defaultColWidth="0" defaultRowHeight="15.75" zeroHeight="1" x14ac:dyDescent="0.25"/>
  <cols>
    <col min="1" max="1" width="10.7109375" style="9" customWidth="1"/>
    <col min="2" max="2" width="6.7109375" style="9" customWidth="1"/>
    <col min="3" max="3" width="29.85546875" style="9" customWidth="1"/>
    <col min="4" max="4" width="11.42578125" style="9" customWidth="1"/>
    <col min="5" max="6" width="9.85546875" style="9" customWidth="1"/>
    <col min="7" max="7" width="7.28515625" style="9" customWidth="1"/>
    <col min="8" max="8" width="4.5703125" style="9" customWidth="1"/>
    <col min="9" max="9" width="4.7109375" style="9" customWidth="1"/>
    <col min="10" max="10" width="3" style="9" customWidth="1"/>
    <col min="11" max="11" width="4.7109375" style="9" customWidth="1"/>
    <col min="12" max="12" width="24.7109375" style="9" customWidth="1"/>
    <col min="13" max="13" width="3.85546875" style="9" customWidth="1"/>
    <col min="14" max="14" width="24.7109375" style="9" customWidth="1"/>
    <col min="15" max="15" width="15.7109375" style="9" customWidth="1"/>
    <col min="16" max="16" width="9" style="9" customWidth="1"/>
    <col min="17" max="17" width="8.42578125" style="9" customWidth="1"/>
    <col min="18" max="18" width="29.7109375" style="100" customWidth="1"/>
    <col min="19" max="19" width="12.42578125" style="100" customWidth="1"/>
    <col min="20" max="20" width="11.42578125" style="100" customWidth="1"/>
    <col min="21" max="21" width="10.7109375" style="100" customWidth="1"/>
    <col min="22" max="22" width="11.42578125" hidden="1" customWidth="1"/>
    <col min="23" max="29" width="4.7109375" hidden="1" customWidth="1"/>
    <col min="30" max="16384" width="11.42578125" hidden="1"/>
  </cols>
  <sheetData>
    <row r="1" spans="1:29" ht="9.75" customHeight="1" x14ac:dyDescent="0.25">
      <c r="A1" s="96"/>
    </row>
    <row r="2" spans="1:29" ht="33.75" x14ac:dyDescent="0.5">
      <c r="A2" s="95"/>
      <c r="B2" s="161"/>
      <c r="C2" s="161"/>
      <c r="D2" s="161"/>
      <c r="E2" s="831" t="str">
        <f>Sprache!$E$30</f>
        <v>Teilnehmer und Ablaufplan</v>
      </c>
      <c r="F2" s="831"/>
      <c r="G2" s="831"/>
      <c r="H2" s="831"/>
      <c r="I2" s="831"/>
      <c r="J2" s="831"/>
      <c r="K2" s="831"/>
      <c r="L2" s="831"/>
      <c r="M2" s="831"/>
      <c r="N2" s="831"/>
      <c r="O2" s="601"/>
      <c r="P2" s="161"/>
      <c r="Q2" s="161"/>
      <c r="R2" s="161"/>
      <c r="S2" s="161"/>
      <c r="T2" s="161"/>
    </row>
    <row r="3" spans="1:29" x14ac:dyDescent="0.25"/>
    <row r="4" spans="1:29" ht="29.25" customHeight="1" thickBot="1" x14ac:dyDescent="0.3">
      <c r="C4" s="216" t="str">
        <f>Sprache!$E$16&amp;" A"</f>
        <v>Gruppe A</v>
      </c>
      <c r="D4" s="103"/>
      <c r="E4" s="832" t="str">
        <f>Sprache!$E$32</f>
        <v>Ablaufplan</v>
      </c>
      <c r="F4" s="832"/>
      <c r="G4" s="240"/>
      <c r="H4" s="240"/>
      <c r="I4" s="240"/>
      <c r="J4" s="240"/>
      <c r="K4" s="240"/>
      <c r="L4" s="240"/>
      <c r="M4" s="240"/>
      <c r="N4" s="240"/>
      <c r="O4" s="603"/>
      <c r="P4" s="833" t="str">
        <f>Sprache!$E$20</f>
        <v>Zusätzl. Pause (min)</v>
      </c>
      <c r="R4" s="293" t="str">
        <f>Sprache!$E$41</f>
        <v>Spielzeiten</v>
      </c>
    </row>
    <row r="5" spans="1:29" ht="15.95" customHeight="1" thickTop="1" thickBot="1" x14ac:dyDescent="0.3">
      <c r="A5" s="14"/>
      <c r="B5" s="846"/>
      <c r="C5" s="848" t="str">
        <f>Sprache!$E$10</f>
        <v>Teilnehmer bzw. Mannschaft</v>
      </c>
      <c r="D5" s="13"/>
      <c r="E5" s="117" t="str">
        <f>Sprache!$E$33</f>
        <v>Spiel-Nr.</v>
      </c>
      <c r="F5" s="118" t="str">
        <f>Sprache!$E$39</f>
        <v>Beginn</v>
      </c>
      <c r="G5" s="118" t="str">
        <f>Sprache!$E$48</f>
        <v>Feld</v>
      </c>
      <c r="H5" s="118" t="str">
        <f>Sprache!$E$17</f>
        <v>Grp</v>
      </c>
      <c r="I5" s="850" t="str">
        <f>Sprache!$E$34</f>
        <v>Paarungen</v>
      </c>
      <c r="J5" s="850"/>
      <c r="K5" s="850"/>
      <c r="L5" s="850" t="str">
        <f>Sprache!$E$31</f>
        <v>Teilnehmer</v>
      </c>
      <c r="M5" s="850"/>
      <c r="N5" s="851"/>
      <c r="O5" s="608" t="str">
        <f>Sprache!$E$68</f>
        <v>Schiedsrichter</v>
      </c>
      <c r="P5" s="834"/>
      <c r="R5" s="852" t="str">
        <f>Sprache!$E$39</f>
        <v>Beginn</v>
      </c>
      <c r="S5" s="835">
        <v>0.375</v>
      </c>
      <c r="T5" s="837" t="str">
        <f>Sprache!$E$45</f>
        <v>Uhr</v>
      </c>
      <c r="U5" s="101"/>
      <c r="W5" s="337"/>
      <c r="X5" s="338">
        <v>1</v>
      </c>
      <c r="Y5" s="338">
        <v>2</v>
      </c>
      <c r="Z5" s="338">
        <v>3</v>
      </c>
      <c r="AA5" s="338">
        <v>4</v>
      </c>
      <c r="AB5" s="338">
        <v>5</v>
      </c>
      <c r="AC5" s="339">
        <v>6</v>
      </c>
    </row>
    <row r="6" spans="1:29" ht="15.95" customHeight="1" x14ac:dyDescent="0.25">
      <c r="A6" s="14"/>
      <c r="B6" s="847"/>
      <c r="C6" s="849"/>
      <c r="D6" s="400">
        <v>1</v>
      </c>
      <c r="E6" s="357">
        <f>IF($D6&gt;Calc1!$B$14,"",1)</f>
        <v>1</v>
      </c>
      <c r="F6" s="119">
        <f>IF(OR($V$15,$D6&gt;Calc1!$B$14),"",$S$5)</f>
        <v>0.375</v>
      </c>
      <c r="G6" s="109" t="str">
        <f>IF(OR($V$15,$D6&gt;Calc1!$B$14),"","1")</f>
        <v>1</v>
      </c>
      <c r="H6" s="221" t="str">
        <f ca="1">IF($I6="","",IF(LEFT($I6,1)&lt;&gt;LEFT($K6,1),"??",LEFT($I6,1)))</f>
        <v>A</v>
      </c>
      <c r="I6" s="243" t="str">
        <f t="array" aca="1" ref="I6:I35" ca="1">IF(Calc1!$F$14&lt;3,"",IF(OFFSET(Pairings!$A$1,0,(Calc1!$F$14-2)*4-1,30,1)="","",OFFSET(Pairings!$A$1,0,(Calc1!$F$14-2)*4-1,30,1)))</f>
        <v>A5</v>
      </c>
      <c r="J6" s="244" t="s">
        <v>4</v>
      </c>
      <c r="K6" s="245" t="str">
        <f t="array" aca="1" ref="K6:K35" ca="1">IF(Calc1!$F$14&lt;3,"",IF(OFFSET(Pairings!$A$1,0,(Calc1!$F$14-2)*4,30,1)="","",OFFSET(Pairings!$A$1,0,(Calc1!$F$14-2)*4,30,1)))</f>
        <v>A2</v>
      </c>
      <c r="L6" s="114" t="str">
        <f ca="1">IF($I6="","",IF(VLOOKUP($I6,$B$7:$C$35,2,0)="","",VLOOKUP($I6,$B$7:$C$35,2,0)))</f>
        <v>VFB Essenheim</v>
      </c>
      <c r="M6" s="115" t="s">
        <v>4</v>
      </c>
      <c r="N6" s="116" t="str">
        <f ca="1">IF($K6="","",IF(VLOOKUP($K6,$B$7:$C$35,2,0)="","",VLOOKUP($K6,$B$7:$C$35,2,0)))</f>
        <v>FC Barcelona</v>
      </c>
      <c r="O6" s="609"/>
      <c r="P6" s="604"/>
      <c r="Q6" s="241"/>
      <c r="R6" s="853"/>
      <c r="S6" s="836"/>
      <c r="T6" s="838"/>
      <c r="U6" s="101"/>
      <c r="W6" s="340">
        <v>1</v>
      </c>
      <c r="X6" s="386">
        <v>6</v>
      </c>
      <c r="Y6" s="387">
        <v>6</v>
      </c>
      <c r="Z6" s="387">
        <v>6</v>
      </c>
      <c r="AA6" s="387">
        <v>6</v>
      </c>
      <c r="AB6" s="387">
        <v>6</v>
      </c>
      <c r="AC6" s="388">
        <v>6</v>
      </c>
    </row>
    <row r="7" spans="1:29" ht="15.95" customHeight="1" x14ac:dyDescent="0.25">
      <c r="A7" s="14"/>
      <c r="B7" s="854" t="s">
        <v>186</v>
      </c>
      <c r="C7" s="856" t="s">
        <v>237</v>
      </c>
      <c r="D7" s="400">
        <v>2</v>
      </c>
      <c r="E7" s="358">
        <f t="array" aca="1" ref="E7" ca="1">IF($D7&gt;Calc1!$B$14,"",ROW(2:2)-SUM((($L$6:$L6="")+($N$6:$N6="")&gt;0)*1))</f>
        <v>2</v>
      </c>
      <c r="F7" s="108">
        <f ca="1">IF(OR($V$15,$D7&gt;Calc1!$B$14),"",$S$5+QUOTIENT(($E7-1),$V$11)*($S$7+$S$9)/1440+SUM($P$6:$P6)/1440)</f>
        <v>0.375</v>
      </c>
      <c r="G7" s="110">
        <f ca="1">IF(OR($V$15,$D7&gt;Calc1!$B$14),"",MOD($E7-1,$V$11)+1)</f>
        <v>2</v>
      </c>
      <c r="H7" s="221" t="str">
        <f t="shared" ref="H7:H35" ca="1" si="0">IF($I7="","",IF(LEFT($I7,1)&lt;&gt;LEFT($K7,1),"??",LEFT($I7,1)))</f>
        <v>B</v>
      </c>
      <c r="I7" s="246" t="str">
        <f ca="1"/>
        <v>B5</v>
      </c>
      <c r="J7" s="247" t="s">
        <v>4</v>
      </c>
      <c r="K7" s="248" t="str">
        <f ca="1"/>
        <v>B2</v>
      </c>
      <c r="L7" s="114" t="str">
        <f t="shared" ref="L7:L35" ca="1" si="1">IF($I7="","",IF(VLOOKUP($I7,$B$7:$C$35,2,0)="","",VLOOKUP($I7,$B$7:$C$35,2,0)))</f>
        <v>FC Grönlingen</v>
      </c>
      <c r="M7" s="10" t="s">
        <v>4</v>
      </c>
      <c r="N7" s="116" t="str">
        <f t="shared" ref="N7:N35" ca="1" si="2">IF($K7="","",IF(VLOOKUP($K7,$B$7:$C$35,2,0)="","",VLOOKUP($K7,$B$7:$C$35,2,0)))</f>
        <v>Inter Mailand</v>
      </c>
      <c r="O7" s="610"/>
      <c r="P7" s="605"/>
      <c r="Q7" s="241"/>
      <c r="R7" s="853" t="str">
        <f>Sprache!$E$42</f>
        <v>Spielzeit pro Spiel:</v>
      </c>
      <c r="S7" s="839">
        <v>30</v>
      </c>
      <c r="T7" s="838" t="s">
        <v>152</v>
      </c>
      <c r="U7" s="63"/>
      <c r="V7" t="s">
        <v>250</v>
      </c>
      <c r="W7" s="340">
        <v>2</v>
      </c>
      <c r="X7" s="389">
        <v>6</v>
      </c>
      <c r="Y7" s="390">
        <v>6</v>
      </c>
      <c r="Z7" s="390">
        <v>6</v>
      </c>
      <c r="AA7" s="390">
        <v>6</v>
      </c>
      <c r="AB7" s="390">
        <v>6</v>
      </c>
      <c r="AC7" s="391">
        <v>6</v>
      </c>
    </row>
    <row r="8" spans="1:29" ht="15.95" customHeight="1" x14ac:dyDescent="0.25">
      <c r="A8" s="14"/>
      <c r="B8" s="855"/>
      <c r="C8" s="857"/>
      <c r="D8" s="400">
        <v>3</v>
      </c>
      <c r="E8" s="358">
        <f t="array" aca="1" ref="E8" ca="1">IF($D8&gt;Calc1!$B$14,"",ROW(3:3)-SUM((($L$6:$L7="")+($N$6:$N7="")&gt;0)*1))</f>
        <v>3</v>
      </c>
      <c r="F8" s="108">
        <f ca="1">IF(OR($V$15,$D8&gt;Calc1!$B$14),"",$S$5+QUOTIENT(($E8-1),$V$11)*($S$7+$S$9)/1440+SUM($P$6:$P7)/1440)</f>
        <v>0.375</v>
      </c>
      <c r="G8" s="110">
        <f ca="1">IF(OR($V$15,$D8&gt;Calc1!$B$14),"",MOD($E8-1,$V$11)+1)</f>
        <v>3</v>
      </c>
      <c r="H8" s="221" t="str">
        <f t="shared" ca="1" si="0"/>
        <v>A</v>
      </c>
      <c r="I8" s="246" t="str">
        <f ca="1"/>
        <v>A3</v>
      </c>
      <c r="J8" s="247" t="s">
        <v>4</v>
      </c>
      <c r="K8" s="248" t="str">
        <f ca="1"/>
        <v>A4</v>
      </c>
      <c r="L8" s="114" t="str">
        <f t="shared" ca="1" si="1"/>
        <v>Eintracht Frankfurt</v>
      </c>
      <c r="M8" s="10" t="s">
        <v>4</v>
      </c>
      <c r="N8" s="116" t="str">
        <f t="shared" ca="1" si="2"/>
        <v>Maibach 1822 eV</v>
      </c>
      <c r="O8" s="610"/>
      <c r="P8" s="605"/>
      <c r="Q8" s="241"/>
      <c r="R8" s="853"/>
      <c r="S8" s="839"/>
      <c r="T8" s="838"/>
      <c r="U8" s="101"/>
      <c r="V8" t="s">
        <v>249</v>
      </c>
      <c r="W8" s="340">
        <v>3</v>
      </c>
      <c r="X8" s="389">
        <v>6</v>
      </c>
      <c r="Y8" s="390">
        <v>6</v>
      </c>
      <c r="Z8" s="390">
        <v>6</v>
      </c>
      <c r="AA8" s="390">
        <v>6</v>
      </c>
      <c r="AB8" s="390">
        <v>6</v>
      </c>
      <c r="AC8" s="391">
        <v>6</v>
      </c>
    </row>
    <row r="9" spans="1:29" ht="15.95" customHeight="1" x14ac:dyDescent="0.25">
      <c r="A9" s="14"/>
      <c r="B9" s="858" t="s">
        <v>188</v>
      </c>
      <c r="C9" s="859" t="s">
        <v>238</v>
      </c>
      <c r="D9" s="400">
        <v>4</v>
      </c>
      <c r="E9" s="358">
        <f t="array" aca="1" ref="E9" ca="1">IF($D9&gt;Calc1!$B$14,"",ROW(4:4)-SUM((($L$6:$L8="")+($N$6:$N8="")&gt;0)*1))</f>
        <v>4</v>
      </c>
      <c r="F9" s="108">
        <f ca="1">IF(OR($V$15,$D9&gt;Calc1!$B$14),"",$S$5+QUOTIENT(($E9-1),$V$11)*($S$7+$S$9)/1440+SUM($P$6:$P8)/1440)</f>
        <v>0.375</v>
      </c>
      <c r="G9" s="110">
        <f ca="1">IF(OR($V$15,$D9&gt;Calc1!$B$14),"",MOD($E9-1,$V$11)+1)</f>
        <v>4</v>
      </c>
      <c r="H9" s="221" t="str">
        <f t="shared" ca="1" si="0"/>
        <v>B</v>
      </c>
      <c r="I9" s="246" t="str">
        <f ca="1"/>
        <v>B3</v>
      </c>
      <c r="J9" s="247" t="s">
        <v>4</v>
      </c>
      <c r="K9" s="248" t="str">
        <f ca="1"/>
        <v>B4</v>
      </c>
      <c r="L9" s="114" t="str">
        <f t="shared" ca="1" si="1"/>
        <v>SSV Wildbach</v>
      </c>
      <c r="M9" s="10" t="s">
        <v>4</v>
      </c>
      <c r="N9" s="116" t="str">
        <f t="shared" ca="1" si="2"/>
        <v>Manchester City</v>
      </c>
      <c r="O9" s="610"/>
      <c r="P9" s="605"/>
      <c r="Q9" s="241"/>
      <c r="R9" s="853" t="str">
        <f>Sprache!$E$43</f>
        <v>Wechselzeit:</v>
      </c>
      <c r="S9" s="839">
        <v>5</v>
      </c>
      <c r="T9" s="838" t="s">
        <v>152</v>
      </c>
      <c r="U9" s="101"/>
      <c r="V9" t="s">
        <v>248</v>
      </c>
      <c r="W9" s="340">
        <v>4</v>
      </c>
      <c r="X9" s="389">
        <v>6</v>
      </c>
      <c r="Y9" s="390">
        <v>6</v>
      </c>
      <c r="Z9" s="390">
        <v>6</v>
      </c>
      <c r="AA9" s="390">
        <v>6</v>
      </c>
      <c r="AB9" s="390">
        <v>6</v>
      </c>
      <c r="AC9" s="391">
        <v>6</v>
      </c>
    </row>
    <row r="10" spans="1:29" ht="15.95" customHeight="1" x14ac:dyDescent="0.25">
      <c r="A10" s="14"/>
      <c r="B10" s="855"/>
      <c r="C10" s="857"/>
      <c r="D10" s="400">
        <v>5</v>
      </c>
      <c r="E10" s="358">
        <f t="array" aca="1" ref="E10" ca="1">IF($D10&gt;Calc1!$B$14,"",ROW(5:5)-SUM((($L$6:$L9="")+($N$6:$N9="")&gt;0)*1))</f>
        <v>5</v>
      </c>
      <c r="F10" s="108">
        <f ca="1">IF(OR($V$15,$D10&gt;Calc1!$B$14),"",$S$5+QUOTIENT(($E10-1),$V$11)*($S$7+$S$9)/1440+SUM($P$6:$P9)/1440)</f>
        <v>0.39930555555555558</v>
      </c>
      <c r="G10" s="110">
        <f ca="1">IF(OR($V$15,$D10&gt;Calc1!$B$14),"",MOD($E10-1,$V$11)+1)</f>
        <v>1</v>
      </c>
      <c r="H10" s="221" t="str">
        <f t="shared" ca="1" si="0"/>
        <v>A</v>
      </c>
      <c r="I10" s="246" t="str">
        <f ca="1"/>
        <v>A5</v>
      </c>
      <c r="J10" s="247" t="s">
        <v>4</v>
      </c>
      <c r="K10" s="248" t="str">
        <f ca="1"/>
        <v>A1</v>
      </c>
      <c r="L10" s="114" t="str">
        <f t="shared" ca="1" si="1"/>
        <v>VFB Essenheim</v>
      </c>
      <c r="M10" s="10" t="s">
        <v>4</v>
      </c>
      <c r="N10" s="116" t="str">
        <f t="shared" ca="1" si="2"/>
        <v>1. FC Riedwald</v>
      </c>
      <c r="O10" s="610"/>
      <c r="P10" s="605"/>
      <c r="Q10" s="241"/>
      <c r="R10" s="853"/>
      <c r="S10" s="839"/>
      <c r="T10" s="838"/>
      <c r="U10" s="101"/>
      <c r="V10" s="342">
        <f>IF(OR(Calc1!$F$13&lt;1,Calc2!$F$13&lt;1),6,INDEX($X$6:$AC$11,Calc1!$F$13,Calc2!$F$13))</f>
        <v>6</v>
      </c>
      <c r="W10" s="340">
        <v>5</v>
      </c>
      <c r="X10" s="389">
        <v>6</v>
      </c>
      <c r="Y10" s="390">
        <v>6</v>
      </c>
      <c r="Z10" s="390">
        <v>6</v>
      </c>
      <c r="AA10" s="390">
        <v>6</v>
      </c>
      <c r="AB10" s="390">
        <v>6</v>
      </c>
      <c r="AC10" s="391">
        <v>6</v>
      </c>
    </row>
    <row r="11" spans="1:29" ht="15.95" customHeight="1" thickBot="1" x14ac:dyDescent="0.3">
      <c r="A11" s="14"/>
      <c r="B11" s="858" t="s">
        <v>184</v>
      </c>
      <c r="C11" s="859" t="s">
        <v>239</v>
      </c>
      <c r="D11" s="400">
        <v>6</v>
      </c>
      <c r="E11" s="358">
        <f t="array" aca="1" ref="E11" ca="1">IF($D11&gt;Calc1!$B$14,"",ROW(6:6)-SUM((($L$6:$L10="")+($N$6:$N10="")&gt;0)*1))</f>
        <v>6</v>
      </c>
      <c r="F11" s="108">
        <f ca="1">IF(OR($V$15,$D11&gt;Calc1!$B$14),"",$S$5+QUOTIENT(($E11-1),$V$11)*($S$7+$S$9)/1440+SUM($P$6:$P10)/1440)</f>
        <v>0.39930555555555558</v>
      </c>
      <c r="G11" s="110">
        <f ca="1">IF(OR($V$15,$D11&gt;Calc1!$B$14),"",MOD($E11-1,$V$11)+1)</f>
        <v>2</v>
      </c>
      <c r="H11" s="221" t="str">
        <f t="shared" ca="1" si="0"/>
        <v>B</v>
      </c>
      <c r="I11" s="246" t="str">
        <f ca="1"/>
        <v>B5</v>
      </c>
      <c r="J11" s="247" t="s">
        <v>4</v>
      </c>
      <c r="K11" s="248" t="str">
        <f ca="1"/>
        <v>B1</v>
      </c>
      <c r="L11" s="114" t="str">
        <f t="shared" ca="1" si="1"/>
        <v>FC Grönlingen</v>
      </c>
      <c r="M11" s="10" t="s">
        <v>4</v>
      </c>
      <c r="N11" s="116" t="str">
        <f t="shared" ca="1" si="2"/>
        <v>Mainz 05</v>
      </c>
      <c r="O11" s="610"/>
      <c r="P11" s="605"/>
      <c r="Q11" s="241"/>
      <c r="R11" s="853" t="str">
        <f>Sprache!$E$44</f>
        <v>Anzahl der Spielfelder:</v>
      </c>
      <c r="S11" s="839">
        <v>4</v>
      </c>
      <c r="T11" s="844" t="str">
        <f>"(max. "&amp;$V$10&amp;")"</f>
        <v>(max. 6)</v>
      </c>
      <c r="V11" s="342">
        <f>MIN($S$11,$V$10)</f>
        <v>4</v>
      </c>
      <c r="W11" s="341">
        <v>6</v>
      </c>
      <c r="X11" s="392">
        <v>6</v>
      </c>
      <c r="Y11" s="393">
        <v>6</v>
      </c>
      <c r="Z11" s="393">
        <v>6</v>
      </c>
      <c r="AA11" s="393">
        <v>6</v>
      </c>
      <c r="AB11" s="393">
        <v>6</v>
      </c>
      <c r="AC11" s="394">
        <v>6</v>
      </c>
    </row>
    <row r="12" spans="1:29" ht="15.95" customHeight="1" thickTop="1" thickBot="1" x14ac:dyDescent="0.3">
      <c r="A12" s="14"/>
      <c r="B12" s="855"/>
      <c r="C12" s="857"/>
      <c r="D12" s="400">
        <v>7</v>
      </c>
      <c r="E12" s="358">
        <f t="array" aca="1" ref="E12" ca="1">IF($D12&gt;Calc1!$B$14,"",ROW(7:7)-SUM((($L$6:$L11="")+($N$6:$N11="")&gt;0)*1))</f>
        <v>7</v>
      </c>
      <c r="F12" s="108">
        <f ca="1">IF(OR($V$15,$D12&gt;Calc1!$B$14),"",$S$5+QUOTIENT(($E12-1),$V$11)*($S$7+$S$9)/1440+SUM($P$6:$P11)/1440)</f>
        <v>0.39930555555555558</v>
      </c>
      <c r="G12" s="110">
        <f ca="1">IF(OR($V$15,$D12&gt;Calc1!$B$14),"",MOD($E12-1,$V$11)+1)</f>
        <v>3</v>
      </c>
      <c r="H12" s="221" t="str">
        <f t="shared" ca="1" si="0"/>
        <v>A</v>
      </c>
      <c r="I12" s="246" t="str">
        <f ca="1"/>
        <v>A2</v>
      </c>
      <c r="J12" s="247" t="s">
        <v>4</v>
      </c>
      <c r="K12" s="248" t="str">
        <f ca="1"/>
        <v>A3</v>
      </c>
      <c r="L12" s="114" t="str">
        <f t="shared" ca="1" si="1"/>
        <v>FC Barcelona</v>
      </c>
      <c r="M12" s="10" t="s">
        <v>4</v>
      </c>
      <c r="N12" s="116" t="str">
        <f t="shared" ca="1" si="2"/>
        <v>Eintracht Frankfurt</v>
      </c>
      <c r="O12" s="610"/>
      <c r="P12" s="605"/>
      <c r="Q12" s="241"/>
      <c r="R12" s="862"/>
      <c r="S12" s="843"/>
      <c r="T12" s="845"/>
      <c r="U12" s="63"/>
      <c r="V12" s="356" t="s">
        <v>265</v>
      </c>
    </row>
    <row r="13" spans="1:29" ht="15.95" customHeight="1" x14ac:dyDescent="0.25">
      <c r="A13" s="14"/>
      <c r="B13" s="858" t="s">
        <v>190</v>
      </c>
      <c r="C13" s="859" t="s">
        <v>240</v>
      </c>
      <c r="D13" s="400">
        <v>8</v>
      </c>
      <c r="E13" s="358">
        <f t="array" aca="1" ref="E13" ca="1">IF($D13&gt;Calc1!$B$14,"",ROW(8:8)-SUM((($L$6:$L12="")+($N$6:$N12="")&gt;0)*1))</f>
        <v>8</v>
      </c>
      <c r="F13" s="108">
        <f ca="1">IF(OR($V$15,$D13&gt;Calc1!$B$14),"",$S$5+QUOTIENT(($E13-1),$V$11)*($S$7+$S$9)/1440+SUM($P$6:$P12)/1440)</f>
        <v>0.39930555555555558</v>
      </c>
      <c r="G13" s="110">
        <f ca="1">IF(OR($V$15,$D13&gt;Calc1!$B$14),"",MOD($E13-1,$V$11)+1)</f>
        <v>4</v>
      </c>
      <c r="H13" s="221" t="str">
        <f t="shared" ca="1" si="0"/>
        <v>B</v>
      </c>
      <c r="I13" s="246" t="str">
        <f ca="1"/>
        <v>B2</v>
      </c>
      <c r="J13" s="247" t="s">
        <v>4</v>
      </c>
      <c r="K13" s="248" t="str">
        <f ca="1"/>
        <v>B3</v>
      </c>
      <c r="L13" s="114" t="str">
        <f t="shared" ca="1" si="1"/>
        <v>Inter Mailand</v>
      </c>
      <c r="M13" s="10" t="s">
        <v>4</v>
      </c>
      <c r="N13" s="116" t="str">
        <f t="shared" ca="1" si="2"/>
        <v>SSV Wildbach</v>
      </c>
      <c r="O13" s="610"/>
      <c r="P13" s="605"/>
      <c r="Q13" s="241"/>
      <c r="R13" s="860" t="str">
        <f>Sprache!$E$40</f>
        <v>Ende der Vorrunde:</v>
      </c>
      <c r="S13" s="786">
        <f t="array" aca="1" ref="S13" ca="1">IF($V$15,"",$S$5+(ROUNDUP((Calc1!$B$14-SUM(((OFFSET($L$6,,,Calc1!$B$14,1)="")+(OFFSET($N$6,,,Calc1!$B$14,1)="")&gt;0)*1))/$V11,0)*($S$7+$S$9)-$S$9)/1440+SUM(OFFSET($P$6,,,Calc1!$B$14-1,1))/1440)</f>
        <v>0.49305555555555558</v>
      </c>
      <c r="T13" s="840"/>
      <c r="U13" s="101"/>
      <c r="V13" s="343" t="s">
        <v>251</v>
      </c>
    </row>
    <row r="14" spans="1:29" ht="15.95" customHeight="1" thickBot="1" x14ac:dyDescent="0.3">
      <c r="A14" s="14"/>
      <c r="B14" s="855"/>
      <c r="C14" s="857"/>
      <c r="D14" s="400">
        <v>9</v>
      </c>
      <c r="E14" s="358">
        <f t="array" aca="1" ref="E14" ca="1">IF($D14&gt;Calc1!$B$14,"",ROW(9:9)-SUM((($L$6:$L13="")+($N$6:$N13="")&gt;0)*1))</f>
        <v>9</v>
      </c>
      <c r="F14" s="108">
        <f ca="1">IF(OR($V$15,$D14&gt;Calc1!$B$14),"",$S$5+QUOTIENT(($E14-1),$V$11)*($S$7+$S$9)/1440+SUM($P$6:$P13)/1440)</f>
        <v>0.4236111111111111</v>
      </c>
      <c r="G14" s="110">
        <f ca="1">IF(OR($V$15,$D14&gt;Calc1!$B$14),"",MOD($E14-1,$V$11)+1)</f>
        <v>1</v>
      </c>
      <c r="H14" s="221" t="str">
        <f t="shared" ca="1" si="0"/>
        <v>A</v>
      </c>
      <c r="I14" s="246" t="str">
        <f ca="1"/>
        <v>A1</v>
      </c>
      <c r="J14" s="247" t="s">
        <v>4</v>
      </c>
      <c r="K14" s="248" t="str">
        <f ca="1"/>
        <v>A4</v>
      </c>
      <c r="L14" s="114" t="str">
        <f t="shared" ca="1" si="1"/>
        <v>1. FC Riedwald</v>
      </c>
      <c r="M14" s="10" t="s">
        <v>4</v>
      </c>
      <c r="N14" s="116" t="str">
        <f t="shared" ca="1" si="2"/>
        <v>Maibach 1822 eV</v>
      </c>
      <c r="O14" s="610"/>
      <c r="P14" s="605"/>
      <c r="Q14" s="241"/>
      <c r="R14" s="861"/>
      <c r="S14" s="787"/>
      <c r="T14" s="841"/>
      <c r="U14" s="101"/>
      <c r="V14" s="343" t="s">
        <v>252</v>
      </c>
    </row>
    <row r="15" spans="1:29" ht="15.95" customHeight="1" x14ac:dyDescent="0.25">
      <c r="A15" s="14"/>
      <c r="B15" s="858" t="s">
        <v>192</v>
      </c>
      <c r="C15" s="859" t="s">
        <v>311</v>
      </c>
      <c r="D15" s="400">
        <v>10</v>
      </c>
      <c r="E15" s="358">
        <f t="array" aca="1" ref="E15" ca="1">IF($D15&gt;Calc1!$B$14,"",ROW(10:10)-SUM((($L$6:$L14="")+($N$6:$N14="")&gt;0)*1))</f>
        <v>10</v>
      </c>
      <c r="F15" s="108">
        <f ca="1">IF(OR($V$15,$D15&gt;Calc1!$B$14),"",$S$5+QUOTIENT(($E15-1),$V$11)*($S$7+$S$9)/1440+SUM($P$6:$P14)/1440)</f>
        <v>0.4236111111111111</v>
      </c>
      <c r="G15" s="110">
        <f ca="1">IF(OR($V$15,$D15&gt;Calc1!$B$14),"",MOD($E15-1,$V$11)+1)</f>
        <v>2</v>
      </c>
      <c r="H15" s="221" t="str">
        <f t="shared" ca="1" si="0"/>
        <v>B</v>
      </c>
      <c r="I15" s="246" t="str">
        <f ca="1"/>
        <v>B1</v>
      </c>
      <c r="J15" s="247" t="s">
        <v>4</v>
      </c>
      <c r="K15" s="248" t="str">
        <f ca="1"/>
        <v>B4</v>
      </c>
      <c r="L15" s="114" t="str">
        <f t="shared" ca="1" si="1"/>
        <v>Mainz 05</v>
      </c>
      <c r="M15" s="10" t="s">
        <v>4</v>
      </c>
      <c r="N15" s="116" t="str">
        <f t="shared" ca="1" si="2"/>
        <v>Manchester City</v>
      </c>
      <c r="O15" s="610"/>
      <c r="P15" s="605"/>
      <c r="Q15" s="241"/>
      <c r="R15" s="404" t="str">
        <f>Sprache!$E$112</f>
        <v>Turnierende (Endrunde 1):</v>
      </c>
      <c r="S15" s="407">
        <f ca="1">'Endrunde 1'!$I$19</f>
        <v>0.54166666666666674</v>
      </c>
      <c r="T15" s="347"/>
      <c r="U15" s="101"/>
      <c r="V15" s="344" t="b">
        <f>OR($S$5="",$S$7="",$S$9="",$S$11="",Calc1!$F$14&lt;3)</f>
        <v>0</v>
      </c>
    </row>
    <row r="16" spans="1:29" ht="15.95" customHeight="1" x14ac:dyDescent="0.25">
      <c r="A16" s="14"/>
      <c r="B16" s="855"/>
      <c r="C16" s="857"/>
      <c r="D16" s="400">
        <v>11</v>
      </c>
      <c r="E16" s="358">
        <f t="array" aca="1" ref="E16" ca="1">IF($D16&gt;Calc1!$B$14,"",ROW(11:11)-SUM((($L$6:$L15="")+($N$6:$N15="")&gt;0)*1))</f>
        <v>11</v>
      </c>
      <c r="F16" s="108">
        <f ca="1">IF(OR($V$15,$D16&gt;Calc1!$B$14),"",$S$5+QUOTIENT(($E16-1),$V$11)*($S$7+$S$9)/1440+SUM($P$6:$P15)/1440)</f>
        <v>0.4236111111111111</v>
      </c>
      <c r="G16" s="110">
        <f ca="1">IF(OR($V$15,$D16&gt;Calc1!$B$14),"",MOD($E16-1,$V$11)+1)</f>
        <v>3</v>
      </c>
      <c r="H16" s="221" t="str">
        <f t="shared" ca="1" si="0"/>
        <v>A</v>
      </c>
      <c r="I16" s="246" t="str">
        <f ca="1"/>
        <v>A3</v>
      </c>
      <c r="J16" s="247" t="s">
        <v>4</v>
      </c>
      <c r="K16" s="248" t="str">
        <f ca="1"/>
        <v>A5</v>
      </c>
      <c r="L16" s="114" t="str">
        <f t="shared" ca="1" si="1"/>
        <v>Eintracht Frankfurt</v>
      </c>
      <c r="M16" s="10" t="s">
        <v>4</v>
      </c>
      <c r="N16" s="116" t="str">
        <f t="shared" ca="1" si="2"/>
        <v>VFB Essenheim</v>
      </c>
      <c r="O16" s="610"/>
      <c r="P16" s="605"/>
      <c r="Q16" s="241"/>
      <c r="R16" s="405" t="str">
        <f>Sprache!$E$113</f>
        <v>Turnierende (Endrunde 2):</v>
      </c>
      <c r="S16" s="408">
        <f ca="1">'Endrunde 2'!$I$23</f>
        <v>0.5902777777777779</v>
      </c>
      <c r="T16" s="403"/>
      <c r="U16" s="101"/>
    </row>
    <row r="17" spans="1:29" ht="15.95" customHeight="1" x14ac:dyDescent="0.25">
      <c r="A17" s="14"/>
      <c r="B17" s="858" t="s">
        <v>194</v>
      </c>
      <c r="C17" s="859"/>
      <c r="D17" s="400">
        <v>12</v>
      </c>
      <c r="E17" s="358">
        <f t="array" aca="1" ref="E17" ca="1">IF($D17&gt;Calc1!$B$14,"",ROW(12:12)-SUM((($L$6:$L16="")+($N$6:$N16="")&gt;0)*1))</f>
        <v>12</v>
      </c>
      <c r="F17" s="108">
        <f ca="1">IF(OR($V$15,$D17&gt;Calc1!$B$14),"",$S$5+QUOTIENT(($E17-1),$V$11)*($S$7+$S$9)/1440+SUM($P$6:$P16)/1440)</f>
        <v>0.4236111111111111</v>
      </c>
      <c r="G17" s="110">
        <f ca="1">IF(OR($V$15,$D17&gt;Calc1!$B$14),"",MOD($E17-1,$V$11)+1)</f>
        <v>4</v>
      </c>
      <c r="H17" s="221" t="str">
        <f t="shared" ca="1" si="0"/>
        <v>B</v>
      </c>
      <c r="I17" s="246" t="str">
        <f ca="1"/>
        <v>B3</v>
      </c>
      <c r="J17" s="247" t="s">
        <v>4</v>
      </c>
      <c r="K17" s="248" t="str">
        <f ca="1"/>
        <v>B5</v>
      </c>
      <c r="L17" s="114" t="str">
        <f t="shared" ca="1" si="1"/>
        <v>SSV Wildbach</v>
      </c>
      <c r="M17" s="10" t="s">
        <v>4</v>
      </c>
      <c r="N17" s="116" t="str">
        <f t="shared" ca="1" si="2"/>
        <v>FC Grönlingen</v>
      </c>
      <c r="O17" s="610"/>
      <c r="P17" s="605"/>
      <c r="Q17" s="241"/>
      <c r="R17" s="405" t="str">
        <f>Sprache!$E$114</f>
        <v>Turnierende (Endrunde 3):</v>
      </c>
      <c r="S17" s="408">
        <f ca="1">'Endrunde 3'!$I$18</f>
        <v>0.56597222222222232</v>
      </c>
      <c r="T17" s="403"/>
      <c r="U17" s="101"/>
      <c r="W17" s="99">
        <f>Calc1!$F$13</f>
        <v>5</v>
      </c>
      <c r="X17" s="99">
        <f>Calc2!$F$13</f>
        <v>5</v>
      </c>
    </row>
    <row r="18" spans="1:29" ht="15.95" customHeight="1" thickBot="1" x14ac:dyDescent="0.3">
      <c r="A18" s="14"/>
      <c r="B18" s="868"/>
      <c r="C18" s="863"/>
      <c r="D18" s="400">
        <v>13</v>
      </c>
      <c r="E18" s="358">
        <f t="array" aca="1" ref="E18" ca="1">IF($D18&gt;Calc1!$B$14,"",ROW(13:13)-SUM((($L$6:$L17="")+($N$6:$N17="")&gt;0)*1))</f>
        <v>13</v>
      </c>
      <c r="F18" s="108">
        <f ca="1">IF(OR($V$15,$D18&gt;Calc1!$B$14),"",$S$5+QUOTIENT(($E18-1),$V$11)*($S$7+$S$9)/1440+SUM($P$6:$P17)/1440)</f>
        <v>0.44791666666666669</v>
      </c>
      <c r="G18" s="110">
        <f ca="1">IF(OR($V$15,$D18&gt;Calc1!$B$14),"",MOD($E18-1,$V$11)+1)</f>
        <v>1</v>
      </c>
      <c r="H18" s="221" t="str">
        <f t="shared" ca="1" si="0"/>
        <v>A</v>
      </c>
      <c r="I18" s="246" t="str">
        <f ca="1"/>
        <v>A2</v>
      </c>
      <c r="J18" s="247" t="s">
        <v>4</v>
      </c>
      <c r="K18" s="248" t="str">
        <f ca="1"/>
        <v>A4</v>
      </c>
      <c r="L18" s="114" t="str">
        <f t="shared" ca="1" si="1"/>
        <v>FC Barcelona</v>
      </c>
      <c r="M18" s="10" t="s">
        <v>4</v>
      </c>
      <c r="N18" s="116" t="str">
        <f t="shared" ca="1" si="2"/>
        <v>Maibach 1822 eV</v>
      </c>
      <c r="O18" s="610"/>
      <c r="P18" s="605"/>
      <c r="Q18" s="241"/>
      <c r="R18" s="406" t="str">
        <f>Sprache!$E$115</f>
        <v>Turnierende (Endrunde 4):</v>
      </c>
      <c r="S18" s="409">
        <f ca="1">'Endrunde 4'!$K$31</f>
        <v>0.59027777777777779</v>
      </c>
      <c r="T18" s="348"/>
      <c r="U18" s="101"/>
    </row>
    <row r="19" spans="1:29" ht="15.95" customHeight="1" thickTop="1" thickBot="1" x14ac:dyDescent="0.3">
      <c r="A19" s="14"/>
      <c r="B19" s="200"/>
      <c r="C19" s="199"/>
      <c r="D19" s="400">
        <v>14</v>
      </c>
      <c r="E19" s="358">
        <f t="array" aca="1" ref="E19" ca="1">IF($D19&gt;Calc1!$B$14,"",ROW(14:14)-SUM((($L$6:$L18="")+($N$6:$N18="")&gt;0)*1))</f>
        <v>14</v>
      </c>
      <c r="F19" s="108">
        <f ca="1">IF(OR($V$15,$D19&gt;Calc1!$B$14),"",$S$5+QUOTIENT(($E19-1),$V$11)*($S$7+$S$9)/1440+SUM($P$6:$P18)/1440)</f>
        <v>0.44791666666666669</v>
      </c>
      <c r="G19" s="110">
        <f ca="1">IF(OR($V$15,$D19&gt;Calc1!$B$14),"",MOD($E19-1,$V$11)+1)</f>
        <v>2</v>
      </c>
      <c r="H19" s="221" t="str">
        <f t="shared" ca="1" si="0"/>
        <v>B</v>
      </c>
      <c r="I19" s="246" t="str">
        <f ca="1"/>
        <v>B2</v>
      </c>
      <c r="J19" s="247" t="s">
        <v>4</v>
      </c>
      <c r="K19" s="248" t="str">
        <f ca="1"/>
        <v>B4</v>
      </c>
      <c r="L19" s="114" t="str">
        <f t="shared" ca="1" si="1"/>
        <v>Inter Mailand</v>
      </c>
      <c r="M19" s="10" t="s">
        <v>4</v>
      </c>
      <c r="N19" s="116" t="str">
        <f t="shared" ca="1" si="2"/>
        <v>Manchester City</v>
      </c>
      <c r="O19" s="610"/>
      <c r="P19" s="605"/>
      <c r="Q19" s="241"/>
      <c r="U19" s="101"/>
      <c r="W19" s="337"/>
      <c r="X19" s="338">
        <v>1</v>
      </c>
      <c r="Y19" s="338">
        <v>2</v>
      </c>
      <c r="Z19" s="338">
        <v>3</v>
      </c>
      <c r="AA19" s="338">
        <v>4</v>
      </c>
      <c r="AB19" s="338">
        <v>5</v>
      </c>
      <c r="AC19" s="339">
        <v>6</v>
      </c>
    </row>
    <row r="20" spans="1:29" ht="15.95" customHeight="1" x14ac:dyDescent="0.25">
      <c r="A20" s="14"/>
      <c r="B20" s="864"/>
      <c r="C20" s="866" t="str">
        <f>Sprache!$E$16&amp;" B"</f>
        <v>Gruppe B</v>
      </c>
      <c r="D20" s="400">
        <v>15</v>
      </c>
      <c r="E20" s="358">
        <f t="array" aca="1" ref="E20" ca="1">IF($D20&gt;Calc1!$B$14,"",ROW(15:15)-SUM((($L$6:$L19="")+($N$6:$N19="")&gt;0)*1))</f>
        <v>15</v>
      </c>
      <c r="F20" s="108">
        <f ca="1">IF(OR($V$15,$D20&gt;Calc1!$B$14),"",$S$5+QUOTIENT(($E20-1),$V$11)*($S$7+$S$9)/1440+SUM($P$6:$P19)/1440)</f>
        <v>0.44791666666666669</v>
      </c>
      <c r="G20" s="110">
        <f ca="1">IF(OR($V$15,$D20&gt;Calc1!$B$14),"",MOD($E20-1,$V$11)+1)</f>
        <v>3</v>
      </c>
      <c r="H20" s="221" t="str">
        <f t="shared" ca="1" si="0"/>
        <v>A</v>
      </c>
      <c r="I20" s="246" t="str">
        <f ca="1"/>
        <v>A3</v>
      </c>
      <c r="J20" s="247" t="s">
        <v>4</v>
      </c>
      <c r="K20" s="248" t="str">
        <f ca="1"/>
        <v>A1</v>
      </c>
      <c r="L20" s="114" t="str">
        <f t="shared" ca="1" si="1"/>
        <v>Eintracht Frankfurt</v>
      </c>
      <c r="M20" s="10" t="s">
        <v>4</v>
      </c>
      <c r="N20" s="116" t="str">
        <f t="shared" ca="1" si="2"/>
        <v>1. FC Riedwald</v>
      </c>
      <c r="O20" s="610"/>
      <c r="P20" s="605"/>
      <c r="Q20" s="241"/>
      <c r="U20" s="101"/>
      <c r="W20" s="340">
        <v>1</v>
      </c>
      <c r="X20" s="386">
        <v>1</v>
      </c>
      <c r="Y20" s="387">
        <v>1</v>
      </c>
      <c r="Z20" s="387">
        <v>1</v>
      </c>
      <c r="AA20" s="387">
        <v>2</v>
      </c>
      <c r="AB20" s="387">
        <v>2</v>
      </c>
      <c r="AC20" s="388">
        <v>3</v>
      </c>
    </row>
    <row r="21" spans="1:29" ht="15.95" customHeight="1" thickBot="1" x14ac:dyDescent="0.3">
      <c r="A21" s="14"/>
      <c r="B21" s="865"/>
      <c r="C21" s="867"/>
      <c r="D21" s="400">
        <v>16</v>
      </c>
      <c r="E21" s="358">
        <f t="array" aca="1" ref="E21" ca="1">IF($D21&gt;Calc1!$B$14,"",ROW(16:16)-SUM((($L$6:$L20="")+($N$6:$N20="")&gt;0)*1))</f>
        <v>16</v>
      </c>
      <c r="F21" s="108">
        <f ca="1">IF(OR($V$15,$D21&gt;Calc1!$B$14),"",$S$5+QUOTIENT(($E21-1),$V$11)*($S$7+$S$9)/1440+SUM($P$6:$P20)/1440)</f>
        <v>0.44791666666666669</v>
      </c>
      <c r="G21" s="110">
        <f ca="1">IF(OR($V$15,$D21&gt;Calc1!$B$14),"",MOD($E21-1,$V$11)+1)</f>
        <v>4</v>
      </c>
      <c r="H21" s="221" t="str">
        <f t="shared" ca="1" si="0"/>
        <v>B</v>
      </c>
      <c r="I21" s="246" t="str">
        <f ca="1"/>
        <v>B3</v>
      </c>
      <c r="J21" s="247" t="s">
        <v>4</v>
      </c>
      <c r="K21" s="248" t="str">
        <f ca="1"/>
        <v>B1</v>
      </c>
      <c r="L21" s="114" t="str">
        <f t="shared" ca="1" si="1"/>
        <v>SSV Wildbach</v>
      </c>
      <c r="M21" s="10" t="s">
        <v>4</v>
      </c>
      <c r="N21" s="116" t="str">
        <f t="shared" ca="1" si="2"/>
        <v>Mainz 05</v>
      </c>
      <c r="O21" s="610"/>
      <c r="P21" s="605"/>
      <c r="Q21" s="241"/>
      <c r="U21" s="101"/>
      <c r="W21" s="340">
        <v>2</v>
      </c>
      <c r="X21" s="389">
        <v>1</v>
      </c>
      <c r="Y21" s="390">
        <v>2</v>
      </c>
      <c r="Z21" s="390">
        <v>1</v>
      </c>
      <c r="AA21" s="390">
        <v>2</v>
      </c>
      <c r="AB21" s="390">
        <v>2</v>
      </c>
      <c r="AC21" s="391">
        <v>3</v>
      </c>
    </row>
    <row r="22" spans="1:29" ht="15.95" customHeight="1" thickTop="1" x14ac:dyDescent="0.25">
      <c r="A22" s="14"/>
      <c r="B22" s="846"/>
      <c r="C22" s="848" t="str">
        <f>Sprache!$E$10</f>
        <v>Teilnehmer bzw. Mannschaft</v>
      </c>
      <c r="D22" s="400">
        <v>17</v>
      </c>
      <c r="E22" s="358">
        <f t="array" aca="1" ref="E22" ca="1">IF($D22&gt;Calc1!$B$14,"",ROW(17:17)-SUM((($L$6:$L21="")+($N$6:$N21="")&gt;0)*1))</f>
        <v>17</v>
      </c>
      <c r="F22" s="108">
        <f ca="1">IF(OR($V$15,$D22&gt;Calc1!$B$14),"",$S$5+QUOTIENT(($E22-1),$V$11)*($S$7+$S$9)/1440+SUM($P$6:$P21)/1440)</f>
        <v>0.47222222222222221</v>
      </c>
      <c r="G22" s="110">
        <f ca="1">IF(OR($V$15,$D22&gt;Calc1!$B$14),"",MOD($E22-1,$V$11)+1)</f>
        <v>1</v>
      </c>
      <c r="H22" s="221" t="str">
        <f t="shared" ca="1" si="0"/>
        <v>A</v>
      </c>
      <c r="I22" s="246" t="str">
        <f ca="1"/>
        <v>A4</v>
      </c>
      <c r="J22" s="247" t="s">
        <v>4</v>
      </c>
      <c r="K22" s="248" t="str">
        <f ca="1"/>
        <v>A5</v>
      </c>
      <c r="L22" s="114" t="str">
        <f t="shared" ca="1" si="1"/>
        <v>Maibach 1822 eV</v>
      </c>
      <c r="M22" s="10" t="s">
        <v>4</v>
      </c>
      <c r="N22" s="116" t="str">
        <f t="shared" ca="1" si="2"/>
        <v>VFB Essenheim</v>
      </c>
      <c r="O22" s="610"/>
      <c r="P22" s="605"/>
      <c r="Q22" s="241"/>
      <c r="R22" s="842" t="str">
        <f>Sprache!$E$110&amp;$V$10&amp;Sprache!$E$111</f>
        <v>Wegen zeitlicher Konflikte kann nur auf maximal 6 Spielplätzen gleichzeitig gespielt werden.</v>
      </c>
      <c r="S22" s="842"/>
      <c r="T22" s="842"/>
      <c r="U22" s="101"/>
      <c r="W22" s="340">
        <v>3</v>
      </c>
      <c r="X22" s="389">
        <v>1</v>
      </c>
      <c r="Y22" s="390">
        <v>1</v>
      </c>
      <c r="Z22" s="390">
        <v>2</v>
      </c>
      <c r="AA22" s="390">
        <v>3</v>
      </c>
      <c r="AB22" s="390">
        <v>2</v>
      </c>
      <c r="AC22" s="391">
        <v>4</v>
      </c>
    </row>
    <row r="23" spans="1:29" ht="15.95" customHeight="1" x14ac:dyDescent="0.25">
      <c r="A23" s="14"/>
      <c r="B23" s="847"/>
      <c r="C23" s="849"/>
      <c r="D23" s="400">
        <v>18</v>
      </c>
      <c r="E23" s="358">
        <f t="array" aca="1" ref="E23" ca="1">IF($D23&gt;Calc1!$B$14,"",ROW(18:18)-SUM((($L$6:$L22="")+($N$6:$N22="")&gt;0)*1))</f>
        <v>18</v>
      </c>
      <c r="F23" s="108">
        <f ca="1">IF(OR($V$15,$D23&gt;Calc1!$B$14),"",$S$5+QUOTIENT(($E23-1),$V$11)*($S$7+$S$9)/1440+SUM($P$6:$P22)/1440)</f>
        <v>0.47222222222222221</v>
      </c>
      <c r="G23" s="110">
        <f ca="1">IF(OR($V$15,$D23&gt;Calc1!$B$14),"",MOD($E23-1,$V$11)+1)</f>
        <v>2</v>
      </c>
      <c r="H23" s="221" t="str">
        <f t="shared" ca="1" si="0"/>
        <v>B</v>
      </c>
      <c r="I23" s="246" t="str">
        <f ca="1"/>
        <v>B4</v>
      </c>
      <c r="J23" s="247" t="s">
        <v>4</v>
      </c>
      <c r="K23" s="248" t="str">
        <f ca="1"/>
        <v>B5</v>
      </c>
      <c r="L23" s="114" t="str">
        <f t="shared" ca="1" si="1"/>
        <v>Manchester City</v>
      </c>
      <c r="M23" s="10" t="s">
        <v>4</v>
      </c>
      <c r="N23" s="116" t="str">
        <f t="shared" ca="1" si="2"/>
        <v>FC Grönlingen</v>
      </c>
      <c r="O23" s="610"/>
      <c r="P23" s="605"/>
      <c r="Q23" s="241"/>
      <c r="R23" s="842"/>
      <c r="S23" s="842"/>
      <c r="T23" s="842"/>
      <c r="U23" s="101"/>
      <c r="W23" s="340">
        <v>4</v>
      </c>
      <c r="X23" s="389">
        <v>2</v>
      </c>
      <c r="Y23" s="390">
        <v>2</v>
      </c>
      <c r="Z23" s="390">
        <v>3</v>
      </c>
      <c r="AA23" s="390">
        <v>4</v>
      </c>
      <c r="AB23" s="390">
        <v>3</v>
      </c>
      <c r="AC23" s="391">
        <v>3</v>
      </c>
    </row>
    <row r="24" spans="1:29" ht="15.95" customHeight="1" x14ac:dyDescent="0.25">
      <c r="A24" s="14"/>
      <c r="B24" s="854" t="s">
        <v>187</v>
      </c>
      <c r="C24" s="856" t="s">
        <v>241</v>
      </c>
      <c r="D24" s="400">
        <v>19</v>
      </c>
      <c r="E24" s="358">
        <f t="array" aca="1" ref="E24" ca="1">IF($D24&gt;Calc1!$B$14,"",ROW(19:19)-SUM((($L$6:$L23="")+($N$6:$N23="")&gt;0)*1))</f>
        <v>19</v>
      </c>
      <c r="F24" s="108">
        <f ca="1">IF(OR($V$15,$D24&gt;Calc1!$B$14),"",$S$5+QUOTIENT(($E24-1),$V$11)*($S$7+$S$9)/1440+SUM($P$6:$P23)/1440)</f>
        <v>0.47222222222222221</v>
      </c>
      <c r="G24" s="110">
        <f ca="1">IF(OR($V$15,$D24&gt;Calc1!$B$14),"",MOD($E24-1,$V$11)+1)</f>
        <v>3</v>
      </c>
      <c r="H24" s="221" t="str">
        <f t="shared" ca="1" si="0"/>
        <v>A</v>
      </c>
      <c r="I24" s="246" t="str">
        <f ca="1"/>
        <v>A1</v>
      </c>
      <c r="J24" s="247" t="s">
        <v>4</v>
      </c>
      <c r="K24" s="248" t="str">
        <f ca="1"/>
        <v>A2</v>
      </c>
      <c r="L24" s="114" t="str">
        <f t="shared" ca="1" si="1"/>
        <v>1. FC Riedwald</v>
      </c>
      <c r="M24" s="10" t="s">
        <v>4</v>
      </c>
      <c r="N24" s="116" t="str">
        <f t="shared" ca="1" si="2"/>
        <v>FC Barcelona</v>
      </c>
      <c r="O24" s="610"/>
      <c r="P24" s="605"/>
      <c r="Q24" s="241"/>
      <c r="R24" s="345"/>
      <c r="S24" s="382" t="str">
        <f t="array" aca="1" ref="S24" ca="1">IFERROR(proof!$E$3-SUM(((OFFSET($L$6,0,0,proof!$E$3,1)="")+(OFFSET($N$6,0,0,proof!$E$3,1)="")&gt;0)*1),"")</f>
        <v/>
      </c>
      <c r="T24" s="382" t="str">
        <f t="array" aca="1" ref="T24" ca="1">IFERROR(proof!$E$4-SUM(((OFFSET($L$6,0,0,proof!$E$4,1)="")+(OFFSET($N$6,0,0,proof!$E$4,1)="")&gt;0)*1),"")</f>
        <v/>
      </c>
      <c r="U24" s="101"/>
      <c r="W24" s="340">
        <v>5</v>
      </c>
      <c r="X24" s="389">
        <v>2</v>
      </c>
      <c r="Y24" s="390">
        <v>2</v>
      </c>
      <c r="Z24" s="390">
        <v>2</v>
      </c>
      <c r="AA24" s="390">
        <v>3</v>
      </c>
      <c r="AB24" s="390">
        <v>4</v>
      </c>
      <c r="AC24" s="391">
        <v>5</v>
      </c>
    </row>
    <row r="25" spans="1:29" ht="15.95" customHeight="1" thickBot="1" x14ac:dyDescent="0.3">
      <c r="B25" s="855"/>
      <c r="C25" s="857"/>
      <c r="D25" s="400">
        <v>20</v>
      </c>
      <c r="E25" s="358">
        <f t="array" aca="1" ref="E25" ca="1">IF($D25&gt;Calc1!$B$14,"",ROW(20:20)-SUM((($L$6:$L24="")+($N$6:$N24="")&gt;0)*1))</f>
        <v>20</v>
      </c>
      <c r="F25" s="108">
        <f ca="1">IF(OR($V$15,$D25&gt;Calc1!$B$14),"",$S$5+QUOTIENT(($E25-1),$V$11)*($S$7+$S$9)/1440+SUM($P$6:$P24)/1440)</f>
        <v>0.47222222222222221</v>
      </c>
      <c r="G25" s="110">
        <f ca="1">IF(OR($V$15,$D25&gt;Calc1!$B$14),"",MOD($E25-1,$V$11)+1)</f>
        <v>4</v>
      </c>
      <c r="H25" s="221" t="str">
        <f t="shared" ca="1" si="0"/>
        <v>B</v>
      </c>
      <c r="I25" s="246" t="str">
        <f ca="1"/>
        <v>B1</v>
      </c>
      <c r="J25" s="247" t="s">
        <v>4</v>
      </c>
      <c r="K25" s="248" t="str">
        <f ca="1"/>
        <v>B2</v>
      </c>
      <c r="L25" s="114" t="str">
        <f t="shared" ca="1" si="1"/>
        <v>Mainz 05</v>
      </c>
      <c r="M25" s="10" t="s">
        <v>4</v>
      </c>
      <c r="N25" s="116" t="str">
        <f t="shared" ca="1" si="2"/>
        <v>Inter Mailand</v>
      </c>
      <c r="O25" s="610"/>
      <c r="P25" s="605"/>
      <c r="Q25" s="241"/>
      <c r="R25" s="830" t="str">
        <f ca="1">IF($V$15,"",IF(proof!$G$2="FEHLER",Sprache!$E$117&amp;proof!$E$6,""))</f>
        <v/>
      </c>
      <c r="S25" s="830"/>
      <c r="T25" s="830"/>
      <c r="U25" s="101"/>
      <c r="W25" s="341">
        <v>6</v>
      </c>
      <c r="X25" s="392">
        <v>3</v>
      </c>
      <c r="Y25" s="393">
        <v>3</v>
      </c>
      <c r="Z25" s="393">
        <v>4</v>
      </c>
      <c r="AA25" s="393">
        <v>3</v>
      </c>
      <c r="AB25" s="393">
        <v>5</v>
      </c>
      <c r="AC25" s="394">
        <v>6</v>
      </c>
    </row>
    <row r="26" spans="1:29" ht="15.95" customHeight="1" thickTop="1" x14ac:dyDescent="0.25">
      <c r="B26" s="858" t="s">
        <v>189</v>
      </c>
      <c r="C26" s="859" t="s">
        <v>242</v>
      </c>
      <c r="D26" s="400">
        <v>21</v>
      </c>
      <c r="E26" s="358">
        <f t="array" aca="1" ref="E26" ca="1">IF($D26&gt;Calc1!$B$14,"",ROW(21:21)-SUM((($L$6:$L25="")+($N$6:$N25="")&gt;0)*1))</f>
        <v>21</v>
      </c>
      <c r="F26" s="108">
        <f ca="1">IF(OR($V$15,$D26&gt;Calc1!$B$14),"",$S$5+QUOTIENT(($E26-1),$V$11)*($S$7+$S$9)/1440+SUM($P$6:$P25)/1440)</f>
        <v>0.49652777777777779</v>
      </c>
      <c r="G26" s="110">
        <f ca="1">IF(OR($V$15,$D26&gt;Calc1!$B$14),"",MOD($E26-1,$V$11)+1)</f>
        <v>1</v>
      </c>
      <c r="H26" s="221" t="str">
        <f t="shared" ca="1" si="0"/>
        <v/>
      </c>
      <c r="I26" s="246" t="str">
        <f ca="1"/>
        <v/>
      </c>
      <c r="J26" s="247" t="s">
        <v>4</v>
      </c>
      <c r="K26" s="248" t="str">
        <f ca="1"/>
        <v/>
      </c>
      <c r="L26" s="114" t="str">
        <f t="shared" ca="1" si="1"/>
        <v/>
      </c>
      <c r="M26" s="10" t="s">
        <v>4</v>
      </c>
      <c r="N26" s="116" t="str">
        <f t="shared" ca="1" si="2"/>
        <v/>
      </c>
      <c r="O26" s="610"/>
      <c r="P26" s="605"/>
      <c r="Q26" s="241"/>
      <c r="R26" s="830" t="str">
        <f ca="1">IF($V$15,"",IF(proof!$G$2="FEHLER",Sprache!$E$118&amp;$S$24&amp;Sprache!$E$119&amp;$T$24,""))</f>
        <v/>
      </c>
      <c r="S26" s="830"/>
      <c r="T26" s="830"/>
      <c r="U26" s="101"/>
    </row>
    <row r="27" spans="1:29" ht="15.95" customHeight="1" x14ac:dyDescent="0.25">
      <c r="B27" s="855"/>
      <c r="C27" s="857"/>
      <c r="D27" s="400">
        <v>22</v>
      </c>
      <c r="E27" s="358">
        <f t="array" aca="1" ref="E27" ca="1">IF($D27&gt;Calc1!$B$14,"",ROW(22:22)-SUM((($L$6:$L26="")+($N$6:$N26="")&gt;0)*1))</f>
        <v>21</v>
      </c>
      <c r="F27" s="108">
        <f ca="1">IF(OR($V$15,$D27&gt;Calc1!$B$14),"",$S$5+QUOTIENT(($E27-1),$V$11)*($S$7+$S$9)/1440+SUM($P$6:$P26)/1440)</f>
        <v>0.49652777777777779</v>
      </c>
      <c r="G27" s="110">
        <f ca="1">IF(OR($V$15,$D27&gt;Calc1!$B$14),"",MOD($E27-1,$V$11)+1)</f>
        <v>1</v>
      </c>
      <c r="H27" s="221" t="str">
        <f t="shared" ca="1" si="0"/>
        <v/>
      </c>
      <c r="I27" s="246" t="str">
        <f ca="1"/>
        <v/>
      </c>
      <c r="J27" s="247" t="s">
        <v>4</v>
      </c>
      <c r="K27" s="248" t="str">
        <f ca="1"/>
        <v/>
      </c>
      <c r="L27" s="114" t="str">
        <f t="shared" ca="1" si="1"/>
        <v/>
      </c>
      <c r="M27" s="10" t="s">
        <v>4</v>
      </c>
      <c r="N27" s="116" t="str">
        <f t="shared" ca="1" si="2"/>
        <v/>
      </c>
      <c r="O27" s="610"/>
      <c r="P27" s="605"/>
      <c r="Q27" s="241"/>
      <c r="R27" s="345"/>
      <c r="S27" s="105"/>
      <c r="T27" s="105"/>
      <c r="U27" s="101"/>
    </row>
    <row r="28" spans="1:29" ht="15.95" customHeight="1" x14ac:dyDescent="0.25">
      <c r="B28" s="858" t="s">
        <v>185</v>
      </c>
      <c r="C28" s="859" t="s">
        <v>244</v>
      </c>
      <c r="D28" s="400">
        <v>23</v>
      </c>
      <c r="E28" s="358">
        <f t="array" aca="1" ref="E28" ca="1">IF($D28&gt;Calc1!$B$14,"",ROW(23:23)-SUM((($L$6:$L27="")+($N$6:$N27="")&gt;0)*1))</f>
        <v>21</v>
      </c>
      <c r="F28" s="108">
        <f ca="1">IF(OR($V$15,$D28&gt;Calc1!$B$14),"",$S$5+QUOTIENT(($E28-1),$V$11)*($S$7+$S$9)/1440+SUM($P$6:$P27)/1440)</f>
        <v>0.49652777777777779</v>
      </c>
      <c r="G28" s="110">
        <f ca="1">IF(OR($V$15,$D28&gt;Calc1!$B$14),"",MOD($E28-1,$V$11)+1)</f>
        <v>1</v>
      </c>
      <c r="H28" s="221" t="str">
        <f t="shared" ca="1" si="0"/>
        <v/>
      </c>
      <c r="I28" s="246" t="str">
        <f ca="1"/>
        <v/>
      </c>
      <c r="J28" s="247" t="s">
        <v>4</v>
      </c>
      <c r="K28" s="248" t="str">
        <f ca="1"/>
        <v/>
      </c>
      <c r="L28" s="12" t="str">
        <f t="shared" ca="1" si="1"/>
        <v/>
      </c>
      <c r="M28" s="10" t="s">
        <v>4</v>
      </c>
      <c r="N28" s="11" t="str">
        <f t="shared" ca="1" si="2"/>
        <v/>
      </c>
      <c r="O28" s="610"/>
      <c r="P28" s="605"/>
      <c r="Q28" s="241"/>
      <c r="R28" s="105"/>
      <c r="S28" s="105"/>
      <c r="T28" s="105"/>
      <c r="U28" s="101"/>
    </row>
    <row r="29" spans="1:29" ht="15.95" customHeight="1" x14ac:dyDescent="0.25">
      <c r="B29" s="855"/>
      <c r="C29" s="857"/>
      <c r="D29" s="400">
        <v>24</v>
      </c>
      <c r="E29" s="358">
        <f t="array" aca="1" ref="E29" ca="1">IF($D29&gt;Calc1!$B$14,"",ROW(24:24)-SUM((($L$6:$L28="")+($N$6:$N28="")&gt;0)*1))</f>
        <v>21</v>
      </c>
      <c r="F29" s="108">
        <f ca="1">IF(OR($V$15,$D29&gt;Calc1!$B$14),"",$S$5+QUOTIENT(($E29-1),$V$11)*($S$7+$S$9)/1440+SUM($P$6:$P28)/1440)</f>
        <v>0.49652777777777779</v>
      </c>
      <c r="G29" s="110">
        <f ca="1">IF(OR($V$15,$D29&gt;Calc1!$B$14),"",MOD($E29-1,$V$11)+1)</f>
        <v>1</v>
      </c>
      <c r="H29" s="221" t="str">
        <f t="shared" ca="1" si="0"/>
        <v/>
      </c>
      <c r="I29" s="246" t="str">
        <f ca="1"/>
        <v/>
      </c>
      <c r="J29" s="247" t="s">
        <v>4</v>
      </c>
      <c r="K29" s="248" t="str">
        <f ca="1"/>
        <v/>
      </c>
      <c r="L29" s="114" t="str">
        <f t="shared" ca="1" si="1"/>
        <v/>
      </c>
      <c r="M29" s="10" t="s">
        <v>4</v>
      </c>
      <c r="N29" s="116" t="str">
        <f t="shared" ca="1" si="2"/>
        <v/>
      </c>
      <c r="O29" s="610"/>
      <c r="P29" s="605"/>
      <c r="Q29" s="241"/>
      <c r="R29" s="345"/>
      <c r="S29" s="105"/>
      <c r="T29" s="105"/>
      <c r="U29" s="101"/>
    </row>
    <row r="30" spans="1:29" ht="15.95" customHeight="1" x14ac:dyDescent="0.25">
      <c r="B30" s="858" t="s">
        <v>191</v>
      </c>
      <c r="C30" s="859" t="s">
        <v>243</v>
      </c>
      <c r="D30" s="400">
        <v>25</v>
      </c>
      <c r="E30" s="358">
        <f t="array" aca="1" ref="E30" ca="1">IF($D30&gt;Calc1!$B$14,"",ROW(25:25)-SUM((($L$6:$L29="")+($N$6:$N29="")&gt;0)*1))</f>
        <v>21</v>
      </c>
      <c r="F30" s="108">
        <f ca="1">IF(OR($V$15,$D30&gt;Calc1!$B$14),"",$S$5+QUOTIENT(($E30-1),$V$11)*($S$7+$S$9)/1440+SUM($P$6:$P29)/1440)</f>
        <v>0.49652777777777779</v>
      </c>
      <c r="G30" s="110">
        <f ca="1">IF(OR($V$15,$D30&gt;Calc1!$B$14),"",MOD($E30-1,$V$11)+1)</f>
        <v>1</v>
      </c>
      <c r="H30" s="221" t="str">
        <f t="shared" ca="1" si="0"/>
        <v/>
      </c>
      <c r="I30" s="246" t="str">
        <f ca="1"/>
        <v/>
      </c>
      <c r="J30" s="247" t="s">
        <v>4</v>
      </c>
      <c r="K30" s="248" t="str">
        <f ca="1"/>
        <v/>
      </c>
      <c r="L30" s="114" t="str">
        <f t="shared" ca="1" si="1"/>
        <v/>
      </c>
      <c r="M30" s="10" t="s">
        <v>4</v>
      </c>
      <c r="N30" s="116" t="str">
        <f t="shared" ca="1" si="2"/>
        <v/>
      </c>
      <c r="O30" s="610"/>
      <c r="P30" s="605"/>
      <c r="Q30" s="241"/>
      <c r="R30" s="345"/>
      <c r="S30" s="105"/>
      <c r="T30" s="105"/>
      <c r="U30" s="101"/>
    </row>
    <row r="31" spans="1:29" ht="15.95" customHeight="1" x14ac:dyDescent="0.25">
      <c r="B31" s="855"/>
      <c r="C31" s="857"/>
      <c r="D31" s="400">
        <v>26</v>
      </c>
      <c r="E31" s="358">
        <f t="array" aca="1" ref="E31" ca="1">IF($D31&gt;Calc1!$B$14,"",ROW(26:26)-SUM((($L$6:$L30="")+($N$6:$N30="")&gt;0)*1))</f>
        <v>21</v>
      </c>
      <c r="F31" s="108">
        <f ca="1">IF(OR($V$15,$D31&gt;Calc1!$B$14),"",$S$5+QUOTIENT(($E31-1),$V$11)*($S$7+$S$9)/1440+SUM($P$6:$P30)/1440)</f>
        <v>0.49652777777777779</v>
      </c>
      <c r="G31" s="110">
        <f ca="1">IF(OR($V$15,$D31&gt;Calc1!$B$14),"",MOD($E31-1,$V$11)+1)</f>
        <v>1</v>
      </c>
      <c r="H31" s="221" t="str">
        <f t="shared" ca="1" si="0"/>
        <v/>
      </c>
      <c r="I31" s="246" t="str">
        <f ca="1"/>
        <v/>
      </c>
      <c r="J31" s="247" t="s">
        <v>4</v>
      </c>
      <c r="K31" s="248" t="str">
        <f ca="1"/>
        <v/>
      </c>
      <c r="L31" s="114" t="str">
        <f t="shared" ca="1" si="1"/>
        <v/>
      </c>
      <c r="M31" s="10" t="s">
        <v>4</v>
      </c>
      <c r="N31" s="116" t="str">
        <f t="shared" ca="1" si="2"/>
        <v/>
      </c>
      <c r="O31" s="610"/>
      <c r="P31" s="605"/>
      <c r="Q31" s="241"/>
      <c r="R31" s="345"/>
      <c r="S31" s="105"/>
      <c r="T31" s="105"/>
      <c r="U31" s="101"/>
    </row>
    <row r="32" spans="1:29" ht="15.95" customHeight="1" x14ac:dyDescent="0.25">
      <c r="B32" s="858" t="s">
        <v>193</v>
      </c>
      <c r="C32" s="859" t="s">
        <v>245</v>
      </c>
      <c r="D32" s="400">
        <v>27</v>
      </c>
      <c r="E32" s="358">
        <f t="array" aca="1" ref="E32" ca="1">IF($D32&gt;Calc1!$B$14,"",ROW(27:27)-SUM((($L$6:$L31="")+($N$6:$N31="")&gt;0)*1))</f>
        <v>21</v>
      </c>
      <c r="F32" s="108">
        <f ca="1">IF(OR($V$15,$D32&gt;Calc1!$B$14),"",$S$5+QUOTIENT(($E32-1),$V$11)*($S$7+$S$9)/1440+SUM($P$6:$P31)/1440)</f>
        <v>0.49652777777777779</v>
      </c>
      <c r="G32" s="110">
        <f ca="1">IF(OR($V$15,$D32&gt;Calc1!$B$14),"",MOD($E32-1,$V$11)+1)</f>
        <v>1</v>
      </c>
      <c r="H32" s="222" t="str">
        <f t="shared" ca="1" si="0"/>
        <v/>
      </c>
      <c r="I32" s="246" t="str">
        <f ca="1"/>
        <v/>
      </c>
      <c r="J32" s="247" t="s">
        <v>4</v>
      </c>
      <c r="K32" s="248" t="str">
        <f ca="1"/>
        <v/>
      </c>
      <c r="L32" s="12" t="str">
        <f t="shared" ca="1" si="1"/>
        <v/>
      </c>
      <c r="M32" s="10" t="s">
        <v>4</v>
      </c>
      <c r="N32" s="11" t="str">
        <f t="shared" ca="1" si="2"/>
        <v/>
      </c>
      <c r="O32" s="610"/>
      <c r="P32" s="605"/>
      <c r="Q32" s="241"/>
      <c r="R32" s="345"/>
      <c r="S32" s="105"/>
      <c r="T32" s="105"/>
      <c r="U32" s="101"/>
    </row>
    <row r="33" spans="2:21" ht="15.95" customHeight="1" x14ac:dyDescent="0.25">
      <c r="B33" s="855"/>
      <c r="C33" s="857"/>
      <c r="D33" s="400">
        <v>28</v>
      </c>
      <c r="E33" s="358">
        <f t="array" aca="1" ref="E33" ca="1">IF($D33&gt;Calc1!$B$14,"",ROW(28:28)-SUM((($L$6:$L32="")+($N$6:$N32="")&gt;0)*1))</f>
        <v>21</v>
      </c>
      <c r="F33" s="108">
        <f ca="1">IF(OR($V$15,$D33&gt;Calc1!$B$14),"",$S$5+QUOTIENT(($E33-1),$V$11)*($S$7+$S$9)/1440+SUM($P$6:$P32)/1440)</f>
        <v>0.49652777777777779</v>
      </c>
      <c r="G33" s="110">
        <f ca="1">IF(OR($V$15,$D33&gt;Calc1!$B$14),"",MOD($E33-1,$V$11)+1)</f>
        <v>1</v>
      </c>
      <c r="H33" s="222" t="str">
        <f t="shared" ca="1" si="0"/>
        <v/>
      </c>
      <c r="I33" s="246" t="str">
        <f ca="1"/>
        <v/>
      </c>
      <c r="J33" s="247" t="s">
        <v>4</v>
      </c>
      <c r="K33" s="248" t="str">
        <f ca="1"/>
        <v/>
      </c>
      <c r="L33" s="12" t="str">
        <f t="shared" ca="1" si="1"/>
        <v/>
      </c>
      <c r="M33" s="10" t="s">
        <v>4</v>
      </c>
      <c r="N33" s="11" t="str">
        <f t="shared" ca="1" si="2"/>
        <v/>
      </c>
      <c r="O33" s="610"/>
      <c r="P33" s="605"/>
      <c r="Q33" s="241"/>
      <c r="R33" s="345"/>
      <c r="S33" s="105"/>
      <c r="T33" s="105"/>
      <c r="U33" s="101"/>
    </row>
    <row r="34" spans="2:21" ht="15.95" customHeight="1" x14ac:dyDescent="0.25">
      <c r="B34" s="858" t="s">
        <v>195</v>
      </c>
      <c r="C34" s="859"/>
      <c r="D34" s="400">
        <v>29</v>
      </c>
      <c r="E34" s="358">
        <f t="array" aca="1" ref="E34" ca="1">IF($D34&gt;Calc1!$B$14,"",ROW(29:29)-SUM((($L$6:$L33="")+($N$6:$N33="")&gt;0)*1))</f>
        <v>21</v>
      </c>
      <c r="F34" s="108">
        <f ca="1">IF(OR($V$15,$D34&gt;Calc1!$B$14),"",$S$5+QUOTIENT(($E34-1),$V$11)*($S$7+$S$9)/1440+SUM($P$6:$P33)/1440)</f>
        <v>0.49652777777777779</v>
      </c>
      <c r="G34" s="110">
        <f ca="1">IF(OR($V$15,$D34&gt;Calc1!$B$14),"",MOD($E34-1,$V$11)+1)</f>
        <v>1</v>
      </c>
      <c r="H34" s="221" t="str">
        <f t="shared" ca="1" si="0"/>
        <v/>
      </c>
      <c r="I34" s="246" t="str">
        <f ca="1"/>
        <v/>
      </c>
      <c r="J34" s="247" t="s">
        <v>4</v>
      </c>
      <c r="K34" s="248" t="str">
        <f ca="1"/>
        <v/>
      </c>
      <c r="L34" s="12" t="str">
        <f t="shared" ca="1" si="1"/>
        <v/>
      </c>
      <c r="M34" s="10" t="s">
        <v>4</v>
      </c>
      <c r="N34" s="11" t="str">
        <f t="shared" ca="1" si="2"/>
        <v/>
      </c>
      <c r="O34" s="610"/>
      <c r="P34" s="606"/>
      <c r="Q34" s="241"/>
      <c r="R34" s="345"/>
      <c r="S34" s="105"/>
      <c r="T34" s="105"/>
      <c r="U34" s="101"/>
    </row>
    <row r="35" spans="2:21" ht="15.95" customHeight="1" thickBot="1" x14ac:dyDescent="0.3">
      <c r="B35" s="868"/>
      <c r="C35" s="863"/>
      <c r="D35" s="400">
        <v>30</v>
      </c>
      <c r="E35" s="359">
        <f t="array" aca="1" ref="E35" ca="1">IF($D35&gt;Calc1!$B$14,"",ROW(30:30)-SUM((($L$6:$L34="")+($N$6:$N34="")&gt;0)*1))</f>
        <v>21</v>
      </c>
      <c r="F35" s="111">
        <f ca="1">IF(OR($V$15,$D35&gt;Calc1!$B$14),"",$S$5+QUOTIENT(($E35-1),$V$11)*($S$7+$S$9)/1440+SUM($P$6:$P34)/1440)</f>
        <v>0.49652777777777779</v>
      </c>
      <c r="G35" s="112">
        <f ca="1">IF(OR($V$15,$D35&gt;Calc1!$B$14),"",MOD($E35-1,$V$11)+1)</f>
        <v>1</v>
      </c>
      <c r="H35" s="227" t="str">
        <f t="shared" ca="1" si="0"/>
        <v/>
      </c>
      <c r="I35" s="249" t="str">
        <f ca="1"/>
        <v/>
      </c>
      <c r="J35" s="250" t="s">
        <v>4</v>
      </c>
      <c r="K35" s="251" t="str">
        <f ca="1"/>
        <v/>
      </c>
      <c r="L35" s="164" t="str">
        <f t="shared" ca="1" si="1"/>
        <v/>
      </c>
      <c r="M35" s="113" t="s">
        <v>4</v>
      </c>
      <c r="N35" s="165" t="str">
        <f t="shared" ca="1" si="2"/>
        <v/>
      </c>
      <c r="O35" s="611"/>
      <c r="P35" s="607"/>
      <c r="Q35" s="283">
        <f ca="1">OFFSET($P$6,Calc1!$B$14-1,0)</f>
        <v>0</v>
      </c>
      <c r="R35" s="345"/>
      <c r="S35" s="105"/>
      <c r="T35" s="105"/>
      <c r="U35" s="101"/>
    </row>
    <row r="36" spans="2:21" ht="18" thickTop="1" x14ac:dyDescent="0.25">
      <c r="D36" s="102"/>
      <c r="E36" s="207"/>
      <c r="F36" s="208"/>
      <c r="G36" s="209"/>
      <c r="H36" s="209"/>
      <c r="I36" s="210"/>
      <c r="J36" s="211"/>
      <c r="K36" s="212"/>
      <c r="L36" s="213"/>
      <c r="M36" s="214"/>
      <c r="N36" s="215"/>
      <c r="O36" s="215"/>
      <c r="P36" s="104"/>
      <c r="Q36" s="104"/>
      <c r="R36" s="345"/>
      <c r="S36" s="105"/>
      <c r="T36" s="105"/>
      <c r="U36" s="242"/>
    </row>
    <row r="37" spans="2:21" ht="17.25" x14ac:dyDescent="0.25">
      <c r="D37" s="102"/>
      <c r="E37" s="207"/>
      <c r="F37" s="208"/>
      <c r="G37" s="209"/>
      <c r="H37" s="209"/>
      <c r="I37" s="210"/>
      <c r="J37" s="211"/>
      <c r="K37" s="212"/>
      <c r="L37" s="213"/>
      <c r="M37" s="214"/>
      <c r="N37" s="215"/>
      <c r="O37" s="215"/>
      <c r="P37" s="104"/>
      <c r="Q37" s="104"/>
      <c r="R37" s="345"/>
      <c r="S37" s="105"/>
      <c r="T37" s="105"/>
      <c r="U37" s="242"/>
    </row>
    <row r="38" spans="2:21" ht="17.25" x14ac:dyDescent="0.25">
      <c r="D38" s="102"/>
      <c r="E38" s="207"/>
      <c r="F38" s="208"/>
      <c r="G38" s="209"/>
      <c r="H38" s="209"/>
      <c r="I38" s="210"/>
      <c r="J38" s="211"/>
      <c r="K38" s="212"/>
      <c r="L38" s="213"/>
      <c r="M38" s="214"/>
      <c r="N38" s="215"/>
      <c r="O38" s="215"/>
      <c r="P38" s="104"/>
      <c r="Q38" s="104"/>
      <c r="R38" s="345"/>
      <c r="S38" s="105"/>
      <c r="T38" s="105"/>
      <c r="U38" s="105"/>
    </row>
    <row r="39" spans="2:21" ht="17.25" hidden="1" x14ac:dyDescent="0.25">
      <c r="D39" s="102"/>
      <c r="E39" s="207"/>
      <c r="F39" s="208"/>
      <c r="G39" s="209"/>
      <c r="H39" s="209"/>
      <c r="I39" s="210"/>
      <c r="J39" s="211"/>
      <c r="K39" s="212"/>
      <c r="L39" s="213"/>
      <c r="M39" s="214"/>
      <c r="N39" s="215"/>
      <c r="O39" s="215"/>
      <c r="P39" s="104"/>
      <c r="Q39" s="104"/>
      <c r="R39" s="105"/>
      <c r="S39" s="105"/>
      <c r="T39" s="105"/>
      <c r="U39" s="105"/>
    </row>
  </sheetData>
  <sheetProtection sheet="1" selectLockedCells="1"/>
  <mergeCells count="52">
    <mergeCell ref="B22:B23"/>
    <mergeCell ref="C22:C23"/>
    <mergeCell ref="B24:B25"/>
    <mergeCell ref="C24:C25"/>
    <mergeCell ref="B26:B27"/>
    <mergeCell ref="C26:C27"/>
    <mergeCell ref="B34:B35"/>
    <mergeCell ref="C34:C35"/>
    <mergeCell ref="B28:B29"/>
    <mergeCell ref="C28:C29"/>
    <mergeCell ref="B30:B31"/>
    <mergeCell ref="C30:C31"/>
    <mergeCell ref="B32:B33"/>
    <mergeCell ref="C32:C33"/>
    <mergeCell ref="C17:C18"/>
    <mergeCell ref="B20:B21"/>
    <mergeCell ref="C20:C21"/>
    <mergeCell ref="B15:B16"/>
    <mergeCell ref="C15:C16"/>
    <mergeCell ref="B17:B18"/>
    <mergeCell ref="B9:B10"/>
    <mergeCell ref="C9:C10"/>
    <mergeCell ref="R9:R10"/>
    <mergeCell ref="B13:B14"/>
    <mergeCell ref="C13:C14"/>
    <mergeCell ref="R13:R14"/>
    <mergeCell ref="B11:B12"/>
    <mergeCell ref="C11:C12"/>
    <mergeCell ref="R11:R12"/>
    <mergeCell ref="B7:B8"/>
    <mergeCell ref="C7:C8"/>
    <mergeCell ref="R7:R8"/>
    <mergeCell ref="S7:S8"/>
    <mergeCell ref="T7:T8"/>
    <mergeCell ref="B5:B6"/>
    <mergeCell ref="C5:C6"/>
    <mergeCell ref="I5:K5"/>
    <mergeCell ref="L5:N5"/>
    <mergeCell ref="R5:R6"/>
    <mergeCell ref="R25:T25"/>
    <mergeCell ref="R26:T26"/>
    <mergeCell ref="E2:N2"/>
    <mergeCell ref="E4:F4"/>
    <mergeCell ref="P4:P5"/>
    <mergeCell ref="S5:S6"/>
    <mergeCell ref="T5:T6"/>
    <mergeCell ref="S9:S10"/>
    <mergeCell ref="T9:T10"/>
    <mergeCell ref="T13:T14"/>
    <mergeCell ref="R22:T23"/>
    <mergeCell ref="S11:S12"/>
    <mergeCell ref="T11:T12"/>
  </mergeCells>
  <conditionalFormatting sqref="R22:T23">
    <cfRule type="expression" dxfId="46" priority="6">
      <formula>AND($S$11&gt;$V$11,NOT($V$15))</formula>
    </cfRule>
  </conditionalFormatting>
  <conditionalFormatting sqref="C7:C18 C24:C35">
    <cfRule type="duplicateValues" dxfId="45" priority="4"/>
  </conditionalFormatting>
  <conditionalFormatting sqref="H6:H35">
    <cfRule type="expression" dxfId="44" priority="1">
      <formula>$H6="??"</formula>
    </cfRule>
  </conditionalFormatting>
  <conditionalFormatting sqref="E6:N35">
    <cfRule type="expression" dxfId="43" priority="313">
      <formula>AND($L6&lt;&gt;"",$N6&lt;&gt;"",OR($E6=$S$24,$E6=$T$24),NOT($V$15))</formula>
    </cfRule>
    <cfRule type="expression" dxfId="42" priority="314">
      <formula>OR($L6="",$N6="")</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985" t="str">
        <f>Sprache!$E$7</f>
        <v>Direkte Vergleiche</v>
      </c>
      <c r="C2" s="985"/>
      <c r="D2" s="985"/>
      <c r="E2" s="985"/>
      <c r="F2" s="985"/>
      <c r="G2" s="985"/>
      <c r="H2" s="985"/>
      <c r="I2" s="985"/>
      <c r="J2" s="985"/>
      <c r="K2" s="985"/>
      <c r="L2" s="985"/>
      <c r="M2" s="985"/>
    </row>
    <row r="3" spans="2:14" ht="42.75" customHeight="1" x14ac:dyDescent="0.2">
      <c r="B3" s="986" t="str">
        <f>Sprache!$E$56&amp;" A"</f>
        <v>Vorrunde Gruppe A</v>
      </c>
      <c r="C3" s="986"/>
      <c r="D3" s="986"/>
      <c r="E3" s="986"/>
      <c r="F3" s="986"/>
      <c r="G3" s="986"/>
      <c r="H3" s="986"/>
      <c r="I3" s="986"/>
      <c r="J3" s="986"/>
      <c r="K3" s="986"/>
      <c r="L3" s="986"/>
      <c r="M3" s="986"/>
    </row>
    <row r="4" spans="2:14" ht="17.25" customHeight="1" x14ac:dyDescent="0.2">
      <c r="B4" s="987" t="str">
        <f>Sprache!$E$97</f>
        <v>Rote Schrift bedeutet, dass die Rangfolge auch mit dem direkten Vergleich nicht geklärt ist. Ein Entscheidungsspiel oder Los muss hier entscheiden.</v>
      </c>
      <c r="C4" s="987"/>
      <c r="D4" s="987"/>
      <c r="E4" s="987"/>
      <c r="F4" s="987"/>
      <c r="G4" s="987"/>
      <c r="H4" s="987"/>
      <c r="I4" s="987"/>
      <c r="J4" s="987"/>
      <c r="K4" s="987"/>
      <c r="L4" s="987"/>
      <c r="M4" s="987"/>
      <c r="N4" s="987"/>
    </row>
    <row r="5" spans="2:14" ht="17.25" customHeight="1" thickBot="1" x14ac:dyDescent="0.25">
      <c r="B5" s="61"/>
      <c r="C5" s="61"/>
      <c r="D5" s="61"/>
      <c r="E5" s="62"/>
      <c r="F5" s="61"/>
      <c r="G5" s="61"/>
      <c r="H5" s="62"/>
      <c r="I5" s="62"/>
      <c r="J5" s="62"/>
      <c r="K5" s="62"/>
      <c r="L5" s="62"/>
      <c r="M5" s="62"/>
    </row>
    <row r="6" spans="2:14" ht="21.95" customHeight="1" thickBot="1" x14ac:dyDescent="0.25">
      <c r="H6" s="84" t="str">
        <f ca="1">IF(LEN(H7)&gt;Einstellungen!$C$11,LEFT(H7,Einstellungen!$C$11)&amp;".",H7)</f>
        <v>.</v>
      </c>
      <c r="I6" s="85" t="str">
        <f ca="1">IF(LEN(I7)&gt;Einstellungen!$C$11,LEFT(I7,Einstellungen!$C$11)&amp;".",I7)</f>
        <v>.</v>
      </c>
      <c r="J6" s="85" t="str">
        <f ca="1">IF(LEN(J7)&gt;Einstellungen!$C$11,LEFT(J7,Einstellungen!$C$11)&amp;".",J7)</f>
        <v/>
      </c>
      <c r="K6" s="85" t="str">
        <f ca="1">IF(LEN(K7)&gt;Einstellungen!$C$11,LEFT(K7,Einstellungen!$C$11)&amp;".",K7)</f>
        <v/>
      </c>
      <c r="L6" s="85" t="str">
        <f ca="1">IF(LEN(L7)&gt;Einstellungen!$C$11,LEFT(L7,Einstellungen!$C$11)&amp;".",L7)</f>
        <v/>
      </c>
      <c r="M6" s="86" t="str">
        <f ca="1">IF(LEN(M7)&gt;Einstellungen!$C$11,LEFT(M7,Einstellungen!$C$11)&amp;".",M7)</f>
        <v/>
      </c>
    </row>
    <row r="7" spans="2:14" ht="21.95" customHeight="1" thickTop="1" thickBot="1" x14ac:dyDescent="0.25">
      <c r="B7" s="60"/>
      <c r="C7" s="65" t="str">
        <f>Sprache!$E$10</f>
        <v>Teilnehmer bzw. Mannschaft</v>
      </c>
      <c r="D7" s="69" t="str">
        <f>Sprache!$E$80</f>
        <v>Satzpkt.</v>
      </c>
      <c r="E7" s="57" t="str">
        <f>Sprache!$E$60</f>
        <v>Bälle</v>
      </c>
      <c r="F7" s="57" t="str">
        <f>Sprache!$E$26</f>
        <v>Diff.</v>
      </c>
      <c r="G7" s="87" t="str">
        <f>Sprache!$E$49</f>
        <v>Tie-Break</v>
      </c>
      <c r="H7" s="73" t="str">
        <f ca="1">C8</f>
        <v>FC Barcelona</v>
      </c>
      <c r="I7" s="74" t="str">
        <f ca="1">C9</f>
        <v>VFB Essenheim</v>
      </c>
      <c r="J7" s="74" t="str">
        <f ca="1">C10</f>
        <v/>
      </c>
      <c r="K7" s="74" t="str">
        <f ca="1">C11</f>
        <v/>
      </c>
      <c r="L7" s="74" t="str">
        <f ca="1">C12</f>
        <v/>
      </c>
      <c r="M7" s="91" t="str">
        <f ca="1">C13</f>
        <v/>
      </c>
    </row>
    <row r="8" spans="2:14" ht="21.95" customHeight="1" x14ac:dyDescent="0.2">
      <c r="B8" s="58">
        <f ca="1">IF($C8="","",INDEX(Calc1!$E$4:$E$12,MATCH($C8,Calc1!$F$4:$F$12,0)))</f>
        <v>4</v>
      </c>
      <c r="C8" s="66" t="str">
        <f ca="1">IF(Calc1!$K$13=0,"",Calc1!$X4)</f>
        <v>FC Barcelona</v>
      </c>
      <c r="D8" s="70">
        <f ca="1">IF($C8="","",VLOOKUP($C8,Calc1!$C$17:$AC$25,25,0))</f>
        <v>2</v>
      </c>
      <c r="E8" s="825" t="str">
        <f ca="1">IF($C8="","",VLOOKUP($C8,Calc1!$C$17:$AF$25,27,0)&amp;Sprache!$E$99&amp;(VLOOKUP($C8,Calc1!$C$17:$AF$25,27,0)-$F8))</f>
        <v>71 : 57</v>
      </c>
      <c r="F8" s="54">
        <f ca="1">IF($C8="","",VLOOKUP($C8,Calc1!$C$17:$AC$25,26,0))</f>
        <v>14</v>
      </c>
      <c r="G8" s="383">
        <f ca="1">IF(C8="","",VLOOKUP(C8,Calc1!$C$17:$AB$25,23,0))</f>
        <v>0</v>
      </c>
      <c r="H8" s="78"/>
      <c r="I8" s="54" t="str">
        <f ca="1">IFERROR(VLOOKUP($C8&amp;I$7,Calc1!$Z$64:$AB$207,3,0),"")</f>
        <v>71 : 57</v>
      </c>
      <c r="J8" s="54" t="str">
        <f ca="1">IFERROR(VLOOKUP($C8&amp;J$7,Calc1!$Z$64:$AB$207,3,0),"")</f>
        <v/>
      </c>
      <c r="K8" s="54" t="str">
        <f ca="1">IFERROR(VLOOKUP($C8&amp;K$7,Calc1!$Z$64:$AB$207,3,0),"")</f>
        <v/>
      </c>
      <c r="L8" s="54" t="str">
        <f ca="1">IFERROR(VLOOKUP($C8&amp;L$7,Calc1!$Z$64:$AB$207,3,0),"")</f>
        <v/>
      </c>
      <c r="M8" s="92" t="str">
        <f ca="1">IFERROR(VLOOKUP($C8&amp;M$7,Calc1!$Z$64:$AB$207,3,0),"")</f>
        <v/>
      </c>
      <c r="N8" s="120" t="str">
        <f t="shared" ref="N8:N13" ca="1" si="0">C8</f>
        <v>FC Barcelona</v>
      </c>
    </row>
    <row r="9" spans="2:14" ht="21.95" customHeight="1" x14ac:dyDescent="0.2">
      <c r="B9" s="58">
        <f ca="1">IF($C9="","",INDEX(Calc1!$E$4:$E$12,MATCH($C9,Calc1!$F$4:$F$12,0)))</f>
        <v>5</v>
      </c>
      <c r="C9" s="67" t="str">
        <f ca="1">IF(Calc1!$K$13=0,"",Calc1!$X5)</f>
        <v>VFB Essenheim</v>
      </c>
      <c r="D9" s="71">
        <f ca="1">IF($C9="","",VLOOKUP($C9,Calc1!$C$17:$AC$25,25,0))</f>
        <v>1</v>
      </c>
      <c r="E9" s="826" t="str">
        <f ca="1">IF($C9="","",VLOOKUP($C9,Calc1!$C$17:$AF$25,27,0)&amp;Sprache!$E$99&amp;(VLOOKUP($C9,Calc1!$C$17:$AF$25,27,0)-$F9))</f>
        <v>57 : 71</v>
      </c>
      <c r="F9" s="55">
        <f ca="1">IF($C9="","",VLOOKUP($C9,Calc1!$C$17:$AC$25,26,0))</f>
        <v>-14</v>
      </c>
      <c r="G9" s="384">
        <f ca="1">IF(C9="","",VLOOKUP(C9,Calc1!$C$17:$AB$25,23,0))</f>
        <v>0</v>
      </c>
      <c r="H9" s="79" t="str">
        <f ca="1">IFERROR(VLOOKUP($C9&amp;H$7,Calc1!$Z$64:$AB$207,3,0),"")</f>
        <v>57 : 71</v>
      </c>
      <c r="I9" s="64"/>
      <c r="J9" s="55" t="str">
        <f ca="1">IFERROR(VLOOKUP($C9&amp;J$7,Calc1!$Z$64:$AB$207,3,0),"")</f>
        <v/>
      </c>
      <c r="K9" s="55" t="str">
        <f ca="1">IFERROR(VLOOKUP($C9&amp;K$7,Calc1!$Z$64:$AB$207,3,0),"")</f>
        <v/>
      </c>
      <c r="L9" s="55" t="str">
        <f ca="1">IFERROR(VLOOKUP($C9&amp;L$7,Calc1!$Z$64:$AB$207,3,0),"")</f>
        <v/>
      </c>
      <c r="M9" s="93" t="str">
        <f ca="1">IFERROR(VLOOKUP($C9&amp;M$7,Calc1!$Z$64:$AB$207,3,0),"")</f>
        <v/>
      </c>
      <c r="N9" s="121" t="str">
        <f t="shared" ca="1" si="0"/>
        <v>VFB Essenheim</v>
      </c>
    </row>
    <row r="10" spans="2:14" ht="21.95" customHeight="1" x14ac:dyDescent="0.2">
      <c r="B10" s="58" t="str">
        <f ca="1">IF($C10="","",INDEX(Calc1!$E$4:$E$12,MATCH($C10,Calc1!$F$4:$F$12,0)))</f>
        <v/>
      </c>
      <c r="C10" s="67" t="str">
        <f ca="1">IF(Calc1!$K$13=0,"",Calc1!$X6)</f>
        <v/>
      </c>
      <c r="D10" s="71" t="str">
        <f ca="1">IF($C10="","",VLOOKUP($C10,Calc1!$C$17:$AC$25,25,0))</f>
        <v/>
      </c>
      <c r="E10" s="826" t="str">
        <f ca="1">IF($C10="","",VLOOKUP($C10,Calc1!$C$17:$AF$25,27,0)&amp;Sprache!$E$99&amp;(VLOOKUP($C10,Calc1!$C$17:$AF$25,27,0)-$F10))</f>
        <v/>
      </c>
      <c r="F10" s="55" t="str">
        <f ca="1">IF($C10="","",VLOOKUP($C10,Calc1!$C$17:$AC$25,26,0))</f>
        <v/>
      </c>
      <c r="G10" s="384" t="str">
        <f ca="1">IF(C10="","",VLOOKUP(C10,Calc1!$C$17:$AB$25,23,0))</f>
        <v/>
      </c>
      <c r="H10" s="79" t="str">
        <f ca="1">IFERROR(VLOOKUP($C10&amp;H$7,Calc1!$Z$64:$AB$207,3,0),"")</f>
        <v/>
      </c>
      <c r="I10" s="55" t="str">
        <f ca="1">IFERROR(VLOOKUP($C10&amp;I$7,Calc1!$Z$64:$AB$207,3,0),"")</f>
        <v/>
      </c>
      <c r="J10" s="64"/>
      <c r="K10" s="55" t="str">
        <f ca="1">IFERROR(VLOOKUP($C10&amp;K$7,Calc1!$Z$64:$AB$207,3,0),"")</f>
        <v/>
      </c>
      <c r="L10" s="55" t="str">
        <f ca="1">IFERROR(VLOOKUP($C10&amp;L$7,Calc1!$Z$64:$AB$207,3,0),"")</f>
        <v/>
      </c>
      <c r="M10" s="93" t="str">
        <f ca="1">IFERROR(VLOOKUP($C10&amp;M$7,Calc1!$Z$64:$AB$207,3,0),"")</f>
        <v/>
      </c>
      <c r="N10" s="121" t="str">
        <f t="shared" ca="1" si="0"/>
        <v/>
      </c>
    </row>
    <row r="11" spans="2:14" ht="21.95" customHeight="1" x14ac:dyDescent="0.2">
      <c r="B11" s="58" t="str">
        <f ca="1">IF($C11="","",INDEX(Calc1!$E$4:$E$12,MATCH($C11,Calc1!$F$4:$F$12,0)))</f>
        <v/>
      </c>
      <c r="C11" s="67" t="str">
        <f ca="1">IF(Calc1!$K$13=0,"",Calc1!$X7)</f>
        <v/>
      </c>
      <c r="D11" s="71" t="str">
        <f ca="1">IF($C11="","",VLOOKUP($C11,Calc1!$C$17:$AC$25,25,0))</f>
        <v/>
      </c>
      <c r="E11" s="826" t="str">
        <f ca="1">IF($C11="","",VLOOKUP($C11,Calc1!$C$17:$AF$25,27,0)&amp;Sprache!$E$99&amp;(VLOOKUP($C11,Calc1!$C$17:$AF$25,27,0)-$F11))</f>
        <v/>
      </c>
      <c r="F11" s="55" t="str">
        <f ca="1">IF($C11="","",VLOOKUP($C11,Calc1!$C$17:$AC$25,26,0))</f>
        <v/>
      </c>
      <c r="G11" s="384" t="str">
        <f ca="1">IF(C11="","",VLOOKUP(C11,Calc1!$C$17:$AB$25,23,0))</f>
        <v/>
      </c>
      <c r="H11" s="79" t="str">
        <f ca="1">IFERROR(VLOOKUP($C11&amp;H$7,Calc1!$Z$64:$AB$207,3,0),"")</f>
        <v/>
      </c>
      <c r="I11" s="55" t="str">
        <f ca="1">IFERROR(VLOOKUP($C11&amp;I$7,Calc1!$Z$64:$AB$207,3,0),"")</f>
        <v/>
      </c>
      <c r="J11" s="55" t="str">
        <f ca="1">IFERROR(VLOOKUP($C11&amp;J$7,Calc1!$Z$64:$AB$207,3,0),"")</f>
        <v/>
      </c>
      <c r="K11" s="64"/>
      <c r="L11" s="55" t="str">
        <f ca="1">IFERROR(VLOOKUP($C11&amp;L$7,Calc1!$Z$64:$AB$207,3,0),"")</f>
        <v/>
      </c>
      <c r="M11" s="93" t="str">
        <f ca="1">IFERROR(VLOOKUP($C11&amp;M$7,Calc1!$Z$64:$AB$207,3,0),"")</f>
        <v/>
      </c>
      <c r="N11" s="121" t="str">
        <f t="shared" ca="1" si="0"/>
        <v/>
      </c>
    </row>
    <row r="12" spans="2:14" ht="21.95" customHeight="1" x14ac:dyDescent="0.2">
      <c r="B12" s="58" t="str">
        <f ca="1">IF($C12="","",INDEX(Calc1!$E$4:$E$12,MATCH($C12,Calc1!$F$4:$F$12,0)))</f>
        <v/>
      </c>
      <c r="C12" s="67" t="str">
        <f ca="1">IF(Calc1!$K$13=0,"",Calc1!$X8)</f>
        <v/>
      </c>
      <c r="D12" s="71" t="str">
        <f ca="1">IF($C12="","",VLOOKUP($C12,Calc1!$C$17:$AC$25,25,0))</f>
        <v/>
      </c>
      <c r="E12" s="826" t="str">
        <f ca="1">IF($C12="","",VLOOKUP($C12,Calc1!$C$17:$AF$25,27,0)&amp;Sprache!$E$99&amp;(VLOOKUP($C12,Calc1!$C$17:$AF$25,27,0)-$F12))</f>
        <v/>
      </c>
      <c r="F12" s="55" t="str">
        <f ca="1">IF($C12="","",VLOOKUP($C12,Calc1!$C$17:$AC$25,26,0))</f>
        <v/>
      </c>
      <c r="G12" s="384" t="str">
        <f ca="1">IF(C12="","",VLOOKUP(C12,Calc1!$C$17:$AB$25,23,0))</f>
        <v/>
      </c>
      <c r="H12" s="79" t="str">
        <f ca="1">IFERROR(VLOOKUP($C12&amp;H$7,Calc1!$Z$64:$AB$207,3,0),"")</f>
        <v/>
      </c>
      <c r="I12" s="55" t="str">
        <f ca="1">IFERROR(VLOOKUP($C12&amp;I$7,Calc1!$Z$64:$AB$207,3,0),"")</f>
        <v/>
      </c>
      <c r="J12" s="55" t="str">
        <f ca="1">IFERROR(VLOOKUP($C12&amp;J$7,Calc1!$Z$64:$AB$207,3,0),"")</f>
        <v/>
      </c>
      <c r="K12" s="55" t="str">
        <f ca="1">IFERROR(VLOOKUP($C12&amp;K$7,Calc1!$Z$64:$AB$207,3,0),"")</f>
        <v/>
      </c>
      <c r="L12" s="64"/>
      <c r="M12" s="93" t="str">
        <f ca="1">IFERROR(VLOOKUP($C12&amp;M$7,Calc1!$Z$64:$AB$207,3,0),"")</f>
        <v/>
      </c>
      <c r="N12" s="121" t="str">
        <f t="shared" ca="1" si="0"/>
        <v/>
      </c>
    </row>
    <row r="13" spans="2:14" ht="21.95" customHeight="1" thickBot="1" x14ac:dyDescent="0.25">
      <c r="B13" s="59" t="str">
        <f ca="1">IF($C13="","",INDEX(Calc1!$E$4:$E$12,MATCH($C13,Calc1!$F$4:$F$12,0)))</f>
        <v/>
      </c>
      <c r="C13" s="68" t="str">
        <f ca="1">IF(Calc1!$K$13=0,"",Calc1!$X9)</f>
        <v/>
      </c>
      <c r="D13" s="72" t="str">
        <f ca="1">IF($C13="","",VLOOKUP($C13,Calc1!$C$17:$AC$25,25,0))</f>
        <v/>
      </c>
      <c r="E13" s="827" t="str">
        <f ca="1">IF($C13="","",VLOOKUP($C13,Calc1!$C$17:$AF$25,27,0)&amp;Sprache!$E$99&amp;(VLOOKUP($C13,Calc1!$C$17:$AF$25,27,0)-$F13))</f>
        <v/>
      </c>
      <c r="F13" s="56" t="str">
        <f ca="1">IF($C13="","",VLOOKUP($C13,Calc1!$C$17:$AC$25,26,0))</f>
        <v/>
      </c>
      <c r="G13" s="385" t="str">
        <f ca="1">IF(C13="","",VLOOKUP(C13,Calc1!$C$17:$AB$25,23,0))</f>
        <v/>
      </c>
      <c r="H13" s="80" t="str">
        <f ca="1">IFERROR(VLOOKUP($C13&amp;H$7,Calc1!$Z$64:$AB$207,3,0),"")</f>
        <v/>
      </c>
      <c r="I13" s="56" t="str">
        <f ca="1">IFERROR(VLOOKUP($C13&amp;I$7,Calc1!$Z$64:$AB$207,3,0),"")</f>
        <v/>
      </c>
      <c r="J13" s="56" t="str">
        <f ca="1">IFERROR(VLOOKUP($C13&amp;J$7,Calc1!$Z$64:$AB$207,3,0),"")</f>
        <v/>
      </c>
      <c r="K13" s="56" t="str">
        <f ca="1">IFERROR(VLOOKUP($C13&amp;K$7,Calc1!$Z$64:$AB$207,3,0),"")</f>
        <v/>
      </c>
      <c r="L13" s="56" t="str">
        <f ca="1">IFERROR(VLOOKUP($C13&amp;L$7,Calc1!$Z$64:$AB$207,3,0),"")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IF(LEN(H16)&gt;Einstellungen!$C$11,LEFT(H16,Einstellungen!$C$11)&amp;".",H16)</f>
        <v/>
      </c>
      <c r="I15" s="85" t="str">
        <f ca="1">IF(LEN(I16)&gt;Einstellungen!$C$11,LEFT(I16,Einstellungen!$C$11)&amp;".",I16)</f>
        <v/>
      </c>
      <c r="J15" s="85" t="str">
        <f ca="1">IF(LEN(J16)&gt;Einstellungen!$C$11,LEFT(J16,Einstellungen!$C$11)&amp;".",J16)</f>
        <v/>
      </c>
      <c r="K15" s="85" t="str">
        <f ca="1">IF(LEN(K16)&gt;Einstellungen!$C$11,LEFT(K16,Einstellungen!$C$11)&amp;".",K16)</f>
        <v/>
      </c>
      <c r="L15" s="85" t="str">
        <f ca="1">IF(LEN(L16)&gt;Einstellungen!$C$11,LEFT(L16,Einstellungen!$C$11)&amp;".",L16)</f>
        <v/>
      </c>
      <c r="M15" s="86" t="str">
        <f ca="1">IF(LEN(M16)&gt;Einstellungen!$C$11,LEFT(M16,Einstellungen!$C$11)&amp;".",M16)</f>
        <v/>
      </c>
    </row>
    <row r="16" spans="2:14" ht="21.95" customHeight="1" thickTop="1" thickBot="1" x14ac:dyDescent="0.25">
      <c r="B16" s="60"/>
      <c r="C16" s="65" t="str">
        <f>Sprache!$E$10</f>
        <v>Teilnehmer bzw. Mannschaft</v>
      </c>
      <c r="D16" s="69" t="str">
        <f>Sprache!$E$80</f>
        <v>Satzpkt.</v>
      </c>
      <c r="E16" s="57" t="str">
        <f>Sprache!$E$60</f>
        <v>Bälle</v>
      </c>
      <c r="F16" s="57" t="str">
        <f>Sprache!$E$26</f>
        <v>Diff.</v>
      </c>
      <c r="G16" s="87" t="str">
        <f>Sprache!$E$49</f>
        <v>Tie-Break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IF($C17="","",INDEX(Calc1!$E$4:$E$12,MATCH($C17,Calc1!$F$4:$F$12,0)))</f>
        <v/>
      </c>
      <c r="C17" s="66" t="str">
        <f ca="1">IF(Calc1!$K$13=0,"",Calc1!$AC4)</f>
        <v/>
      </c>
      <c r="D17" s="70" t="str">
        <f ca="1">IF($C17="","",VLOOKUP($C17,Calc1!$C$17:$AC$25,25,0))</f>
        <v/>
      </c>
      <c r="E17" s="825" t="str">
        <f ca="1">IF($C17="","",VLOOKUP($C17,Calc1!$C$17:$AF$25,27,0)&amp;Sprache!$E$99&amp;(VLOOKUP($C17,Calc1!$C$17:$AF$25,27,0)-$F17))</f>
        <v/>
      </c>
      <c r="F17" s="54" t="str">
        <f ca="1">IF($C17="","",VLOOKUP($C17,Calc1!$C$17:$AC$25,26,0))</f>
        <v/>
      </c>
      <c r="G17" s="383" t="str">
        <f ca="1">IF(C17="","",VLOOKUP(C17,Calc1!$C$17:$AB$25,23,0))</f>
        <v/>
      </c>
      <c r="H17" s="78"/>
      <c r="I17" s="54" t="str">
        <f ca="1">IFERROR(VLOOKUP($C17&amp;I$16,Calc1!$Z$64:$AB$207,3,0),"")</f>
        <v/>
      </c>
      <c r="J17" s="54" t="str">
        <f ca="1">IFERROR(VLOOKUP($C17&amp;J$16,Calc1!$Z$64:$AB$207,3,0),"")</f>
        <v/>
      </c>
      <c r="K17" s="54" t="str">
        <f ca="1">IFERROR(VLOOKUP($C17&amp;K$16,Calc1!$Z$64:$AB$207,3,0),"")</f>
        <v/>
      </c>
      <c r="L17" s="54" t="str">
        <f ca="1">IFERROR(VLOOKUP($C17&amp;L$16,Calc1!$Z$64:$AB$207,3,0),"")</f>
        <v/>
      </c>
      <c r="M17" s="92" t="str">
        <f ca="1">IFERROR(VLOOKUP($C17&amp;M$16,Calc1!$Z$64:$AB$207,3,0),"")</f>
        <v/>
      </c>
      <c r="N17" s="120" t="str">
        <f t="shared" ref="N17:N22" ca="1" si="1">C17</f>
        <v/>
      </c>
    </row>
    <row r="18" spans="2:14" ht="21.95" customHeight="1" x14ac:dyDescent="0.2">
      <c r="B18" s="58" t="str">
        <f ca="1">IF($C18="","",INDEX(Calc1!$E$4:$E$12,MATCH($C18,Calc1!$F$4:$F$12,0)))</f>
        <v/>
      </c>
      <c r="C18" s="67" t="str">
        <f ca="1">IF(Calc1!$K$13=0,"",Calc1!$AC5)</f>
        <v/>
      </c>
      <c r="D18" s="71" t="str">
        <f ca="1">IF($C18="","",VLOOKUP($C18,Calc1!$C$17:$AC$25,25,0))</f>
        <v/>
      </c>
      <c r="E18" s="826" t="str">
        <f ca="1">IF($C18="","",VLOOKUP($C18,Calc1!$C$17:$AF$25,27,0)&amp;Sprache!$E$99&amp;(VLOOKUP($C18,Calc1!$C$17:$AF$25,27,0)-$F18))</f>
        <v/>
      </c>
      <c r="F18" s="55" t="str">
        <f ca="1">IF($C18="","",VLOOKUP($C18,Calc1!$C$17:$AC$25,26,0))</f>
        <v/>
      </c>
      <c r="G18" s="384" t="str">
        <f ca="1">IF(C18="","",VLOOKUP(C18,Calc1!$C$17:$AB$25,23,0))</f>
        <v/>
      </c>
      <c r="H18" s="79" t="str">
        <f ca="1">IFERROR(VLOOKUP($C18&amp;H$16,Calc1!$Z$64:$AB$207,3,0),"")</f>
        <v/>
      </c>
      <c r="I18" s="64"/>
      <c r="J18" s="55" t="str">
        <f ca="1">IFERROR(VLOOKUP($C18&amp;J$16,Calc1!$Z$64:$AB$207,3,0),"")</f>
        <v/>
      </c>
      <c r="K18" s="55" t="str">
        <f ca="1">IFERROR(VLOOKUP($C18&amp;K$16,Calc1!$Z$64:$AB$207,3,0),"")</f>
        <v/>
      </c>
      <c r="L18" s="55" t="str">
        <f ca="1">IFERROR(VLOOKUP($C18&amp;L$16,Calc1!$Z$64:$AB$207,3,0),"")</f>
        <v/>
      </c>
      <c r="M18" s="93" t="str">
        <f ca="1">IFERROR(VLOOKUP($C18&amp;M$16,Calc1!$Z$64:$AB$207,3,0),"")</f>
        <v/>
      </c>
      <c r="N18" s="121" t="str">
        <f t="shared" ca="1" si="1"/>
        <v/>
      </c>
    </row>
    <row r="19" spans="2:14" ht="21.95" customHeight="1" x14ac:dyDescent="0.2">
      <c r="B19" s="58" t="str">
        <f ca="1">IF($C19="","",INDEX(Calc1!$E$4:$E$12,MATCH($C19,Calc1!$F$4:$F$12,0)))</f>
        <v/>
      </c>
      <c r="C19" s="67" t="str">
        <f ca="1">IF(Calc1!$K$13=0,"",Calc1!$AC6)</f>
        <v/>
      </c>
      <c r="D19" s="71" t="str">
        <f ca="1">IF($C19="","",VLOOKUP($C19,Calc1!$C$17:$AC$25,25,0))</f>
        <v/>
      </c>
      <c r="E19" s="826" t="str">
        <f ca="1">IF($C19="","",VLOOKUP($C19,Calc1!$C$17:$AF$25,27,0)&amp;Sprache!$E$99&amp;(VLOOKUP($C19,Calc1!$C$17:$AF$25,27,0)-$F19))</f>
        <v/>
      </c>
      <c r="F19" s="55" t="str">
        <f ca="1">IF($C19="","",VLOOKUP($C19,Calc1!$C$17:$AC$25,26,0))</f>
        <v/>
      </c>
      <c r="G19" s="384" t="str">
        <f ca="1">IF(C19="","",VLOOKUP(C19,Calc1!$C$17:$AB$25,23,0))</f>
        <v/>
      </c>
      <c r="H19" s="79" t="str">
        <f ca="1">IFERROR(VLOOKUP($C19&amp;H$16,Calc1!$Z$64:$AB$207,3,0),"")</f>
        <v/>
      </c>
      <c r="I19" s="55" t="str">
        <f ca="1">IFERROR(VLOOKUP($C19&amp;I$16,Calc1!$Z$64:$AB$207,3,0),"")</f>
        <v/>
      </c>
      <c r="J19" s="64"/>
      <c r="K19" s="55" t="str">
        <f ca="1">IFERROR(VLOOKUP($C19&amp;K$16,Calc1!$Z$64:$AB$207,3,0),"")</f>
        <v/>
      </c>
      <c r="L19" s="55" t="str">
        <f ca="1">IFERROR(VLOOKUP($C19&amp;L$16,Calc1!$Z$64:$AB$207,3,0),"")</f>
        <v/>
      </c>
      <c r="M19" s="93" t="str">
        <f ca="1">IFERROR(VLOOKUP($C19&amp;M$16,Calc1!$Z$64:$AB$207,3,0),"")</f>
        <v/>
      </c>
      <c r="N19" s="121" t="str">
        <f t="shared" ca="1" si="1"/>
        <v/>
      </c>
    </row>
    <row r="20" spans="2:14" ht="21.95" customHeight="1" x14ac:dyDescent="0.2">
      <c r="B20" s="58" t="str">
        <f ca="1">IF($C20="","",INDEX(Calc1!$E$4:$E$12,MATCH($C20,Calc1!$F$4:$F$12,0)))</f>
        <v/>
      </c>
      <c r="C20" s="67" t="str">
        <f ca="1">IF(Calc1!$K$13=0,"",Calc1!$AC7)</f>
        <v/>
      </c>
      <c r="D20" s="71" t="str">
        <f ca="1">IF($C20="","",VLOOKUP($C20,Calc1!$C$17:$AC$25,25,0))</f>
        <v/>
      </c>
      <c r="E20" s="826" t="str">
        <f ca="1">IF($C20="","",VLOOKUP($C20,Calc1!$C$17:$AF$25,27,0)&amp;Sprache!$E$99&amp;(VLOOKUP($C20,Calc1!$C$17:$AF$25,27,0)-$F20))</f>
        <v/>
      </c>
      <c r="F20" s="55" t="str">
        <f ca="1">IF($C20="","",VLOOKUP($C20,Calc1!$C$17:$AC$25,26,0))</f>
        <v/>
      </c>
      <c r="G20" s="384" t="str">
        <f ca="1">IF(C20="","",VLOOKUP(C20,Calc1!$C$17:$AB$25,23,0))</f>
        <v/>
      </c>
      <c r="H20" s="79" t="str">
        <f ca="1">IFERROR(VLOOKUP($C20&amp;H$16,Calc1!$Z$64:$AB$207,3,0),"")</f>
        <v/>
      </c>
      <c r="I20" s="55" t="str">
        <f ca="1">IFERROR(VLOOKUP($C20&amp;I$16,Calc1!$Z$64:$AB$207,3,0),"")</f>
        <v/>
      </c>
      <c r="J20" s="55" t="str">
        <f ca="1">IFERROR(VLOOKUP($C20&amp;J$16,Calc1!$Z$64:$AB$207,3,0),"")</f>
        <v/>
      </c>
      <c r="K20" s="64"/>
      <c r="L20" s="55" t="str">
        <f ca="1">IFERROR(VLOOKUP($C20&amp;L$16,Calc1!$Z$64:$AB$207,3,0),"")</f>
        <v/>
      </c>
      <c r="M20" s="93" t="str">
        <f ca="1">IFERROR(VLOOKUP($C20&amp;M$16,Calc1!$Z$64:$AB$207,3,0),"")</f>
        <v/>
      </c>
      <c r="N20" s="121" t="str">
        <f t="shared" ca="1" si="1"/>
        <v/>
      </c>
    </row>
    <row r="21" spans="2:14" ht="21.95" customHeight="1" x14ac:dyDescent="0.2">
      <c r="B21" s="58" t="str">
        <f ca="1">IF($C21="","",INDEX(Calc1!$E$4:$E$12,MATCH($C21,Calc1!$F$4:$F$12,0)))</f>
        <v/>
      </c>
      <c r="C21" s="67" t="str">
        <f ca="1">IF(Calc1!$K$13=0,"",Calc1!$AC8)</f>
        <v/>
      </c>
      <c r="D21" s="71" t="str">
        <f ca="1">IF($C21="","",VLOOKUP($C21,Calc1!$C$17:$AC$25,25,0))</f>
        <v/>
      </c>
      <c r="E21" s="826" t="str">
        <f ca="1">IF($C21="","",VLOOKUP($C21,Calc1!$C$17:$AF$25,27,0)&amp;Sprache!$E$99&amp;(VLOOKUP($C21,Calc1!$C$17:$AF$25,27,0)-$F21))</f>
        <v/>
      </c>
      <c r="F21" s="55" t="str">
        <f ca="1">IF($C21="","",VLOOKUP($C21,Calc1!$C$17:$AC$25,26,0))</f>
        <v/>
      </c>
      <c r="G21" s="384" t="str">
        <f ca="1">IF(C21="","",VLOOKUP(C21,Calc1!$C$17:$AB$25,23,0))</f>
        <v/>
      </c>
      <c r="H21" s="79" t="str">
        <f ca="1">IFERROR(VLOOKUP($C21&amp;H$16,Calc1!$Z$64:$AB$207,3,0),"")</f>
        <v/>
      </c>
      <c r="I21" s="55" t="str">
        <f ca="1">IFERROR(VLOOKUP($C21&amp;I$16,Calc1!$Z$64:$AB$207,3,0),"")</f>
        <v/>
      </c>
      <c r="J21" s="55" t="str">
        <f ca="1">IFERROR(VLOOKUP($C21&amp;J$16,Calc1!$Z$64:$AB$207,3,0),"")</f>
        <v/>
      </c>
      <c r="K21" s="55" t="str">
        <f ca="1">IFERROR(VLOOKUP($C21&amp;K$16,Calc1!$Z$64:$AB$207,3,0),"")</f>
        <v/>
      </c>
      <c r="L21" s="64"/>
      <c r="M21" s="93" t="str">
        <f ca="1">IFERROR(VLOOKUP($C21&amp;M$16,Calc1!$Z$64:$AB$207,3,0),"")</f>
        <v/>
      </c>
      <c r="N21" s="121" t="str">
        <f t="shared" ca="1" si="1"/>
        <v/>
      </c>
    </row>
    <row r="22" spans="2:14" ht="21.95" customHeight="1" thickBot="1" x14ac:dyDescent="0.25">
      <c r="B22" s="59" t="str">
        <f ca="1">IF($C22="","",INDEX(Calc1!$E$4:$E$12,MATCH($C22,Calc1!$F$4:$F$12,0)))</f>
        <v/>
      </c>
      <c r="C22" s="68" t="str">
        <f ca="1">IF(Calc1!$K$13=0,"",Calc1!$AC9)</f>
        <v/>
      </c>
      <c r="D22" s="72" t="str">
        <f ca="1">IF($C22="","",VLOOKUP($C22,Calc1!$C$17:$AC$25,25,0))</f>
        <v/>
      </c>
      <c r="E22" s="827" t="str">
        <f ca="1">IF($C22="","",VLOOKUP($C22,Calc1!$C$17:$AF$25,27,0)&amp;Sprache!$E$99&amp;(VLOOKUP($C22,Calc1!$C$17:$AF$25,27,0)-$F22))</f>
        <v/>
      </c>
      <c r="F22" s="56" t="str">
        <f ca="1">IF($C22="","",VLOOKUP($C22,Calc1!$C$17:$AC$25,26,0))</f>
        <v/>
      </c>
      <c r="G22" s="385" t="str">
        <f ca="1">IF(C22="","",VLOOKUP(C22,Calc1!$C$17:$AB$25,23,0))</f>
        <v/>
      </c>
      <c r="H22" s="80" t="str">
        <f ca="1">IFERROR(VLOOKUP($C22&amp;H$16,Calc1!$Z$64:$AB$207,3,0),"")</f>
        <v/>
      </c>
      <c r="I22" s="56" t="str">
        <f ca="1">IFERROR(VLOOKUP($C22&amp;I$16,Calc1!$Z$64:$AB$207,3,0),"")</f>
        <v/>
      </c>
      <c r="J22" s="56" t="str">
        <f ca="1">IFERROR(VLOOKUP($C22&amp;J$16,Calc1!$Z$64:$AB$207,3,0),"")</f>
        <v/>
      </c>
      <c r="K22" s="56" t="str">
        <f ca="1">IFERROR(VLOOKUP($C22&amp;K$16,Calc1!$Z$64:$AB$207,3,0),"")</f>
        <v/>
      </c>
      <c r="L22" s="56" t="str">
        <f ca="1">IFERROR(VLOOKUP($C22&amp;L$16,Calc1!$Z$64:$AB$207,3,0),"")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IF(LEN(H25)&gt;Einstellungen!$C$11,LEFT(H25,Einstellungen!$C$11)&amp;".",H25)</f>
        <v/>
      </c>
      <c r="I24" s="85" t="str">
        <f ca="1">IF(LEN(I25)&gt;Einstellungen!$C$11,LEFT(I25,Einstellungen!$C$11)&amp;".",I25)</f>
        <v/>
      </c>
      <c r="J24" s="85" t="str">
        <f ca="1">IF(LEN(J25)&gt;Einstellungen!$C$11,LEFT(J25,Einstellungen!$C$11)&amp;".",J25)</f>
        <v/>
      </c>
      <c r="K24" s="85" t="str">
        <f ca="1">IF(LEN(K25)&gt;Einstellungen!$C$11,LEFT(K25,Einstellungen!$C$11)&amp;".",K25)</f>
        <v/>
      </c>
      <c r="L24" s="85" t="str">
        <f ca="1">IF(LEN(L25)&gt;Einstellungen!$C$11,LEFT(L25,Einstellungen!$C$11)&amp;".",L25)</f>
        <v/>
      </c>
      <c r="M24" s="86" t="str">
        <f ca="1">IF(LEN(M25)&gt;Einstellungen!$C$11,LEFT(M25,Einstellungen!$C$11)&amp;".",M25)</f>
        <v/>
      </c>
    </row>
    <row r="25" spans="2:14" ht="21.95" customHeight="1" thickTop="1" thickBot="1" x14ac:dyDescent="0.25">
      <c r="B25" s="60"/>
      <c r="C25" s="65" t="str">
        <f>Sprache!$E$10</f>
        <v>Teilnehmer bzw. Mannschaft</v>
      </c>
      <c r="D25" s="69" t="str">
        <f>Sprache!$E$80</f>
        <v>Satzpkt.</v>
      </c>
      <c r="E25" s="57" t="str">
        <f>Sprache!$E$60</f>
        <v>Bälle</v>
      </c>
      <c r="F25" s="57" t="str">
        <f>Sprache!$E$26</f>
        <v>Diff.</v>
      </c>
      <c r="G25" s="87" t="str">
        <f>Sprache!$E$49</f>
        <v>Tie-Break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IF($C26="","",INDEX(Calc1!$E$4:$E$12,MATCH($C26,Calc1!$F$4:$F$12,0)))</f>
        <v/>
      </c>
      <c r="C26" s="66" t="str">
        <f ca="1">IF(Calc1!$K$13=0,"",Calc1!$AH4)</f>
        <v/>
      </c>
      <c r="D26" s="70" t="str">
        <f ca="1">IF($C26="","",VLOOKUP($C26,Calc1!$C$17:$AC$25,25,0))</f>
        <v/>
      </c>
      <c r="E26" s="825" t="str">
        <f ca="1">IF($C26="","",VLOOKUP($C26,Calc1!$C$17:$AF$25,27,0)&amp;Sprache!$E$99&amp;(VLOOKUP($C26,Calc1!$C$17:$AF$25,27,0)-$F26))</f>
        <v/>
      </c>
      <c r="F26" s="54" t="str">
        <f ca="1">IF($C26="","",VLOOKUP($C26,Calc1!$C$17:$AC$25,26,0))</f>
        <v/>
      </c>
      <c r="G26" s="383" t="str">
        <f ca="1">IF(C26="","",VLOOKUP(C26,Calc1!$C$17:$AB$25,23,0))</f>
        <v/>
      </c>
      <c r="H26" s="78"/>
      <c r="I26" s="54" t="str">
        <f ca="1">IFERROR(VLOOKUP($C26&amp;I$25,Calc1!$Z$64:$AB$207,3,0),"")</f>
        <v/>
      </c>
      <c r="J26" s="54" t="str">
        <f ca="1">IFERROR(VLOOKUP($C26&amp;J$25,Calc1!$Z$64:$AB$207,3,0),"")</f>
        <v/>
      </c>
      <c r="K26" s="54" t="str">
        <f ca="1">IFERROR(VLOOKUP($C26&amp;K$25,Calc1!$Z$64:$AB$207,3,0),"")</f>
        <v/>
      </c>
      <c r="L26" s="54" t="str">
        <f ca="1">IFERROR(VLOOKUP($C26&amp;L$25,Calc1!$Z$64:$AB$207,3,0),"")</f>
        <v/>
      </c>
      <c r="M26" s="92" t="str">
        <f ca="1">IFERROR(VLOOKUP($C26&amp;M$25,Calc1!$Z$64:$AB$207,3,0),"")</f>
        <v/>
      </c>
      <c r="N26" s="120" t="str">
        <f t="shared" ref="N26:N31" ca="1" si="2">C26</f>
        <v/>
      </c>
    </row>
    <row r="27" spans="2:14" ht="21.95" customHeight="1" x14ac:dyDescent="0.2">
      <c r="B27" s="58" t="str">
        <f ca="1">IF($C27="","",INDEX(Calc1!$E$4:$E$12,MATCH($C27,Calc1!$F$4:$F$12,0)))</f>
        <v/>
      </c>
      <c r="C27" s="67" t="str">
        <f ca="1">IF(Calc1!$K$13=0,"",Calc1!$AH5)</f>
        <v/>
      </c>
      <c r="D27" s="71" t="str">
        <f ca="1">IF($C27="","",VLOOKUP($C27,Calc1!$C$17:$AC$25,25,0))</f>
        <v/>
      </c>
      <c r="E27" s="826" t="str">
        <f ca="1">IF($C27="","",VLOOKUP($C27,Calc1!$C$17:$AF$25,27,0)&amp;Sprache!$E$99&amp;(VLOOKUP($C27,Calc1!$C$17:$AF$25,27,0)-$F27))</f>
        <v/>
      </c>
      <c r="F27" s="55" t="str">
        <f ca="1">IF($C27="","",VLOOKUP($C27,Calc1!$C$17:$AC$25,26,0))</f>
        <v/>
      </c>
      <c r="G27" s="384" t="str">
        <f ca="1">IF(C27="","",VLOOKUP(C27,Calc1!$C$17:$AB$25,23,0))</f>
        <v/>
      </c>
      <c r="H27" s="79" t="str">
        <f ca="1">IFERROR(VLOOKUP($C27&amp;H$25,Calc1!$Z$64:$AB$207,3,0),"")</f>
        <v/>
      </c>
      <c r="I27" s="64"/>
      <c r="J27" s="55" t="str">
        <f ca="1">IFERROR(VLOOKUP($C27&amp;J$25,Calc1!$Z$64:$AB$207,3,0),"")</f>
        <v/>
      </c>
      <c r="K27" s="55" t="str">
        <f ca="1">IFERROR(VLOOKUP($C27&amp;K$25,Calc1!$Z$64:$AB$207,3,0),"")</f>
        <v/>
      </c>
      <c r="L27" s="55" t="str">
        <f ca="1">IFERROR(VLOOKUP($C27&amp;L$25,Calc1!$Z$64:$AB$207,3,0),"")</f>
        <v/>
      </c>
      <c r="M27" s="93" t="str">
        <f ca="1">IFERROR(VLOOKUP($C27&amp;M$25,Calc1!$Z$64:$AB$207,3,0),"")</f>
        <v/>
      </c>
      <c r="N27" s="121" t="str">
        <f t="shared" ca="1" si="2"/>
        <v/>
      </c>
    </row>
    <row r="28" spans="2:14" ht="21.95" customHeight="1" x14ac:dyDescent="0.2">
      <c r="B28" s="58" t="str">
        <f ca="1">IF($C28="","",INDEX(Calc1!$E$4:$E$12,MATCH($C28,Calc1!$F$4:$F$12,0)))</f>
        <v/>
      </c>
      <c r="C28" s="67" t="str">
        <f ca="1">IF(Calc1!$K$13=0,"",Calc1!$AH6)</f>
        <v/>
      </c>
      <c r="D28" s="71" t="str">
        <f ca="1">IF($C28="","",VLOOKUP($C28,Calc1!$C$17:$AC$25,25,0))</f>
        <v/>
      </c>
      <c r="E28" s="826" t="str">
        <f ca="1">IF($C28="","",VLOOKUP($C28,Calc1!$C$17:$AF$25,27,0)&amp;Sprache!$E$99&amp;(VLOOKUP($C28,Calc1!$C$17:$AF$25,27,0)-$F28))</f>
        <v/>
      </c>
      <c r="F28" s="55" t="str">
        <f ca="1">IF($C28="","",VLOOKUP($C28,Calc1!$C$17:$AC$25,26,0))</f>
        <v/>
      </c>
      <c r="G28" s="384" t="str">
        <f ca="1">IF(C28="","",VLOOKUP(C28,Calc1!$C$17:$AB$25,23,0))</f>
        <v/>
      </c>
      <c r="H28" s="79" t="str">
        <f ca="1">IFERROR(VLOOKUP($C28&amp;H$25,Calc1!$Z$64:$AB$207,3,0),"")</f>
        <v/>
      </c>
      <c r="I28" s="55" t="str">
        <f ca="1">IFERROR(VLOOKUP($C28&amp;I$25,Calc1!$Z$64:$AB$207,3,0),"")</f>
        <v/>
      </c>
      <c r="J28" s="64"/>
      <c r="K28" s="55" t="str">
        <f ca="1">IFERROR(VLOOKUP($C28&amp;K$25,Calc1!$Z$64:$AB$207,3,0),"")</f>
        <v/>
      </c>
      <c r="L28" s="55" t="str">
        <f ca="1">IFERROR(VLOOKUP($C28&amp;L$25,Calc1!$Z$64:$AB$207,3,0),"")</f>
        <v/>
      </c>
      <c r="M28" s="93" t="str">
        <f ca="1">IFERROR(VLOOKUP($C28&amp;M$25,Calc1!$Z$64:$AB$207,3,0),"")</f>
        <v/>
      </c>
      <c r="N28" s="121" t="str">
        <f t="shared" ca="1" si="2"/>
        <v/>
      </c>
    </row>
    <row r="29" spans="2:14" ht="21.95" customHeight="1" x14ac:dyDescent="0.2">
      <c r="B29" s="58" t="str">
        <f ca="1">IF($C29="","",INDEX(Calc1!$E$4:$E$12,MATCH($C29,Calc1!$F$4:$F$12,0)))</f>
        <v/>
      </c>
      <c r="C29" s="67" t="str">
        <f ca="1">IF(Calc1!$K$13=0,"",Calc1!$AH7)</f>
        <v/>
      </c>
      <c r="D29" s="71" t="str">
        <f ca="1">IF($C29="","",VLOOKUP($C29,Calc1!$C$17:$AC$25,25,0))</f>
        <v/>
      </c>
      <c r="E29" s="826" t="str">
        <f ca="1">IF($C29="","",VLOOKUP($C29,Calc1!$C$17:$AF$25,27,0)&amp;Sprache!$E$99&amp;(VLOOKUP($C29,Calc1!$C$17:$AF$25,27,0)-$F29))</f>
        <v/>
      </c>
      <c r="F29" s="55" t="str">
        <f ca="1">IF($C29="","",VLOOKUP($C29,Calc1!$C$17:$AC$25,26,0))</f>
        <v/>
      </c>
      <c r="G29" s="384" t="str">
        <f ca="1">IF(C29="","",VLOOKUP(C29,Calc1!$C$17:$AB$25,23,0))</f>
        <v/>
      </c>
      <c r="H29" s="79" t="str">
        <f ca="1">IFERROR(VLOOKUP($C29&amp;H$25,Calc1!$Z$64:$AB$207,3,0),"")</f>
        <v/>
      </c>
      <c r="I29" s="55" t="str">
        <f ca="1">IFERROR(VLOOKUP($C29&amp;I$25,Calc1!$Z$64:$AB$207,3,0),"")</f>
        <v/>
      </c>
      <c r="J29" s="55" t="str">
        <f ca="1">IFERROR(VLOOKUP($C29&amp;J$25,Calc1!$Z$64:$AB$207,3,0),"")</f>
        <v/>
      </c>
      <c r="K29" s="64"/>
      <c r="L29" s="55" t="str">
        <f ca="1">IFERROR(VLOOKUP($C29&amp;L$25,Calc1!$Z$64:$AB$207,3,0),"")</f>
        <v/>
      </c>
      <c r="M29" s="93" t="str">
        <f ca="1">IFERROR(VLOOKUP($C29&amp;M$25,Calc1!$Z$64:$AB$207,3,0),"")</f>
        <v/>
      </c>
      <c r="N29" s="121" t="str">
        <f t="shared" ca="1" si="2"/>
        <v/>
      </c>
    </row>
    <row r="30" spans="2:14" ht="21.95" customHeight="1" x14ac:dyDescent="0.2">
      <c r="B30" s="58" t="str">
        <f ca="1">IF($C30="","",INDEX(Calc1!$E$4:$E$12,MATCH($C30,Calc1!$F$4:$F$12,0)))</f>
        <v/>
      </c>
      <c r="C30" s="67" t="str">
        <f ca="1">IF(Calc1!$K$13=0,"",Calc1!$AH8)</f>
        <v/>
      </c>
      <c r="D30" s="71" t="str">
        <f ca="1">IF($C30="","",VLOOKUP($C30,Calc1!$C$17:$AC$25,25,0))</f>
        <v/>
      </c>
      <c r="E30" s="826" t="str">
        <f ca="1">IF($C30="","",VLOOKUP($C30,Calc1!$C$17:$AF$25,27,0)&amp;Sprache!$E$99&amp;(VLOOKUP($C30,Calc1!$C$17:$AF$25,27,0)-$F30))</f>
        <v/>
      </c>
      <c r="F30" s="55" t="str">
        <f ca="1">IF($C30="","",VLOOKUP($C30,Calc1!$C$17:$AC$25,26,0))</f>
        <v/>
      </c>
      <c r="G30" s="384" t="str">
        <f ca="1">IF(C30="","",VLOOKUP(C30,Calc1!$C$17:$AB$25,23,0))</f>
        <v/>
      </c>
      <c r="H30" s="79" t="str">
        <f ca="1">IFERROR(VLOOKUP($C30&amp;H$25,Calc1!$Z$64:$AB$207,3,0),"")</f>
        <v/>
      </c>
      <c r="I30" s="55" t="str">
        <f ca="1">IFERROR(VLOOKUP($C30&amp;I$25,Calc1!$Z$64:$AB$207,3,0),"")</f>
        <v/>
      </c>
      <c r="J30" s="55" t="str">
        <f ca="1">IFERROR(VLOOKUP($C30&amp;J$25,Calc1!$Z$64:$AB$207,3,0),"")</f>
        <v/>
      </c>
      <c r="K30" s="55" t="str">
        <f ca="1">IFERROR(VLOOKUP($C30&amp;K$25,Calc1!$Z$64:$AB$207,3,0),"")</f>
        <v/>
      </c>
      <c r="L30" s="64"/>
      <c r="M30" s="93" t="str">
        <f ca="1">IFERROR(VLOOKUP($C30&amp;M$25,Calc1!$Z$64:$AB$207,3,0),"")</f>
        <v/>
      </c>
      <c r="N30" s="121" t="str">
        <f t="shared" ca="1" si="2"/>
        <v/>
      </c>
    </row>
    <row r="31" spans="2:14" ht="21.95" customHeight="1" thickBot="1" x14ac:dyDescent="0.25">
      <c r="B31" s="59" t="str">
        <f ca="1">IF($C31="","",INDEX(Calc1!$E$4:$E$12,MATCH($C31,Calc1!$F$4:$F$12,0)))</f>
        <v/>
      </c>
      <c r="C31" s="68" t="str">
        <f ca="1">IF(Calc1!$K$13=0,"",Calc1!$AH9)</f>
        <v/>
      </c>
      <c r="D31" s="72" t="str">
        <f ca="1">IF($C31="","",VLOOKUP($C31,Calc1!$C$17:$AC$25,25,0))</f>
        <v/>
      </c>
      <c r="E31" s="827" t="str">
        <f ca="1">IF($C31="","",VLOOKUP($C31,Calc1!$C$17:$AF$25,27,0)&amp;Sprache!$E$99&amp;(VLOOKUP($C31,Calc1!$C$17:$AF$25,27,0)-$F31))</f>
        <v/>
      </c>
      <c r="F31" s="56" t="str">
        <f ca="1">IF($C31="","",VLOOKUP($C31,Calc1!$C$17:$AC$25,26,0))</f>
        <v/>
      </c>
      <c r="G31" s="385" t="str">
        <f ca="1">IF(C31="","",VLOOKUP(C31,Calc1!$C$17:$AB$25,23,0))</f>
        <v/>
      </c>
      <c r="H31" s="80" t="str">
        <f ca="1">IFERROR(VLOOKUP($C31&amp;H$25,Calc1!$Z$64:$AB$207,3,0),"")</f>
        <v/>
      </c>
      <c r="I31" s="56" t="str">
        <f ca="1">IFERROR(VLOOKUP($C31&amp;I$25,Calc1!$Z$64:$AB$207,3,0),"")</f>
        <v/>
      </c>
      <c r="J31" s="56" t="str">
        <f ca="1">IFERROR(VLOOKUP($C31&amp;J$25,Calc1!$Z$64:$AB$207,3,0),"")</f>
        <v/>
      </c>
      <c r="K31" s="56" t="str">
        <f ca="1">IFERROR(VLOOKUP($C31&amp;K$25,Calc1!$Z$64:$AB$207,3,0),"")</f>
        <v/>
      </c>
      <c r="L31" s="56" t="str">
        <f ca="1">IFERROR(VLOOKUP($C31&amp;L$25,Calc1!$Z$64:$AB$207,3,0),"")</f>
        <v/>
      </c>
      <c r="M31" s="94"/>
      <c r="N31" s="122" t="str">
        <f t="shared" ca="1" si="2"/>
        <v/>
      </c>
    </row>
    <row r="32" spans="2:14" ht="42.75" customHeight="1" thickTop="1" thickBot="1" x14ac:dyDescent="0.25"/>
    <row r="33" spans="2:14" ht="21.95" customHeight="1" thickBot="1" x14ac:dyDescent="0.25">
      <c r="H33" s="84" t="str">
        <f ca="1">IF(LEN(H34)&gt;Einstellungen!$C$11,LEFT(H34,Einstellungen!$C$11)&amp;".",H34)</f>
        <v/>
      </c>
      <c r="I33" s="85" t="str">
        <f ca="1">IF(LEN(I34)&gt;Einstellungen!$C$11,LEFT(I34,Einstellungen!$C$11)&amp;".",I34)</f>
        <v/>
      </c>
      <c r="J33" s="85" t="str">
        <f ca="1">IF(LEN(J34)&gt;Einstellungen!$C$11,LEFT(J34,Einstellungen!$C$11)&amp;".",J34)</f>
        <v/>
      </c>
      <c r="K33" s="85" t="str">
        <f ca="1">IF(LEN(K34)&gt;Einstellungen!$C$11,LEFT(K34,Einstellungen!$C$11)&amp;".",K34)</f>
        <v/>
      </c>
      <c r="L33" s="85" t="str">
        <f ca="1">IF(LEN(L34)&gt;Einstellungen!$C$11,LEFT(L34,Einstellungen!$C$11)&amp;".",L34)</f>
        <v/>
      </c>
      <c r="M33" s="86" t="str">
        <f ca="1">IF(LEN(M34)&gt;Einstellungen!$C$11,LEFT(M34,Einstellungen!$C$11)&amp;".",M34)</f>
        <v/>
      </c>
    </row>
    <row r="34" spans="2:14" ht="21.95" customHeight="1" thickTop="1" thickBot="1" x14ac:dyDescent="0.25">
      <c r="B34" s="60"/>
      <c r="C34" s="65" t="str">
        <f>Sprache!$E$10</f>
        <v>Teilnehmer bzw. Mannschaft</v>
      </c>
      <c r="D34" s="69" t="str">
        <f>Sprache!$E$80</f>
        <v>Satzpkt.</v>
      </c>
      <c r="E34" s="57" t="str">
        <f>Sprache!$E$60</f>
        <v>Bälle</v>
      </c>
      <c r="F34" s="57" t="str">
        <f>Sprache!$E$26</f>
        <v>Diff.</v>
      </c>
      <c r="G34" s="87" t="str">
        <f>Sprache!$E$49</f>
        <v>Tie-Break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IF($C35="","",INDEX(Calc1!$E$4:$E$12,MATCH($C35,Calc1!$F$4:$F$12,0)))</f>
        <v/>
      </c>
      <c r="C35" s="66" t="str">
        <f ca="1">IF(Calc1!$K$13=0,"",Calc1!$AM4)</f>
        <v/>
      </c>
      <c r="D35" s="70" t="str">
        <f ca="1">IF($C35="","",VLOOKUP($C35,Calc1!$C$17:$AC$25,25,0))</f>
        <v/>
      </c>
      <c r="E35" s="825" t="str">
        <f ca="1">IF($C35="","",VLOOKUP($C35,Calc1!$C$17:$AF$25,27,0)&amp;Sprache!$E$99&amp;(VLOOKUP($C35,Calc1!$C$17:$AF$25,27,0)-$F35))</f>
        <v/>
      </c>
      <c r="F35" s="54" t="str">
        <f ca="1">IF($C35="","",VLOOKUP($C35,Calc1!$C$17:$AC$25,26,0))</f>
        <v/>
      </c>
      <c r="G35" s="383" t="str">
        <f ca="1">IF(C35="","",VLOOKUP(C35,Calc1!$C$17:$AB$25,23,0))</f>
        <v/>
      </c>
      <c r="H35" s="78"/>
      <c r="I35" s="54" t="str">
        <f ca="1">IFERROR(VLOOKUP($C35&amp;I$34,Calc1!$Z$64:$AB$207,3,0),"")</f>
        <v/>
      </c>
      <c r="J35" s="54" t="str">
        <f ca="1">IFERROR(VLOOKUP($C35&amp;J$34,Calc1!$Z$64:$AB$207,3,0),"")</f>
        <v/>
      </c>
      <c r="K35" s="54" t="str">
        <f ca="1">IFERROR(VLOOKUP($C35&amp;K$34,Calc1!$Z$64:$AB$207,3,0),"")</f>
        <v/>
      </c>
      <c r="L35" s="54" t="str">
        <f ca="1">IFERROR(VLOOKUP($C35&amp;L$34,Calc1!$Z$64:$AB$207,3,0),"")</f>
        <v/>
      </c>
      <c r="M35" s="92" t="str">
        <f ca="1">IFERROR(VLOOKUP($C35&amp;M$34,Calc1!$Z$64:$AB$207,3,0),"")</f>
        <v/>
      </c>
      <c r="N35" s="120" t="str">
        <f t="shared" ref="N35:N40" ca="1" si="3">C35</f>
        <v/>
      </c>
    </row>
    <row r="36" spans="2:14" ht="21.95" customHeight="1" x14ac:dyDescent="0.2">
      <c r="B36" s="58" t="str">
        <f ca="1">IF($C36="","",INDEX(Calc1!$E$4:$E$12,MATCH($C36,Calc1!$F$4:$F$12,0)))</f>
        <v/>
      </c>
      <c r="C36" s="67" t="str">
        <f ca="1">IF(Calc1!$K$13=0,"",Calc1!$AM5)</f>
        <v/>
      </c>
      <c r="D36" s="71" t="str">
        <f ca="1">IF($C36="","",VLOOKUP($C36,Calc1!$C$17:$AC$25,25,0))</f>
        <v/>
      </c>
      <c r="E36" s="826" t="str">
        <f ca="1">IF($C36="","",VLOOKUP($C36,Calc1!$C$17:$AF$25,27,0)&amp;Sprache!$E$99&amp;(VLOOKUP($C36,Calc1!$C$17:$AF$25,27,0)-$F36))</f>
        <v/>
      </c>
      <c r="F36" s="55" t="str">
        <f ca="1">IF($C36="","",VLOOKUP($C36,Calc1!$C$17:$AC$25,26,0))</f>
        <v/>
      </c>
      <c r="G36" s="384" t="str">
        <f ca="1">IF(C36="","",VLOOKUP(C36,Calc1!$C$17:$AB$25,23,0))</f>
        <v/>
      </c>
      <c r="H36" s="79" t="str">
        <f ca="1">IFERROR(VLOOKUP($C36&amp;H$34,Calc1!$Z$64:$AB$207,3,0),"")</f>
        <v/>
      </c>
      <c r="I36" s="64"/>
      <c r="J36" s="55" t="str">
        <f ca="1">IFERROR(VLOOKUP($C36&amp;J$34,Calc1!$Z$64:$AB$207,3,0),"")</f>
        <v/>
      </c>
      <c r="K36" s="55" t="str">
        <f ca="1">IFERROR(VLOOKUP($C36&amp;K$34,Calc1!$Z$64:$AB$207,3,0),"")</f>
        <v/>
      </c>
      <c r="L36" s="55" t="str">
        <f ca="1">IFERROR(VLOOKUP($C36&amp;L$34,Calc1!$Z$64:$AB$207,3,0),"")</f>
        <v/>
      </c>
      <c r="M36" s="93" t="str">
        <f ca="1">IFERROR(VLOOKUP($C36&amp;M$34,Calc1!$Z$64:$AB$207,3,0),"")</f>
        <v/>
      </c>
      <c r="N36" s="121" t="str">
        <f t="shared" ca="1" si="3"/>
        <v/>
      </c>
    </row>
    <row r="37" spans="2:14" ht="21.95" customHeight="1" x14ac:dyDescent="0.2">
      <c r="B37" s="58" t="str">
        <f ca="1">IF($C37="","",INDEX(Calc1!$E$4:$E$12,MATCH($C37,Calc1!$F$4:$F$12,0)))</f>
        <v/>
      </c>
      <c r="C37" s="67" t="str">
        <f ca="1">IF(Calc1!$K$13=0,"",Calc1!$AM6)</f>
        <v/>
      </c>
      <c r="D37" s="71" t="str">
        <f ca="1">IF($C37="","",VLOOKUP($C37,Calc1!$C$17:$AC$25,25,0))</f>
        <v/>
      </c>
      <c r="E37" s="826" t="str">
        <f ca="1">IF($C37="","",VLOOKUP($C37,Calc1!$C$17:$AF$25,27,0)&amp;Sprache!$E$99&amp;(VLOOKUP($C37,Calc1!$C$17:$AF$25,27,0)-$F37))</f>
        <v/>
      </c>
      <c r="F37" s="55" t="str">
        <f ca="1">IF($C37="","",VLOOKUP($C37,Calc1!$C$17:$AC$25,26,0))</f>
        <v/>
      </c>
      <c r="G37" s="384" t="str">
        <f ca="1">IF(C37="","",VLOOKUP(C37,Calc1!$C$17:$AB$25,23,0))</f>
        <v/>
      </c>
      <c r="H37" s="79" t="str">
        <f ca="1">IFERROR(VLOOKUP($C37&amp;H$34,Calc1!$Z$64:$AB$207,3,0),"")</f>
        <v/>
      </c>
      <c r="I37" s="55" t="str">
        <f ca="1">IFERROR(VLOOKUP($C37&amp;I$34,Calc1!$Z$64:$AB$207,3,0),"")</f>
        <v/>
      </c>
      <c r="J37" s="64"/>
      <c r="K37" s="55" t="str">
        <f ca="1">IFERROR(VLOOKUP($C37&amp;K$34,Calc1!$Z$64:$AB$207,3,0),"")</f>
        <v/>
      </c>
      <c r="L37" s="55" t="str">
        <f ca="1">IFERROR(VLOOKUP($C37&amp;L$34,Calc1!$Z$64:$AB$207,3,0),"")</f>
        <v/>
      </c>
      <c r="M37" s="93" t="str">
        <f ca="1">IFERROR(VLOOKUP($C37&amp;M$34,Calc1!$Z$64:$AB$207,3,0),"")</f>
        <v/>
      </c>
      <c r="N37" s="121" t="str">
        <f t="shared" ca="1" si="3"/>
        <v/>
      </c>
    </row>
    <row r="38" spans="2:14" ht="21.95" customHeight="1" x14ac:dyDescent="0.2">
      <c r="B38" s="58" t="str">
        <f ca="1">IF($C38="","",INDEX(Calc1!$E$4:$E$12,MATCH($C38,Calc1!$F$4:$F$12,0)))</f>
        <v/>
      </c>
      <c r="C38" s="67" t="str">
        <f ca="1">IF(Calc1!$K$13=0,"",Calc1!$AM7)</f>
        <v/>
      </c>
      <c r="D38" s="71" t="str">
        <f ca="1">IF($C38="","",VLOOKUP($C38,Calc1!$C$17:$AC$25,25,0))</f>
        <v/>
      </c>
      <c r="E38" s="826" t="str">
        <f ca="1">IF($C38="","",VLOOKUP($C38,Calc1!$C$17:$AF$25,27,0)&amp;Sprache!$E$99&amp;(VLOOKUP($C38,Calc1!$C$17:$AF$25,27,0)-$F38))</f>
        <v/>
      </c>
      <c r="F38" s="55" t="str">
        <f ca="1">IF($C38="","",VLOOKUP($C38,Calc1!$C$17:$AC$25,26,0))</f>
        <v/>
      </c>
      <c r="G38" s="384" t="str">
        <f ca="1">IF(C38="","",VLOOKUP(C38,Calc1!$C$17:$AB$25,23,0))</f>
        <v/>
      </c>
      <c r="H38" s="79" t="str">
        <f ca="1">IFERROR(VLOOKUP($C38&amp;H$34,Calc1!$Z$64:$AB$207,3,0),"")</f>
        <v/>
      </c>
      <c r="I38" s="55" t="str">
        <f ca="1">IFERROR(VLOOKUP($C38&amp;I$34,Calc1!$Z$64:$AB$207,3,0),"")</f>
        <v/>
      </c>
      <c r="J38" s="55" t="str">
        <f ca="1">IFERROR(VLOOKUP($C38&amp;J$34,Calc1!$Z$64:$AB$207,3,0),"")</f>
        <v/>
      </c>
      <c r="K38" s="64"/>
      <c r="L38" s="55" t="str">
        <f ca="1">IFERROR(VLOOKUP($C38&amp;L$34,Calc1!$Z$64:$AB$207,3,0),"")</f>
        <v/>
      </c>
      <c r="M38" s="93" t="str">
        <f ca="1">IFERROR(VLOOKUP($C38&amp;M$34,Calc1!$Z$64:$AB$207,3,0),"")</f>
        <v/>
      </c>
      <c r="N38" s="121" t="str">
        <f t="shared" ca="1" si="3"/>
        <v/>
      </c>
    </row>
    <row r="39" spans="2:14" ht="21.95" customHeight="1" x14ac:dyDescent="0.2">
      <c r="B39" s="58" t="str">
        <f ca="1">IF($C39="","",INDEX(Calc1!$E$4:$E$12,MATCH($C39,Calc1!$F$4:$F$12,0)))</f>
        <v/>
      </c>
      <c r="C39" s="67" t="str">
        <f ca="1">IF(Calc1!$K$13=0,"",Calc1!$AM8)</f>
        <v/>
      </c>
      <c r="D39" s="71" t="str">
        <f ca="1">IF($C39="","",VLOOKUP($C39,Calc1!$C$17:$AC$25,25,0))</f>
        <v/>
      </c>
      <c r="E39" s="826" t="str">
        <f ca="1">IF($C39="","",VLOOKUP($C39,Calc1!$C$17:$AF$25,27,0)&amp;Sprache!$E$99&amp;(VLOOKUP($C39,Calc1!$C$17:$AF$25,27,0)-$F39))</f>
        <v/>
      </c>
      <c r="F39" s="55" t="str">
        <f ca="1">IF($C39="","",VLOOKUP($C39,Calc1!$C$17:$AC$25,26,0))</f>
        <v/>
      </c>
      <c r="G39" s="384" t="str">
        <f ca="1">IF(C39="","",VLOOKUP(C39,Calc1!$C$17:$AB$25,23,0))</f>
        <v/>
      </c>
      <c r="H39" s="79" t="str">
        <f ca="1">IFERROR(VLOOKUP($C39&amp;H$34,Calc1!$Z$64:$AB$207,3,0),"")</f>
        <v/>
      </c>
      <c r="I39" s="55" t="str">
        <f ca="1">IFERROR(VLOOKUP($C39&amp;I$34,Calc1!$Z$64:$AB$207,3,0),"")</f>
        <v/>
      </c>
      <c r="J39" s="55" t="str">
        <f ca="1">IFERROR(VLOOKUP($C39&amp;J$34,Calc1!$Z$64:$AB$207,3,0),"")</f>
        <v/>
      </c>
      <c r="K39" s="55" t="str">
        <f ca="1">IFERROR(VLOOKUP($C39&amp;K$34,Calc1!$Z$64:$AB$207,3,0),"")</f>
        <v/>
      </c>
      <c r="L39" s="64"/>
      <c r="M39" s="93" t="str">
        <f ca="1">IFERROR(VLOOKUP($C39&amp;M$34,Calc1!$Z$64:$AB$207,3,0),"")</f>
        <v/>
      </c>
      <c r="N39" s="121" t="str">
        <f t="shared" ca="1" si="3"/>
        <v/>
      </c>
    </row>
    <row r="40" spans="2:14" ht="21.95" customHeight="1" thickBot="1" x14ac:dyDescent="0.25">
      <c r="B40" s="59" t="str">
        <f ca="1">IF($C40="","",INDEX(Calc1!$E$4:$E$12,MATCH($C40,Calc1!$F$4:$F$12,0)))</f>
        <v/>
      </c>
      <c r="C40" s="68" t="str">
        <f ca="1">IF(Calc1!$K$13=0,"",Calc1!$AM9)</f>
        <v/>
      </c>
      <c r="D40" s="72" t="str">
        <f ca="1">IF($C40="","",VLOOKUP($C40,Calc1!$C$17:$AC$25,25,0))</f>
        <v/>
      </c>
      <c r="E40" s="827" t="str">
        <f ca="1">IF($C40="","",VLOOKUP($C40,Calc1!$C$17:$AF$25,27,0)&amp;Sprache!$E$99&amp;(VLOOKUP($C40,Calc1!$C$17:$AF$25,27,0)-$F40))</f>
        <v/>
      </c>
      <c r="F40" s="56" t="str">
        <f ca="1">IF($C40="","",VLOOKUP($C40,Calc1!$C$17:$AC$25,26,0))</f>
        <v/>
      </c>
      <c r="G40" s="385" t="str">
        <f ca="1">IF(C40="","",VLOOKUP(C40,Calc1!$C$17:$AB$25,23,0))</f>
        <v/>
      </c>
      <c r="H40" s="80" t="str">
        <f ca="1">IFERROR(VLOOKUP($C40&amp;H$34,Calc1!$Z$64:$AB$207,3,0),"")</f>
        <v/>
      </c>
      <c r="I40" s="56" t="str">
        <f ca="1">IFERROR(VLOOKUP($C40&amp;I$34,Calc1!$Z$64:$AB$207,3,0),"")</f>
        <v/>
      </c>
      <c r="J40" s="56" t="str">
        <f ca="1">IFERROR(VLOOKUP($C40&amp;J$34,Calc1!$Z$64:$AB$207,3,0),"")</f>
        <v/>
      </c>
      <c r="K40" s="56" t="str">
        <f ca="1">IFERROR(VLOOKUP($C40&amp;K$34,Calc1!$Z$64:$AB$207,3,0),"")</f>
        <v/>
      </c>
      <c r="L40" s="56" t="str">
        <f ca="1">IFERROR(VLOOKUP($C40&amp;L$34,Calc1!$Z$64:$AB$207,3,0),"")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511EC-92D8-4E4C-9F80-1D0B0CD14D5E}">
  <dimension ref="A1:O56"/>
  <sheetViews>
    <sheetView showGridLines="0" showRowColHeaders="0" zoomScaleNormal="100" workbookViewId="0">
      <selection activeCell="P1" sqref="P1:XFD1048576"/>
    </sheetView>
  </sheetViews>
  <sheetFormatPr baseColWidth="10" defaultColWidth="0" defaultRowHeight="12.75" customHeight="1"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985" t="str">
        <f>Sprache!$E$7</f>
        <v>Direkte Vergleiche</v>
      </c>
      <c r="C2" s="985"/>
      <c r="D2" s="985"/>
      <c r="E2" s="985"/>
      <c r="F2" s="985"/>
      <c r="G2" s="985"/>
      <c r="H2" s="985"/>
      <c r="I2" s="985"/>
      <c r="J2" s="985"/>
      <c r="K2" s="985"/>
      <c r="L2" s="985"/>
      <c r="M2" s="985"/>
    </row>
    <row r="3" spans="2:14" ht="42.75" customHeight="1" x14ac:dyDescent="0.2">
      <c r="B3" s="986" t="str">
        <f>Sprache!$E$56&amp;" B"</f>
        <v>Vorrunde Gruppe B</v>
      </c>
      <c r="C3" s="986"/>
      <c r="D3" s="986"/>
      <c r="E3" s="986"/>
      <c r="F3" s="986"/>
      <c r="G3" s="986"/>
      <c r="H3" s="986"/>
      <c r="I3" s="986"/>
      <c r="J3" s="986"/>
      <c r="K3" s="986"/>
      <c r="L3" s="986"/>
      <c r="M3" s="986"/>
    </row>
    <row r="4" spans="2:14" ht="17.25" customHeight="1" x14ac:dyDescent="0.2">
      <c r="B4" s="987" t="str">
        <f>Sprache!$E$97</f>
        <v>Rote Schrift bedeutet, dass die Rangfolge auch mit dem direkten Vergleich nicht geklärt ist. Ein Entscheidungsspiel oder Los muss hier entscheiden.</v>
      </c>
      <c r="C4" s="987"/>
      <c r="D4" s="987"/>
      <c r="E4" s="987"/>
      <c r="F4" s="987"/>
      <c r="G4" s="987"/>
      <c r="H4" s="987"/>
      <c r="I4" s="987"/>
      <c r="J4" s="987"/>
      <c r="K4" s="987"/>
      <c r="L4" s="987"/>
      <c r="M4" s="987"/>
      <c r="N4" s="987"/>
    </row>
    <row r="5" spans="2:14" ht="17.25" customHeight="1" thickBot="1" x14ac:dyDescent="0.25">
      <c r="B5" s="62"/>
      <c r="C5" s="62"/>
      <c r="D5" s="62"/>
      <c r="E5" s="62"/>
      <c r="F5" s="62"/>
      <c r="G5" s="62"/>
      <c r="H5" s="62"/>
      <c r="I5" s="62"/>
      <c r="J5" s="62"/>
      <c r="K5" s="62"/>
      <c r="L5" s="62"/>
      <c r="M5" s="62"/>
    </row>
    <row r="6" spans="2:14" ht="21.95" customHeight="1" thickBot="1" x14ac:dyDescent="0.25">
      <c r="H6" s="84" t="str">
        <f ca="1">IF(LEN(H7)&gt;Einstellungen!$C$11,LEFT(H7,Einstellungen!$C$11)&amp;".",H7)</f>
        <v/>
      </c>
      <c r="I6" s="85" t="str">
        <f ca="1">IF(LEN(I7)&gt;Einstellungen!$C$11,LEFT(I7,Einstellungen!$C$11)&amp;".",I7)</f>
        <v/>
      </c>
      <c r="J6" s="85" t="str">
        <f ca="1">IF(LEN(J7)&gt;Einstellungen!$C$11,LEFT(J7,Einstellungen!$C$11)&amp;".",J7)</f>
        <v/>
      </c>
      <c r="K6" s="85" t="str">
        <f ca="1">IF(LEN(K7)&gt;Einstellungen!$C$11,LEFT(K7,Einstellungen!$C$11)&amp;".",K7)</f>
        <v/>
      </c>
      <c r="L6" s="85" t="str">
        <f ca="1">IF(LEN(L7)&gt;Einstellungen!$C$11,LEFT(L7,Einstellungen!$C$11)&amp;".",L7)</f>
        <v/>
      </c>
      <c r="M6" s="86" t="str">
        <f ca="1">IF(LEN(M7)&gt;Einstellungen!$C$11,LEFT(M7,Einstellungen!$C$11)&amp;".",M7)</f>
        <v/>
      </c>
    </row>
    <row r="7" spans="2:14" ht="21.95" customHeight="1" thickTop="1" thickBot="1" x14ac:dyDescent="0.25">
      <c r="B7" s="60"/>
      <c r="C7" s="65" t="str">
        <f>Sprache!$E$10</f>
        <v>Teilnehmer bzw. Mannschaft</v>
      </c>
      <c r="D7" s="69" t="str">
        <f>Sprache!$E$80</f>
        <v>Satzpkt.</v>
      </c>
      <c r="E7" s="57" t="str">
        <f>Sprache!$E$60</f>
        <v>Bälle</v>
      </c>
      <c r="F7" s="57" t="str">
        <f>Sprache!$E$26</f>
        <v>Diff.</v>
      </c>
      <c r="G7" s="87" t="str">
        <f>Sprache!$E$49</f>
        <v>Tie-Break</v>
      </c>
      <c r="H7" s="73" t="str">
        <f ca="1">C8</f>
        <v/>
      </c>
      <c r="I7" s="74" t="str">
        <f ca="1">C9</f>
        <v/>
      </c>
      <c r="J7" s="74" t="str">
        <f ca="1">C10</f>
        <v/>
      </c>
      <c r="K7" s="74" t="str">
        <f ca="1">C11</f>
        <v/>
      </c>
      <c r="L7" s="74" t="str">
        <f ca="1">C12</f>
        <v/>
      </c>
      <c r="M7" s="91" t="str">
        <f ca="1">C13</f>
        <v/>
      </c>
    </row>
    <row r="8" spans="2:14" ht="21.95" customHeight="1" x14ac:dyDescent="0.2">
      <c r="B8" s="58" t="str">
        <f ca="1">IF($C8="","",INDEX(Calc2!$E$4:$E$12,MATCH($C8,Calc2!$F$4:$F$12,0)))</f>
        <v/>
      </c>
      <c r="C8" s="66" t="str">
        <f ca="1">IF(Calc2!$K$13=0,"",Calc2!$X4)</f>
        <v/>
      </c>
      <c r="D8" s="70" t="str">
        <f ca="1">IF($C8="","",VLOOKUP($C8,Calc2!$C$17:$AC$25,25,0))</f>
        <v/>
      </c>
      <c r="E8" s="825" t="str">
        <f ca="1">IF($C8="","",VLOOKUP($C8,Calc2!$C$17:$AF$25,27,0)&amp;Sprache!$E$99&amp;(VLOOKUP($C8,Calc2!$C$17:$AF$25,27,0)-$F8))</f>
        <v/>
      </c>
      <c r="F8" s="54" t="str">
        <f ca="1">IF($C8="","",VLOOKUP($C8,Calc2!$C$17:$AC$25,26,0))</f>
        <v/>
      </c>
      <c r="G8" s="383" t="str">
        <f ca="1">IF(C8="","",VLOOKUP(C8,Calc2!$C$17:$AB$25,23,0))</f>
        <v/>
      </c>
      <c r="H8" s="78"/>
      <c r="I8" s="54" t="str">
        <f ca="1">IFERROR(VLOOKUP($C8&amp;I$7,Calc2!$Z$64:$AB$207,3,0),"")</f>
        <v/>
      </c>
      <c r="J8" s="54" t="str">
        <f ca="1">IFERROR(VLOOKUP($C8&amp;J$7,Calc2!$Z$64:$AB$207,3,0),"")</f>
        <v/>
      </c>
      <c r="K8" s="54" t="str">
        <f ca="1">IFERROR(VLOOKUP($C8&amp;K$7,Calc2!$Z$64:$AB$207,3,0),"")</f>
        <v/>
      </c>
      <c r="L8" s="54" t="str">
        <f ca="1">IFERROR(VLOOKUP($C8&amp;L$7,Calc2!$Z$64:$AB$207,3,0),"")</f>
        <v/>
      </c>
      <c r="M8" s="92" t="str">
        <f ca="1">IFERROR(VLOOKUP($C8&amp;M$7,Calc2!$Z$64:$AB$207,3,0),"")</f>
        <v/>
      </c>
      <c r="N8" s="120" t="str">
        <f t="shared" ref="N8:N13" ca="1" si="0">C8</f>
        <v/>
      </c>
    </row>
    <row r="9" spans="2:14" ht="21.95" customHeight="1" x14ac:dyDescent="0.2">
      <c r="B9" s="58" t="str">
        <f ca="1">IF($C9="","",INDEX(Calc2!$E$4:$E$12,MATCH($C9,Calc2!$F$4:$F$12,0)))</f>
        <v/>
      </c>
      <c r="C9" s="67" t="str">
        <f ca="1">IF(Calc2!$K$13=0,"",Calc2!$X5)</f>
        <v/>
      </c>
      <c r="D9" s="71" t="str">
        <f ca="1">IF($C9="","",VLOOKUP($C9,Calc2!$C$17:$AC$25,25,0))</f>
        <v/>
      </c>
      <c r="E9" s="826" t="str">
        <f ca="1">IF($C9="","",VLOOKUP($C9,Calc2!$C$17:$AF$25,27,0)&amp;Sprache!$E$99&amp;(VLOOKUP($C9,Calc2!$C$17:$AF$25,27,0)-$F9))</f>
        <v/>
      </c>
      <c r="F9" s="55" t="str">
        <f ca="1">IF($C9="","",VLOOKUP($C9,Calc2!$C$17:$AC$25,26,0))</f>
        <v/>
      </c>
      <c r="G9" s="384" t="str">
        <f ca="1">IF(C9="","",VLOOKUP(C9,Calc2!$C$17:$AB$25,23,0))</f>
        <v/>
      </c>
      <c r="H9" s="79" t="str">
        <f ca="1">IFERROR(VLOOKUP($C9&amp;H$7,Calc2!$Z$64:$AB$207,3,0),"")</f>
        <v/>
      </c>
      <c r="I9" s="64"/>
      <c r="J9" s="55" t="str">
        <f ca="1">IFERROR(VLOOKUP($C9&amp;J$7,Calc2!$Z$64:$AB$207,3,0),"")</f>
        <v/>
      </c>
      <c r="K9" s="55" t="str">
        <f ca="1">IFERROR(VLOOKUP($C9&amp;K$7,Calc2!$Z$64:$AB$207,3,0),"")</f>
        <v/>
      </c>
      <c r="L9" s="55" t="str">
        <f ca="1">IFERROR(VLOOKUP($C9&amp;L$7,Calc2!$Z$64:$AB$207,3,0),"")</f>
        <v/>
      </c>
      <c r="M9" s="93" t="str">
        <f ca="1">IFERROR(VLOOKUP($C9&amp;M$7,Calc2!$Z$64:$AB$207,3,0),"")</f>
        <v/>
      </c>
      <c r="N9" s="121" t="str">
        <f t="shared" ca="1" si="0"/>
        <v/>
      </c>
    </row>
    <row r="10" spans="2:14" ht="21.95" customHeight="1" x14ac:dyDescent="0.2">
      <c r="B10" s="58" t="str">
        <f ca="1">IF($C10="","",INDEX(Calc2!$E$4:$E$12,MATCH($C10,Calc2!$F$4:$F$12,0)))</f>
        <v/>
      </c>
      <c r="C10" s="67" t="str">
        <f ca="1">IF(Calc2!$K$13=0,"",Calc2!$X6)</f>
        <v/>
      </c>
      <c r="D10" s="71" t="str">
        <f ca="1">IF($C10="","",VLOOKUP($C10,Calc2!$C$17:$AC$25,25,0))</f>
        <v/>
      </c>
      <c r="E10" s="826" t="str">
        <f ca="1">IF($C10="","",VLOOKUP($C10,Calc2!$C$17:$AF$25,27,0)&amp;Sprache!$E$99&amp;(VLOOKUP($C10,Calc2!$C$17:$AF$25,27,0)-$F10))</f>
        <v/>
      </c>
      <c r="F10" s="55" t="str">
        <f ca="1">IF($C10="","",VLOOKUP($C10,Calc2!$C$17:$AC$25,26,0))</f>
        <v/>
      </c>
      <c r="G10" s="384" t="str">
        <f ca="1">IF(C10="","",VLOOKUP(C10,Calc2!$C$17:$AB$25,23,0))</f>
        <v/>
      </c>
      <c r="H10" s="79" t="str">
        <f ca="1">IFERROR(VLOOKUP($C10&amp;H$7,Calc2!$Z$64:$AB$207,3,0),"")</f>
        <v/>
      </c>
      <c r="I10" s="55" t="str">
        <f ca="1">IFERROR(VLOOKUP($C10&amp;I$7,Calc2!$Z$64:$AB$207,3,0),"")</f>
        <v/>
      </c>
      <c r="J10" s="64"/>
      <c r="K10" s="55" t="str">
        <f ca="1">IFERROR(VLOOKUP($C10&amp;K$7,Calc2!$Z$64:$AB$207,3,0),"")</f>
        <v/>
      </c>
      <c r="L10" s="55" t="str">
        <f ca="1">IFERROR(VLOOKUP($C10&amp;L$7,Calc2!$Z$64:$AB$207,3,0),"")</f>
        <v/>
      </c>
      <c r="M10" s="93" t="str">
        <f ca="1">IFERROR(VLOOKUP($C10&amp;M$7,Calc2!$Z$64:$AB$207,3,0),"")</f>
        <v/>
      </c>
      <c r="N10" s="121" t="str">
        <f t="shared" ca="1" si="0"/>
        <v/>
      </c>
    </row>
    <row r="11" spans="2:14" ht="21.95" customHeight="1" x14ac:dyDescent="0.2">
      <c r="B11" s="58" t="str">
        <f ca="1">IF($C11="","",INDEX(Calc2!$E$4:$E$12,MATCH($C11,Calc2!$F$4:$F$12,0)))</f>
        <v/>
      </c>
      <c r="C11" s="67" t="str">
        <f ca="1">IF(Calc2!$K$13=0,"",Calc2!$X7)</f>
        <v/>
      </c>
      <c r="D11" s="71" t="str">
        <f ca="1">IF($C11="","",VLOOKUP($C11,Calc2!$C$17:$AC$25,25,0))</f>
        <v/>
      </c>
      <c r="E11" s="826" t="str">
        <f ca="1">IF($C11="","",VLOOKUP($C11,Calc2!$C$17:$AF$25,27,0)&amp;Sprache!$E$99&amp;(VLOOKUP($C11,Calc2!$C$17:$AF$25,27,0)-$F11))</f>
        <v/>
      </c>
      <c r="F11" s="55" t="str">
        <f ca="1">IF($C11="","",VLOOKUP($C11,Calc2!$C$17:$AC$25,26,0))</f>
        <v/>
      </c>
      <c r="G11" s="384" t="str">
        <f ca="1">IF(C11="","",VLOOKUP(C11,Calc2!$C$17:$AB$25,23,0))</f>
        <v/>
      </c>
      <c r="H11" s="79" t="str">
        <f ca="1">IFERROR(VLOOKUP($C11&amp;H$7,Calc2!$Z$64:$AB$207,3,0),"")</f>
        <v/>
      </c>
      <c r="I11" s="55" t="str">
        <f ca="1">IFERROR(VLOOKUP($C11&amp;I$7,Calc2!$Z$64:$AB$207,3,0),"")</f>
        <v/>
      </c>
      <c r="J11" s="55" t="str">
        <f ca="1">IFERROR(VLOOKUP($C11&amp;J$7,Calc2!$Z$64:$AB$207,3,0),"")</f>
        <v/>
      </c>
      <c r="K11" s="64"/>
      <c r="L11" s="55" t="str">
        <f ca="1">IFERROR(VLOOKUP($C11&amp;L$7,Calc2!$Z$64:$AB$207,3,0),"")</f>
        <v/>
      </c>
      <c r="M11" s="93" t="str">
        <f ca="1">IFERROR(VLOOKUP($C11&amp;M$7,Calc2!$Z$64:$AB$207,3,0),"")</f>
        <v/>
      </c>
      <c r="N11" s="121" t="str">
        <f t="shared" ca="1" si="0"/>
        <v/>
      </c>
    </row>
    <row r="12" spans="2:14" ht="21.95" customHeight="1" x14ac:dyDescent="0.2">
      <c r="B12" s="58" t="str">
        <f ca="1">IF($C12="","",INDEX(Calc2!$E$4:$E$12,MATCH($C12,Calc2!$F$4:$F$12,0)))</f>
        <v/>
      </c>
      <c r="C12" s="67" t="str">
        <f ca="1">IF(Calc2!$K$13=0,"",Calc2!$X8)</f>
        <v/>
      </c>
      <c r="D12" s="71" t="str">
        <f ca="1">IF($C12="","",VLOOKUP($C12,Calc2!$C$17:$AC$25,25,0))</f>
        <v/>
      </c>
      <c r="E12" s="826" t="str">
        <f ca="1">IF($C12="","",VLOOKUP($C12,Calc2!$C$17:$AF$25,27,0)&amp;Sprache!$E$99&amp;(VLOOKUP($C12,Calc2!$C$17:$AF$25,27,0)-$F12))</f>
        <v/>
      </c>
      <c r="F12" s="55" t="str">
        <f ca="1">IF($C12="","",VLOOKUP($C12,Calc2!$C$17:$AC$25,26,0))</f>
        <v/>
      </c>
      <c r="G12" s="384" t="str">
        <f ca="1">IF(C12="","",VLOOKUP(C12,Calc2!$C$17:$AB$25,23,0))</f>
        <v/>
      </c>
      <c r="H12" s="79" t="str">
        <f ca="1">IFERROR(VLOOKUP($C12&amp;H$7,Calc2!$Z$64:$AB$207,3,0),"")</f>
        <v/>
      </c>
      <c r="I12" s="55" t="str">
        <f ca="1">IFERROR(VLOOKUP($C12&amp;I$7,Calc2!$Z$64:$AB$207,3,0),"")</f>
        <v/>
      </c>
      <c r="J12" s="55" t="str">
        <f ca="1">IFERROR(VLOOKUP($C12&amp;J$7,Calc2!$Z$64:$AB$207,3,0),"")</f>
        <v/>
      </c>
      <c r="K12" s="55" t="str">
        <f ca="1">IFERROR(VLOOKUP($C12&amp;K$7,Calc2!$Z$64:$AB$207,3,0),"")</f>
        <v/>
      </c>
      <c r="L12" s="64"/>
      <c r="M12" s="93" t="str">
        <f ca="1">IFERROR(VLOOKUP($C12&amp;M$7,Calc2!$Z$64:$AB$207,3,0),"")</f>
        <v/>
      </c>
      <c r="N12" s="121" t="str">
        <f t="shared" ca="1" si="0"/>
        <v/>
      </c>
    </row>
    <row r="13" spans="2:14" ht="21.95" customHeight="1" thickBot="1" x14ac:dyDescent="0.25">
      <c r="B13" s="59" t="str">
        <f ca="1">IF($C13="","",INDEX(Calc2!$E$4:$E$12,MATCH($C13,Calc2!$F$4:$F$12,0)))</f>
        <v/>
      </c>
      <c r="C13" s="68" t="str">
        <f ca="1">IF(Calc2!$K$13=0,"",Calc2!$X9)</f>
        <v/>
      </c>
      <c r="D13" s="72" t="str">
        <f ca="1">IF($C13="","",VLOOKUP($C13,Calc2!$C$17:$AC$25,25,0))</f>
        <v/>
      </c>
      <c r="E13" s="827" t="str">
        <f ca="1">IF($C13="","",VLOOKUP($C13,Calc2!$C$17:$AF$25,27,0)&amp;Sprache!$E$99&amp;(VLOOKUP($C13,Calc2!$C$17:$AF$25,27,0)-$F13))</f>
        <v/>
      </c>
      <c r="F13" s="56" t="str">
        <f ca="1">IF($C13="","",VLOOKUP($C13,Calc2!$C$17:$AC$25,26,0))</f>
        <v/>
      </c>
      <c r="G13" s="385" t="str">
        <f ca="1">IF(C13="","",VLOOKUP(C13,Calc2!$C$17:$AB$25,23,0))</f>
        <v/>
      </c>
      <c r="H13" s="80" t="str">
        <f ca="1">IFERROR(VLOOKUP($C13&amp;H$7,Calc2!$Z$64:$AB$207,3,0),"")</f>
        <v/>
      </c>
      <c r="I13" s="56" t="str">
        <f ca="1">IFERROR(VLOOKUP($C13&amp;I$7,Calc2!$Z$64:$AB$207,3,0),"")</f>
        <v/>
      </c>
      <c r="J13" s="56" t="str">
        <f ca="1">IFERROR(VLOOKUP($C13&amp;J$7,Calc2!$Z$64:$AB$207,3,0),"")</f>
        <v/>
      </c>
      <c r="K13" s="56" t="str">
        <f ca="1">IFERROR(VLOOKUP($C13&amp;K$7,Calc2!$Z$64:$AB$207,3,0),"")</f>
        <v/>
      </c>
      <c r="L13" s="56" t="str">
        <f ca="1">IFERROR(VLOOKUP($C13&amp;L$7,Calc2!$Z$64:$AB$207,3,0),"")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IF(LEN(H16)&gt;Einstellungen!$C$11,LEFT(H16,Einstellungen!$C$11)&amp;".",H16)</f>
        <v/>
      </c>
      <c r="I15" s="85" t="str">
        <f ca="1">IF(LEN(I16)&gt;Einstellungen!$C$11,LEFT(I16,Einstellungen!$C$11)&amp;".",I16)</f>
        <v/>
      </c>
      <c r="J15" s="85" t="str">
        <f ca="1">IF(LEN(J16)&gt;Einstellungen!$C$11,LEFT(J16,Einstellungen!$C$11)&amp;".",J16)</f>
        <v/>
      </c>
      <c r="K15" s="85" t="str">
        <f ca="1">IF(LEN(K16)&gt;Einstellungen!$C$11,LEFT(K16,Einstellungen!$C$11)&amp;".",K16)</f>
        <v/>
      </c>
      <c r="L15" s="85" t="str">
        <f ca="1">IF(LEN(L16)&gt;Einstellungen!$C$11,LEFT(L16,Einstellungen!$C$11)&amp;".",L16)</f>
        <v/>
      </c>
      <c r="M15" s="86" t="str">
        <f ca="1">IF(LEN(M16)&gt;Einstellungen!$C$11,LEFT(M16,Einstellungen!$C$11)&amp;".",M16)</f>
        <v/>
      </c>
    </row>
    <row r="16" spans="2:14" ht="21.95" customHeight="1" thickTop="1" thickBot="1" x14ac:dyDescent="0.25">
      <c r="B16" s="60"/>
      <c r="C16" s="65" t="str">
        <f>Sprache!$E$10</f>
        <v>Teilnehmer bzw. Mannschaft</v>
      </c>
      <c r="D16" s="69" t="str">
        <f>Sprache!$E$80</f>
        <v>Satzpkt.</v>
      </c>
      <c r="E16" s="57" t="str">
        <f>Sprache!$E$60</f>
        <v>Bälle</v>
      </c>
      <c r="F16" s="57" t="str">
        <f>Sprache!$E$26</f>
        <v>Diff.</v>
      </c>
      <c r="G16" s="87" t="str">
        <f>Sprache!$E$49</f>
        <v>Tie-Break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IF($C17="","",INDEX(Calc2!$E$4:$E$12,MATCH($C17,Calc2!$F$4:$F$12,0)))</f>
        <v/>
      </c>
      <c r="C17" s="66" t="str">
        <f ca="1">IF(Calc2!$K$13=0,"",Calc2!$AC4)</f>
        <v/>
      </c>
      <c r="D17" s="70" t="str">
        <f ca="1">IF($C17="","",VLOOKUP($C17,Calc2!$C$17:$AC$25,25,0))</f>
        <v/>
      </c>
      <c r="E17" s="825" t="str">
        <f ca="1">IF($C17="","",VLOOKUP($C17,Calc2!$C$17:$AF$25,27,0)&amp;Sprache!$E$99&amp;(VLOOKUP($C17,Calc2!$C$17:$AF$25,27,0)-$F17))</f>
        <v/>
      </c>
      <c r="F17" s="54" t="str">
        <f ca="1">IF($C17="","",VLOOKUP($C17,Calc2!$C$17:$AC$25,26,0))</f>
        <v/>
      </c>
      <c r="G17" s="383" t="str">
        <f ca="1">IF(C17="","",VLOOKUP(C17,Calc2!$C$17:$AB$25,23,0))</f>
        <v/>
      </c>
      <c r="H17" s="78"/>
      <c r="I17" s="54" t="str">
        <f ca="1">IFERROR(VLOOKUP($C17&amp;I$16,Calc2!$Z$64:$AB$207,3,0),"")</f>
        <v/>
      </c>
      <c r="J17" s="54" t="str">
        <f ca="1">IFERROR(VLOOKUP($C17&amp;J$16,Calc2!$Z$64:$AB$207,3,0),"")</f>
        <v/>
      </c>
      <c r="K17" s="54" t="str">
        <f ca="1">IFERROR(VLOOKUP($C17&amp;K$16,Calc2!$Z$64:$AB$207,3,0),"")</f>
        <v/>
      </c>
      <c r="L17" s="54" t="str">
        <f ca="1">IFERROR(VLOOKUP($C17&amp;L$16,Calc2!$Z$64:$AB$207,3,0),"")</f>
        <v/>
      </c>
      <c r="M17" s="92" t="str">
        <f ca="1">IFERROR(VLOOKUP($C17&amp;M$16,Calc2!$Z$64:$AB$207,3,0),"")</f>
        <v/>
      </c>
      <c r="N17" s="120" t="str">
        <f t="shared" ref="N17:N22" ca="1" si="1">C17</f>
        <v/>
      </c>
    </row>
    <row r="18" spans="2:14" ht="21.95" customHeight="1" x14ac:dyDescent="0.2">
      <c r="B18" s="58" t="str">
        <f ca="1">IF($C18="","",INDEX(Calc2!$E$4:$E$12,MATCH($C18,Calc2!$F$4:$F$12,0)))</f>
        <v/>
      </c>
      <c r="C18" s="67" t="str">
        <f ca="1">IF(Calc2!$K$13=0,"",Calc2!$AC5)</f>
        <v/>
      </c>
      <c r="D18" s="71" t="str">
        <f ca="1">IF($C18="","",VLOOKUP($C18,Calc2!$C$17:$AC$25,25,0))</f>
        <v/>
      </c>
      <c r="E18" s="826" t="str">
        <f ca="1">IF($C18="","",VLOOKUP($C18,Calc2!$C$17:$AF$25,27,0)&amp;Sprache!$E$99&amp;(VLOOKUP($C18,Calc2!$C$17:$AF$25,27,0)-$F18))</f>
        <v/>
      </c>
      <c r="F18" s="55" t="str">
        <f ca="1">IF($C18="","",VLOOKUP($C18,Calc2!$C$17:$AC$25,26,0))</f>
        <v/>
      </c>
      <c r="G18" s="384" t="str">
        <f ca="1">IF(C18="","",VLOOKUP(C18,Calc2!$C$17:$AB$25,23,0))</f>
        <v/>
      </c>
      <c r="H18" s="79" t="str">
        <f ca="1">IFERROR(VLOOKUP($C18&amp;H$16,Calc2!$Z$64:$AB$207,3,0),"")</f>
        <v/>
      </c>
      <c r="I18" s="64"/>
      <c r="J18" s="55" t="str">
        <f ca="1">IFERROR(VLOOKUP($C18&amp;J$16,Calc2!$Z$64:$AB$207,3,0),"")</f>
        <v/>
      </c>
      <c r="K18" s="55" t="str">
        <f ca="1">IFERROR(VLOOKUP($C18&amp;K$16,Calc2!$Z$64:$AB$207,3,0),"")</f>
        <v/>
      </c>
      <c r="L18" s="55" t="str">
        <f ca="1">IFERROR(VLOOKUP($C18&amp;L$16,Calc2!$Z$64:$AB$207,3,0),"")</f>
        <v/>
      </c>
      <c r="M18" s="93" t="str">
        <f ca="1">IFERROR(VLOOKUP($C18&amp;M$16,Calc2!$Z$64:$AB$207,3,0),"")</f>
        <v/>
      </c>
      <c r="N18" s="121" t="str">
        <f t="shared" ca="1" si="1"/>
        <v/>
      </c>
    </row>
    <row r="19" spans="2:14" ht="21.95" customHeight="1" x14ac:dyDescent="0.2">
      <c r="B19" s="58" t="str">
        <f ca="1">IF($C19="","",INDEX(Calc2!$E$4:$E$12,MATCH($C19,Calc2!$F$4:$F$12,0)))</f>
        <v/>
      </c>
      <c r="C19" s="67" t="str">
        <f ca="1">IF(Calc2!$K$13=0,"",Calc2!$AC6)</f>
        <v/>
      </c>
      <c r="D19" s="71" t="str">
        <f ca="1">IF($C19="","",VLOOKUP($C19,Calc2!$C$17:$AC$25,25,0))</f>
        <v/>
      </c>
      <c r="E19" s="826" t="str">
        <f ca="1">IF($C19="","",VLOOKUP($C19,Calc2!$C$17:$AF$25,27,0)&amp;Sprache!$E$99&amp;(VLOOKUP($C19,Calc2!$C$17:$AF$25,27,0)-$F19))</f>
        <v/>
      </c>
      <c r="F19" s="55" t="str">
        <f ca="1">IF($C19="","",VLOOKUP($C19,Calc2!$C$17:$AC$25,26,0))</f>
        <v/>
      </c>
      <c r="G19" s="384" t="str">
        <f ca="1">IF(C19="","",VLOOKUP(C19,Calc2!$C$17:$AB$25,23,0))</f>
        <v/>
      </c>
      <c r="H19" s="79" t="str">
        <f ca="1">IFERROR(VLOOKUP($C19&amp;H$16,Calc2!$Z$64:$AB$207,3,0),"")</f>
        <v/>
      </c>
      <c r="I19" s="55" t="str">
        <f ca="1">IFERROR(VLOOKUP($C19&amp;I$16,Calc2!$Z$64:$AB$207,3,0),"")</f>
        <v/>
      </c>
      <c r="J19" s="64"/>
      <c r="K19" s="55" t="str">
        <f ca="1">IFERROR(VLOOKUP($C19&amp;K$16,Calc2!$Z$64:$AB$207,3,0),"")</f>
        <v/>
      </c>
      <c r="L19" s="55" t="str">
        <f ca="1">IFERROR(VLOOKUP($C19&amp;L$16,Calc2!$Z$64:$AB$207,3,0),"")</f>
        <v/>
      </c>
      <c r="M19" s="93" t="str">
        <f ca="1">IFERROR(VLOOKUP($C19&amp;M$16,Calc2!$Z$64:$AB$207,3,0),"")</f>
        <v/>
      </c>
      <c r="N19" s="121" t="str">
        <f t="shared" ca="1" si="1"/>
        <v/>
      </c>
    </row>
    <row r="20" spans="2:14" ht="21.95" customHeight="1" x14ac:dyDescent="0.2">
      <c r="B20" s="58" t="str">
        <f ca="1">IF($C20="","",INDEX(Calc2!$E$4:$E$12,MATCH($C20,Calc2!$F$4:$F$12,0)))</f>
        <v/>
      </c>
      <c r="C20" s="67" t="str">
        <f ca="1">IF(Calc2!$K$13=0,"",Calc2!$AC7)</f>
        <v/>
      </c>
      <c r="D20" s="71" t="str">
        <f ca="1">IF($C20="","",VLOOKUP($C20,Calc2!$C$17:$AC$25,25,0))</f>
        <v/>
      </c>
      <c r="E20" s="826" t="str">
        <f ca="1">IF($C20="","",VLOOKUP($C20,Calc2!$C$17:$AF$25,27,0)&amp;Sprache!$E$99&amp;(VLOOKUP($C20,Calc2!$C$17:$AF$25,27,0)-$F20))</f>
        <v/>
      </c>
      <c r="F20" s="55" t="str">
        <f ca="1">IF($C20="","",VLOOKUP($C20,Calc2!$C$17:$AC$25,26,0))</f>
        <v/>
      </c>
      <c r="G20" s="384" t="str">
        <f ca="1">IF(C20="","",VLOOKUP(C20,Calc2!$C$17:$AB$25,23,0))</f>
        <v/>
      </c>
      <c r="H20" s="79" t="str">
        <f ca="1">IFERROR(VLOOKUP($C20&amp;H$16,Calc2!$Z$64:$AB$207,3,0),"")</f>
        <v/>
      </c>
      <c r="I20" s="55" t="str">
        <f ca="1">IFERROR(VLOOKUP($C20&amp;I$16,Calc2!$Z$64:$AB$207,3,0),"")</f>
        <v/>
      </c>
      <c r="J20" s="55" t="str">
        <f ca="1">IFERROR(VLOOKUP($C20&amp;J$16,Calc2!$Z$64:$AB$207,3,0),"")</f>
        <v/>
      </c>
      <c r="K20" s="64"/>
      <c r="L20" s="55" t="str">
        <f ca="1">IFERROR(VLOOKUP($C20&amp;L$16,Calc2!$Z$64:$AB$207,3,0),"")</f>
        <v/>
      </c>
      <c r="M20" s="93" t="str">
        <f ca="1">IFERROR(VLOOKUP($C20&amp;M$16,Calc2!$Z$64:$AB$207,3,0),"")</f>
        <v/>
      </c>
      <c r="N20" s="121" t="str">
        <f t="shared" ca="1" si="1"/>
        <v/>
      </c>
    </row>
    <row r="21" spans="2:14" ht="21.95" customHeight="1" x14ac:dyDescent="0.2">
      <c r="B21" s="58" t="str">
        <f ca="1">IF($C21="","",INDEX(Calc2!$E$4:$E$12,MATCH($C21,Calc2!$F$4:$F$12,0)))</f>
        <v/>
      </c>
      <c r="C21" s="67" t="str">
        <f ca="1">IF(Calc2!$K$13=0,"",Calc2!$AC8)</f>
        <v/>
      </c>
      <c r="D21" s="71" t="str">
        <f ca="1">IF($C21="","",VLOOKUP($C21,Calc2!$C$17:$AC$25,25,0))</f>
        <v/>
      </c>
      <c r="E21" s="826" t="str">
        <f ca="1">IF($C21="","",VLOOKUP($C21,Calc2!$C$17:$AF$25,27,0)&amp;Sprache!$E$99&amp;(VLOOKUP($C21,Calc2!$C$17:$AF$25,27,0)-$F21))</f>
        <v/>
      </c>
      <c r="F21" s="55" t="str">
        <f ca="1">IF($C21="","",VLOOKUP($C21,Calc2!$C$17:$AC$25,26,0))</f>
        <v/>
      </c>
      <c r="G21" s="384" t="str">
        <f ca="1">IF(C21="","",VLOOKUP(C21,Calc2!$C$17:$AB$25,23,0))</f>
        <v/>
      </c>
      <c r="H21" s="79" t="str">
        <f ca="1">IFERROR(VLOOKUP($C21&amp;H$16,Calc2!$Z$64:$AB$207,3,0),"")</f>
        <v/>
      </c>
      <c r="I21" s="55" t="str">
        <f ca="1">IFERROR(VLOOKUP($C21&amp;I$16,Calc2!$Z$64:$AB$207,3,0),"")</f>
        <v/>
      </c>
      <c r="J21" s="55" t="str">
        <f ca="1">IFERROR(VLOOKUP($C21&amp;J$16,Calc2!$Z$64:$AB$207,3,0),"")</f>
        <v/>
      </c>
      <c r="K21" s="55" t="str">
        <f ca="1">IFERROR(VLOOKUP($C21&amp;K$16,Calc2!$Z$64:$AB$207,3,0),"")</f>
        <v/>
      </c>
      <c r="L21" s="64"/>
      <c r="M21" s="93" t="str">
        <f ca="1">IFERROR(VLOOKUP($C21&amp;M$16,Calc2!$Z$64:$AB$207,3,0),"")</f>
        <v/>
      </c>
      <c r="N21" s="121" t="str">
        <f t="shared" ca="1" si="1"/>
        <v/>
      </c>
    </row>
    <row r="22" spans="2:14" ht="21.95" customHeight="1" thickBot="1" x14ac:dyDescent="0.25">
      <c r="B22" s="59" t="str">
        <f ca="1">IF($C22="","",INDEX(Calc2!$E$4:$E$12,MATCH($C22,Calc2!$F$4:$F$12,0)))</f>
        <v/>
      </c>
      <c r="C22" s="68" t="str">
        <f ca="1">IF(Calc2!$K$13=0,"",Calc2!$AC9)</f>
        <v/>
      </c>
      <c r="D22" s="72" t="str">
        <f ca="1">IF($C22="","",VLOOKUP($C22,Calc2!$C$17:$AC$25,25,0))</f>
        <v/>
      </c>
      <c r="E22" s="827" t="str">
        <f ca="1">IF($C22="","",VLOOKUP($C22,Calc2!$C$17:$AF$25,27,0)&amp;Sprache!$E$99&amp;(VLOOKUP($C22,Calc2!$C$17:$AF$25,27,0)-$F22))</f>
        <v/>
      </c>
      <c r="F22" s="56" t="str">
        <f ca="1">IF($C22="","",VLOOKUP($C22,Calc2!$C$17:$AC$25,26,0))</f>
        <v/>
      </c>
      <c r="G22" s="385" t="str">
        <f ca="1">IF(C22="","",VLOOKUP(C22,Calc2!$C$17:$AB$25,23,0))</f>
        <v/>
      </c>
      <c r="H22" s="80" t="str">
        <f ca="1">IFERROR(VLOOKUP($C22&amp;H$16,Calc2!$Z$64:$AB$207,3,0),"")</f>
        <v/>
      </c>
      <c r="I22" s="56" t="str">
        <f ca="1">IFERROR(VLOOKUP($C22&amp;I$16,Calc2!$Z$64:$AB$207,3,0),"")</f>
        <v/>
      </c>
      <c r="J22" s="56" t="str">
        <f ca="1">IFERROR(VLOOKUP($C22&amp;J$16,Calc2!$Z$64:$AB$207,3,0),"")</f>
        <v/>
      </c>
      <c r="K22" s="56" t="str">
        <f ca="1">IFERROR(VLOOKUP($C22&amp;K$16,Calc2!$Z$64:$AB$207,3,0),"")</f>
        <v/>
      </c>
      <c r="L22" s="56" t="str">
        <f ca="1">IFERROR(VLOOKUP($C22&amp;L$16,Calc2!$Z$64:$AB$207,3,0),"")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IF(LEN(H25)&gt;Einstellungen!$C$11,LEFT(H25,Einstellungen!$C$11)&amp;".",H25)</f>
        <v/>
      </c>
      <c r="I24" s="85" t="str">
        <f ca="1">IF(LEN(I25)&gt;Einstellungen!$C$11,LEFT(I25,Einstellungen!$C$11)&amp;".",I25)</f>
        <v/>
      </c>
      <c r="J24" s="85" t="str">
        <f ca="1">IF(LEN(J25)&gt;Einstellungen!$C$11,LEFT(J25,Einstellungen!$C$11)&amp;".",J25)</f>
        <v/>
      </c>
      <c r="K24" s="85" t="str">
        <f ca="1">IF(LEN(K25)&gt;Einstellungen!$C$11,LEFT(K25,Einstellungen!$C$11)&amp;".",K25)</f>
        <v/>
      </c>
      <c r="L24" s="85" t="str">
        <f ca="1">IF(LEN(L25)&gt;Einstellungen!$C$11,LEFT(L25,Einstellungen!$C$11)&amp;".",L25)</f>
        <v/>
      </c>
      <c r="M24" s="86" t="str">
        <f ca="1">IF(LEN(M25)&gt;Einstellungen!$C$11,LEFT(M25,Einstellungen!$C$11)&amp;".",M25)</f>
        <v/>
      </c>
    </row>
    <row r="25" spans="2:14" ht="21.95" customHeight="1" thickTop="1" thickBot="1" x14ac:dyDescent="0.25">
      <c r="B25" s="60"/>
      <c r="C25" s="65" t="str">
        <f>Sprache!$E$10</f>
        <v>Teilnehmer bzw. Mannschaft</v>
      </c>
      <c r="D25" s="69" t="str">
        <f>Sprache!$E$80</f>
        <v>Satzpkt.</v>
      </c>
      <c r="E25" s="57" t="str">
        <f>Sprache!$E$60</f>
        <v>Bälle</v>
      </c>
      <c r="F25" s="57" t="str">
        <f>Sprache!$E$26</f>
        <v>Diff.</v>
      </c>
      <c r="G25" s="87" t="str">
        <f>Sprache!$E$49</f>
        <v>Tie-Break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IF($C26="","",INDEX(Calc2!$E$4:$E$12,MATCH($C26,Calc2!$F$4:$F$12,0)))</f>
        <v/>
      </c>
      <c r="C26" s="66" t="str">
        <f ca="1">IF(Calc2!$K$13=0,"",Calc2!$AH4)</f>
        <v/>
      </c>
      <c r="D26" s="70" t="str">
        <f ca="1">IF($C26="","",VLOOKUP($C26,Calc2!$C$17:$AC$25,25,0))</f>
        <v/>
      </c>
      <c r="E26" s="825" t="str">
        <f ca="1">IF($C26="","",VLOOKUP($C26,Calc2!$C$17:$AF$25,27,0)&amp;Sprache!$E$99&amp;(VLOOKUP($C26,Calc2!$C$17:$AF$25,27,0)-$F26))</f>
        <v/>
      </c>
      <c r="F26" s="54" t="str">
        <f ca="1">IF($C26="","",VLOOKUP($C26,Calc2!$C$17:$AC$25,26,0))</f>
        <v/>
      </c>
      <c r="G26" s="383" t="str">
        <f ca="1">IF(C26="","",VLOOKUP(C26,Calc2!$C$17:$AB$25,23,0))</f>
        <v/>
      </c>
      <c r="H26" s="78"/>
      <c r="I26" s="54" t="str">
        <f ca="1">IFERROR(VLOOKUP($C26&amp;I$25,Calc2!$Z$64:$AB$207,3,0),"")</f>
        <v/>
      </c>
      <c r="J26" s="54" t="str">
        <f ca="1">IFERROR(VLOOKUP($C26&amp;J$25,Calc2!$Z$64:$AB$207,3,0),"")</f>
        <v/>
      </c>
      <c r="K26" s="54" t="str">
        <f ca="1">IFERROR(VLOOKUP($C26&amp;K$25,Calc2!$Z$64:$AB$207,3,0),"")</f>
        <v/>
      </c>
      <c r="L26" s="54" t="str">
        <f ca="1">IFERROR(VLOOKUP($C26&amp;L$25,Calc2!$Z$64:$AB$207,3,0),"")</f>
        <v/>
      </c>
      <c r="M26" s="92" t="str">
        <f ca="1">IFERROR(VLOOKUP($C26&amp;M$25,Calc2!$Z$64:$AB$207,3,0),"")</f>
        <v/>
      </c>
      <c r="N26" s="120" t="str">
        <f t="shared" ref="N26:N31" ca="1" si="2">C26</f>
        <v/>
      </c>
    </row>
    <row r="27" spans="2:14" ht="21.95" customHeight="1" x14ac:dyDescent="0.2">
      <c r="B27" s="58" t="str">
        <f ca="1">IF($C27="","",INDEX(Calc2!$E$4:$E$12,MATCH($C27,Calc2!$F$4:$F$12,0)))</f>
        <v/>
      </c>
      <c r="C27" s="67" t="str">
        <f ca="1">IF(Calc2!$K$13=0,"",Calc2!$AH5)</f>
        <v/>
      </c>
      <c r="D27" s="71" t="str">
        <f ca="1">IF($C27="","",VLOOKUP($C27,Calc2!$C$17:$AC$25,25,0))</f>
        <v/>
      </c>
      <c r="E27" s="826" t="str">
        <f ca="1">IF($C27="","",VLOOKUP($C27,Calc2!$C$17:$AF$25,27,0)&amp;Sprache!$E$99&amp;(VLOOKUP($C27,Calc2!$C$17:$AF$25,27,0)-$F27))</f>
        <v/>
      </c>
      <c r="F27" s="55" t="str">
        <f ca="1">IF($C27="","",VLOOKUP($C27,Calc2!$C$17:$AC$25,26,0))</f>
        <v/>
      </c>
      <c r="G27" s="384" t="str">
        <f ca="1">IF(C27="","",VLOOKUP(C27,Calc2!$C$17:$AB$25,23,0))</f>
        <v/>
      </c>
      <c r="H27" s="79" t="str">
        <f ca="1">IFERROR(VLOOKUP($C27&amp;H$25,Calc2!$Z$64:$AB$207,3,0),"")</f>
        <v/>
      </c>
      <c r="I27" s="64"/>
      <c r="J27" s="55" t="str">
        <f ca="1">IFERROR(VLOOKUP($C27&amp;J$25,Calc2!$Z$64:$AB$207,3,0),"")</f>
        <v/>
      </c>
      <c r="K27" s="55" t="str">
        <f ca="1">IFERROR(VLOOKUP($C27&amp;K$25,Calc2!$Z$64:$AB$207,3,0),"")</f>
        <v/>
      </c>
      <c r="L27" s="55" t="str">
        <f ca="1">IFERROR(VLOOKUP($C27&amp;L$25,Calc2!$Z$64:$AB$207,3,0),"")</f>
        <v/>
      </c>
      <c r="M27" s="93" t="str">
        <f ca="1">IFERROR(VLOOKUP($C27&amp;M$25,Calc2!$Z$64:$AB$207,3,0),"")</f>
        <v/>
      </c>
      <c r="N27" s="121" t="str">
        <f t="shared" ca="1" si="2"/>
        <v/>
      </c>
    </row>
    <row r="28" spans="2:14" ht="21.95" customHeight="1" x14ac:dyDescent="0.2">
      <c r="B28" s="58" t="str">
        <f ca="1">IF($C28="","",INDEX(Calc2!$E$4:$E$12,MATCH($C28,Calc2!$F$4:$F$12,0)))</f>
        <v/>
      </c>
      <c r="C28" s="67" t="str">
        <f ca="1">IF(Calc2!$K$13=0,"",Calc2!$AH6)</f>
        <v/>
      </c>
      <c r="D28" s="71" t="str">
        <f ca="1">IF($C28="","",VLOOKUP($C28,Calc2!$C$17:$AC$25,25,0))</f>
        <v/>
      </c>
      <c r="E28" s="826" t="str">
        <f ca="1">IF($C28="","",VLOOKUP($C28,Calc2!$C$17:$AF$25,27,0)&amp;Sprache!$E$99&amp;(VLOOKUP($C28,Calc2!$C$17:$AF$25,27,0)-$F28))</f>
        <v/>
      </c>
      <c r="F28" s="55" t="str">
        <f ca="1">IF($C28="","",VLOOKUP($C28,Calc2!$C$17:$AC$25,26,0))</f>
        <v/>
      </c>
      <c r="G28" s="384" t="str">
        <f ca="1">IF(C28="","",VLOOKUP(C28,Calc2!$C$17:$AB$25,23,0))</f>
        <v/>
      </c>
      <c r="H28" s="79" t="str">
        <f ca="1">IFERROR(VLOOKUP($C28&amp;H$25,Calc2!$Z$64:$AB$207,3,0),"")</f>
        <v/>
      </c>
      <c r="I28" s="55" t="str">
        <f ca="1">IFERROR(VLOOKUP($C28&amp;I$25,Calc2!$Z$64:$AB$207,3,0),"")</f>
        <v/>
      </c>
      <c r="J28" s="64"/>
      <c r="K28" s="55" t="str">
        <f ca="1">IFERROR(VLOOKUP($C28&amp;K$25,Calc2!$Z$64:$AB$207,3,0),"")</f>
        <v/>
      </c>
      <c r="L28" s="55" t="str">
        <f ca="1">IFERROR(VLOOKUP($C28&amp;L$25,Calc2!$Z$64:$AB$207,3,0),"")</f>
        <v/>
      </c>
      <c r="M28" s="93" t="str">
        <f ca="1">IFERROR(VLOOKUP($C28&amp;M$25,Calc2!$Z$64:$AB$207,3,0),"")</f>
        <v/>
      </c>
      <c r="N28" s="121" t="str">
        <f t="shared" ca="1" si="2"/>
        <v/>
      </c>
    </row>
    <row r="29" spans="2:14" ht="21.95" customHeight="1" x14ac:dyDescent="0.2">
      <c r="B29" s="58" t="str">
        <f ca="1">IF($C29="","",INDEX(Calc2!$E$4:$E$12,MATCH($C29,Calc2!$F$4:$F$12,0)))</f>
        <v/>
      </c>
      <c r="C29" s="67" t="str">
        <f ca="1">IF(Calc2!$K$13=0,"",Calc2!$AH7)</f>
        <v/>
      </c>
      <c r="D29" s="71" t="str">
        <f ca="1">IF($C29="","",VLOOKUP($C29,Calc2!$C$17:$AC$25,25,0))</f>
        <v/>
      </c>
      <c r="E29" s="826" t="str">
        <f ca="1">IF($C29="","",VLOOKUP($C29,Calc2!$C$17:$AF$25,27,0)&amp;Sprache!$E$99&amp;(VLOOKUP($C29,Calc2!$C$17:$AF$25,27,0)-$F29))</f>
        <v/>
      </c>
      <c r="F29" s="55" t="str">
        <f ca="1">IF($C29="","",VLOOKUP($C29,Calc2!$C$17:$AC$25,26,0))</f>
        <v/>
      </c>
      <c r="G29" s="384" t="str">
        <f ca="1">IF(C29="","",VLOOKUP(C29,Calc2!$C$17:$AB$25,23,0))</f>
        <v/>
      </c>
      <c r="H29" s="79" t="str">
        <f ca="1">IFERROR(VLOOKUP($C29&amp;H$25,Calc2!$Z$64:$AB$207,3,0),"")</f>
        <v/>
      </c>
      <c r="I29" s="55" t="str">
        <f ca="1">IFERROR(VLOOKUP($C29&amp;I$25,Calc2!$Z$64:$AB$207,3,0),"")</f>
        <v/>
      </c>
      <c r="J29" s="55" t="str">
        <f ca="1">IFERROR(VLOOKUP($C29&amp;J$25,Calc2!$Z$64:$AB$207,3,0),"")</f>
        <v/>
      </c>
      <c r="K29" s="64"/>
      <c r="L29" s="55" t="str">
        <f ca="1">IFERROR(VLOOKUP($C29&amp;L$25,Calc2!$Z$64:$AB$207,3,0),"")</f>
        <v/>
      </c>
      <c r="M29" s="93" t="str">
        <f ca="1">IFERROR(VLOOKUP($C29&amp;M$25,Calc2!$Z$64:$AB$207,3,0),"")</f>
        <v/>
      </c>
      <c r="N29" s="121" t="str">
        <f t="shared" ca="1" si="2"/>
        <v/>
      </c>
    </row>
    <row r="30" spans="2:14" ht="21.95" customHeight="1" x14ac:dyDescent="0.2">
      <c r="B30" s="58" t="str">
        <f ca="1">IF($C30="","",INDEX(Calc2!$E$4:$E$12,MATCH($C30,Calc2!$F$4:$F$12,0)))</f>
        <v/>
      </c>
      <c r="C30" s="67" t="str">
        <f ca="1">IF(Calc2!$K$13=0,"",Calc2!$AH8)</f>
        <v/>
      </c>
      <c r="D30" s="71" t="str">
        <f ca="1">IF($C30="","",VLOOKUP($C30,Calc2!$C$17:$AC$25,25,0))</f>
        <v/>
      </c>
      <c r="E30" s="826" t="str">
        <f ca="1">IF($C30="","",VLOOKUP($C30,Calc2!$C$17:$AF$25,27,0)&amp;Sprache!$E$99&amp;(VLOOKUP($C30,Calc2!$C$17:$AF$25,27,0)-$F30))</f>
        <v/>
      </c>
      <c r="F30" s="55" t="str">
        <f ca="1">IF($C30="","",VLOOKUP($C30,Calc2!$C$17:$AC$25,26,0))</f>
        <v/>
      </c>
      <c r="G30" s="384" t="str">
        <f ca="1">IF(C30="","",VLOOKUP(C30,Calc2!$C$17:$AB$25,23,0))</f>
        <v/>
      </c>
      <c r="H30" s="79" t="str">
        <f ca="1">IFERROR(VLOOKUP($C30&amp;H$25,Calc2!$Z$64:$AB$207,3,0),"")</f>
        <v/>
      </c>
      <c r="I30" s="55" t="str">
        <f ca="1">IFERROR(VLOOKUP($C30&amp;I$25,Calc2!$Z$64:$AB$207,3,0),"")</f>
        <v/>
      </c>
      <c r="J30" s="55" t="str">
        <f ca="1">IFERROR(VLOOKUP($C30&amp;J$25,Calc2!$Z$64:$AB$207,3,0),"")</f>
        <v/>
      </c>
      <c r="K30" s="55" t="str">
        <f ca="1">IFERROR(VLOOKUP($C30&amp;K$25,Calc2!$Z$64:$AB$207,3,0),"")</f>
        <v/>
      </c>
      <c r="L30" s="64"/>
      <c r="M30" s="93" t="str">
        <f ca="1">IFERROR(VLOOKUP($C30&amp;M$25,Calc2!$Z$64:$AB$207,3,0),"")</f>
        <v/>
      </c>
      <c r="N30" s="121" t="str">
        <f t="shared" ca="1" si="2"/>
        <v/>
      </c>
    </row>
    <row r="31" spans="2:14" ht="21.95" customHeight="1" thickBot="1" x14ac:dyDescent="0.25">
      <c r="B31" s="59" t="str">
        <f ca="1">IF($C31="","",INDEX(Calc2!$E$4:$E$12,MATCH($C31,Calc2!$F$4:$F$12,0)))</f>
        <v/>
      </c>
      <c r="C31" s="68" t="str">
        <f ca="1">IF(Calc2!$K$13=0,"",Calc2!$AH9)</f>
        <v/>
      </c>
      <c r="D31" s="72" t="str">
        <f ca="1">IF($C31="","",VLOOKUP($C31,Calc2!$C$17:$AC$25,25,0))</f>
        <v/>
      </c>
      <c r="E31" s="827" t="str">
        <f ca="1">IF($C31="","",VLOOKUP($C31,Calc2!$C$17:$AF$25,27,0)&amp;Sprache!$E$99&amp;(VLOOKUP($C31,Calc2!$C$17:$AF$25,27,0)-$F31))</f>
        <v/>
      </c>
      <c r="F31" s="56" t="str">
        <f ca="1">IF($C31="","",VLOOKUP($C31,Calc2!$C$17:$AC$25,26,0))</f>
        <v/>
      </c>
      <c r="G31" s="385" t="str">
        <f ca="1">IF(C31="","",VLOOKUP(C31,Calc2!$C$17:$AB$25,23,0))</f>
        <v/>
      </c>
      <c r="H31" s="80" t="str">
        <f ca="1">IFERROR(VLOOKUP($C31&amp;H$25,Calc2!$Z$64:$AB$207,3,0),"")</f>
        <v/>
      </c>
      <c r="I31" s="56" t="str">
        <f ca="1">IFERROR(VLOOKUP($C31&amp;I$25,Calc2!$Z$64:$AB$207,3,0),"")</f>
        <v/>
      </c>
      <c r="J31" s="56" t="str">
        <f ca="1">IFERROR(VLOOKUP($C31&amp;J$25,Calc2!$Z$64:$AB$207,3,0),"")</f>
        <v/>
      </c>
      <c r="K31" s="56" t="str">
        <f ca="1">IFERROR(VLOOKUP($C31&amp;K$25,Calc2!$Z$64:$AB$207,3,0),"")</f>
        <v/>
      </c>
      <c r="L31" s="56" t="str">
        <f ca="1">IFERROR(VLOOKUP($C31&amp;L$25,Calc2!$Z$64:$AB$207,3,0),"")</f>
        <v/>
      </c>
      <c r="M31" s="94"/>
      <c r="N31" s="122" t="str">
        <f t="shared" ca="1" si="2"/>
        <v/>
      </c>
    </row>
    <row r="32" spans="2:14" ht="42.75" customHeight="1" thickTop="1" thickBot="1" x14ac:dyDescent="0.25"/>
    <row r="33" spans="2:14" ht="21.95" customHeight="1" thickBot="1" x14ac:dyDescent="0.25">
      <c r="H33" s="84" t="str">
        <f ca="1">IF(LEN(H34)&gt;Einstellungen!$C$11,LEFT(H34,Einstellungen!$C$11)&amp;".",H34)</f>
        <v/>
      </c>
      <c r="I33" s="85" t="str">
        <f ca="1">IF(LEN(I34)&gt;Einstellungen!$C$11,LEFT(I34,Einstellungen!$C$11)&amp;".",I34)</f>
        <v/>
      </c>
      <c r="J33" s="85" t="str">
        <f ca="1">IF(LEN(J34)&gt;Einstellungen!$C$11,LEFT(J34,Einstellungen!$C$11)&amp;".",J34)</f>
        <v/>
      </c>
      <c r="K33" s="85" t="str">
        <f ca="1">IF(LEN(K34)&gt;Einstellungen!$C$11,LEFT(K34,Einstellungen!$C$11)&amp;".",K34)</f>
        <v/>
      </c>
      <c r="L33" s="85" t="str">
        <f ca="1">IF(LEN(L34)&gt;Einstellungen!$C$11,LEFT(L34,Einstellungen!$C$11)&amp;".",L34)</f>
        <v/>
      </c>
      <c r="M33" s="86" t="str">
        <f ca="1">IF(LEN(M34)&gt;Einstellungen!$C$11,LEFT(M34,Einstellungen!$C$11)&amp;".",M34)</f>
        <v/>
      </c>
    </row>
    <row r="34" spans="2:14" ht="21.95" customHeight="1" thickTop="1" thickBot="1" x14ac:dyDescent="0.25">
      <c r="B34" s="60"/>
      <c r="C34" s="65" t="str">
        <f>Sprache!$E$10</f>
        <v>Teilnehmer bzw. Mannschaft</v>
      </c>
      <c r="D34" s="69" t="str">
        <f>Sprache!$E$80</f>
        <v>Satzpkt.</v>
      </c>
      <c r="E34" s="57" t="str">
        <f>Sprache!$E$60</f>
        <v>Bälle</v>
      </c>
      <c r="F34" s="57" t="str">
        <f>Sprache!$E$26</f>
        <v>Diff.</v>
      </c>
      <c r="G34" s="87" t="str">
        <f>Sprache!$E$49</f>
        <v>Tie-Break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IF($C35="","",INDEX(Calc2!$E$4:$E$12,MATCH($C35,Calc2!$F$4:$F$12,0)))</f>
        <v/>
      </c>
      <c r="C35" s="66" t="str">
        <f ca="1">IF(Calc2!$K$13=0,"",Calc2!$AM4)</f>
        <v/>
      </c>
      <c r="D35" s="70" t="str">
        <f ca="1">IF($C35="","",VLOOKUP($C35,Calc2!$C$17:$AC$25,25,0))</f>
        <v/>
      </c>
      <c r="E35" s="825" t="str">
        <f ca="1">IF($C35="","",VLOOKUP($C35,Calc2!$C$17:$AF$25,27,0)&amp;Sprache!$E$99&amp;(VLOOKUP($C35,Calc2!$C$17:$AF$25,27,0)-$F35))</f>
        <v/>
      </c>
      <c r="F35" s="54" t="str">
        <f ca="1">IF($C35="","",VLOOKUP($C35,Calc2!$C$17:$AC$25,26,0))</f>
        <v/>
      </c>
      <c r="G35" s="383" t="str">
        <f ca="1">IF(C35="","",VLOOKUP(C35,Calc2!$C$17:$AB$25,23,0))</f>
        <v/>
      </c>
      <c r="H35" s="78"/>
      <c r="I35" s="54" t="str">
        <f ca="1">IFERROR(VLOOKUP($C35&amp;I$34,Calc2!$Z$64:$AB$207,3,0),"")</f>
        <v/>
      </c>
      <c r="J35" s="54" t="str">
        <f ca="1">IFERROR(VLOOKUP($C35&amp;J$34,Calc2!$Z$64:$AB$207,3,0),"")</f>
        <v/>
      </c>
      <c r="K35" s="54" t="str">
        <f ca="1">IFERROR(VLOOKUP($C35&amp;K$34,Calc2!$Z$64:$AB$207,3,0),"")</f>
        <v/>
      </c>
      <c r="L35" s="54" t="str">
        <f ca="1">IFERROR(VLOOKUP($C35&amp;L$34,Calc2!$Z$64:$AB$207,3,0),"")</f>
        <v/>
      </c>
      <c r="M35" s="92" t="str">
        <f ca="1">IFERROR(VLOOKUP($C35&amp;M$34,Calc2!$Z$64:$AB$207,3,0),"")</f>
        <v/>
      </c>
      <c r="N35" s="120" t="str">
        <f t="shared" ref="N35:N40" ca="1" si="3">C35</f>
        <v/>
      </c>
    </row>
    <row r="36" spans="2:14" ht="21.95" customHeight="1" x14ac:dyDescent="0.2">
      <c r="B36" s="58" t="str">
        <f ca="1">IF($C36="","",INDEX(Calc2!$E$4:$E$12,MATCH($C36,Calc2!$F$4:$F$12,0)))</f>
        <v/>
      </c>
      <c r="C36" s="67" t="str">
        <f ca="1">IF(Calc2!$K$13=0,"",Calc2!$AM5)</f>
        <v/>
      </c>
      <c r="D36" s="71" t="str">
        <f ca="1">IF($C36="","",VLOOKUP($C36,Calc2!$C$17:$AC$25,25,0))</f>
        <v/>
      </c>
      <c r="E36" s="826" t="str">
        <f ca="1">IF($C36="","",VLOOKUP($C36,Calc2!$C$17:$AF$25,27,0)&amp;Sprache!$E$99&amp;(VLOOKUP($C36,Calc2!$C$17:$AF$25,27,0)-$F36))</f>
        <v/>
      </c>
      <c r="F36" s="55" t="str">
        <f ca="1">IF($C36="","",VLOOKUP($C36,Calc2!$C$17:$AC$25,26,0))</f>
        <v/>
      </c>
      <c r="G36" s="384" t="str">
        <f ca="1">IF(C36="","",VLOOKUP(C36,Calc2!$C$17:$AB$25,23,0))</f>
        <v/>
      </c>
      <c r="H36" s="79" t="str">
        <f ca="1">IFERROR(VLOOKUP($C36&amp;H$34,Calc2!$Z$64:$AB$207,3,0),"")</f>
        <v/>
      </c>
      <c r="I36" s="64"/>
      <c r="J36" s="55" t="str">
        <f ca="1">IFERROR(VLOOKUP($C36&amp;J$34,Calc2!$Z$64:$AB$207,3,0),"")</f>
        <v/>
      </c>
      <c r="K36" s="55" t="str">
        <f ca="1">IFERROR(VLOOKUP($C36&amp;K$34,Calc2!$Z$64:$AB$207,3,0),"")</f>
        <v/>
      </c>
      <c r="L36" s="55" t="str">
        <f ca="1">IFERROR(VLOOKUP($C36&amp;L$34,Calc2!$Z$64:$AB$207,3,0),"")</f>
        <v/>
      </c>
      <c r="M36" s="93" t="str">
        <f ca="1">IFERROR(VLOOKUP($C36&amp;M$34,Calc2!$Z$64:$AB$207,3,0),"")</f>
        <v/>
      </c>
      <c r="N36" s="121" t="str">
        <f t="shared" ca="1" si="3"/>
        <v/>
      </c>
    </row>
    <row r="37" spans="2:14" ht="21.95" customHeight="1" x14ac:dyDescent="0.2">
      <c r="B37" s="58" t="str">
        <f ca="1">IF($C37="","",INDEX(Calc2!$E$4:$E$12,MATCH($C37,Calc2!$F$4:$F$12,0)))</f>
        <v/>
      </c>
      <c r="C37" s="67" t="str">
        <f ca="1">IF(Calc2!$K$13=0,"",Calc2!$AM6)</f>
        <v/>
      </c>
      <c r="D37" s="71" t="str">
        <f ca="1">IF($C37="","",VLOOKUP($C37,Calc2!$C$17:$AC$25,25,0))</f>
        <v/>
      </c>
      <c r="E37" s="826" t="str">
        <f ca="1">IF($C37="","",VLOOKUP($C37,Calc2!$C$17:$AF$25,27,0)&amp;Sprache!$E$99&amp;(VLOOKUP($C37,Calc2!$C$17:$AF$25,27,0)-$F37))</f>
        <v/>
      </c>
      <c r="F37" s="55" t="str">
        <f ca="1">IF($C37="","",VLOOKUP($C37,Calc2!$C$17:$AC$25,26,0))</f>
        <v/>
      </c>
      <c r="G37" s="384" t="str">
        <f ca="1">IF(C37="","",VLOOKUP(C37,Calc2!$C$17:$AB$25,23,0))</f>
        <v/>
      </c>
      <c r="H37" s="79" t="str">
        <f ca="1">IFERROR(VLOOKUP($C37&amp;H$34,Calc2!$Z$64:$AB$207,3,0),"")</f>
        <v/>
      </c>
      <c r="I37" s="55" t="str">
        <f ca="1">IFERROR(VLOOKUP($C37&amp;I$34,Calc2!$Z$64:$AB$207,3,0),"")</f>
        <v/>
      </c>
      <c r="J37" s="64"/>
      <c r="K37" s="55" t="str">
        <f ca="1">IFERROR(VLOOKUP($C37&amp;K$34,Calc2!$Z$64:$AB$207,3,0),"")</f>
        <v/>
      </c>
      <c r="L37" s="55" t="str">
        <f ca="1">IFERROR(VLOOKUP($C37&amp;L$34,Calc2!$Z$64:$AB$207,3,0),"")</f>
        <v/>
      </c>
      <c r="M37" s="93" t="str">
        <f ca="1">IFERROR(VLOOKUP($C37&amp;M$34,Calc2!$Z$64:$AB$207,3,0),"")</f>
        <v/>
      </c>
      <c r="N37" s="121" t="str">
        <f t="shared" ca="1" si="3"/>
        <v/>
      </c>
    </row>
    <row r="38" spans="2:14" ht="21.95" customHeight="1" x14ac:dyDescent="0.2">
      <c r="B38" s="58" t="str">
        <f ca="1">IF($C38="","",INDEX(Calc2!$E$4:$E$12,MATCH($C38,Calc2!$F$4:$F$12,0)))</f>
        <v/>
      </c>
      <c r="C38" s="67" t="str">
        <f ca="1">IF(Calc2!$K$13=0,"",Calc2!$AM7)</f>
        <v/>
      </c>
      <c r="D38" s="71" t="str">
        <f ca="1">IF($C38="","",VLOOKUP($C38,Calc2!$C$17:$AC$25,25,0))</f>
        <v/>
      </c>
      <c r="E38" s="826" t="str">
        <f ca="1">IF($C38="","",VLOOKUP($C38,Calc2!$C$17:$AF$25,27,0)&amp;Sprache!$E$99&amp;(VLOOKUP($C38,Calc2!$C$17:$AF$25,27,0)-$F38))</f>
        <v/>
      </c>
      <c r="F38" s="55" t="str">
        <f ca="1">IF($C38="","",VLOOKUP($C38,Calc2!$C$17:$AC$25,26,0))</f>
        <v/>
      </c>
      <c r="G38" s="384" t="str">
        <f ca="1">IF(C38="","",VLOOKUP(C38,Calc2!$C$17:$AB$25,23,0))</f>
        <v/>
      </c>
      <c r="H38" s="79" t="str">
        <f ca="1">IFERROR(VLOOKUP($C38&amp;H$34,Calc2!$Z$64:$AB$207,3,0),"")</f>
        <v/>
      </c>
      <c r="I38" s="55" t="str">
        <f ca="1">IFERROR(VLOOKUP($C38&amp;I$34,Calc2!$Z$64:$AB$207,3,0),"")</f>
        <v/>
      </c>
      <c r="J38" s="55" t="str">
        <f ca="1">IFERROR(VLOOKUP($C38&amp;J$34,Calc2!$Z$64:$AB$207,3,0),"")</f>
        <v/>
      </c>
      <c r="K38" s="64"/>
      <c r="L38" s="55" t="str">
        <f ca="1">IFERROR(VLOOKUP($C38&amp;L$34,Calc2!$Z$64:$AB$207,3,0),"")</f>
        <v/>
      </c>
      <c r="M38" s="93" t="str">
        <f ca="1">IFERROR(VLOOKUP($C38&amp;M$34,Calc2!$Z$64:$AB$207,3,0),"")</f>
        <v/>
      </c>
      <c r="N38" s="121" t="str">
        <f t="shared" ca="1" si="3"/>
        <v/>
      </c>
    </row>
    <row r="39" spans="2:14" ht="21.95" customHeight="1" x14ac:dyDescent="0.2">
      <c r="B39" s="58" t="str">
        <f ca="1">IF($C39="","",INDEX(Calc2!$E$4:$E$12,MATCH($C39,Calc2!$F$4:$F$12,0)))</f>
        <v/>
      </c>
      <c r="C39" s="67" t="str">
        <f ca="1">IF(Calc2!$K$13=0,"",Calc2!$AM8)</f>
        <v/>
      </c>
      <c r="D39" s="71" t="str">
        <f ca="1">IF($C39="","",VLOOKUP($C39,Calc2!$C$17:$AC$25,25,0))</f>
        <v/>
      </c>
      <c r="E39" s="826" t="str">
        <f ca="1">IF($C39="","",VLOOKUP($C39,Calc2!$C$17:$AF$25,27,0)&amp;Sprache!$E$99&amp;(VLOOKUP($C39,Calc2!$C$17:$AF$25,27,0)-$F39))</f>
        <v/>
      </c>
      <c r="F39" s="55" t="str">
        <f ca="1">IF($C39="","",VLOOKUP($C39,Calc2!$C$17:$AC$25,26,0))</f>
        <v/>
      </c>
      <c r="G39" s="384" t="str">
        <f ca="1">IF(C39="","",VLOOKUP(C39,Calc2!$C$17:$AB$25,23,0))</f>
        <v/>
      </c>
      <c r="H39" s="79" t="str">
        <f ca="1">IFERROR(VLOOKUP($C39&amp;H$34,Calc2!$Z$64:$AB$207,3,0),"")</f>
        <v/>
      </c>
      <c r="I39" s="55" t="str">
        <f ca="1">IFERROR(VLOOKUP($C39&amp;I$34,Calc2!$Z$64:$AB$207,3,0),"")</f>
        <v/>
      </c>
      <c r="J39" s="55" t="str">
        <f ca="1">IFERROR(VLOOKUP($C39&amp;J$34,Calc2!$Z$64:$AB$207,3,0),"")</f>
        <v/>
      </c>
      <c r="K39" s="55" t="str">
        <f ca="1">IFERROR(VLOOKUP($C39&amp;K$34,Calc2!$Z$64:$AB$207,3,0),"")</f>
        <v/>
      </c>
      <c r="L39" s="64"/>
      <c r="M39" s="93" t="str">
        <f ca="1">IFERROR(VLOOKUP($C39&amp;M$34,Calc2!$Z$64:$AB$207,3,0),"")</f>
        <v/>
      </c>
      <c r="N39" s="121" t="str">
        <f t="shared" ca="1" si="3"/>
        <v/>
      </c>
    </row>
    <row r="40" spans="2:14" ht="21.95" customHeight="1" thickBot="1" x14ac:dyDescent="0.25">
      <c r="B40" s="59" t="str">
        <f ca="1">IF($C40="","",INDEX(Calc2!$E$4:$E$12,MATCH($C40,Calc2!$F$4:$F$12,0)))</f>
        <v/>
      </c>
      <c r="C40" s="68" t="str">
        <f ca="1">IF(Calc2!$K$13=0,"",Calc2!$AM9)</f>
        <v/>
      </c>
      <c r="D40" s="72" t="str">
        <f ca="1">IF($C40="","",VLOOKUP($C40,Calc2!$C$17:$AC$25,25,0))</f>
        <v/>
      </c>
      <c r="E40" s="827" t="str">
        <f ca="1">IF($C40="","",VLOOKUP($C40,Calc2!$C$17:$AF$25,27,0)&amp;Sprache!$E$99&amp;(VLOOKUP($C40,Calc2!$C$17:$AF$25,27,0)-$F40))</f>
        <v/>
      </c>
      <c r="F40" s="56" t="str">
        <f ca="1">IF($C40="","",VLOOKUP($C40,Calc2!$C$17:$AC$25,26,0))</f>
        <v/>
      </c>
      <c r="G40" s="385" t="str">
        <f ca="1">IF(C40="","",VLOOKUP(C40,Calc2!$C$17:$AB$25,23,0))</f>
        <v/>
      </c>
      <c r="H40" s="80" t="str">
        <f ca="1">IFERROR(VLOOKUP($C40&amp;H$34,Calc2!$Z$64:$AB$207,3,0),"")</f>
        <v/>
      </c>
      <c r="I40" s="56" t="str">
        <f ca="1">IFERROR(VLOOKUP($C40&amp;I$34,Calc2!$Z$64:$AB$207,3,0),"")</f>
        <v/>
      </c>
      <c r="J40" s="56" t="str">
        <f ca="1">IFERROR(VLOOKUP($C40&amp;J$34,Calc2!$Z$64:$AB$207,3,0),"")</f>
        <v/>
      </c>
      <c r="K40" s="56" t="str">
        <f ca="1">IFERROR(VLOOKUP($C40&amp;K$34,Calc2!$Z$64:$AB$207,3,0),"")</f>
        <v/>
      </c>
      <c r="L40" s="56" t="str">
        <f ca="1">IFERROR(VLOOKUP($C40&amp;L$34,Calc2!$Z$64:$AB$207,3,0),"")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D364-8FB8-428D-B6BE-2D82659729A8}">
  <sheetPr>
    <pageSetUpPr fitToPage="1"/>
  </sheetPr>
  <dimension ref="A1:BT64"/>
  <sheetViews>
    <sheetView showGridLines="0" showRowColHeaders="0" zoomScaleNormal="100" workbookViewId="0">
      <selection activeCell="J1" sqref="J1:XFD1048576"/>
    </sheetView>
  </sheetViews>
  <sheetFormatPr baseColWidth="10" defaultColWidth="0" defaultRowHeight="12.75" zeroHeight="1" x14ac:dyDescent="0.2"/>
  <cols>
    <col min="1" max="1" width="6.140625" customWidth="1"/>
    <col min="2" max="2" width="5" style="570" customWidth="1"/>
    <col min="3" max="3" width="18.140625" style="571" customWidth="1"/>
    <col min="4" max="4" width="8.28515625" style="183" customWidth="1"/>
    <col min="5" max="5" width="8.85546875" customWidth="1"/>
    <col min="6" max="6" width="8.42578125" customWidth="1"/>
    <col min="7" max="7" width="7.7109375" customWidth="1"/>
    <col min="8" max="8" width="18.42578125" customWidth="1"/>
    <col min="9" max="9" width="6.28515625" customWidth="1"/>
    <col min="10" max="10" width="5.7109375" style="569" hidden="1" customWidth="1"/>
    <col min="11" max="11" width="15.7109375" style="569"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72" ht="33" customHeight="1" x14ac:dyDescent="0.2">
      <c r="B1" s="988" t="str">
        <f>Sprache!$E$115</f>
        <v>Turnierende (Endrunde 4):</v>
      </c>
      <c r="C1" s="988"/>
      <c r="D1" s="988"/>
      <c r="E1" s="988"/>
      <c r="F1" s="988"/>
      <c r="G1" s="988"/>
      <c r="H1" s="988"/>
    </row>
    <row r="2" spans="2:72" ht="15.95" customHeight="1" x14ac:dyDescent="0.2"/>
    <row r="3" spans="2:72" ht="15.95" customHeight="1" thickBot="1" x14ac:dyDescent="0.25"/>
    <row r="4" spans="2:72" ht="15.95" customHeight="1" x14ac:dyDescent="0.2">
      <c r="B4" s="570" t="s">
        <v>186</v>
      </c>
      <c r="C4" s="571" t="str">
        <f>IF(Planung!$C$7="","",Planung!$C$7)</f>
        <v>1. FC Riedwald</v>
      </c>
      <c r="E4" s="572" t="str">
        <f>Sprache!$E$60</f>
        <v>Bälle</v>
      </c>
      <c r="F4" s="573" t="str">
        <f>Sprache!$E$39</f>
        <v>Beginn</v>
      </c>
      <c r="G4" s="574" t="str">
        <f>Sprache!$E$48</f>
        <v>Feld</v>
      </c>
      <c r="H4" s="575" t="str">
        <f>Sprache!$E$46</f>
        <v>Spiel gegen</v>
      </c>
    </row>
    <row r="5" spans="2:72" ht="15.95" customHeight="1" x14ac:dyDescent="0.2">
      <c r="E5" s="576">
        <f ca="1">IF($Q$12&lt;99999,INDEX($L$12:$L$29,MATCH($Q$12,$M$12:$M$29,0)),"")</f>
        <v>21</v>
      </c>
      <c r="F5" s="577">
        <f ca="1">IF($Q$12&lt;99999,VLOOKUP($Q$12,$M$12:$P$29,2,0),"")</f>
        <v>0.49652777777777779</v>
      </c>
      <c r="G5" s="578">
        <f ca="1">IF($Q$12&lt;99999,VLOOKUP($Q$12,$M$12:$P$29,3,0),"")</f>
        <v>1</v>
      </c>
      <c r="H5" s="579" t="str">
        <f ca="1">IF($Q$12&lt;99999,VLOOKUP($Q$12,$M$12:$P$29,4,0),"")</f>
        <v>SSV Wildbach</v>
      </c>
      <c r="J5" s="569">
        <f t="shared" ref="J5:J14" ca="1" si="0">IF(AND(F5&lt;&gt;"",OR(F5=F4,F5=F6)),E5,0)</f>
        <v>0</v>
      </c>
      <c r="K5" s="569" t="str">
        <f ca="1">IF(J5=0,"",$C$4)</f>
        <v/>
      </c>
    </row>
    <row r="6" spans="2:72" ht="15.95" customHeight="1" x14ac:dyDescent="0.2">
      <c r="E6" s="576">
        <f ca="1">IF($Q$13&lt;99999,INDEX($L$12:$L$29,MATCH($Q$13,$M$12:$M$29,0)),"")</f>
        <v>25</v>
      </c>
      <c r="F6" s="580">
        <f ca="1">IF($Q$13&lt;99999,VLOOKUP($Q$13,$M$12:$P$29,2,0),"")</f>
        <v>0.52083333333333337</v>
      </c>
      <c r="G6" s="581">
        <f ca="1">IF($Q$13&lt;99999,VLOOKUP($Q$13,$M$12:$P$29,3,0),"")</f>
        <v>1</v>
      </c>
      <c r="H6" s="582" t="str">
        <f ca="1">IF($Q$13&lt;99999,VLOOKUP($Q$13,$M$12:$P$29,4,0),"")</f>
        <v>FC Barcelona</v>
      </c>
      <c r="J6" s="569">
        <f t="shared" ca="1" si="0"/>
        <v>0</v>
      </c>
      <c r="K6" s="569" t="str">
        <f t="shared" ref="K6:K7" ca="1" si="1">IF(J6=0,"",$C$4)</f>
        <v/>
      </c>
    </row>
    <row r="7" spans="2:72" ht="15.95" customHeight="1" thickBot="1" x14ac:dyDescent="0.25">
      <c r="E7" s="583">
        <f ca="1">IF($Q$14&lt;99999,INDEX($L$12:$L$29,MATCH($Q$14,$M$12:$M$29,0)),"")</f>
        <v>32</v>
      </c>
      <c r="F7" s="584">
        <f ca="1">IF($Q$14&lt;99999,VLOOKUP($Q$14,$M$12:$P$29,2,0),"")</f>
        <v>0.54513888888888895</v>
      </c>
      <c r="G7" s="585">
        <f ca="1">IF($Q$14&lt;99999,VLOOKUP($Q$14,$M$12:$P$29,3,0),"")</f>
        <v>4</v>
      </c>
      <c r="H7" s="586" t="str">
        <f ca="1">IF($Q$14&lt;99999,VLOOKUP($Q$14,$M$12:$P$29,4,0),"")</f>
        <v>FC Grönlingen</v>
      </c>
      <c r="J7" s="569">
        <f t="shared" ca="1" si="0"/>
        <v>0</v>
      </c>
      <c r="K7" s="569" t="str">
        <f t="shared" ca="1" si="1"/>
        <v/>
      </c>
    </row>
    <row r="8" spans="2:72" ht="30" customHeight="1" thickBot="1" x14ac:dyDescent="0.25">
      <c r="J8" s="569">
        <f t="shared" ca="1" si="0"/>
        <v>0</v>
      </c>
    </row>
    <row r="9" spans="2:72" ht="15.95" customHeight="1" x14ac:dyDescent="0.2">
      <c r="B9" s="570" t="s">
        <v>188</v>
      </c>
      <c r="C9" s="571" t="str">
        <f>IF(Planung!$C$9="","",Planung!$C$9)</f>
        <v>FC Barcelona</v>
      </c>
      <c r="E9" s="572" t="str">
        <f>Sprache!$E$60</f>
        <v>Bälle</v>
      </c>
      <c r="F9" s="573" t="str">
        <f>Sprache!$E$39</f>
        <v>Beginn</v>
      </c>
      <c r="G9" s="574" t="str">
        <f>Sprache!$E$48</f>
        <v>Feld</v>
      </c>
      <c r="H9" s="575" t="str">
        <f>Sprache!$E$46</f>
        <v>Spiel gegen</v>
      </c>
      <c r="J9" s="569">
        <f t="shared" ca="1" si="0"/>
        <v>0</v>
      </c>
    </row>
    <row r="10" spans="2:72" ht="15.95" customHeight="1" x14ac:dyDescent="0.2">
      <c r="E10" s="576">
        <f ca="1">IF($V$12&lt;99999,INDEX($L$12:$L$29,MATCH($V$12,$R$12:$R$29,0)),"")</f>
        <v>23</v>
      </c>
      <c r="F10" s="577">
        <f ca="1">IF($V$12&lt;99999,VLOOKUP($V$12,$R$12:$U$29,2,0),"")</f>
        <v>0.49652777777777779</v>
      </c>
      <c r="G10" s="578">
        <f ca="1">IF($V$12&lt;99999,VLOOKUP($V$12,$R$12:$U$29,3,0),"")</f>
        <v>3</v>
      </c>
      <c r="H10" s="579" t="str">
        <f ca="1">IF($V$12&lt;99999,VLOOKUP($V$12,$R$12:$U$29,4,0),"")</f>
        <v>FC Grönlingen</v>
      </c>
      <c r="J10" s="569">
        <f t="shared" ca="1" si="0"/>
        <v>0</v>
      </c>
      <c r="K10" s="569" t="str">
        <f ca="1">IF(J10=0,"",$C$9)</f>
        <v/>
      </c>
    </row>
    <row r="11" spans="2:72" ht="15.95" customHeight="1" x14ac:dyDescent="0.2">
      <c r="E11" s="576">
        <f ca="1">IF($V$13&lt;99999,INDEX($L$12:$L$29,MATCH($V$13,$R$12:$R$29,0)),"")</f>
        <v>25</v>
      </c>
      <c r="F11" s="580">
        <f ca="1">IF($V$13&lt;99999,VLOOKUP($V$13,$R$12:$U$29,2,0),"")</f>
        <v>0.52083333333333337</v>
      </c>
      <c r="G11" s="581">
        <f ca="1">IF($V$13&lt;99999,VLOOKUP($V$13,$R$12:$U$29,3,0),"")</f>
        <v>1</v>
      </c>
      <c r="H11" s="582" t="str">
        <f ca="1">IF($V$13&lt;99999,VLOOKUP($V$13,$R$12:$U$29,4,0),"")</f>
        <v>1. FC Riedwald</v>
      </c>
      <c r="J11" s="569">
        <f t="shared" ca="1" si="0"/>
        <v>0</v>
      </c>
      <c r="K11" s="569" t="str">
        <f t="shared" ref="K11:K12" ca="1" si="2">IF(J11=0,"",$C$9)</f>
        <v/>
      </c>
      <c r="L11" s="587" t="str">
        <f>Sprache!$E$9</f>
        <v>Nr.</v>
      </c>
      <c r="M11" s="587"/>
      <c r="N11" s="183"/>
      <c r="O11" s="183"/>
      <c r="P11" s="183" t="str">
        <f>$C$4</f>
        <v>1. FC Riedwald</v>
      </c>
      <c r="Q11" s="183"/>
      <c r="R11" s="183"/>
      <c r="S11" s="183"/>
      <c r="T11" s="183"/>
      <c r="U11" s="183" t="str">
        <f>$C$9</f>
        <v>FC Barcelona</v>
      </c>
      <c r="V11" s="183"/>
      <c r="W11" s="183"/>
      <c r="X11" s="183"/>
      <c r="Y11" s="183"/>
      <c r="Z11" s="183" t="str">
        <f>$C$14</f>
        <v>Eintracht Frankfurt</v>
      </c>
      <c r="AA11" s="183"/>
      <c r="AB11" s="183"/>
      <c r="AC11" s="183"/>
      <c r="AD11" s="183"/>
      <c r="AE11" s="183" t="str">
        <f>$C$19</f>
        <v>Maibach 1822 eV</v>
      </c>
      <c r="AF11" s="183"/>
      <c r="AG11" s="183"/>
      <c r="AH11" s="183"/>
      <c r="AI11" s="183"/>
      <c r="AJ11" s="183" t="str">
        <f>$C$24</f>
        <v>VFB Essenheim</v>
      </c>
      <c r="AK11" s="183"/>
      <c r="AL11" s="183"/>
      <c r="AM11" s="183"/>
      <c r="AN11" s="183"/>
      <c r="AO11" s="183" t="str">
        <f>$C$29</f>
        <v/>
      </c>
      <c r="AP11" s="183"/>
      <c r="AQ11" s="183"/>
      <c r="AR11" s="183"/>
      <c r="AS11" s="183"/>
      <c r="AT11" s="183" t="str">
        <f>$C$34</f>
        <v>Mainz 05</v>
      </c>
      <c r="AU11" s="183"/>
      <c r="AV11" s="183"/>
      <c r="AW11" s="183"/>
      <c r="AX11" s="183"/>
      <c r="AY11" s="183" t="str">
        <f>$C$39</f>
        <v>Inter Mailand</v>
      </c>
      <c r="AZ11" s="183"/>
      <c r="BA11" s="183"/>
      <c r="BB11" s="183"/>
      <c r="BC11" s="183"/>
      <c r="BD11" s="183" t="str">
        <f>$C$44</f>
        <v>SSV Wildbach</v>
      </c>
      <c r="BE11" s="183"/>
      <c r="BF11" s="183"/>
      <c r="BG11" s="183"/>
      <c r="BH11" s="183"/>
      <c r="BI11" s="183" t="str">
        <f>$C$49</f>
        <v>Manchester City</v>
      </c>
      <c r="BJ11" s="183"/>
      <c r="BK11" s="183"/>
      <c r="BL11" s="183"/>
      <c r="BM11" s="183"/>
      <c r="BN11" s="183" t="str">
        <f>$C$54</f>
        <v>FC Grönlingen</v>
      </c>
      <c r="BO11" s="183"/>
      <c r="BP11" s="183"/>
      <c r="BQ11" s="183"/>
      <c r="BR11" s="183"/>
      <c r="BS11" s="183" t="str">
        <f>$C$59</f>
        <v/>
      </c>
      <c r="BT11" s="183"/>
    </row>
    <row r="12" spans="2:72" ht="15.95" customHeight="1" thickBot="1" x14ac:dyDescent="0.25">
      <c r="E12" s="583">
        <f ca="1">IF($V$14&lt;99999,INDEX($L$12:$L$29,MATCH($V$14,$R$12:$R$29,0)),"")</f>
        <v>29</v>
      </c>
      <c r="F12" s="584">
        <f ca="1">IF($V$14&lt;99999,VLOOKUP($V$14,$R$12:$U$29,2,0),"")</f>
        <v>0.54513888888888895</v>
      </c>
      <c r="G12" s="585">
        <f ca="1">IF($V$14&lt;99999,VLOOKUP($V$14,$R$12:$U$29,3,0),"")</f>
        <v>1</v>
      </c>
      <c r="H12" s="586" t="str">
        <f ca="1">IF($V$14&lt;99999,VLOOKUP($V$14,$R$12:$U$29,4,0),"")</f>
        <v>SSV Wildbach</v>
      </c>
      <c r="J12" s="569">
        <f t="shared" ca="1" si="0"/>
        <v>0</v>
      </c>
      <c r="K12" s="569" t="str">
        <f t="shared" ca="1" si="2"/>
        <v/>
      </c>
      <c r="L12" s="99">
        <f ca="1">'Endrunde 4'!$C12</f>
        <v>21</v>
      </c>
      <c r="M12" s="588">
        <f ca="1">N12+ROW(N12)</f>
        <v>100011</v>
      </c>
      <c r="N12" s="589">
        <f ca="1">IF(P12="",99999,'Endrunde 4'!$D12)</f>
        <v>99999</v>
      </c>
      <c r="O12" s="590" t="str">
        <f ca="1">IF(P12="","",'Endrunde 4'!$E12)</f>
        <v/>
      </c>
      <c r="P12" s="591" t="str">
        <f ca="1">IF($C$4="","",IF('Endrunde 4'!$I12=$C$4,'Endrunde 4'!$K12,IF('Endrunde 4'!$K12=$C$4,'Endrunde 4'!$I12,"")))</f>
        <v/>
      </c>
      <c r="Q12" s="592">
        <f ca="1">SMALL(M$12:M$29,ROW(M12)-11)</f>
        <v>13.496527777777779</v>
      </c>
      <c r="R12" s="588">
        <f ca="1">S12+ROW(S12)</f>
        <v>100011</v>
      </c>
      <c r="S12" s="589">
        <f ca="1">IF(U12="",99999,'Endrunde 4'!$D12)</f>
        <v>99999</v>
      </c>
      <c r="T12" s="590" t="str">
        <f ca="1">IF(U12="","",'Endrunde 4'!$E12)</f>
        <v/>
      </c>
      <c r="U12" s="591" t="str">
        <f ca="1">IF($C$9="","",IF('Endrunde 4'!$I12=$C$9,'Endrunde 4'!$K12,IF('Endrunde 4'!$K12=$C$9,'Endrunde 4'!$I12,"")))</f>
        <v/>
      </c>
      <c r="V12" s="592">
        <f ca="1">SMALL(R$12:R$29,ROW(R12)-11)</f>
        <v>16.496527777777779</v>
      </c>
      <c r="W12" s="588">
        <f ca="1">X12+ROW(X12)</f>
        <v>100011</v>
      </c>
      <c r="X12" s="589">
        <f ca="1">IF(Z12="",99999,'Endrunde 4'!$D12)</f>
        <v>99999</v>
      </c>
      <c r="Y12" s="590" t="str">
        <f ca="1">IF(Z12="","",'Endrunde 4'!$E12)</f>
        <v/>
      </c>
      <c r="Z12" s="591" t="str">
        <f ca="1">IF($C$14="","",IF('Endrunde 4'!$I12=$C$14,'Endrunde 4'!$K12,IF('Endrunde 4'!$K12=$C$14,'Endrunde 4'!$I12,"")))</f>
        <v/>
      </c>
      <c r="AA12" s="592">
        <f ca="1">SMALL(W$12:W$29,ROW(W12)-11)</f>
        <v>14.496527777777779</v>
      </c>
      <c r="AB12" s="588">
        <f ca="1">AC12+ROW(AC12)</f>
        <v>100011</v>
      </c>
      <c r="AC12" s="589">
        <f ca="1">IF(AE12="",99999,'Endrunde 4'!$D12)</f>
        <v>99999</v>
      </c>
      <c r="AD12" s="590" t="str">
        <f ca="1">IF(AE12="","",'Endrunde 4'!$E12)</f>
        <v/>
      </c>
      <c r="AE12" s="591" t="str">
        <f ca="1">IF($C$19="","",IF('Endrunde 4'!$I12=$C$19,'Endrunde 4'!$K12,IF('Endrunde 4'!$K12=$C$19,'Endrunde 4'!$I12,"")))</f>
        <v/>
      </c>
      <c r="AF12" s="592">
        <f ca="1">SMALL(AB$12:AB$29,ROW(AB12)-11)</f>
        <v>17.496527777777779</v>
      </c>
      <c r="AG12" s="588">
        <f ca="1">AH12+ROW(AH12)</f>
        <v>100011</v>
      </c>
      <c r="AH12" s="589">
        <f ca="1">IF(AJ12="",99999,'Endrunde 4'!$D12)</f>
        <v>99999</v>
      </c>
      <c r="AI12" s="590" t="str">
        <f ca="1">IF(AJ12="","",'Endrunde 4'!$E12)</f>
        <v/>
      </c>
      <c r="AJ12" s="591" t="str">
        <f ca="1">IF($C$24="","",IF('Endrunde 4'!$I12=$C$24,'Endrunde 4'!$K12,IF('Endrunde 4'!$K12=$C$24,'Endrunde 4'!$I12,"")))</f>
        <v/>
      </c>
      <c r="AK12" s="592">
        <f ca="1">SMALL(AG$12:AG$29,ROW(AG12)-11)</f>
        <v>27.545138888888889</v>
      </c>
      <c r="AL12" s="588">
        <f>AM12+ROW(AM12)</f>
        <v>100011</v>
      </c>
      <c r="AM12" s="589">
        <f>IF(AO12="",99999,'Endrunde 4'!$D12)</f>
        <v>99999</v>
      </c>
      <c r="AN12" s="590" t="str">
        <f>IF(AO12="","",'Endrunde 4'!$E12)</f>
        <v/>
      </c>
      <c r="AO12" s="591" t="str">
        <f>IF($C$29="","",IF('Endrunde 4'!$I12=$C$29,'Endrunde 4'!$K12,IF('Endrunde 4'!$K12=$C$29,'Endrunde 4'!$I12,"")))</f>
        <v/>
      </c>
      <c r="AP12" s="592">
        <f>SMALL(AL$12:AL$29,ROW(AL12)-11)</f>
        <v>100011</v>
      </c>
      <c r="AQ12" s="588">
        <f ca="1">AR12+ROW(AR12)</f>
        <v>100011</v>
      </c>
      <c r="AR12" s="589">
        <f ca="1">IF(AT12="",99999,'Endrunde 4'!$D12)</f>
        <v>99999</v>
      </c>
      <c r="AS12" s="590" t="str">
        <f ca="1">IF(AT12="","",'Endrunde 4'!$E12)</f>
        <v/>
      </c>
      <c r="AT12" s="591" t="str">
        <f ca="1">IF($C$34="","",IF('Endrunde 4'!$I12=$C$34,'Endrunde 4'!$K12,IF('Endrunde 4'!$K12=$C$34,'Endrunde 4'!$I12,"")))</f>
        <v/>
      </c>
      <c r="AU12" s="592">
        <f ca="1">SMALL(AQ$12:AQ$29,ROW(AQ12)-11)</f>
        <v>17.496527777777779</v>
      </c>
      <c r="AV12" s="588">
        <f ca="1">AW12+ROW(AW12)</f>
        <v>100011</v>
      </c>
      <c r="AW12" s="589">
        <f ca="1">IF(AY12="",99999,'Endrunde 4'!$D12)</f>
        <v>99999</v>
      </c>
      <c r="AX12" s="590" t="str">
        <f ca="1">IF(AY12="","",'Endrunde 4'!$E12)</f>
        <v/>
      </c>
      <c r="AY12" s="591" t="str">
        <f ca="1">IF($C$39="","",IF('Endrunde 4'!$I12=$C$39,'Endrunde 4'!$K12,IF('Endrunde 4'!$K12=$C$39,'Endrunde 4'!$I12,"")))</f>
        <v/>
      </c>
      <c r="AZ12" s="592">
        <f ca="1">SMALL(AV$12:AV$29,ROW(AV12)-11)</f>
        <v>27.545138888888889</v>
      </c>
      <c r="BA12" s="588">
        <f ca="1">BB12+ROW(BB12)</f>
        <v>100011</v>
      </c>
      <c r="BB12" s="589">
        <f ca="1">IF(BD12="",99999,'Endrunde 4'!$D12)</f>
        <v>99999</v>
      </c>
      <c r="BC12" s="590" t="str">
        <f ca="1">IF(BD12="","",'Endrunde 4'!$E12)</f>
        <v/>
      </c>
      <c r="BD12" s="591" t="str">
        <f ca="1">IF($C$44="","",IF('Endrunde 4'!$I12=$C$44,'Endrunde 4'!$K12,IF('Endrunde 4'!$K12=$C$44,'Endrunde 4'!$I12,"")))</f>
        <v/>
      </c>
      <c r="BE12" s="592">
        <f ca="1">SMALL(BA$12:BA$29,ROW(BA12)-11)</f>
        <v>13.496527777777779</v>
      </c>
      <c r="BF12" s="588">
        <f ca="1">BG12+ROW(BG12)</f>
        <v>100011</v>
      </c>
      <c r="BG12" s="589">
        <f ca="1">IF(BI12="",99999,'Endrunde 4'!$D12)</f>
        <v>99999</v>
      </c>
      <c r="BH12" s="590" t="str">
        <f ca="1">IF(BI12="","",'Endrunde 4'!$E12)</f>
        <v/>
      </c>
      <c r="BI12" s="591" t="str">
        <f ca="1">IF($C$49="","",IF('Endrunde 4'!$I12=$C$49,'Endrunde 4'!$K12,IF('Endrunde 4'!$K12=$C$49,'Endrunde 4'!$I12,"")))</f>
        <v/>
      </c>
      <c r="BJ12" s="592">
        <f ca="1">SMALL(BF$12:BF$29,ROW(BF12)-11)</f>
        <v>14.496527777777779</v>
      </c>
      <c r="BK12" s="588">
        <f ca="1">BL12+ROW(BL12)</f>
        <v>100011</v>
      </c>
      <c r="BL12" s="589">
        <f ca="1">IF(BN12="",99999,'Endrunde 4'!$D12)</f>
        <v>99999</v>
      </c>
      <c r="BM12" s="590" t="str">
        <f ca="1">IF(BN12="","",'Endrunde 4'!$E12)</f>
        <v/>
      </c>
      <c r="BN12" s="591" t="str">
        <f ca="1">IF($C$54="","",IF('Endrunde 4'!$I12=$C$54,'Endrunde 4'!$K12,IF('Endrunde 4'!$K12=$C$54,'Endrunde 4'!$I12,"")))</f>
        <v/>
      </c>
      <c r="BO12" s="592">
        <f ca="1">SMALL(BK$12:BK$29,ROW(BK12)-11)</f>
        <v>16.496527777777779</v>
      </c>
      <c r="BP12" s="588">
        <f>BQ12+ROW(BQ12)</f>
        <v>100011</v>
      </c>
      <c r="BQ12" s="589">
        <f>IF(BS12="",99999,'Endrunde 4'!$D12)</f>
        <v>99999</v>
      </c>
      <c r="BR12" s="590" t="str">
        <f>IF(BS12="","",'Endrunde 4'!$E12)</f>
        <v/>
      </c>
      <c r="BS12" s="591" t="str">
        <f>IF($C$59="","",IF('Endrunde 4'!$I12=$C$59,'Endrunde 4'!$K12,IF('Endrunde 4'!$K12=$C$59,'Endrunde 4'!$I12,"")))</f>
        <v/>
      </c>
      <c r="BT12" s="592">
        <f>SMALL(BP$12:BP$29,ROW(BP12)-11)</f>
        <v>100011</v>
      </c>
    </row>
    <row r="13" spans="2:72" ht="30" customHeight="1" thickBot="1" x14ac:dyDescent="0.25">
      <c r="J13" s="569">
        <f t="shared" ca="1" si="0"/>
        <v>0</v>
      </c>
      <c r="L13" s="99">
        <f ca="1">'Endrunde 4'!$C13</f>
        <v>21</v>
      </c>
      <c r="M13" s="593">
        <f t="shared" ref="M13:M29" ca="1" si="3">N13+ROW(N13)</f>
        <v>13.496527777777779</v>
      </c>
      <c r="N13" s="594">
        <f ca="1">IF(P13="",99999,'Endrunde 4'!$D13)</f>
        <v>0.49652777777777779</v>
      </c>
      <c r="O13" s="224">
        <f ca="1">IF(P13="","",'Endrunde 4'!$E13)</f>
        <v>1</v>
      </c>
      <c r="P13" s="225" t="str">
        <f ca="1">IF($C$4="","",IF('Endrunde 4'!$I13=$C$4,'Endrunde 4'!$K13,IF('Endrunde 4'!$K13=$C$4,'Endrunde 4'!$I13,"")))</f>
        <v>SSV Wildbach</v>
      </c>
      <c r="Q13" s="595">
        <f t="shared" ref="Q13:Q29" ca="1" si="4">SMALL(M$12:M$29,ROW(M13)-11)</f>
        <v>19.520833333333332</v>
      </c>
      <c r="R13" s="593">
        <f t="shared" ref="R13:R29" ca="1" si="5">S13+ROW(S13)</f>
        <v>100012</v>
      </c>
      <c r="S13" s="594">
        <f ca="1">IF(U13="",99999,'Endrunde 4'!$D13)</f>
        <v>99999</v>
      </c>
      <c r="T13" s="224" t="str">
        <f ca="1">IF(U13="","",'Endrunde 4'!$E13)</f>
        <v/>
      </c>
      <c r="U13" s="225" t="str">
        <f ca="1">IF($C$9="","",IF('Endrunde 4'!$I13=$C$9,'Endrunde 4'!$K13,IF('Endrunde 4'!$K13=$C$9,'Endrunde 4'!$I13,"")))</f>
        <v/>
      </c>
      <c r="V13" s="595">
        <f t="shared" ref="V13:V29" ca="1" si="6">SMALL(R$12:R$29,ROW(R13)-11)</f>
        <v>19.520833333333332</v>
      </c>
      <c r="W13" s="593">
        <f t="shared" ref="W13:W29" ca="1" si="7">X13+ROW(X13)</f>
        <v>100012</v>
      </c>
      <c r="X13" s="594">
        <f ca="1">IF(Z13="",99999,'Endrunde 4'!$D13)</f>
        <v>99999</v>
      </c>
      <c r="Y13" s="224" t="str">
        <f ca="1">IF(Z13="","",'Endrunde 4'!$E13)</f>
        <v/>
      </c>
      <c r="Z13" s="225" t="str">
        <f ca="1">IF($C$14="","",IF('Endrunde 4'!$I13=$C$14,'Endrunde 4'!$K13,IF('Endrunde 4'!$K13=$C$14,'Endrunde 4'!$I13,"")))</f>
        <v/>
      </c>
      <c r="AA13" s="595">
        <f t="shared" ref="AA13:AA29" ca="1" si="8">SMALL(W$12:W$29,ROW(W13)-11)</f>
        <v>20.520833333333332</v>
      </c>
      <c r="AB13" s="593">
        <f t="shared" ref="AB13:AB29" ca="1" si="9">AC13+ROW(AC13)</f>
        <v>100012</v>
      </c>
      <c r="AC13" s="594">
        <f ca="1">IF(AE13="",99999,'Endrunde 4'!$D13)</f>
        <v>99999</v>
      </c>
      <c r="AD13" s="224" t="str">
        <f ca="1">IF(AE13="","",'Endrunde 4'!$E13)</f>
        <v/>
      </c>
      <c r="AE13" s="225" t="str">
        <f ca="1">IF($C$19="","",IF('Endrunde 4'!$I13=$C$19,'Endrunde 4'!$K13,IF('Endrunde 4'!$K13=$C$19,'Endrunde 4'!$I13,"")))</f>
        <v/>
      </c>
      <c r="AF13" s="595">
        <f t="shared" ref="AF13:AF29" ca="1" si="10">SMALL(AB$12:AB$29,ROW(AB13)-11)</f>
        <v>20.520833333333332</v>
      </c>
      <c r="AG13" s="593">
        <f t="shared" ref="AG13:AG29" ca="1" si="11">AH13+ROW(AH13)</f>
        <v>100012</v>
      </c>
      <c r="AH13" s="594">
        <f ca="1">IF(AJ13="",99999,'Endrunde 4'!$D13)</f>
        <v>99999</v>
      </c>
      <c r="AI13" s="224" t="str">
        <f ca="1">IF(AJ13="","",'Endrunde 4'!$E13)</f>
        <v/>
      </c>
      <c r="AJ13" s="225" t="str">
        <f ca="1">IF($C$24="","",IF('Endrunde 4'!$I13=$C$24,'Endrunde 4'!$K13,IF('Endrunde 4'!$K13=$C$24,'Endrunde 4'!$I13,"")))</f>
        <v/>
      </c>
      <c r="AK13" s="595">
        <f t="shared" ref="AK13:AK29" ca="1" si="12">SMALL(AG$12:AG$29,ROW(AG13)-11)</f>
        <v>100011</v>
      </c>
      <c r="AL13" s="593">
        <f t="shared" ref="AL13:AL29" si="13">AM13+ROW(AM13)</f>
        <v>100012</v>
      </c>
      <c r="AM13" s="594">
        <f>IF(AO13="",99999,'Endrunde 4'!$D13)</f>
        <v>99999</v>
      </c>
      <c r="AN13" s="224" t="str">
        <f>IF(AO13="","",'Endrunde 4'!$E13)</f>
        <v/>
      </c>
      <c r="AO13" s="225" t="str">
        <f>IF($C$29="","",IF('Endrunde 4'!$I13=$C$29,'Endrunde 4'!$K13,IF('Endrunde 4'!$K13=$C$29,'Endrunde 4'!$I13,"")))</f>
        <v/>
      </c>
      <c r="AP13" s="595">
        <f t="shared" ref="AP13:AP29" si="14">SMALL(AL$12:AL$29,ROW(AL13)-11)</f>
        <v>100012</v>
      </c>
      <c r="AQ13" s="593">
        <f t="shared" ref="AQ13:AQ29" ca="1" si="15">AR13+ROW(AR13)</f>
        <v>100012</v>
      </c>
      <c r="AR13" s="594">
        <f ca="1">IF(AT13="",99999,'Endrunde 4'!$D13)</f>
        <v>99999</v>
      </c>
      <c r="AS13" s="224" t="str">
        <f ca="1">IF(AT13="","",'Endrunde 4'!$E13)</f>
        <v/>
      </c>
      <c r="AT13" s="225" t="str">
        <f ca="1">IF($C$34="","",IF('Endrunde 4'!$I13=$C$34,'Endrunde 4'!$K13,IF('Endrunde 4'!$K13=$C$34,'Endrunde 4'!$I13,"")))</f>
        <v/>
      </c>
      <c r="AU13" s="595">
        <f t="shared" ref="AU13:AU29" ca="1" si="16">SMALL(AQ$12:AQ$29,ROW(AQ13)-11)</f>
        <v>23.520833333333332</v>
      </c>
      <c r="AV13" s="593">
        <f t="shared" ref="AV13:AV29" ca="1" si="17">AW13+ROW(AW13)</f>
        <v>100012</v>
      </c>
      <c r="AW13" s="594">
        <f ca="1">IF(AY13="",99999,'Endrunde 4'!$D13)</f>
        <v>99999</v>
      </c>
      <c r="AX13" s="224" t="str">
        <f ca="1">IF(AY13="","",'Endrunde 4'!$E13)</f>
        <v/>
      </c>
      <c r="AY13" s="225" t="str">
        <f ca="1">IF($C$39="","",IF('Endrunde 4'!$I13=$C$39,'Endrunde 4'!$K13,IF('Endrunde 4'!$K13=$C$39,'Endrunde 4'!$I13,"")))</f>
        <v/>
      </c>
      <c r="AZ13" s="595">
        <f t="shared" ref="AZ13:AZ29" ca="1" si="18">SMALL(AV$12:AV$29,ROW(AV13)-11)</f>
        <v>100011</v>
      </c>
      <c r="BA13" s="593">
        <f t="shared" ref="BA13:BA29" ca="1" si="19">BB13+ROW(BB13)</f>
        <v>13.496527777777779</v>
      </c>
      <c r="BB13" s="594">
        <f ca="1">IF(BD13="",99999,'Endrunde 4'!$D13)</f>
        <v>0.49652777777777779</v>
      </c>
      <c r="BC13" s="224">
        <f ca="1">IF(BD13="","",'Endrunde 4'!$E13)</f>
        <v>1</v>
      </c>
      <c r="BD13" s="225" t="str">
        <f ca="1">IF($C$44="","",IF('Endrunde 4'!$I13=$C$44,'Endrunde 4'!$K13,IF('Endrunde 4'!$K13=$C$44,'Endrunde 4'!$I13,"")))</f>
        <v>1. FC Riedwald</v>
      </c>
      <c r="BE13" s="595">
        <f t="shared" ref="BE13:BE29" ca="1" si="20">SMALL(BA$12:BA$29,ROW(BA13)-11)</f>
        <v>22.520833333333332</v>
      </c>
      <c r="BF13" s="593">
        <f t="shared" ref="BF13:BF29" ca="1" si="21">BG13+ROW(BG13)</f>
        <v>100012</v>
      </c>
      <c r="BG13" s="594">
        <f ca="1">IF(BI13="",99999,'Endrunde 4'!$D13)</f>
        <v>99999</v>
      </c>
      <c r="BH13" s="224" t="str">
        <f ca="1">IF(BI13="","",'Endrunde 4'!$E13)</f>
        <v/>
      </c>
      <c r="BI13" s="225" t="str">
        <f ca="1">IF($C$49="","",IF('Endrunde 4'!$I13=$C$49,'Endrunde 4'!$K13,IF('Endrunde 4'!$K13=$C$49,'Endrunde 4'!$I13,"")))</f>
        <v/>
      </c>
      <c r="BJ13" s="595">
        <f t="shared" ref="BJ13:BJ29" ca="1" si="22">SMALL(BF$12:BF$29,ROW(BF13)-11)</f>
        <v>23.520833333333332</v>
      </c>
      <c r="BK13" s="593">
        <f t="shared" ref="BK13:BK29" ca="1" si="23">BL13+ROW(BL13)</f>
        <v>100012</v>
      </c>
      <c r="BL13" s="594">
        <f ca="1">IF(BN13="",99999,'Endrunde 4'!$D13)</f>
        <v>99999</v>
      </c>
      <c r="BM13" s="224" t="str">
        <f ca="1">IF(BN13="","",'Endrunde 4'!$E13)</f>
        <v/>
      </c>
      <c r="BN13" s="225" t="str">
        <f ca="1">IF($C$54="","",IF('Endrunde 4'!$I13=$C$54,'Endrunde 4'!$K13,IF('Endrunde 4'!$K13=$C$54,'Endrunde 4'!$I13,"")))</f>
        <v/>
      </c>
      <c r="BO13" s="595">
        <f t="shared" ref="BO13:BO29" ca="1" si="24">SMALL(BK$12:BK$29,ROW(BK13)-11)</f>
        <v>22.520833333333332</v>
      </c>
      <c r="BP13" s="593">
        <f t="shared" ref="BP13:BP29" si="25">BQ13+ROW(BQ13)</f>
        <v>100012</v>
      </c>
      <c r="BQ13" s="594">
        <f>IF(BS13="",99999,'Endrunde 4'!$D13)</f>
        <v>99999</v>
      </c>
      <c r="BR13" s="224" t="str">
        <f>IF(BS13="","",'Endrunde 4'!$E13)</f>
        <v/>
      </c>
      <c r="BS13" s="225" t="str">
        <f>IF($C$59="","",IF('Endrunde 4'!$I13=$C$59,'Endrunde 4'!$K13,IF('Endrunde 4'!$K13=$C$59,'Endrunde 4'!$I13,"")))</f>
        <v/>
      </c>
      <c r="BT13" s="595">
        <f t="shared" ref="BT13:BT29" si="26">SMALL(BP$12:BP$29,ROW(BP13)-11)</f>
        <v>100012</v>
      </c>
    </row>
    <row r="14" spans="2:72" ht="15.95" customHeight="1" x14ac:dyDescent="0.2">
      <c r="B14" s="570" t="s">
        <v>184</v>
      </c>
      <c r="C14" s="571" t="str">
        <f>IF(Planung!$C$11="","",Planung!$C$11)</f>
        <v>Eintracht Frankfurt</v>
      </c>
      <c r="E14" s="572" t="str">
        <f>Sprache!$E$60</f>
        <v>Bälle</v>
      </c>
      <c r="F14" s="573" t="str">
        <f>Sprache!$E$39</f>
        <v>Beginn</v>
      </c>
      <c r="G14" s="574" t="str">
        <f>Sprache!$E$48</f>
        <v>Feld</v>
      </c>
      <c r="H14" s="575" t="str">
        <f>Sprache!$E$46</f>
        <v>Spiel gegen</v>
      </c>
      <c r="J14" s="569">
        <f t="shared" ca="1" si="0"/>
        <v>0</v>
      </c>
      <c r="L14" s="99">
        <f ca="1">'Endrunde 4'!$C14</f>
        <v>22</v>
      </c>
      <c r="M14" s="593">
        <f t="shared" ca="1" si="3"/>
        <v>100013</v>
      </c>
      <c r="N14" s="594">
        <f ca="1">IF(P14="",99999,'Endrunde 4'!$D14)</f>
        <v>99999</v>
      </c>
      <c r="O14" s="224" t="str">
        <f ca="1">IF(P14="","",'Endrunde 4'!$E14)</f>
        <v/>
      </c>
      <c r="P14" s="225" t="str">
        <f ca="1">IF($C$4="","",IF('Endrunde 4'!$I14=$C$4,'Endrunde 4'!$K14,IF('Endrunde 4'!$K14=$C$4,'Endrunde 4'!$I14,"")))</f>
        <v/>
      </c>
      <c r="Q14" s="595">
        <f t="shared" ca="1" si="4"/>
        <v>28.545138888888889</v>
      </c>
      <c r="R14" s="593">
        <f t="shared" ca="1" si="5"/>
        <v>100013</v>
      </c>
      <c r="S14" s="594">
        <f ca="1">IF(U14="",99999,'Endrunde 4'!$D14)</f>
        <v>99999</v>
      </c>
      <c r="T14" s="224" t="str">
        <f ca="1">IF(U14="","",'Endrunde 4'!$E14)</f>
        <v/>
      </c>
      <c r="U14" s="225" t="str">
        <f ca="1">IF($C$9="","",IF('Endrunde 4'!$I14=$C$9,'Endrunde 4'!$K14,IF('Endrunde 4'!$K14=$C$9,'Endrunde 4'!$I14,"")))</f>
        <v/>
      </c>
      <c r="V14" s="595">
        <f t="shared" ca="1" si="6"/>
        <v>25.545138888888889</v>
      </c>
      <c r="W14" s="593">
        <f t="shared" ca="1" si="7"/>
        <v>14.496527777777779</v>
      </c>
      <c r="X14" s="594">
        <f ca="1">IF(Z14="",99999,'Endrunde 4'!$D14)</f>
        <v>0.49652777777777779</v>
      </c>
      <c r="Y14" s="224">
        <f ca="1">IF(Z14="","",'Endrunde 4'!$E14)</f>
        <v>2</v>
      </c>
      <c r="Z14" s="225" t="str">
        <f ca="1">IF($C$14="","",IF('Endrunde 4'!$I14=$C$14,'Endrunde 4'!$K14,IF('Endrunde 4'!$K14=$C$14,'Endrunde 4'!$I14,"")))</f>
        <v>Manchester City</v>
      </c>
      <c r="AA14" s="595">
        <f t="shared" ca="1" si="8"/>
        <v>29.569444444444443</v>
      </c>
      <c r="AB14" s="593">
        <f t="shared" ca="1" si="9"/>
        <v>100013</v>
      </c>
      <c r="AC14" s="594">
        <f ca="1">IF(AE14="",99999,'Endrunde 4'!$D14)</f>
        <v>99999</v>
      </c>
      <c r="AD14" s="224" t="str">
        <f ca="1">IF(AE14="","",'Endrunde 4'!$E14)</f>
        <v/>
      </c>
      <c r="AE14" s="225" t="str">
        <f ca="1">IF($C$19="","",IF('Endrunde 4'!$I14=$C$19,'Endrunde 4'!$K14,IF('Endrunde 4'!$K14=$C$19,'Endrunde 4'!$I14,"")))</f>
        <v/>
      </c>
      <c r="AF14" s="595">
        <f t="shared" ca="1" si="10"/>
        <v>26.545138888888889</v>
      </c>
      <c r="AG14" s="593">
        <f t="shared" ca="1" si="11"/>
        <v>100013</v>
      </c>
      <c r="AH14" s="594">
        <f ca="1">IF(AJ14="",99999,'Endrunde 4'!$D14)</f>
        <v>99999</v>
      </c>
      <c r="AI14" s="224" t="str">
        <f ca="1">IF(AJ14="","",'Endrunde 4'!$E14)</f>
        <v/>
      </c>
      <c r="AJ14" s="225" t="str">
        <f ca="1">IF($C$24="","",IF('Endrunde 4'!$I14=$C$24,'Endrunde 4'!$K14,IF('Endrunde 4'!$K14=$C$24,'Endrunde 4'!$I14,"")))</f>
        <v/>
      </c>
      <c r="AK14" s="595">
        <f t="shared" ca="1" si="12"/>
        <v>100012</v>
      </c>
      <c r="AL14" s="593">
        <f t="shared" si="13"/>
        <v>100013</v>
      </c>
      <c r="AM14" s="594">
        <f>IF(AO14="",99999,'Endrunde 4'!$D14)</f>
        <v>99999</v>
      </c>
      <c r="AN14" s="224" t="str">
        <f>IF(AO14="","",'Endrunde 4'!$E14)</f>
        <v/>
      </c>
      <c r="AO14" s="225" t="str">
        <f>IF($C$29="","",IF('Endrunde 4'!$I14=$C$29,'Endrunde 4'!$K14,IF('Endrunde 4'!$K14=$C$29,'Endrunde 4'!$I14,"")))</f>
        <v/>
      </c>
      <c r="AP14" s="595">
        <f t="shared" si="14"/>
        <v>100013</v>
      </c>
      <c r="AQ14" s="593">
        <f t="shared" ca="1" si="15"/>
        <v>100013</v>
      </c>
      <c r="AR14" s="594">
        <f ca="1">IF(AT14="",99999,'Endrunde 4'!$D14)</f>
        <v>99999</v>
      </c>
      <c r="AS14" s="224" t="str">
        <f ca="1">IF(AT14="","",'Endrunde 4'!$E14)</f>
        <v/>
      </c>
      <c r="AT14" s="225" t="str">
        <f ca="1">IF($C$34="","",IF('Endrunde 4'!$I14=$C$34,'Endrunde 4'!$K14,IF('Endrunde 4'!$K14=$C$34,'Endrunde 4'!$I14,"")))</f>
        <v/>
      </c>
      <c r="AU14" s="595">
        <f t="shared" ca="1" si="16"/>
        <v>29.569444444444443</v>
      </c>
      <c r="AV14" s="593">
        <f t="shared" ca="1" si="17"/>
        <v>100013</v>
      </c>
      <c r="AW14" s="594">
        <f ca="1">IF(AY14="",99999,'Endrunde 4'!$D14)</f>
        <v>99999</v>
      </c>
      <c r="AX14" s="224" t="str">
        <f ca="1">IF(AY14="","",'Endrunde 4'!$E14)</f>
        <v/>
      </c>
      <c r="AY14" s="225" t="str">
        <f ca="1">IF($C$39="","",IF('Endrunde 4'!$I14=$C$39,'Endrunde 4'!$K14,IF('Endrunde 4'!$K14=$C$39,'Endrunde 4'!$I14,"")))</f>
        <v/>
      </c>
      <c r="AZ14" s="595">
        <f t="shared" ca="1" si="18"/>
        <v>100012</v>
      </c>
      <c r="BA14" s="593">
        <f t="shared" ca="1" si="19"/>
        <v>100013</v>
      </c>
      <c r="BB14" s="594">
        <f ca="1">IF(BD14="",99999,'Endrunde 4'!$D14)</f>
        <v>99999</v>
      </c>
      <c r="BC14" s="224" t="str">
        <f ca="1">IF(BD14="","",'Endrunde 4'!$E14)</f>
        <v/>
      </c>
      <c r="BD14" s="225" t="str">
        <f ca="1">IF($C$44="","",IF('Endrunde 4'!$I14=$C$44,'Endrunde 4'!$K14,IF('Endrunde 4'!$K14=$C$44,'Endrunde 4'!$I14,"")))</f>
        <v/>
      </c>
      <c r="BE14" s="595">
        <f t="shared" ca="1" si="20"/>
        <v>25.545138888888889</v>
      </c>
      <c r="BF14" s="593">
        <f t="shared" ca="1" si="21"/>
        <v>14.496527777777779</v>
      </c>
      <c r="BG14" s="594">
        <f ca="1">IF(BI14="",99999,'Endrunde 4'!$D14)</f>
        <v>0.49652777777777779</v>
      </c>
      <c r="BH14" s="224">
        <f ca="1">IF(BI14="","",'Endrunde 4'!$E14)</f>
        <v>2</v>
      </c>
      <c r="BI14" s="225" t="str">
        <f ca="1">IF($C$49="","",IF('Endrunde 4'!$I14=$C$49,'Endrunde 4'!$K14,IF('Endrunde 4'!$K14=$C$49,'Endrunde 4'!$I14,"")))</f>
        <v>Eintracht Frankfurt</v>
      </c>
      <c r="BJ14" s="595">
        <f t="shared" ca="1" si="22"/>
        <v>26.545138888888889</v>
      </c>
      <c r="BK14" s="593">
        <f t="shared" ca="1" si="23"/>
        <v>100013</v>
      </c>
      <c r="BL14" s="594">
        <f ca="1">IF(BN14="",99999,'Endrunde 4'!$D14)</f>
        <v>99999</v>
      </c>
      <c r="BM14" s="224" t="str">
        <f ca="1">IF(BN14="","",'Endrunde 4'!$E14)</f>
        <v/>
      </c>
      <c r="BN14" s="225" t="str">
        <f ca="1">IF($C$54="","",IF('Endrunde 4'!$I14=$C$54,'Endrunde 4'!$K14,IF('Endrunde 4'!$K14=$C$54,'Endrunde 4'!$I14,"")))</f>
        <v/>
      </c>
      <c r="BO14" s="595">
        <f t="shared" ca="1" si="24"/>
        <v>28.545138888888889</v>
      </c>
      <c r="BP14" s="593">
        <f t="shared" si="25"/>
        <v>100013</v>
      </c>
      <c r="BQ14" s="594">
        <f>IF(BS14="",99999,'Endrunde 4'!$D14)</f>
        <v>99999</v>
      </c>
      <c r="BR14" s="224" t="str">
        <f>IF(BS14="","",'Endrunde 4'!$E14)</f>
        <v/>
      </c>
      <c r="BS14" s="225" t="str">
        <f>IF($C$59="","",IF('Endrunde 4'!$I14=$C$59,'Endrunde 4'!$K14,IF('Endrunde 4'!$K14=$C$59,'Endrunde 4'!$I14,"")))</f>
        <v/>
      </c>
      <c r="BT14" s="595">
        <f t="shared" si="26"/>
        <v>100013</v>
      </c>
    </row>
    <row r="15" spans="2:72" ht="15.95" customHeight="1" x14ac:dyDescent="0.2">
      <c r="E15" s="576">
        <f ca="1">IF($AA$12&lt;99999,INDEX($L$12:$L$29,MATCH($AA$12,$W$12:$W$29,0)),"")</f>
        <v>22</v>
      </c>
      <c r="F15" s="577">
        <f ca="1">IF($AA$12&lt;99999,VLOOKUP($AA$12,$W$12:$Z$29,2,0),"")</f>
        <v>0.49652777777777779</v>
      </c>
      <c r="G15" s="578">
        <f ca="1">IF($AA$12&lt;99999,VLOOKUP($AA$12,$W$12:$Z$29,3,0),"")</f>
        <v>2</v>
      </c>
      <c r="H15" s="579" t="str">
        <f ca="1">IF($AA$12&lt;99999,VLOOKUP($AA$12,$W$12:$Z$29,4,0),"")</f>
        <v>Manchester City</v>
      </c>
      <c r="J15" s="569">
        <f ca="1">IF(AND(F15&lt;&gt;"",OR(F15=F14,F15=F16)),E15,0)</f>
        <v>0</v>
      </c>
      <c r="K15" s="569" t="str">
        <f ca="1">IF(J15=0,"",$C$14)</f>
        <v/>
      </c>
      <c r="L15" s="99">
        <f ca="1">'Endrunde 4'!$C15</f>
        <v>23</v>
      </c>
      <c r="M15" s="593">
        <f t="shared" ca="1" si="3"/>
        <v>100014</v>
      </c>
      <c r="N15" s="594">
        <f ca="1">IF(P15="",99999,'Endrunde 4'!$D15)</f>
        <v>99999</v>
      </c>
      <c r="O15" s="224" t="str">
        <f ca="1">IF(P15="","",'Endrunde 4'!$E15)</f>
        <v/>
      </c>
      <c r="P15" s="225" t="str">
        <f ca="1">IF($C$4="","",IF('Endrunde 4'!$I15=$C$4,'Endrunde 4'!$K15,IF('Endrunde 4'!$K15=$C$4,'Endrunde 4'!$I15,"")))</f>
        <v/>
      </c>
      <c r="Q15" s="595">
        <f t="shared" ca="1" si="4"/>
        <v>100011</v>
      </c>
      <c r="R15" s="593">
        <f t="shared" ca="1" si="5"/>
        <v>100014</v>
      </c>
      <c r="S15" s="594">
        <f ca="1">IF(U15="",99999,'Endrunde 4'!$D15)</f>
        <v>99999</v>
      </c>
      <c r="T15" s="224" t="str">
        <f ca="1">IF(U15="","",'Endrunde 4'!$E15)</f>
        <v/>
      </c>
      <c r="U15" s="225" t="str">
        <f ca="1">IF($C$9="","",IF('Endrunde 4'!$I15=$C$9,'Endrunde 4'!$K15,IF('Endrunde 4'!$K15=$C$9,'Endrunde 4'!$I15,"")))</f>
        <v/>
      </c>
      <c r="V15" s="595">
        <f t="shared" ca="1" si="6"/>
        <v>100011</v>
      </c>
      <c r="W15" s="593">
        <f t="shared" ca="1" si="7"/>
        <v>100014</v>
      </c>
      <c r="X15" s="594">
        <f ca="1">IF(Z15="",99999,'Endrunde 4'!$D15)</f>
        <v>99999</v>
      </c>
      <c r="Y15" s="224" t="str">
        <f ca="1">IF(Z15="","",'Endrunde 4'!$E15)</f>
        <v/>
      </c>
      <c r="Z15" s="225" t="str">
        <f ca="1">IF($C$14="","",IF('Endrunde 4'!$I15=$C$14,'Endrunde 4'!$K15,IF('Endrunde 4'!$K15=$C$14,'Endrunde 4'!$I15,"")))</f>
        <v/>
      </c>
      <c r="AA15" s="595">
        <f t="shared" ca="1" si="8"/>
        <v>100011</v>
      </c>
      <c r="AB15" s="593">
        <f t="shared" ca="1" si="9"/>
        <v>100014</v>
      </c>
      <c r="AC15" s="594">
        <f ca="1">IF(AE15="",99999,'Endrunde 4'!$D15)</f>
        <v>99999</v>
      </c>
      <c r="AD15" s="224" t="str">
        <f ca="1">IF(AE15="","",'Endrunde 4'!$E15)</f>
        <v/>
      </c>
      <c r="AE15" s="225" t="str">
        <f ca="1">IF($C$19="","",IF('Endrunde 4'!$I15=$C$19,'Endrunde 4'!$K15,IF('Endrunde 4'!$K15=$C$19,'Endrunde 4'!$I15,"")))</f>
        <v/>
      </c>
      <c r="AF15" s="595">
        <f t="shared" ca="1" si="10"/>
        <v>100011</v>
      </c>
      <c r="AG15" s="593">
        <f t="shared" ca="1" si="11"/>
        <v>100014</v>
      </c>
      <c r="AH15" s="594">
        <f ca="1">IF(AJ15="",99999,'Endrunde 4'!$D15)</f>
        <v>99999</v>
      </c>
      <c r="AI15" s="224" t="str">
        <f ca="1">IF(AJ15="","",'Endrunde 4'!$E15)</f>
        <v/>
      </c>
      <c r="AJ15" s="225" t="str">
        <f ca="1">IF($C$24="","",IF('Endrunde 4'!$I15=$C$24,'Endrunde 4'!$K15,IF('Endrunde 4'!$K15=$C$24,'Endrunde 4'!$I15,"")))</f>
        <v/>
      </c>
      <c r="AK15" s="595">
        <f t="shared" ca="1" si="12"/>
        <v>100013</v>
      </c>
      <c r="AL15" s="593">
        <f t="shared" si="13"/>
        <v>100014</v>
      </c>
      <c r="AM15" s="594">
        <f>IF(AO15="",99999,'Endrunde 4'!$D15)</f>
        <v>99999</v>
      </c>
      <c r="AN15" s="224" t="str">
        <f>IF(AO15="","",'Endrunde 4'!$E15)</f>
        <v/>
      </c>
      <c r="AO15" s="225" t="str">
        <f>IF($C$29="","",IF('Endrunde 4'!$I15=$C$29,'Endrunde 4'!$K15,IF('Endrunde 4'!$K15=$C$29,'Endrunde 4'!$I15,"")))</f>
        <v/>
      </c>
      <c r="AP15" s="595">
        <f t="shared" si="14"/>
        <v>100014</v>
      </c>
      <c r="AQ15" s="593">
        <f t="shared" ca="1" si="15"/>
        <v>100014</v>
      </c>
      <c r="AR15" s="594">
        <f ca="1">IF(AT15="",99999,'Endrunde 4'!$D15)</f>
        <v>99999</v>
      </c>
      <c r="AS15" s="224" t="str">
        <f ca="1">IF(AT15="","",'Endrunde 4'!$E15)</f>
        <v/>
      </c>
      <c r="AT15" s="225" t="str">
        <f ca="1">IF($C$34="","",IF('Endrunde 4'!$I15=$C$34,'Endrunde 4'!$K15,IF('Endrunde 4'!$K15=$C$34,'Endrunde 4'!$I15,"")))</f>
        <v/>
      </c>
      <c r="AU15" s="595">
        <f t="shared" ca="1" si="16"/>
        <v>100011</v>
      </c>
      <c r="AV15" s="593">
        <f t="shared" ca="1" si="17"/>
        <v>100014</v>
      </c>
      <c r="AW15" s="594">
        <f ca="1">IF(AY15="",99999,'Endrunde 4'!$D15)</f>
        <v>99999</v>
      </c>
      <c r="AX15" s="224" t="str">
        <f ca="1">IF(AY15="","",'Endrunde 4'!$E15)</f>
        <v/>
      </c>
      <c r="AY15" s="225" t="str">
        <f ca="1">IF($C$39="","",IF('Endrunde 4'!$I15=$C$39,'Endrunde 4'!$K15,IF('Endrunde 4'!$K15=$C$39,'Endrunde 4'!$I15,"")))</f>
        <v/>
      </c>
      <c r="AZ15" s="595">
        <f t="shared" ca="1" si="18"/>
        <v>100013</v>
      </c>
      <c r="BA15" s="593">
        <f t="shared" ca="1" si="19"/>
        <v>100014</v>
      </c>
      <c r="BB15" s="594">
        <f ca="1">IF(BD15="",99999,'Endrunde 4'!$D15)</f>
        <v>99999</v>
      </c>
      <c r="BC15" s="224" t="str">
        <f ca="1">IF(BD15="","",'Endrunde 4'!$E15)</f>
        <v/>
      </c>
      <c r="BD15" s="225" t="str">
        <f ca="1">IF($C$44="","",IF('Endrunde 4'!$I15=$C$44,'Endrunde 4'!$K15,IF('Endrunde 4'!$K15=$C$44,'Endrunde 4'!$I15,"")))</f>
        <v/>
      </c>
      <c r="BE15" s="595">
        <f t="shared" ca="1" si="20"/>
        <v>100011</v>
      </c>
      <c r="BF15" s="593">
        <f t="shared" ca="1" si="21"/>
        <v>100014</v>
      </c>
      <c r="BG15" s="594">
        <f ca="1">IF(BI15="",99999,'Endrunde 4'!$D15)</f>
        <v>99999</v>
      </c>
      <c r="BH15" s="224" t="str">
        <f ca="1">IF(BI15="","",'Endrunde 4'!$E15)</f>
        <v/>
      </c>
      <c r="BI15" s="225" t="str">
        <f ca="1">IF($C$49="","",IF('Endrunde 4'!$I15=$C$49,'Endrunde 4'!$K15,IF('Endrunde 4'!$K15=$C$49,'Endrunde 4'!$I15,"")))</f>
        <v/>
      </c>
      <c r="BJ15" s="595">
        <f t="shared" ca="1" si="22"/>
        <v>100011</v>
      </c>
      <c r="BK15" s="593">
        <f t="shared" ca="1" si="23"/>
        <v>100014</v>
      </c>
      <c r="BL15" s="594">
        <f ca="1">IF(BN15="",99999,'Endrunde 4'!$D15)</f>
        <v>99999</v>
      </c>
      <c r="BM15" s="224" t="str">
        <f ca="1">IF(BN15="","",'Endrunde 4'!$E15)</f>
        <v/>
      </c>
      <c r="BN15" s="225" t="str">
        <f ca="1">IF($C$54="","",IF('Endrunde 4'!$I15=$C$54,'Endrunde 4'!$K15,IF('Endrunde 4'!$K15=$C$54,'Endrunde 4'!$I15,"")))</f>
        <v/>
      </c>
      <c r="BO15" s="595">
        <f t="shared" ca="1" si="24"/>
        <v>100011</v>
      </c>
      <c r="BP15" s="593">
        <f t="shared" si="25"/>
        <v>100014</v>
      </c>
      <c r="BQ15" s="594">
        <f>IF(BS15="",99999,'Endrunde 4'!$D15)</f>
        <v>99999</v>
      </c>
      <c r="BR15" s="224" t="str">
        <f>IF(BS15="","",'Endrunde 4'!$E15)</f>
        <v/>
      </c>
      <c r="BS15" s="225" t="str">
        <f>IF($C$59="","",IF('Endrunde 4'!$I15=$C$59,'Endrunde 4'!$K15,IF('Endrunde 4'!$K15=$C$59,'Endrunde 4'!$I15,"")))</f>
        <v/>
      </c>
      <c r="BT15" s="595">
        <f t="shared" si="26"/>
        <v>100014</v>
      </c>
    </row>
    <row r="16" spans="2:72" ht="15.95" customHeight="1" x14ac:dyDescent="0.2">
      <c r="E16" s="576">
        <f ca="1">IF($AA$13&lt;99999,INDEX($L$12:$L$29,MATCH($AA$13,$W$12:$W$29,0)),"")</f>
        <v>26</v>
      </c>
      <c r="F16" s="580">
        <f ca="1">IF($AA$13&lt;99999,VLOOKUP($AA$13,$W$12:$Z$29,2,0),"")</f>
        <v>0.52083333333333337</v>
      </c>
      <c r="G16" s="581">
        <f ca="1">IF($AA$13&lt;99999,VLOOKUP($AA$13,$W$12:$Z$29,3,0),"")</f>
        <v>2</v>
      </c>
      <c r="H16" s="582" t="str">
        <f ca="1">IF($AA$13&lt;99999,VLOOKUP($AA$13,$W$12:$Z$29,4,0),"")</f>
        <v>Maibach 1822 eV</v>
      </c>
      <c r="J16" s="569">
        <f t="shared" ref="J16:J62" ca="1" si="27">IF(AND(F16&lt;&gt;"",OR(F16=F15,F16=F17)),E16,0)</f>
        <v>0</v>
      </c>
      <c r="K16" s="569" t="str">
        <f t="shared" ref="K16:K17" ca="1" si="28">IF(J16=0,"",$C$14)</f>
        <v/>
      </c>
      <c r="L16" s="99">
        <f ca="1">'Endrunde 4'!$C16</f>
        <v>23</v>
      </c>
      <c r="M16" s="593">
        <f t="shared" ca="1" si="3"/>
        <v>100015</v>
      </c>
      <c r="N16" s="594">
        <f ca="1">IF(P16="",99999,'Endrunde 4'!$D16)</f>
        <v>99999</v>
      </c>
      <c r="O16" s="224" t="str">
        <f ca="1">IF(P16="","",'Endrunde 4'!$E16)</f>
        <v/>
      </c>
      <c r="P16" s="225" t="str">
        <f ca="1">IF($C$4="","",IF('Endrunde 4'!$I16=$C$4,'Endrunde 4'!$K16,IF('Endrunde 4'!$K16=$C$4,'Endrunde 4'!$I16,"")))</f>
        <v/>
      </c>
      <c r="Q16" s="595">
        <f t="shared" ca="1" si="4"/>
        <v>100013</v>
      </c>
      <c r="R16" s="593">
        <f t="shared" ca="1" si="5"/>
        <v>16.496527777777779</v>
      </c>
      <c r="S16" s="594">
        <f ca="1">IF(U16="",99999,'Endrunde 4'!$D16)</f>
        <v>0.49652777777777779</v>
      </c>
      <c r="T16" s="224">
        <f ca="1">IF(U16="","",'Endrunde 4'!$E16)</f>
        <v>3</v>
      </c>
      <c r="U16" s="225" t="str">
        <f ca="1">IF($C$9="","",IF('Endrunde 4'!$I16=$C$9,'Endrunde 4'!$K16,IF('Endrunde 4'!$K16=$C$9,'Endrunde 4'!$I16,"")))</f>
        <v>FC Grönlingen</v>
      </c>
      <c r="V16" s="595">
        <f t="shared" ca="1" si="6"/>
        <v>100012</v>
      </c>
      <c r="W16" s="593">
        <f t="shared" ca="1" si="7"/>
        <v>100015</v>
      </c>
      <c r="X16" s="594">
        <f ca="1">IF(Z16="",99999,'Endrunde 4'!$D16)</f>
        <v>99999</v>
      </c>
      <c r="Y16" s="224" t="str">
        <f ca="1">IF(Z16="","",'Endrunde 4'!$E16)</f>
        <v/>
      </c>
      <c r="Z16" s="225" t="str">
        <f ca="1">IF($C$14="","",IF('Endrunde 4'!$I16=$C$14,'Endrunde 4'!$K16,IF('Endrunde 4'!$K16=$C$14,'Endrunde 4'!$I16,"")))</f>
        <v/>
      </c>
      <c r="AA16" s="595">
        <f t="shared" ca="1" si="8"/>
        <v>100012</v>
      </c>
      <c r="AB16" s="593">
        <f t="shared" ca="1" si="9"/>
        <v>100015</v>
      </c>
      <c r="AC16" s="594">
        <f ca="1">IF(AE16="",99999,'Endrunde 4'!$D16)</f>
        <v>99999</v>
      </c>
      <c r="AD16" s="224" t="str">
        <f ca="1">IF(AE16="","",'Endrunde 4'!$E16)</f>
        <v/>
      </c>
      <c r="AE16" s="225" t="str">
        <f ca="1">IF($C$19="","",IF('Endrunde 4'!$I16=$C$19,'Endrunde 4'!$K16,IF('Endrunde 4'!$K16=$C$19,'Endrunde 4'!$I16,"")))</f>
        <v/>
      </c>
      <c r="AF16" s="595">
        <f t="shared" ca="1" si="10"/>
        <v>100012</v>
      </c>
      <c r="AG16" s="593">
        <f t="shared" ca="1" si="11"/>
        <v>100015</v>
      </c>
      <c r="AH16" s="594">
        <f ca="1">IF(AJ16="",99999,'Endrunde 4'!$D16)</f>
        <v>99999</v>
      </c>
      <c r="AI16" s="224" t="str">
        <f ca="1">IF(AJ16="","",'Endrunde 4'!$E16)</f>
        <v/>
      </c>
      <c r="AJ16" s="225" t="str">
        <f ca="1">IF($C$24="","",IF('Endrunde 4'!$I16=$C$24,'Endrunde 4'!$K16,IF('Endrunde 4'!$K16=$C$24,'Endrunde 4'!$I16,"")))</f>
        <v/>
      </c>
      <c r="AK16" s="595">
        <f t="shared" ca="1" si="12"/>
        <v>100014</v>
      </c>
      <c r="AL16" s="593">
        <f t="shared" si="13"/>
        <v>100015</v>
      </c>
      <c r="AM16" s="594">
        <f>IF(AO16="",99999,'Endrunde 4'!$D16)</f>
        <v>99999</v>
      </c>
      <c r="AN16" s="224" t="str">
        <f>IF(AO16="","",'Endrunde 4'!$E16)</f>
        <v/>
      </c>
      <c r="AO16" s="225" t="str">
        <f>IF($C$29="","",IF('Endrunde 4'!$I16=$C$29,'Endrunde 4'!$K16,IF('Endrunde 4'!$K16=$C$29,'Endrunde 4'!$I16,"")))</f>
        <v/>
      </c>
      <c r="AP16" s="595">
        <f t="shared" si="14"/>
        <v>100015</v>
      </c>
      <c r="AQ16" s="593">
        <f t="shared" ca="1" si="15"/>
        <v>100015</v>
      </c>
      <c r="AR16" s="594">
        <f ca="1">IF(AT16="",99999,'Endrunde 4'!$D16)</f>
        <v>99999</v>
      </c>
      <c r="AS16" s="224" t="str">
        <f ca="1">IF(AT16="","",'Endrunde 4'!$E16)</f>
        <v/>
      </c>
      <c r="AT16" s="225" t="str">
        <f ca="1">IF($C$34="","",IF('Endrunde 4'!$I16=$C$34,'Endrunde 4'!$K16,IF('Endrunde 4'!$K16=$C$34,'Endrunde 4'!$I16,"")))</f>
        <v/>
      </c>
      <c r="AU16" s="595">
        <f t="shared" ca="1" si="16"/>
        <v>100012</v>
      </c>
      <c r="AV16" s="593">
        <f t="shared" ca="1" si="17"/>
        <v>100015</v>
      </c>
      <c r="AW16" s="594">
        <f ca="1">IF(AY16="",99999,'Endrunde 4'!$D16)</f>
        <v>99999</v>
      </c>
      <c r="AX16" s="224" t="str">
        <f ca="1">IF(AY16="","",'Endrunde 4'!$E16)</f>
        <v/>
      </c>
      <c r="AY16" s="225" t="str">
        <f ca="1">IF($C$39="","",IF('Endrunde 4'!$I16=$C$39,'Endrunde 4'!$K16,IF('Endrunde 4'!$K16=$C$39,'Endrunde 4'!$I16,"")))</f>
        <v/>
      </c>
      <c r="AZ16" s="595">
        <f t="shared" ca="1" si="18"/>
        <v>100014</v>
      </c>
      <c r="BA16" s="593">
        <f t="shared" ca="1" si="19"/>
        <v>100015</v>
      </c>
      <c r="BB16" s="594">
        <f ca="1">IF(BD16="",99999,'Endrunde 4'!$D16)</f>
        <v>99999</v>
      </c>
      <c r="BC16" s="224" t="str">
        <f ca="1">IF(BD16="","",'Endrunde 4'!$E16)</f>
        <v/>
      </c>
      <c r="BD16" s="225" t="str">
        <f ca="1">IF($C$44="","",IF('Endrunde 4'!$I16=$C$44,'Endrunde 4'!$K16,IF('Endrunde 4'!$K16=$C$44,'Endrunde 4'!$I16,"")))</f>
        <v/>
      </c>
      <c r="BE16" s="595">
        <f t="shared" ca="1" si="20"/>
        <v>100013</v>
      </c>
      <c r="BF16" s="593">
        <f t="shared" ca="1" si="21"/>
        <v>100015</v>
      </c>
      <c r="BG16" s="594">
        <f ca="1">IF(BI16="",99999,'Endrunde 4'!$D16)</f>
        <v>99999</v>
      </c>
      <c r="BH16" s="224" t="str">
        <f ca="1">IF(BI16="","",'Endrunde 4'!$E16)</f>
        <v/>
      </c>
      <c r="BI16" s="225" t="str">
        <f ca="1">IF($C$49="","",IF('Endrunde 4'!$I16=$C$49,'Endrunde 4'!$K16,IF('Endrunde 4'!$K16=$C$49,'Endrunde 4'!$I16,"")))</f>
        <v/>
      </c>
      <c r="BJ16" s="595">
        <f t="shared" ca="1" si="22"/>
        <v>100012</v>
      </c>
      <c r="BK16" s="593">
        <f t="shared" ca="1" si="23"/>
        <v>16.496527777777779</v>
      </c>
      <c r="BL16" s="594">
        <f ca="1">IF(BN16="",99999,'Endrunde 4'!$D16)</f>
        <v>0.49652777777777779</v>
      </c>
      <c r="BM16" s="224">
        <f ca="1">IF(BN16="","",'Endrunde 4'!$E16)</f>
        <v>3</v>
      </c>
      <c r="BN16" s="225" t="str">
        <f ca="1">IF($C$54="","",IF('Endrunde 4'!$I16=$C$54,'Endrunde 4'!$K16,IF('Endrunde 4'!$K16=$C$54,'Endrunde 4'!$I16,"")))</f>
        <v>FC Barcelona</v>
      </c>
      <c r="BO16" s="595">
        <f t="shared" ca="1" si="24"/>
        <v>100012</v>
      </c>
      <c r="BP16" s="593">
        <f t="shared" si="25"/>
        <v>100015</v>
      </c>
      <c r="BQ16" s="594">
        <f>IF(BS16="",99999,'Endrunde 4'!$D16)</f>
        <v>99999</v>
      </c>
      <c r="BR16" s="224" t="str">
        <f>IF(BS16="","",'Endrunde 4'!$E16)</f>
        <v/>
      </c>
      <c r="BS16" s="225" t="str">
        <f>IF($C$59="","",IF('Endrunde 4'!$I16=$C$59,'Endrunde 4'!$K16,IF('Endrunde 4'!$K16=$C$59,'Endrunde 4'!$I16,"")))</f>
        <v/>
      </c>
      <c r="BT16" s="595">
        <f t="shared" si="26"/>
        <v>100015</v>
      </c>
    </row>
    <row r="17" spans="2:72" ht="15.95" customHeight="1" thickBot="1" x14ac:dyDescent="0.25">
      <c r="E17" s="583">
        <f ca="1">IF($AA$14&lt;99999,INDEX($L$12:$L$29,MATCH($AA$14,$W$12:$W$29,0)),"")</f>
        <v>33</v>
      </c>
      <c r="F17" s="584">
        <f ca="1">IF($AA$14&lt;99999,VLOOKUP($AA$14,$W$12:$Z$29,2,0),"")</f>
        <v>0.56944444444444442</v>
      </c>
      <c r="G17" s="585">
        <f ca="1">IF($AA$14&lt;99999,VLOOKUP($AA$14,$W$12:$Z$29,3,0),"")</f>
        <v>1</v>
      </c>
      <c r="H17" s="586" t="str">
        <f ca="1">IF($AA$14&lt;99999,VLOOKUP($AA$14,$W$12:$Z$29,4,0),"")</f>
        <v>Mainz 05</v>
      </c>
      <c r="J17" s="569">
        <f t="shared" ca="1" si="27"/>
        <v>0</v>
      </c>
      <c r="K17" s="569" t="str">
        <f t="shared" ca="1" si="28"/>
        <v/>
      </c>
      <c r="L17" s="99">
        <f ca="1">'Endrunde 4'!$C17</f>
        <v>24</v>
      </c>
      <c r="M17" s="593">
        <f t="shared" ca="1" si="3"/>
        <v>100016</v>
      </c>
      <c r="N17" s="594">
        <f ca="1">IF(P17="",99999,'Endrunde 4'!$D17)</f>
        <v>99999</v>
      </c>
      <c r="O17" s="224" t="str">
        <f ca="1">IF(P17="","",'Endrunde 4'!$E17)</f>
        <v/>
      </c>
      <c r="P17" s="225" t="str">
        <f ca="1">IF($C$4="","",IF('Endrunde 4'!$I17=$C$4,'Endrunde 4'!$K17,IF('Endrunde 4'!$K17=$C$4,'Endrunde 4'!$I17,"")))</f>
        <v/>
      </c>
      <c r="Q17" s="595">
        <f t="shared" ca="1" si="4"/>
        <v>100014</v>
      </c>
      <c r="R17" s="593">
        <f t="shared" ca="1" si="5"/>
        <v>100016</v>
      </c>
      <c r="S17" s="594">
        <f ca="1">IF(U17="",99999,'Endrunde 4'!$D17)</f>
        <v>99999</v>
      </c>
      <c r="T17" s="224" t="str">
        <f ca="1">IF(U17="","",'Endrunde 4'!$E17)</f>
        <v/>
      </c>
      <c r="U17" s="225" t="str">
        <f ca="1">IF($C$9="","",IF('Endrunde 4'!$I17=$C$9,'Endrunde 4'!$K17,IF('Endrunde 4'!$K17=$C$9,'Endrunde 4'!$I17,"")))</f>
        <v/>
      </c>
      <c r="V17" s="595">
        <f t="shared" ca="1" si="6"/>
        <v>100013</v>
      </c>
      <c r="W17" s="593">
        <f t="shared" ca="1" si="7"/>
        <v>100016</v>
      </c>
      <c r="X17" s="594">
        <f ca="1">IF(Z17="",99999,'Endrunde 4'!$D17)</f>
        <v>99999</v>
      </c>
      <c r="Y17" s="224" t="str">
        <f ca="1">IF(Z17="","",'Endrunde 4'!$E17)</f>
        <v/>
      </c>
      <c r="Z17" s="225" t="str">
        <f ca="1">IF($C$14="","",IF('Endrunde 4'!$I17=$C$14,'Endrunde 4'!$K17,IF('Endrunde 4'!$K17=$C$14,'Endrunde 4'!$I17,"")))</f>
        <v/>
      </c>
      <c r="AA17" s="595">
        <f t="shared" ca="1" si="8"/>
        <v>100014</v>
      </c>
      <c r="AB17" s="593">
        <f t="shared" ca="1" si="9"/>
        <v>17.496527777777779</v>
      </c>
      <c r="AC17" s="594">
        <f ca="1">IF(AE17="",99999,'Endrunde 4'!$D17)</f>
        <v>0.49652777777777779</v>
      </c>
      <c r="AD17" s="224">
        <f ca="1">IF(AE17="","",'Endrunde 4'!$E17)</f>
        <v>4</v>
      </c>
      <c r="AE17" s="225" t="str">
        <f ca="1">IF($C$19="","",IF('Endrunde 4'!$I17=$C$19,'Endrunde 4'!$K17,IF('Endrunde 4'!$K17=$C$19,'Endrunde 4'!$I17,"")))</f>
        <v>Mainz 05</v>
      </c>
      <c r="AF17" s="595">
        <f t="shared" ca="1" si="10"/>
        <v>100013</v>
      </c>
      <c r="AG17" s="593">
        <f t="shared" ca="1" si="11"/>
        <v>100016</v>
      </c>
      <c r="AH17" s="594">
        <f ca="1">IF(AJ17="",99999,'Endrunde 4'!$D17)</f>
        <v>99999</v>
      </c>
      <c r="AI17" s="224" t="str">
        <f ca="1">IF(AJ17="","",'Endrunde 4'!$E17)</f>
        <v/>
      </c>
      <c r="AJ17" s="225" t="str">
        <f ca="1">IF($C$24="","",IF('Endrunde 4'!$I17=$C$24,'Endrunde 4'!$K17,IF('Endrunde 4'!$K17=$C$24,'Endrunde 4'!$I17,"")))</f>
        <v/>
      </c>
      <c r="AK17" s="595">
        <f t="shared" ca="1" si="12"/>
        <v>100015</v>
      </c>
      <c r="AL17" s="593">
        <f t="shared" si="13"/>
        <v>100016</v>
      </c>
      <c r="AM17" s="594">
        <f>IF(AO17="",99999,'Endrunde 4'!$D17)</f>
        <v>99999</v>
      </c>
      <c r="AN17" s="224" t="str">
        <f>IF(AO17="","",'Endrunde 4'!$E17)</f>
        <v/>
      </c>
      <c r="AO17" s="225" t="str">
        <f>IF($C$29="","",IF('Endrunde 4'!$I17=$C$29,'Endrunde 4'!$K17,IF('Endrunde 4'!$K17=$C$29,'Endrunde 4'!$I17,"")))</f>
        <v/>
      </c>
      <c r="AP17" s="595">
        <f t="shared" si="14"/>
        <v>100016</v>
      </c>
      <c r="AQ17" s="593">
        <f t="shared" ca="1" si="15"/>
        <v>17.496527777777779</v>
      </c>
      <c r="AR17" s="594">
        <f ca="1">IF(AT17="",99999,'Endrunde 4'!$D17)</f>
        <v>0.49652777777777779</v>
      </c>
      <c r="AS17" s="224">
        <f ca="1">IF(AT17="","",'Endrunde 4'!$E17)</f>
        <v>4</v>
      </c>
      <c r="AT17" s="225" t="str">
        <f ca="1">IF($C$34="","",IF('Endrunde 4'!$I17=$C$34,'Endrunde 4'!$K17,IF('Endrunde 4'!$K17=$C$34,'Endrunde 4'!$I17,"")))</f>
        <v>Maibach 1822 eV</v>
      </c>
      <c r="AU17" s="595">
        <f t="shared" ca="1" si="16"/>
        <v>100013</v>
      </c>
      <c r="AV17" s="593">
        <f t="shared" ca="1" si="17"/>
        <v>100016</v>
      </c>
      <c r="AW17" s="594">
        <f ca="1">IF(AY17="",99999,'Endrunde 4'!$D17)</f>
        <v>99999</v>
      </c>
      <c r="AX17" s="224" t="str">
        <f ca="1">IF(AY17="","",'Endrunde 4'!$E17)</f>
        <v/>
      </c>
      <c r="AY17" s="225" t="str">
        <f ca="1">IF($C$39="","",IF('Endrunde 4'!$I17=$C$39,'Endrunde 4'!$K17,IF('Endrunde 4'!$K17=$C$39,'Endrunde 4'!$I17,"")))</f>
        <v/>
      </c>
      <c r="AZ17" s="595">
        <f t="shared" ca="1" si="18"/>
        <v>100015</v>
      </c>
      <c r="BA17" s="593">
        <f t="shared" ca="1" si="19"/>
        <v>100016</v>
      </c>
      <c r="BB17" s="594">
        <f ca="1">IF(BD17="",99999,'Endrunde 4'!$D17)</f>
        <v>99999</v>
      </c>
      <c r="BC17" s="224" t="str">
        <f ca="1">IF(BD17="","",'Endrunde 4'!$E17)</f>
        <v/>
      </c>
      <c r="BD17" s="225" t="str">
        <f ca="1">IF($C$44="","",IF('Endrunde 4'!$I17=$C$44,'Endrunde 4'!$K17,IF('Endrunde 4'!$K17=$C$44,'Endrunde 4'!$I17,"")))</f>
        <v/>
      </c>
      <c r="BE17" s="595">
        <f t="shared" ca="1" si="20"/>
        <v>100014</v>
      </c>
      <c r="BF17" s="593">
        <f t="shared" ca="1" si="21"/>
        <v>100016</v>
      </c>
      <c r="BG17" s="594">
        <f ca="1">IF(BI17="",99999,'Endrunde 4'!$D17)</f>
        <v>99999</v>
      </c>
      <c r="BH17" s="224" t="str">
        <f ca="1">IF(BI17="","",'Endrunde 4'!$E17)</f>
        <v/>
      </c>
      <c r="BI17" s="225" t="str">
        <f ca="1">IF($C$49="","",IF('Endrunde 4'!$I17=$C$49,'Endrunde 4'!$K17,IF('Endrunde 4'!$K17=$C$49,'Endrunde 4'!$I17,"")))</f>
        <v/>
      </c>
      <c r="BJ17" s="595">
        <f t="shared" ca="1" si="22"/>
        <v>100014</v>
      </c>
      <c r="BK17" s="593">
        <f t="shared" ca="1" si="23"/>
        <v>100016</v>
      </c>
      <c r="BL17" s="594">
        <f ca="1">IF(BN17="",99999,'Endrunde 4'!$D17)</f>
        <v>99999</v>
      </c>
      <c r="BM17" s="224" t="str">
        <f ca="1">IF(BN17="","",'Endrunde 4'!$E17)</f>
        <v/>
      </c>
      <c r="BN17" s="225" t="str">
        <f ca="1">IF($C$54="","",IF('Endrunde 4'!$I17=$C$54,'Endrunde 4'!$K17,IF('Endrunde 4'!$K17=$C$54,'Endrunde 4'!$I17,"")))</f>
        <v/>
      </c>
      <c r="BO17" s="595">
        <f t="shared" ca="1" si="24"/>
        <v>100013</v>
      </c>
      <c r="BP17" s="593">
        <f t="shared" si="25"/>
        <v>100016</v>
      </c>
      <c r="BQ17" s="594">
        <f>IF(BS17="",99999,'Endrunde 4'!$D17)</f>
        <v>99999</v>
      </c>
      <c r="BR17" s="224" t="str">
        <f>IF(BS17="","",'Endrunde 4'!$E17)</f>
        <v/>
      </c>
      <c r="BS17" s="225" t="str">
        <f>IF($C$59="","",IF('Endrunde 4'!$I17=$C$59,'Endrunde 4'!$K17,IF('Endrunde 4'!$K17=$C$59,'Endrunde 4'!$I17,"")))</f>
        <v/>
      </c>
      <c r="BT17" s="595">
        <f t="shared" si="26"/>
        <v>100016</v>
      </c>
    </row>
    <row r="18" spans="2:72" ht="30" customHeight="1" thickBot="1" x14ac:dyDescent="0.25">
      <c r="J18" s="569">
        <f t="shared" ca="1" si="27"/>
        <v>0</v>
      </c>
      <c r="L18" s="99">
        <f ca="1">'Endrunde 4'!$C18</f>
        <v>25</v>
      </c>
      <c r="M18" s="593">
        <f t="shared" ca="1" si="3"/>
        <v>100017</v>
      </c>
      <c r="N18" s="594">
        <f ca="1">IF(P18="",99999,'Endrunde 4'!$D18)</f>
        <v>99999</v>
      </c>
      <c r="O18" s="224" t="str">
        <f ca="1">IF(P18="","",'Endrunde 4'!$E18)</f>
        <v/>
      </c>
      <c r="P18" s="225" t="str">
        <f ca="1">IF($C$4="","",IF('Endrunde 4'!$I18=$C$4,'Endrunde 4'!$K18,IF('Endrunde 4'!$K18=$C$4,'Endrunde 4'!$I18,"")))</f>
        <v/>
      </c>
      <c r="Q18" s="595">
        <f t="shared" ca="1" si="4"/>
        <v>100015</v>
      </c>
      <c r="R18" s="593">
        <f t="shared" ca="1" si="5"/>
        <v>100017</v>
      </c>
      <c r="S18" s="594">
        <f ca="1">IF(U18="",99999,'Endrunde 4'!$D18)</f>
        <v>99999</v>
      </c>
      <c r="T18" s="224" t="str">
        <f ca="1">IF(U18="","",'Endrunde 4'!$E18)</f>
        <v/>
      </c>
      <c r="U18" s="225" t="str">
        <f ca="1">IF($C$9="","",IF('Endrunde 4'!$I18=$C$9,'Endrunde 4'!$K18,IF('Endrunde 4'!$K18=$C$9,'Endrunde 4'!$I18,"")))</f>
        <v/>
      </c>
      <c r="V18" s="595">
        <f t="shared" ca="1" si="6"/>
        <v>100014</v>
      </c>
      <c r="W18" s="593">
        <f t="shared" ca="1" si="7"/>
        <v>100017</v>
      </c>
      <c r="X18" s="594">
        <f ca="1">IF(Z18="",99999,'Endrunde 4'!$D18)</f>
        <v>99999</v>
      </c>
      <c r="Y18" s="224" t="str">
        <f ca="1">IF(Z18="","",'Endrunde 4'!$E18)</f>
        <v/>
      </c>
      <c r="Z18" s="225" t="str">
        <f ca="1">IF($C$14="","",IF('Endrunde 4'!$I18=$C$14,'Endrunde 4'!$K18,IF('Endrunde 4'!$K18=$C$14,'Endrunde 4'!$I18,"")))</f>
        <v/>
      </c>
      <c r="AA18" s="595">
        <f t="shared" ca="1" si="8"/>
        <v>100015</v>
      </c>
      <c r="AB18" s="593">
        <f t="shared" ca="1" si="9"/>
        <v>100017</v>
      </c>
      <c r="AC18" s="594">
        <f ca="1">IF(AE18="",99999,'Endrunde 4'!$D18)</f>
        <v>99999</v>
      </c>
      <c r="AD18" s="224" t="str">
        <f ca="1">IF(AE18="","",'Endrunde 4'!$E18)</f>
        <v/>
      </c>
      <c r="AE18" s="225" t="str">
        <f ca="1">IF($C$19="","",IF('Endrunde 4'!$I18=$C$19,'Endrunde 4'!$K18,IF('Endrunde 4'!$K18=$C$19,'Endrunde 4'!$I18,"")))</f>
        <v/>
      </c>
      <c r="AF18" s="595">
        <f t="shared" ca="1" si="10"/>
        <v>100014</v>
      </c>
      <c r="AG18" s="593">
        <f t="shared" ca="1" si="11"/>
        <v>100017</v>
      </c>
      <c r="AH18" s="594">
        <f ca="1">IF(AJ18="",99999,'Endrunde 4'!$D18)</f>
        <v>99999</v>
      </c>
      <c r="AI18" s="224" t="str">
        <f ca="1">IF(AJ18="","",'Endrunde 4'!$E18)</f>
        <v/>
      </c>
      <c r="AJ18" s="225" t="str">
        <f ca="1">IF($C$24="","",IF('Endrunde 4'!$I18=$C$24,'Endrunde 4'!$K18,IF('Endrunde 4'!$K18=$C$24,'Endrunde 4'!$I18,"")))</f>
        <v/>
      </c>
      <c r="AK18" s="595">
        <f t="shared" ca="1" si="12"/>
        <v>100016</v>
      </c>
      <c r="AL18" s="593">
        <f t="shared" si="13"/>
        <v>100017</v>
      </c>
      <c r="AM18" s="594">
        <f>IF(AO18="",99999,'Endrunde 4'!$D18)</f>
        <v>99999</v>
      </c>
      <c r="AN18" s="224" t="str">
        <f>IF(AO18="","",'Endrunde 4'!$E18)</f>
        <v/>
      </c>
      <c r="AO18" s="225" t="str">
        <f>IF($C$29="","",IF('Endrunde 4'!$I18=$C$29,'Endrunde 4'!$K18,IF('Endrunde 4'!$K18=$C$29,'Endrunde 4'!$I18,"")))</f>
        <v/>
      </c>
      <c r="AP18" s="595">
        <f t="shared" si="14"/>
        <v>100017</v>
      </c>
      <c r="AQ18" s="593">
        <f t="shared" ca="1" si="15"/>
        <v>100017</v>
      </c>
      <c r="AR18" s="594">
        <f ca="1">IF(AT18="",99999,'Endrunde 4'!$D18)</f>
        <v>99999</v>
      </c>
      <c r="AS18" s="224" t="str">
        <f ca="1">IF(AT18="","",'Endrunde 4'!$E18)</f>
        <v/>
      </c>
      <c r="AT18" s="225" t="str">
        <f ca="1">IF($C$34="","",IF('Endrunde 4'!$I18=$C$34,'Endrunde 4'!$K18,IF('Endrunde 4'!$K18=$C$34,'Endrunde 4'!$I18,"")))</f>
        <v/>
      </c>
      <c r="AU18" s="595">
        <f t="shared" ca="1" si="16"/>
        <v>100014</v>
      </c>
      <c r="AV18" s="593">
        <f t="shared" ca="1" si="17"/>
        <v>100017</v>
      </c>
      <c r="AW18" s="594">
        <f ca="1">IF(AY18="",99999,'Endrunde 4'!$D18)</f>
        <v>99999</v>
      </c>
      <c r="AX18" s="224" t="str">
        <f ca="1">IF(AY18="","",'Endrunde 4'!$E18)</f>
        <v/>
      </c>
      <c r="AY18" s="225" t="str">
        <f ca="1">IF($C$39="","",IF('Endrunde 4'!$I18=$C$39,'Endrunde 4'!$K18,IF('Endrunde 4'!$K18=$C$39,'Endrunde 4'!$I18,"")))</f>
        <v/>
      </c>
      <c r="AZ18" s="595">
        <f t="shared" ca="1" si="18"/>
        <v>100016</v>
      </c>
      <c r="BA18" s="593">
        <f t="shared" ca="1" si="19"/>
        <v>100017</v>
      </c>
      <c r="BB18" s="594">
        <f ca="1">IF(BD18="",99999,'Endrunde 4'!$D18)</f>
        <v>99999</v>
      </c>
      <c r="BC18" s="224" t="str">
        <f ca="1">IF(BD18="","",'Endrunde 4'!$E18)</f>
        <v/>
      </c>
      <c r="BD18" s="225" t="str">
        <f ca="1">IF($C$44="","",IF('Endrunde 4'!$I18=$C$44,'Endrunde 4'!$K18,IF('Endrunde 4'!$K18=$C$44,'Endrunde 4'!$I18,"")))</f>
        <v/>
      </c>
      <c r="BE18" s="595">
        <f t="shared" ca="1" si="20"/>
        <v>100015</v>
      </c>
      <c r="BF18" s="593">
        <f t="shared" ca="1" si="21"/>
        <v>100017</v>
      </c>
      <c r="BG18" s="594">
        <f ca="1">IF(BI18="",99999,'Endrunde 4'!$D18)</f>
        <v>99999</v>
      </c>
      <c r="BH18" s="224" t="str">
        <f ca="1">IF(BI18="","",'Endrunde 4'!$E18)</f>
        <v/>
      </c>
      <c r="BI18" s="225" t="str">
        <f ca="1">IF($C$49="","",IF('Endrunde 4'!$I18=$C$49,'Endrunde 4'!$K18,IF('Endrunde 4'!$K18=$C$49,'Endrunde 4'!$I18,"")))</f>
        <v/>
      </c>
      <c r="BJ18" s="595">
        <f t="shared" ca="1" si="22"/>
        <v>100015</v>
      </c>
      <c r="BK18" s="593">
        <f t="shared" ca="1" si="23"/>
        <v>100017</v>
      </c>
      <c r="BL18" s="594">
        <f ca="1">IF(BN18="",99999,'Endrunde 4'!$D18)</f>
        <v>99999</v>
      </c>
      <c r="BM18" s="224" t="str">
        <f ca="1">IF(BN18="","",'Endrunde 4'!$E18)</f>
        <v/>
      </c>
      <c r="BN18" s="225" t="str">
        <f ca="1">IF($C$54="","",IF('Endrunde 4'!$I18=$C$54,'Endrunde 4'!$K18,IF('Endrunde 4'!$K18=$C$54,'Endrunde 4'!$I18,"")))</f>
        <v/>
      </c>
      <c r="BO18" s="595">
        <f t="shared" ca="1" si="24"/>
        <v>100014</v>
      </c>
      <c r="BP18" s="593">
        <f t="shared" si="25"/>
        <v>100017</v>
      </c>
      <c r="BQ18" s="594">
        <f>IF(BS18="",99999,'Endrunde 4'!$D18)</f>
        <v>99999</v>
      </c>
      <c r="BR18" s="224" t="str">
        <f>IF(BS18="","",'Endrunde 4'!$E18)</f>
        <v/>
      </c>
      <c r="BS18" s="225" t="str">
        <f>IF($C$59="","",IF('Endrunde 4'!$I18=$C$59,'Endrunde 4'!$K18,IF('Endrunde 4'!$K18=$C$59,'Endrunde 4'!$I18,"")))</f>
        <v/>
      </c>
      <c r="BT18" s="595">
        <f t="shared" si="26"/>
        <v>100017</v>
      </c>
    </row>
    <row r="19" spans="2:72" ht="15.95" customHeight="1" x14ac:dyDescent="0.2">
      <c r="B19" s="570" t="s">
        <v>190</v>
      </c>
      <c r="C19" s="571" t="str">
        <f>IF(Planung!$C$13="","",Planung!$C$13)</f>
        <v>Maibach 1822 eV</v>
      </c>
      <c r="E19" s="572" t="str">
        <f>Sprache!$E$60</f>
        <v>Bälle</v>
      </c>
      <c r="F19" s="573" t="str">
        <f>Sprache!$E$39</f>
        <v>Beginn</v>
      </c>
      <c r="G19" s="574" t="str">
        <f>Sprache!$E$48</f>
        <v>Feld</v>
      </c>
      <c r="H19" s="575" t="str">
        <f>Sprache!$E$46</f>
        <v>Spiel gegen</v>
      </c>
      <c r="J19" s="569">
        <f t="shared" ca="1" si="27"/>
        <v>0</v>
      </c>
      <c r="L19" s="99">
        <f ca="1">'Endrunde 4'!$C19</f>
        <v>25</v>
      </c>
      <c r="M19" s="593">
        <f t="shared" ca="1" si="3"/>
        <v>19.520833333333332</v>
      </c>
      <c r="N19" s="594">
        <f ca="1">IF(P19="",99999,'Endrunde 4'!$D19)</f>
        <v>0.52083333333333337</v>
      </c>
      <c r="O19" s="224">
        <f ca="1">IF(P19="","",'Endrunde 4'!$E19)</f>
        <v>1</v>
      </c>
      <c r="P19" s="225" t="str">
        <f ca="1">IF($C$4="","",IF('Endrunde 4'!$I19=$C$4,'Endrunde 4'!$K19,IF('Endrunde 4'!$K19=$C$4,'Endrunde 4'!$I19,"")))</f>
        <v>FC Barcelona</v>
      </c>
      <c r="Q19" s="595">
        <f t="shared" ca="1" si="4"/>
        <v>100016</v>
      </c>
      <c r="R19" s="593">
        <f t="shared" ca="1" si="5"/>
        <v>19.520833333333332</v>
      </c>
      <c r="S19" s="594">
        <f ca="1">IF(U19="",99999,'Endrunde 4'!$D19)</f>
        <v>0.52083333333333337</v>
      </c>
      <c r="T19" s="224">
        <f ca="1">IF(U19="","",'Endrunde 4'!$E19)</f>
        <v>1</v>
      </c>
      <c r="U19" s="225" t="str">
        <f ca="1">IF($C$9="","",IF('Endrunde 4'!$I19=$C$9,'Endrunde 4'!$K19,IF('Endrunde 4'!$K19=$C$9,'Endrunde 4'!$I19,"")))</f>
        <v>1. FC Riedwald</v>
      </c>
      <c r="V19" s="595">
        <f t="shared" ca="1" si="6"/>
        <v>100016</v>
      </c>
      <c r="W19" s="593">
        <f t="shared" ca="1" si="7"/>
        <v>100018</v>
      </c>
      <c r="X19" s="594">
        <f ca="1">IF(Z19="",99999,'Endrunde 4'!$D19)</f>
        <v>99999</v>
      </c>
      <c r="Y19" s="224" t="str">
        <f ca="1">IF(Z19="","",'Endrunde 4'!$E19)</f>
        <v/>
      </c>
      <c r="Z19" s="225" t="str">
        <f ca="1">IF($C$14="","",IF('Endrunde 4'!$I19=$C$14,'Endrunde 4'!$K19,IF('Endrunde 4'!$K19=$C$14,'Endrunde 4'!$I19,"")))</f>
        <v/>
      </c>
      <c r="AA19" s="595">
        <f t="shared" ca="1" si="8"/>
        <v>100016</v>
      </c>
      <c r="AB19" s="593">
        <f t="shared" ca="1" si="9"/>
        <v>100018</v>
      </c>
      <c r="AC19" s="594">
        <f ca="1">IF(AE19="",99999,'Endrunde 4'!$D19)</f>
        <v>99999</v>
      </c>
      <c r="AD19" s="224" t="str">
        <f ca="1">IF(AE19="","",'Endrunde 4'!$E19)</f>
        <v/>
      </c>
      <c r="AE19" s="225" t="str">
        <f ca="1">IF($C$19="","",IF('Endrunde 4'!$I19=$C$19,'Endrunde 4'!$K19,IF('Endrunde 4'!$K19=$C$19,'Endrunde 4'!$I19,"")))</f>
        <v/>
      </c>
      <c r="AF19" s="595">
        <f t="shared" ca="1" si="10"/>
        <v>100015</v>
      </c>
      <c r="AG19" s="593">
        <f t="shared" ca="1" si="11"/>
        <v>100018</v>
      </c>
      <c r="AH19" s="594">
        <f ca="1">IF(AJ19="",99999,'Endrunde 4'!$D19)</f>
        <v>99999</v>
      </c>
      <c r="AI19" s="224" t="str">
        <f ca="1">IF(AJ19="","",'Endrunde 4'!$E19)</f>
        <v/>
      </c>
      <c r="AJ19" s="225" t="str">
        <f ca="1">IF($C$24="","",IF('Endrunde 4'!$I19=$C$24,'Endrunde 4'!$K19,IF('Endrunde 4'!$K19=$C$24,'Endrunde 4'!$I19,"")))</f>
        <v/>
      </c>
      <c r="AK19" s="595">
        <f t="shared" ca="1" si="12"/>
        <v>100017</v>
      </c>
      <c r="AL19" s="593">
        <f t="shared" si="13"/>
        <v>100018</v>
      </c>
      <c r="AM19" s="594">
        <f>IF(AO19="",99999,'Endrunde 4'!$D19)</f>
        <v>99999</v>
      </c>
      <c r="AN19" s="224" t="str">
        <f>IF(AO19="","",'Endrunde 4'!$E19)</f>
        <v/>
      </c>
      <c r="AO19" s="225" t="str">
        <f>IF($C$29="","",IF('Endrunde 4'!$I19=$C$29,'Endrunde 4'!$K19,IF('Endrunde 4'!$K19=$C$29,'Endrunde 4'!$I19,"")))</f>
        <v/>
      </c>
      <c r="AP19" s="595">
        <f t="shared" si="14"/>
        <v>100018</v>
      </c>
      <c r="AQ19" s="593">
        <f t="shared" ca="1" si="15"/>
        <v>100018</v>
      </c>
      <c r="AR19" s="594">
        <f ca="1">IF(AT19="",99999,'Endrunde 4'!$D19)</f>
        <v>99999</v>
      </c>
      <c r="AS19" s="224" t="str">
        <f ca="1">IF(AT19="","",'Endrunde 4'!$E19)</f>
        <v/>
      </c>
      <c r="AT19" s="225" t="str">
        <f ca="1">IF($C$34="","",IF('Endrunde 4'!$I19=$C$34,'Endrunde 4'!$K19,IF('Endrunde 4'!$K19=$C$34,'Endrunde 4'!$I19,"")))</f>
        <v/>
      </c>
      <c r="AU19" s="595">
        <f t="shared" ca="1" si="16"/>
        <v>100015</v>
      </c>
      <c r="AV19" s="593">
        <f t="shared" ca="1" si="17"/>
        <v>100018</v>
      </c>
      <c r="AW19" s="594">
        <f ca="1">IF(AY19="",99999,'Endrunde 4'!$D19)</f>
        <v>99999</v>
      </c>
      <c r="AX19" s="224" t="str">
        <f ca="1">IF(AY19="","",'Endrunde 4'!$E19)</f>
        <v/>
      </c>
      <c r="AY19" s="225" t="str">
        <f ca="1">IF($C$39="","",IF('Endrunde 4'!$I19=$C$39,'Endrunde 4'!$K19,IF('Endrunde 4'!$K19=$C$39,'Endrunde 4'!$I19,"")))</f>
        <v/>
      </c>
      <c r="AZ19" s="595">
        <f t="shared" ca="1" si="18"/>
        <v>100017</v>
      </c>
      <c r="BA19" s="593">
        <f t="shared" ca="1" si="19"/>
        <v>100018</v>
      </c>
      <c r="BB19" s="594">
        <f ca="1">IF(BD19="",99999,'Endrunde 4'!$D19)</f>
        <v>99999</v>
      </c>
      <c r="BC19" s="224" t="str">
        <f ca="1">IF(BD19="","",'Endrunde 4'!$E19)</f>
        <v/>
      </c>
      <c r="BD19" s="225" t="str">
        <f ca="1">IF($C$44="","",IF('Endrunde 4'!$I19=$C$44,'Endrunde 4'!$K19,IF('Endrunde 4'!$K19=$C$44,'Endrunde 4'!$I19,"")))</f>
        <v/>
      </c>
      <c r="BE19" s="595">
        <f t="shared" ca="1" si="20"/>
        <v>100016</v>
      </c>
      <c r="BF19" s="593">
        <f t="shared" ca="1" si="21"/>
        <v>100018</v>
      </c>
      <c r="BG19" s="594">
        <f ca="1">IF(BI19="",99999,'Endrunde 4'!$D19)</f>
        <v>99999</v>
      </c>
      <c r="BH19" s="224" t="str">
        <f ca="1">IF(BI19="","",'Endrunde 4'!$E19)</f>
        <v/>
      </c>
      <c r="BI19" s="225" t="str">
        <f ca="1">IF($C$49="","",IF('Endrunde 4'!$I19=$C$49,'Endrunde 4'!$K19,IF('Endrunde 4'!$K19=$C$49,'Endrunde 4'!$I19,"")))</f>
        <v/>
      </c>
      <c r="BJ19" s="595">
        <f t="shared" ca="1" si="22"/>
        <v>100016</v>
      </c>
      <c r="BK19" s="593">
        <f t="shared" ca="1" si="23"/>
        <v>100018</v>
      </c>
      <c r="BL19" s="594">
        <f ca="1">IF(BN19="",99999,'Endrunde 4'!$D19)</f>
        <v>99999</v>
      </c>
      <c r="BM19" s="224" t="str">
        <f ca="1">IF(BN19="","",'Endrunde 4'!$E19)</f>
        <v/>
      </c>
      <c r="BN19" s="225" t="str">
        <f ca="1">IF($C$54="","",IF('Endrunde 4'!$I19=$C$54,'Endrunde 4'!$K19,IF('Endrunde 4'!$K19=$C$54,'Endrunde 4'!$I19,"")))</f>
        <v/>
      </c>
      <c r="BO19" s="595">
        <f t="shared" ca="1" si="24"/>
        <v>100016</v>
      </c>
      <c r="BP19" s="593">
        <f t="shared" si="25"/>
        <v>100018</v>
      </c>
      <c r="BQ19" s="594">
        <f>IF(BS19="",99999,'Endrunde 4'!$D19)</f>
        <v>99999</v>
      </c>
      <c r="BR19" s="224" t="str">
        <f>IF(BS19="","",'Endrunde 4'!$E19)</f>
        <v/>
      </c>
      <c r="BS19" s="225" t="str">
        <f>IF($C$59="","",IF('Endrunde 4'!$I19=$C$59,'Endrunde 4'!$K19,IF('Endrunde 4'!$K19=$C$59,'Endrunde 4'!$I19,"")))</f>
        <v/>
      </c>
      <c r="BT19" s="595">
        <f t="shared" si="26"/>
        <v>100018</v>
      </c>
    </row>
    <row r="20" spans="2:72" ht="15.95" customHeight="1" x14ac:dyDescent="0.2">
      <c r="E20" s="576">
        <f ca="1">IF($AF$12&lt;99999,INDEX($L$12:$L$29,MATCH($AF$12,$AB$12:$AB$29,0)),"")</f>
        <v>24</v>
      </c>
      <c r="F20" s="577">
        <f ca="1">IF($AF$12&lt;99999,VLOOKUP($AF$12,$AB$12:$AE$29,2,0),"")</f>
        <v>0.49652777777777779</v>
      </c>
      <c r="G20" s="578">
        <f ca="1">IF($AF$12&lt;99999,VLOOKUP($AF$12,$AB$12:$AE$29,3,0),"")</f>
        <v>4</v>
      </c>
      <c r="H20" s="579" t="str">
        <f ca="1">IF($AF$12&lt;99999,VLOOKUP($AF$12,$AB$12:$AE$29,4,0),"")</f>
        <v>Mainz 05</v>
      </c>
      <c r="J20" s="569">
        <f t="shared" ca="1" si="27"/>
        <v>0</v>
      </c>
      <c r="K20" s="569" t="str">
        <f ca="1">IF(J20=0,"",$C$19)</f>
        <v/>
      </c>
      <c r="L20" s="99">
        <f ca="1">'Endrunde 4'!$C20</f>
        <v>26</v>
      </c>
      <c r="M20" s="593">
        <f t="shared" ca="1" si="3"/>
        <v>100019</v>
      </c>
      <c r="N20" s="594">
        <f ca="1">IF(P20="",99999,'Endrunde 4'!$D20)</f>
        <v>99999</v>
      </c>
      <c r="O20" s="224" t="str">
        <f ca="1">IF(P20="","",'Endrunde 4'!$E20)</f>
        <v/>
      </c>
      <c r="P20" s="225" t="str">
        <f ca="1">IF($C$4="","",IF('Endrunde 4'!$I20=$C$4,'Endrunde 4'!$K20,IF('Endrunde 4'!$K20=$C$4,'Endrunde 4'!$I20,"")))</f>
        <v/>
      </c>
      <c r="Q20" s="595">
        <f t="shared" ca="1" si="4"/>
        <v>100017</v>
      </c>
      <c r="R20" s="593">
        <f t="shared" ca="1" si="5"/>
        <v>100019</v>
      </c>
      <c r="S20" s="594">
        <f ca="1">IF(U20="",99999,'Endrunde 4'!$D20)</f>
        <v>99999</v>
      </c>
      <c r="T20" s="224" t="str">
        <f ca="1">IF(U20="","",'Endrunde 4'!$E20)</f>
        <v/>
      </c>
      <c r="U20" s="225" t="str">
        <f ca="1">IF($C$9="","",IF('Endrunde 4'!$I20=$C$9,'Endrunde 4'!$K20,IF('Endrunde 4'!$K20=$C$9,'Endrunde 4'!$I20,"")))</f>
        <v/>
      </c>
      <c r="V20" s="595">
        <f t="shared" ca="1" si="6"/>
        <v>100017</v>
      </c>
      <c r="W20" s="593">
        <f t="shared" ca="1" si="7"/>
        <v>20.520833333333332</v>
      </c>
      <c r="X20" s="594">
        <f ca="1">IF(Z20="",99999,'Endrunde 4'!$D20)</f>
        <v>0.52083333333333337</v>
      </c>
      <c r="Y20" s="224">
        <f ca="1">IF(Z20="","",'Endrunde 4'!$E20)</f>
        <v>2</v>
      </c>
      <c r="Z20" s="225" t="str">
        <f ca="1">IF($C$14="","",IF('Endrunde 4'!$I20=$C$14,'Endrunde 4'!$K20,IF('Endrunde 4'!$K20=$C$14,'Endrunde 4'!$I20,"")))</f>
        <v>Maibach 1822 eV</v>
      </c>
      <c r="AA20" s="595">
        <f t="shared" ca="1" si="8"/>
        <v>100017</v>
      </c>
      <c r="AB20" s="593">
        <f t="shared" ca="1" si="9"/>
        <v>20.520833333333332</v>
      </c>
      <c r="AC20" s="594">
        <f ca="1">IF(AE20="",99999,'Endrunde 4'!$D20)</f>
        <v>0.52083333333333337</v>
      </c>
      <c r="AD20" s="224">
        <f ca="1">IF(AE20="","",'Endrunde 4'!$E20)</f>
        <v>2</v>
      </c>
      <c r="AE20" s="225" t="str">
        <f ca="1">IF($C$19="","",IF('Endrunde 4'!$I20=$C$19,'Endrunde 4'!$K20,IF('Endrunde 4'!$K20=$C$19,'Endrunde 4'!$I20,"")))</f>
        <v>Eintracht Frankfurt</v>
      </c>
      <c r="AF20" s="595">
        <f t="shared" ca="1" si="10"/>
        <v>100017</v>
      </c>
      <c r="AG20" s="593">
        <f t="shared" ca="1" si="11"/>
        <v>100019</v>
      </c>
      <c r="AH20" s="594">
        <f ca="1">IF(AJ20="",99999,'Endrunde 4'!$D20)</f>
        <v>99999</v>
      </c>
      <c r="AI20" s="224" t="str">
        <f ca="1">IF(AJ20="","",'Endrunde 4'!$E20)</f>
        <v/>
      </c>
      <c r="AJ20" s="225" t="str">
        <f ca="1">IF($C$24="","",IF('Endrunde 4'!$I20=$C$24,'Endrunde 4'!$K20,IF('Endrunde 4'!$K20=$C$24,'Endrunde 4'!$I20,"")))</f>
        <v/>
      </c>
      <c r="AK20" s="595">
        <f t="shared" ca="1" si="12"/>
        <v>100018</v>
      </c>
      <c r="AL20" s="593">
        <f t="shared" si="13"/>
        <v>100019</v>
      </c>
      <c r="AM20" s="594">
        <f>IF(AO20="",99999,'Endrunde 4'!$D20)</f>
        <v>99999</v>
      </c>
      <c r="AN20" s="224" t="str">
        <f>IF(AO20="","",'Endrunde 4'!$E20)</f>
        <v/>
      </c>
      <c r="AO20" s="225" t="str">
        <f>IF($C$29="","",IF('Endrunde 4'!$I20=$C$29,'Endrunde 4'!$K20,IF('Endrunde 4'!$K20=$C$29,'Endrunde 4'!$I20,"")))</f>
        <v/>
      </c>
      <c r="AP20" s="595">
        <f t="shared" si="14"/>
        <v>100019</v>
      </c>
      <c r="AQ20" s="593">
        <f t="shared" ca="1" si="15"/>
        <v>100019</v>
      </c>
      <c r="AR20" s="594">
        <f ca="1">IF(AT20="",99999,'Endrunde 4'!$D20)</f>
        <v>99999</v>
      </c>
      <c r="AS20" s="224" t="str">
        <f ca="1">IF(AT20="","",'Endrunde 4'!$E20)</f>
        <v/>
      </c>
      <c r="AT20" s="225" t="str">
        <f ca="1">IF($C$34="","",IF('Endrunde 4'!$I20=$C$34,'Endrunde 4'!$K20,IF('Endrunde 4'!$K20=$C$34,'Endrunde 4'!$I20,"")))</f>
        <v/>
      </c>
      <c r="AU20" s="595">
        <f t="shared" ca="1" si="16"/>
        <v>100017</v>
      </c>
      <c r="AV20" s="593">
        <f t="shared" ca="1" si="17"/>
        <v>100019</v>
      </c>
      <c r="AW20" s="594">
        <f ca="1">IF(AY20="",99999,'Endrunde 4'!$D20)</f>
        <v>99999</v>
      </c>
      <c r="AX20" s="224" t="str">
        <f ca="1">IF(AY20="","",'Endrunde 4'!$E20)</f>
        <v/>
      </c>
      <c r="AY20" s="225" t="str">
        <f ca="1">IF($C$39="","",IF('Endrunde 4'!$I20=$C$39,'Endrunde 4'!$K20,IF('Endrunde 4'!$K20=$C$39,'Endrunde 4'!$I20,"")))</f>
        <v/>
      </c>
      <c r="AZ20" s="595">
        <f t="shared" ca="1" si="18"/>
        <v>100018</v>
      </c>
      <c r="BA20" s="593">
        <f t="shared" ca="1" si="19"/>
        <v>100019</v>
      </c>
      <c r="BB20" s="594">
        <f ca="1">IF(BD20="",99999,'Endrunde 4'!$D20)</f>
        <v>99999</v>
      </c>
      <c r="BC20" s="224" t="str">
        <f ca="1">IF(BD20="","",'Endrunde 4'!$E20)</f>
        <v/>
      </c>
      <c r="BD20" s="225" t="str">
        <f ca="1">IF($C$44="","",IF('Endrunde 4'!$I20=$C$44,'Endrunde 4'!$K20,IF('Endrunde 4'!$K20=$C$44,'Endrunde 4'!$I20,"")))</f>
        <v/>
      </c>
      <c r="BE20" s="595">
        <f t="shared" ca="1" si="20"/>
        <v>100017</v>
      </c>
      <c r="BF20" s="593">
        <f t="shared" ca="1" si="21"/>
        <v>100019</v>
      </c>
      <c r="BG20" s="594">
        <f ca="1">IF(BI20="",99999,'Endrunde 4'!$D20)</f>
        <v>99999</v>
      </c>
      <c r="BH20" s="224" t="str">
        <f ca="1">IF(BI20="","",'Endrunde 4'!$E20)</f>
        <v/>
      </c>
      <c r="BI20" s="225" t="str">
        <f ca="1">IF($C$49="","",IF('Endrunde 4'!$I20=$C$49,'Endrunde 4'!$K20,IF('Endrunde 4'!$K20=$C$49,'Endrunde 4'!$I20,"")))</f>
        <v/>
      </c>
      <c r="BJ20" s="595">
        <f t="shared" ca="1" si="22"/>
        <v>100017</v>
      </c>
      <c r="BK20" s="593">
        <f t="shared" ca="1" si="23"/>
        <v>100019</v>
      </c>
      <c r="BL20" s="594">
        <f ca="1">IF(BN20="",99999,'Endrunde 4'!$D20)</f>
        <v>99999</v>
      </c>
      <c r="BM20" s="224" t="str">
        <f ca="1">IF(BN20="","",'Endrunde 4'!$E20)</f>
        <v/>
      </c>
      <c r="BN20" s="225" t="str">
        <f ca="1">IF($C$54="","",IF('Endrunde 4'!$I20=$C$54,'Endrunde 4'!$K20,IF('Endrunde 4'!$K20=$C$54,'Endrunde 4'!$I20,"")))</f>
        <v/>
      </c>
      <c r="BO20" s="595">
        <f t="shared" ca="1" si="24"/>
        <v>100017</v>
      </c>
      <c r="BP20" s="593">
        <f t="shared" si="25"/>
        <v>100019</v>
      </c>
      <c r="BQ20" s="594">
        <f>IF(BS20="",99999,'Endrunde 4'!$D20)</f>
        <v>99999</v>
      </c>
      <c r="BR20" s="224" t="str">
        <f>IF(BS20="","",'Endrunde 4'!$E20)</f>
        <v/>
      </c>
      <c r="BS20" s="225" t="str">
        <f>IF($C$59="","",IF('Endrunde 4'!$I20=$C$59,'Endrunde 4'!$K20,IF('Endrunde 4'!$K20=$C$59,'Endrunde 4'!$I20,"")))</f>
        <v/>
      </c>
      <c r="BT20" s="595">
        <f t="shared" si="26"/>
        <v>100019</v>
      </c>
    </row>
    <row r="21" spans="2:72" ht="15.95" customHeight="1" x14ac:dyDescent="0.2">
      <c r="E21" s="576">
        <f ca="1">IF($AF$13&lt;99999,INDEX($L$12:$L$29,MATCH($AF$13,$AB$12:$AB$29,0)),"")</f>
        <v>26</v>
      </c>
      <c r="F21" s="580">
        <f ca="1">IF($AF$13&lt;99999,VLOOKUP($AF$13,$AB$12:$AE$29,2,0),"")</f>
        <v>0.52083333333333337</v>
      </c>
      <c r="G21" s="581">
        <f ca="1">IF($AF$13&lt;99999,VLOOKUP($AF$13,$AB$12:$AE$29,3,0),"")</f>
        <v>2</v>
      </c>
      <c r="H21" s="582" t="str">
        <f ca="1">IF($AF$13&lt;99999,VLOOKUP($AF$13,$AB$12:$AE$29,4,0),"")</f>
        <v>Eintracht Frankfurt</v>
      </c>
      <c r="J21" s="569">
        <f t="shared" ca="1" si="27"/>
        <v>0</v>
      </c>
      <c r="K21" s="569" t="str">
        <f t="shared" ref="K21:K22" ca="1" si="29">IF(J21=0,"",$C$19)</f>
        <v/>
      </c>
      <c r="L21" s="99">
        <f ca="1">'Endrunde 4'!$C21</f>
        <v>27</v>
      </c>
      <c r="M21" s="593">
        <f t="shared" ca="1" si="3"/>
        <v>100020</v>
      </c>
      <c r="N21" s="594">
        <f ca="1">IF(P21="",99999,'Endrunde 4'!$D21)</f>
        <v>99999</v>
      </c>
      <c r="O21" s="224" t="str">
        <f ca="1">IF(P21="","",'Endrunde 4'!$E21)</f>
        <v/>
      </c>
      <c r="P21" s="225" t="str">
        <f ca="1">IF($C$4="","",IF('Endrunde 4'!$I21=$C$4,'Endrunde 4'!$K21,IF('Endrunde 4'!$K21=$C$4,'Endrunde 4'!$I21,"")))</f>
        <v/>
      </c>
      <c r="Q21" s="595">
        <f t="shared" ca="1" si="4"/>
        <v>100019</v>
      </c>
      <c r="R21" s="593">
        <f t="shared" ca="1" si="5"/>
        <v>100020</v>
      </c>
      <c r="S21" s="594">
        <f ca="1">IF(U21="",99999,'Endrunde 4'!$D21)</f>
        <v>99999</v>
      </c>
      <c r="T21" s="224" t="str">
        <f ca="1">IF(U21="","",'Endrunde 4'!$E21)</f>
        <v/>
      </c>
      <c r="U21" s="225" t="str">
        <f ca="1">IF($C$9="","",IF('Endrunde 4'!$I21=$C$9,'Endrunde 4'!$K21,IF('Endrunde 4'!$K21=$C$9,'Endrunde 4'!$I21,"")))</f>
        <v/>
      </c>
      <c r="V21" s="595">
        <f t="shared" ca="1" si="6"/>
        <v>100019</v>
      </c>
      <c r="W21" s="593">
        <f t="shared" ca="1" si="7"/>
        <v>100020</v>
      </c>
      <c r="X21" s="594">
        <f ca="1">IF(Z21="",99999,'Endrunde 4'!$D21)</f>
        <v>99999</v>
      </c>
      <c r="Y21" s="224" t="str">
        <f ca="1">IF(Z21="","",'Endrunde 4'!$E21)</f>
        <v/>
      </c>
      <c r="Z21" s="225" t="str">
        <f ca="1">IF($C$14="","",IF('Endrunde 4'!$I21=$C$14,'Endrunde 4'!$K21,IF('Endrunde 4'!$K21=$C$14,'Endrunde 4'!$I21,"")))</f>
        <v/>
      </c>
      <c r="AA21" s="595">
        <f t="shared" ca="1" si="8"/>
        <v>100018</v>
      </c>
      <c r="AB21" s="593">
        <f t="shared" ca="1" si="9"/>
        <v>100020</v>
      </c>
      <c r="AC21" s="594">
        <f ca="1">IF(AE21="",99999,'Endrunde 4'!$D21)</f>
        <v>99999</v>
      </c>
      <c r="AD21" s="224" t="str">
        <f ca="1">IF(AE21="","",'Endrunde 4'!$E21)</f>
        <v/>
      </c>
      <c r="AE21" s="225" t="str">
        <f ca="1">IF($C$19="","",IF('Endrunde 4'!$I21=$C$19,'Endrunde 4'!$K21,IF('Endrunde 4'!$K21=$C$19,'Endrunde 4'!$I21,"")))</f>
        <v/>
      </c>
      <c r="AF21" s="595">
        <f t="shared" ca="1" si="10"/>
        <v>100018</v>
      </c>
      <c r="AG21" s="593">
        <f t="shared" ca="1" si="11"/>
        <v>100020</v>
      </c>
      <c r="AH21" s="594">
        <f ca="1">IF(AJ21="",99999,'Endrunde 4'!$D21)</f>
        <v>99999</v>
      </c>
      <c r="AI21" s="224" t="str">
        <f ca="1">IF(AJ21="","",'Endrunde 4'!$E21)</f>
        <v/>
      </c>
      <c r="AJ21" s="225" t="str">
        <f ca="1">IF($C$24="","",IF('Endrunde 4'!$I21=$C$24,'Endrunde 4'!$K21,IF('Endrunde 4'!$K21=$C$24,'Endrunde 4'!$I21,"")))</f>
        <v/>
      </c>
      <c r="AK21" s="595">
        <f t="shared" ca="1" si="12"/>
        <v>100019</v>
      </c>
      <c r="AL21" s="593">
        <f t="shared" si="13"/>
        <v>100020</v>
      </c>
      <c r="AM21" s="594">
        <f>IF(AO21="",99999,'Endrunde 4'!$D21)</f>
        <v>99999</v>
      </c>
      <c r="AN21" s="224" t="str">
        <f>IF(AO21="","",'Endrunde 4'!$E21)</f>
        <v/>
      </c>
      <c r="AO21" s="225" t="str">
        <f>IF($C$29="","",IF('Endrunde 4'!$I21=$C$29,'Endrunde 4'!$K21,IF('Endrunde 4'!$K21=$C$29,'Endrunde 4'!$I21,"")))</f>
        <v/>
      </c>
      <c r="AP21" s="595">
        <f t="shared" si="14"/>
        <v>100020</v>
      </c>
      <c r="AQ21" s="593">
        <f t="shared" ca="1" si="15"/>
        <v>100020</v>
      </c>
      <c r="AR21" s="594">
        <f ca="1">IF(AT21="",99999,'Endrunde 4'!$D21)</f>
        <v>99999</v>
      </c>
      <c r="AS21" s="224" t="str">
        <f ca="1">IF(AT21="","",'Endrunde 4'!$E21)</f>
        <v/>
      </c>
      <c r="AT21" s="225" t="str">
        <f ca="1">IF($C$34="","",IF('Endrunde 4'!$I21=$C$34,'Endrunde 4'!$K21,IF('Endrunde 4'!$K21=$C$34,'Endrunde 4'!$I21,"")))</f>
        <v/>
      </c>
      <c r="AU21" s="595">
        <f t="shared" ca="1" si="16"/>
        <v>100018</v>
      </c>
      <c r="AV21" s="593">
        <f t="shared" ca="1" si="17"/>
        <v>100020</v>
      </c>
      <c r="AW21" s="594">
        <f ca="1">IF(AY21="",99999,'Endrunde 4'!$D21)</f>
        <v>99999</v>
      </c>
      <c r="AX21" s="224" t="str">
        <f ca="1">IF(AY21="","",'Endrunde 4'!$E21)</f>
        <v/>
      </c>
      <c r="AY21" s="225" t="str">
        <f ca="1">IF($C$39="","",IF('Endrunde 4'!$I21=$C$39,'Endrunde 4'!$K21,IF('Endrunde 4'!$K21=$C$39,'Endrunde 4'!$I21,"")))</f>
        <v/>
      </c>
      <c r="AZ21" s="595">
        <f t="shared" ca="1" si="18"/>
        <v>100019</v>
      </c>
      <c r="BA21" s="593">
        <f t="shared" ca="1" si="19"/>
        <v>100020</v>
      </c>
      <c r="BB21" s="594">
        <f ca="1">IF(BD21="",99999,'Endrunde 4'!$D21)</f>
        <v>99999</v>
      </c>
      <c r="BC21" s="224" t="str">
        <f ca="1">IF(BD21="","",'Endrunde 4'!$E21)</f>
        <v/>
      </c>
      <c r="BD21" s="225" t="str">
        <f ca="1">IF($C$44="","",IF('Endrunde 4'!$I21=$C$44,'Endrunde 4'!$K21,IF('Endrunde 4'!$K21=$C$44,'Endrunde 4'!$I21,"")))</f>
        <v/>
      </c>
      <c r="BE21" s="595">
        <f t="shared" ca="1" si="20"/>
        <v>100018</v>
      </c>
      <c r="BF21" s="593">
        <f t="shared" ca="1" si="21"/>
        <v>100020</v>
      </c>
      <c r="BG21" s="594">
        <f ca="1">IF(BI21="",99999,'Endrunde 4'!$D21)</f>
        <v>99999</v>
      </c>
      <c r="BH21" s="224" t="str">
        <f ca="1">IF(BI21="","",'Endrunde 4'!$E21)</f>
        <v/>
      </c>
      <c r="BI21" s="225" t="str">
        <f ca="1">IF($C$49="","",IF('Endrunde 4'!$I21=$C$49,'Endrunde 4'!$K21,IF('Endrunde 4'!$K21=$C$49,'Endrunde 4'!$I21,"")))</f>
        <v/>
      </c>
      <c r="BJ21" s="595">
        <f t="shared" ca="1" si="22"/>
        <v>100018</v>
      </c>
      <c r="BK21" s="593">
        <f t="shared" ca="1" si="23"/>
        <v>100020</v>
      </c>
      <c r="BL21" s="594">
        <f ca="1">IF(BN21="",99999,'Endrunde 4'!$D21)</f>
        <v>99999</v>
      </c>
      <c r="BM21" s="224" t="str">
        <f ca="1">IF(BN21="","",'Endrunde 4'!$E21)</f>
        <v/>
      </c>
      <c r="BN21" s="225" t="str">
        <f ca="1">IF($C$54="","",IF('Endrunde 4'!$I21=$C$54,'Endrunde 4'!$K21,IF('Endrunde 4'!$K21=$C$54,'Endrunde 4'!$I21,"")))</f>
        <v/>
      </c>
      <c r="BO21" s="595">
        <f t="shared" ca="1" si="24"/>
        <v>100018</v>
      </c>
      <c r="BP21" s="593">
        <f t="shared" si="25"/>
        <v>100020</v>
      </c>
      <c r="BQ21" s="594">
        <f>IF(BS21="",99999,'Endrunde 4'!$D21)</f>
        <v>99999</v>
      </c>
      <c r="BR21" s="224" t="str">
        <f>IF(BS21="","",'Endrunde 4'!$E21)</f>
        <v/>
      </c>
      <c r="BS21" s="225" t="str">
        <f>IF($C$59="","",IF('Endrunde 4'!$I21=$C$59,'Endrunde 4'!$K21,IF('Endrunde 4'!$K21=$C$59,'Endrunde 4'!$I21,"")))</f>
        <v/>
      </c>
      <c r="BT21" s="595">
        <f t="shared" si="26"/>
        <v>100020</v>
      </c>
    </row>
    <row r="22" spans="2:72" ht="15.95" customHeight="1" thickBot="1" x14ac:dyDescent="0.25">
      <c r="E22" s="583">
        <f ca="1">IF($AF$14&lt;99999,INDEX($L$12:$L$29,MATCH($AF$14,$AB$12:$AB$29,0)),"")</f>
        <v>30</v>
      </c>
      <c r="F22" s="584">
        <f ca="1">IF($AF$14&lt;99999,VLOOKUP($AF$14,$AB$12:$AE$29,2,0),"")</f>
        <v>0.54513888888888895</v>
      </c>
      <c r="G22" s="585">
        <f ca="1">IF($AF$14&lt;99999,VLOOKUP($AF$14,$AB$12:$AE$29,3,0),"")</f>
        <v>2</v>
      </c>
      <c r="H22" s="586" t="str">
        <f ca="1">IF($AF$14&lt;99999,VLOOKUP($AF$14,$AB$12:$AE$29,4,0),"")</f>
        <v>Manchester City</v>
      </c>
      <c r="J22" s="569">
        <f t="shared" ca="1" si="27"/>
        <v>0</v>
      </c>
      <c r="K22" s="569" t="str">
        <f t="shared" ca="1" si="29"/>
        <v/>
      </c>
      <c r="L22" s="99">
        <f ca="1">'Endrunde 4'!$C22</f>
        <v>27</v>
      </c>
      <c r="M22" s="593">
        <f t="shared" ca="1" si="3"/>
        <v>100021</v>
      </c>
      <c r="N22" s="594">
        <f ca="1">IF(P22="",99999,'Endrunde 4'!$D22)</f>
        <v>99999</v>
      </c>
      <c r="O22" s="224" t="str">
        <f ca="1">IF(P22="","",'Endrunde 4'!$E22)</f>
        <v/>
      </c>
      <c r="P22" s="225" t="str">
        <f ca="1">IF($C$4="","",IF('Endrunde 4'!$I22=$C$4,'Endrunde 4'!$K22,IF('Endrunde 4'!$K22=$C$4,'Endrunde 4'!$I22,"")))</f>
        <v/>
      </c>
      <c r="Q22" s="595">
        <f t="shared" ca="1" si="4"/>
        <v>100020</v>
      </c>
      <c r="R22" s="593">
        <f t="shared" ca="1" si="5"/>
        <v>100021</v>
      </c>
      <c r="S22" s="594">
        <f ca="1">IF(U22="",99999,'Endrunde 4'!$D22)</f>
        <v>99999</v>
      </c>
      <c r="T22" s="224" t="str">
        <f ca="1">IF(U22="","",'Endrunde 4'!$E22)</f>
        <v/>
      </c>
      <c r="U22" s="225" t="str">
        <f ca="1">IF($C$9="","",IF('Endrunde 4'!$I22=$C$9,'Endrunde 4'!$K22,IF('Endrunde 4'!$K22=$C$9,'Endrunde 4'!$I22,"")))</f>
        <v/>
      </c>
      <c r="V22" s="595">
        <f t="shared" ca="1" si="6"/>
        <v>100020</v>
      </c>
      <c r="W22" s="593">
        <f t="shared" ca="1" si="7"/>
        <v>100021</v>
      </c>
      <c r="X22" s="594">
        <f ca="1">IF(Z22="",99999,'Endrunde 4'!$D22)</f>
        <v>99999</v>
      </c>
      <c r="Y22" s="224" t="str">
        <f ca="1">IF(Z22="","",'Endrunde 4'!$E22)</f>
        <v/>
      </c>
      <c r="Z22" s="225" t="str">
        <f ca="1">IF($C$14="","",IF('Endrunde 4'!$I22=$C$14,'Endrunde 4'!$K22,IF('Endrunde 4'!$K22=$C$14,'Endrunde 4'!$I22,"")))</f>
        <v/>
      </c>
      <c r="AA22" s="595">
        <f t="shared" ca="1" si="8"/>
        <v>100020</v>
      </c>
      <c r="AB22" s="593">
        <f t="shared" ca="1" si="9"/>
        <v>100021</v>
      </c>
      <c r="AC22" s="594">
        <f ca="1">IF(AE22="",99999,'Endrunde 4'!$D22)</f>
        <v>99999</v>
      </c>
      <c r="AD22" s="224" t="str">
        <f ca="1">IF(AE22="","",'Endrunde 4'!$E22)</f>
        <v/>
      </c>
      <c r="AE22" s="225" t="str">
        <f ca="1">IF($C$19="","",IF('Endrunde 4'!$I22=$C$19,'Endrunde 4'!$K22,IF('Endrunde 4'!$K22=$C$19,'Endrunde 4'!$I22,"")))</f>
        <v/>
      </c>
      <c r="AF22" s="595">
        <f t="shared" ca="1" si="10"/>
        <v>100020</v>
      </c>
      <c r="AG22" s="593">
        <f t="shared" ca="1" si="11"/>
        <v>100021</v>
      </c>
      <c r="AH22" s="594">
        <f ca="1">IF(AJ22="",99999,'Endrunde 4'!$D22)</f>
        <v>99999</v>
      </c>
      <c r="AI22" s="224" t="str">
        <f ca="1">IF(AJ22="","",'Endrunde 4'!$E22)</f>
        <v/>
      </c>
      <c r="AJ22" s="225" t="str">
        <f ca="1">IF($C$24="","",IF('Endrunde 4'!$I22=$C$24,'Endrunde 4'!$K22,IF('Endrunde 4'!$K22=$C$24,'Endrunde 4'!$I22,"")))</f>
        <v/>
      </c>
      <c r="AK22" s="595">
        <f t="shared" ca="1" si="12"/>
        <v>100020</v>
      </c>
      <c r="AL22" s="593">
        <f t="shared" si="13"/>
        <v>100021</v>
      </c>
      <c r="AM22" s="594">
        <f>IF(AO22="",99999,'Endrunde 4'!$D22)</f>
        <v>99999</v>
      </c>
      <c r="AN22" s="224" t="str">
        <f>IF(AO22="","",'Endrunde 4'!$E22)</f>
        <v/>
      </c>
      <c r="AO22" s="225" t="str">
        <f>IF($C$29="","",IF('Endrunde 4'!$I22=$C$29,'Endrunde 4'!$K22,IF('Endrunde 4'!$K22=$C$29,'Endrunde 4'!$I22,"")))</f>
        <v/>
      </c>
      <c r="AP22" s="595">
        <f t="shared" si="14"/>
        <v>100021</v>
      </c>
      <c r="AQ22" s="593">
        <f t="shared" ca="1" si="15"/>
        <v>100021</v>
      </c>
      <c r="AR22" s="594">
        <f ca="1">IF(AT22="",99999,'Endrunde 4'!$D22)</f>
        <v>99999</v>
      </c>
      <c r="AS22" s="224" t="str">
        <f ca="1">IF(AT22="","",'Endrunde 4'!$E22)</f>
        <v/>
      </c>
      <c r="AT22" s="225" t="str">
        <f ca="1">IF($C$34="","",IF('Endrunde 4'!$I22=$C$34,'Endrunde 4'!$K22,IF('Endrunde 4'!$K22=$C$34,'Endrunde 4'!$I22,"")))</f>
        <v/>
      </c>
      <c r="AU22" s="595">
        <f t="shared" ca="1" si="16"/>
        <v>100019</v>
      </c>
      <c r="AV22" s="593">
        <f t="shared" ca="1" si="17"/>
        <v>100021</v>
      </c>
      <c r="AW22" s="594">
        <f ca="1">IF(AY22="",99999,'Endrunde 4'!$D22)</f>
        <v>99999</v>
      </c>
      <c r="AX22" s="224" t="str">
        <f ca="1">IF(AY22="","",'Endrunde 4'!$E22)</f>
        <v/>
      </c>
      <c r="AY22" s="225" t="str">
        <f ca="1">IF($C$39="","",IF('Endrunde 4'!$I22=$C$39,'Endrunde 4'!$K22,IF('Endrunde 4'!$K22=$C$39,'Endrunde 4'!$I22,"")))</f>
        <v/>
      </c>
      <c r="AZ22" s="595">
        <f t="shared" ca="1" si="18"/>
        <v>100020</v>
      </c>
      <c r="BA22" s="593">
        <f t="shared" ca="1" si="19"/>
        <v>22.520833333333332</v>
      </c>
      <c r="BB22" s="594">
        <f ca="1">IF(BD22="",99999,'Endrunde 4'!$D22)</f>
        <v>0.52083333333333337</v>
      </c>
      <c r="BC22" s="224">
        <f ca="1">IF(BD22="","",'Endrunde 4'!$E22)</f>
        <v>3</v>
      </c>
      <c r="BD22" s="225" t="str">
        <f ca="1">IF($C$44="","",IF('Endrunde 4'!$I22=$C$44,'Endrunde 4'!$K22,IF('Endrunde 4'!$K22=$C$44,'Endrunde 4'!$I22,"")))</f>
        <v>FC Grönlingen</v>
      </c>
      <c r="BE22" s="595">
        <f t="shared" ca="1" si="20"/>
        <v>100019</v>
      </c>
      <c r="BF22" s="593">
        <f t="shared" ca="1" si="21"/>
        <v>100021</v>
      </c>
      <c r="BG22" s="594">
        <f ca="1">IF(BI22="",99999,'Endrunde 4'!$D22)</f>
        <v>99999</v>
      </c>
      <c r="BH22" s="224" t="str">
        <f ca="1">IF(BI22="","",'Endrunde 4'!$E22)</f>
        <v/>
      </c>
      <c r="BI22" s="225" t="str">
        <f ca="1">IF($C$49="","",IF('Endrunde 4'!$I22=$C$49,'Endrunde 4'!$K22,IF('Endrunde 4'!$K22=$C$49,'Endrunde 4'!$I22,"")))</f>
        <v/>
      </c>
      <c r="BJ22" s="595">
        <f t="shared" ca="1" si="22"/>
        <v>100019</v>
      </c>
      <c r="BK22" s="593">
        <f t="shared" ca="1" si="23"/>
        <v>22.520833333333332</v>
      </c>
      <c r="BL22" s="594">
        <f ca="1">IF(BN22="",99999,'Endrunde 4'!$D22)</f>
        <v>0.52083333333333337</v>
      </c>
      <c r="BM22" s="224">
        <f ca="1">IF(BN22="","",'Endrunde 4'!$E22)</f>
        <v>3</v>
      </c>
      <c r="BN22" s="225" t="str">
        <f ca="1">IF($C$54="","",IF('Endrunde 4'!$I22=$C$54,'Endrunde 4'!$K22,IF('Endrunde 4'!$K22=$C$54,'Endrunde 4'!$I22,"")))</f>
        <v>SSV Wildbach</v>
      </c>
      <c r="BO22" s="595">
        <f t="shared" ca="1" si="24"/>
        <v>100019</v>
      </c>
      <c r="BP22" s="593">
        <f t="shared" si="25"/>
        <v>100021</v>
      </c>
      <c r="BQ22" s="594">
        <f>IF(BS22="",99999,'Endrunde 4'!$D22)</f>
        <v>99999</v>
      </c>
      <c r="BR22" s="224" t="str">
        <f>IF(BS22="","",'Endrunde 4'!$E22)</f>
        <v/>
      </c>
      <c r="BS22" s="225" t="str">
        <f>IF($C$59="","",IF('Endrunde 4'!$I22=$C$59,'Endrunde 4'!$K22,IF('Endrunde 4'!$K22=$C$59,'Endrunde 4'!$I22,"")))</f>
        <v/>
      </c>
      <c r="BT22" s="595">
        <f t="shared" si="26"/>
        <v>100021</v>
      </c>
    </row>
    <row r="23" spans="2:72" ht="30" customHeight="1" thickBot="1" x14ac:dyDescent="0.25">
      <c r="J23" s="569">
        <f t="shared" ca="1" si="27"/>
        <v>0</v>
      </c>
      <c r="L23" s="99">
        <f ca="1">'Endrunde 4'!$C23</f>
        <v>28</v>
      </c>
      <c r="M23" s="593">
        <f t="shared" ca="1" si="3"/>
        <v>100022</v>
      </c>
      <c r="N23" s="594">
        <f ca="1">IF(P23="",99999,'Endrunde 4'!$D23)</f>
        <v>99999</v>
      </c>
      <c r="O23" s="224" t="str">
        <f ca="1">IF(P23="","",'Endrunde 4'!$E23)</f>
        <v/>
      </c>
      <c r="P23" s="225" t="str">
        <f ca="1">IF($C$4="","",IF('Endrunde 4'!$I23=$C$4,'Endrunde 4'!$K23,IF('Endrunde 4'!$K23=$C$4,'Endrunde 4'!$I23,"")))</f>
        <v/>
      </c>
      <c r="Q23" s="595">
        <f t="shared" ca="1" si="4"/>
        <v>100021</v>
      </c>
      <c r="R23" s="593">
        <f t="shared" ca="1" si="5"/>
        <v>100022</v>
      </c>
      <c r="S23" s="594">
        <f ca="1">IF(U23="",99999,'Endrunde 4'!$D23)</f>
        <v>99999</v>
      </c>
      <c r="T23" s="224" t="str">
        <f ca="1">IF(U23="","",'Endrunde 4'!$E23)</f>
        <v/>
      </c>
      <c r="U23" s="225" t="str">
        <f ca="1">IF($C$9="","",IF('Endrunde 4'!$I23=$C$9,'Endrunde 4'!$K23,IF('Endrunde 4'!$K23=$C$9,'Endrunde 4'!$I23,"")))</f>
        <v/>
      </c>
      <c r="V23" s="595">
        <f t="shared" ca="1" si="6"/>
        <v>100021</v>
      </c>
      <c r="W23" s="593">
        <f t="shared" ca="1" si="7"/>
        <v>100022</v>
      </c>
      <c r="X23" s="594">
        <f ca="1">IF(Z23="",99999,'Endrunde 4'!$D23)</f>
        <v>99999</v>
      </c>
      <c r="Y23" s="224" t="str">
        <f ca="1">IF(Z23="","",'Endrunde 4'!$E23)</f>
        <v/>
      </c>
      <c r="Z23" s="225" t="str">
        <f ca="1">IF($C$14="","",IF('Endrunde 4'!$I23=$C$14,'Endrunde 4'!$K23,IF('Endrunde 4'!$K23=$C$14,'Endrunde 4'!$I23,"")))</f>
        <v/>
      </c>
      <c r="AA23" s="595">
        <f t="shared" ca="1" si="8"/>
        <v>100021</v>
      </c>
      <c r="AB23" s="593">
        <f t="shared" ca="1" si="9"/>
        <v>100022</v>
      </c>
      <c r="AC23" s="594">
        <f ca="1">IF(AE23="",99999,'Endrunde 4'!$D23)</f>
        <v>99999</v>
      </c>
      <c r="AD23" s="224" t="str">
        <f ca="1">IF(AE23="","",'Endrunde 4'!$E23)</f>
        <v/>
      </c>
      <c r="AE23" s="225" t="str">
        <f ca="1">IF($C$19="","",IF('Endrunde 4'!$I23=$C$19,'Endrunde 4'!$K23,IF('Endrunde 4'!$K23=$C$19,'Endrunde 4'!$I23,"")))</f>
        <v/>
      </c>
      <c r="AF23" s="595">
        <f t="shared" ca="1" si="10"/>
        <v>100021</v>
      </c>
      <c r="AG23" s="593">
        <f t="shared" ca="1" si="11"/>
        <v>100022</v>
      </c>
      <c r="AH23" s="594">
        <f ca="1">IF(AJ23="",99999,'Endrunde 4'!$D23)</f>
        <v>99999</v>
      </c>
      <c r="AI23" s="224" t="str">
        <f ca="1">IF(AJ23="","",'Endrunde 4'!$E23)</f>
        <v/>
      </c>
      <c r="AJ23" s="225" t="str">
        <f ca="1">IF($C$24="","",IF('Endrunde 4'!$I23=$C$24,'Endrunde 4'!$K23,IF('Endrunde 4'!$K23=$C$24,'Endrunde 4'!$I23,"")))</f>
        <v/>
      </c>
      <c r="AK23" s="595">
        <f t="shared" ca="1" si="12"/>
        <v>100021</v>
      </c>
      <c r="AL23" s="593">
        <f t="shared" si="13"/>
        <v>100022</v>
      </c>
      <c r="AM23" s="594">
        <f>IF(AO23="",99999,'Endrunde 4'!$D23)</f>
        <v>99999</v>
      </c>
      <c r="AN23" s="224" t="str">
        <f>IF(AO23="","",'Endrunde 4'!$E23)</f>
        <v/>
      </c>
      <c r="AO23" s="225" t="str">
        <f>IF($C$29="","",IF('Endrunde 4'!$I23=$C$29,'Endrunde 4'!$K23,IF('Endrunde 4'!$K23=$C$29,'Endrunde 4'!$I23,"")))</f>
        <v/>
      </c>
      <c r="AP23" s="595">
        <f t="shared" si="14"/>
        <v>100022</v>
      </c>
      <c r="AQ23" s="593">
        <f t="shared" ca="1" si="15"/>
        <v>23.520833333333332</v>
      </c>
      <c r="AR23" s="594">
        <f ca="1">IF(AT23="",99999,'Endrunde 4'!$D23)</f>
        <v>0.52083333333333337</v>
      </c>
      <c r="AS23" s="224">
        <f ca="1">IF(AT23="","",'Endrunde 4'!$E23)</f>
        <v>4</v>
      </c>
      <c r="AT23" s="225" t="str">
        <f ca="1">IF($C$34="","",IF('Endrunde 4'!$I23=$C$34,'Endrunde 4'!$K23,IF('Endrunde 4'!$K23=$C$34,'Endrunde 4'!$I23,"")))</f>
        <v>Manchester City</v>
      </c>
      <c r="AU23" s="595">
        <f t="shared" ca="1" si="16"/>
        <v>100020</v>
      </c>
      <c r="AV23" s="593">
        <f t="shared" ca="1" si="17"/>
        <v>100022</v>
      </c>
      <c r="AW23" s="594">
        <f ca="1">IF(AY23="",99999,'Endrunde 4'!$D23)</f>
        <v>99999</v>
      </c>
      <c r="AX23" s="224" t="str">
        <f ca="1">IF(AY23="","",'Endrunde 4'!$E23)</f>
        <v/>
      </c>
      <c r="AY23" s="225" t="str">
        <f ca="1">IF($C$39="","",IF('Endrunde 4'!$I23=$C$39,'Endrunde 4'!$K23,IF('Endrunde 4'!$K23=$C$39,'Endrunde 4'!$I23,"")))</f>
        <v/>
      </c>
      <c r="AZ23" s="595">
        <f t="shared" ca="1" si="18"/>
        <v>100021</v>
      </c>
      <c r="BA23" s="593">
        <f t="shared" ca="1" si="19"/>
        <v>100022</v>
      </c>
      <c r="BB23" s="594">
        <f ca="1">IF(BD23="",99999,'Endrunde 4'!$D23)</f>
        <v>99999</v>
      </c>
      <c r="BC23" s="224" t="str">
        <f ca="1">IF(BD23="","",'Endrunde 4'!$E23)</f>
        <v/>
      </c>
      <c r="BD23" s="225" t="str">
        <f ca="1">IF($C$44="","",IF('Endrunde 4'!$I23=$C$44,'Endrunde 4'!$K23,IF('Endrunde 4'!$K23=$C$44,'Endrunde 4'!$I23,"")))</f>
        <v/>
      </c>
      <c r="BE23" s="595">
        <f t="shared" ca="1" si="20"/>
        <v>100020</v>
      </c>
      <c r="BF23" s="593">
        <f t="shared" ca="1" si="21"/>
        <v>23.520833333333332</v>
      </c>
      <c r="BG23" s="594">
        <f ca="1">IF(BI23="",99999,'Endrunde 4'!$D23)</f>
        <v>0.52083333333333337</v>
      </c>
      <c r="BH23" s="224">
        <f ca="1">IF(BI23="","",'Endrunde 4'!$E23)</f>
        <v>4</v>
      </c>
      <c r="BI23" s="225" t="str">
        <f ca="1">IF($C$49="","",IF('Endrunde 4'!$I23=$C$49,'Endrunde 4'!$K23,IF('Endrunde 4'!$K23=$C$49,'Endrunde 4'!$I23,"")))</f>
        <v>Mainz 05</v>
      </c>
      <c r="BJ23" s="595">
        <f t="shared" ca="1" si="22"/>
        <v>100020</v>
      </c>
      <c r="BK23" s="593">
        <f t="shared" ca="1" si="23"/>
        <v>100022</v>
      </c>
      <c r="BL23" s="594">
        <f ca="1">IF(BN23="",99999,'Endrunde 4'!$D23)</f>
        <v>99999</v>
      </c>
      <c r="BM23" s="224" t="str">
        <f ca="1">IF(BN23="","",'Endrunde 4'!$E23)</f>
        <v/>
      </c>
      <c r="BN23" s="225" t="str">
        <f ca="1">IF($C$54="","",IF('Endrunde 4'!$I23=$C$54,'Endrunde 4'!$K23,IF('Endrunde 4'!$K23=$C$54,'Endrunde 4'!$I23,"")))</f>
        <v/>
      </c>
      <c r="BO23" s="595">
        <f t="shared" ca="1" si="24"/>
        <v>100020</v>
      </c>
      <c r="BP23" s="593">
        <f t="shared" si="25"/>
        <v>100022</v>
      </c>
      <c r="BQ23" s="594">
        <f>IF(BS23="",99999,'Endrunde 4'!$D23)</f>
        <v>99999</v>
      </c>
      <c r="BR23" s="224" t="str">
        <f>IF(BS23="","",'Endrunde 4'!$E23)</f>
        <v/>
      </c>
      <c r="BS23" s="225" t="str">
        <f>IF($C$59="","",IF('Endrunde 4'!$I23=$C$59,'Endrunde 4'!$K23,IF('Endrunde 4'!$K23=$C$59,'Endrunde 4'!$I23,"")))</f>
        <v/>
      </c>
      <c r="BT23" s="595">
        <f t="shared" si="26"/>
        <v>100022</v>
      </c>
    </row>
    <row r="24" spans="2:72" ht="15.95" customHeight="1" x14ac:dyDescent="0.2">
      <c r="B24" s="570" t="s">
        <v>192</v>
      </c>
      <c r="C24" s="571" t="str">
        <f>IF(Planung!$C$15="","",Planung!$C$15)</f>
        <v>VFB Essenheim</v>
      </c>
      <c r="E24" s="572" t="str">
        <f>Sprache!$E$60</f>
        <v>Bälle</v>
      </c>
      <c r="F24" s="573" t="str">
        <f>Sprache!$E$39</f>
        <v>Beginn</v>
      </c>
      <c r="G24" s="574" t="str">
        <f>Sprache!$E$48</f>
        <v>Feld</v>
      </c>
      <c r="H24" s="575" t="str">
        <f>Sprache!$E$46</f>
        <v>Spiel gegen</v>
      </c>
      <c r="J24" s="569">
        <f t="shared" ca="1" si="27"/>
        <v>0</v>
      </c>
      <c r="L24" s="99">
        <f ca="1">'Endrunde 4'!$C24</f>
        <v>29</v>
      </c>
      <c r="M24" s="593">
        <f t="shared" ca="1" si="3"/>
        <v>100023</v>
      </c>
      <c r="N24" s="594">
        <f ca="1">IF(P24="",99999,'Endrunde 4'!$D24)</f>
        <v>99999</v>
      </c>
      <c r="O24" s="224" t="str">
        <f ca="1">IF(P24="","",'Endrunde 4'!$E24)</f>
        <v/>
      </c>
      <c r="P24" s="225" t="str">
        <f ca="1">IF($C$4="","",IF('Endrunde 4'!$I24=$C$4,'Endrunde 4'!$K24,IF('Endrunde 4'!$K24=$C$4,'Endrunde 4'!$I24,"")))</f>
        <v/>
      </c>
      <c r="Q24" s="595">
        <f t="shared" ca="1" si="4"/>
        <v>100022</v>
      </c>
      <c r="R24" s="593">
        <f t="shared" ca="1" si="5"/>
        <v>100023</v>
      </c>
      <c r="S24" s="594">
        <f ca="1">IF(U24="",99999,'Endrunde 4'!$D24)</f>
        <v>99999</v>
      </c>
      <c r="T24" s="224" t="str">
        <f ca="1">IF(U24="","",'Endrunde 4'!$E24)</f>
        <v/>
      </c>
      <c r="U24" s="225" t="str">
        <f ca="1">IF($C$9="","",IF('Endrunde 4'!$I24=$C$9,'Endrunde 4'!$K24,IF('Endrunde 4'!$K24=$C$9,'Endrunde 4'!$I24,"")))</f>
        <v/>
      </c>
      <c r="V24" s="595">
        <f t="shared" ca="1" si="6"/>
        <v>100022</v>
      </c>
      <c r="W24" s="593">
        <f t="shared" ca="1" si="7"/>
        <v>100023</v>
      </c>
      <c r="X24" s="594">
        <f ca="1">IF(Z24="",99999,'Endrunde 4'!$D24)</f>
        <v>99999</v>
      </c>
      <c r="Y24" s="224" t="str">
        <f ca="1">IF(Z24="","",'Endrunde 4'!$E24)</f>
        <v/>
      </c>
      <c r="Z24" s="225" t="str">
        <f ca="1">IF($C$14="","",IF('Endrunde 4'!$I24=$C$14,'Endrunde 4'!$K24,IF('Endrunde 4'!$K24=$C$14,'Endrunde 4'!$I24,"")))</f>
        <v/>
      </c>
      <c r="AA24" s="595">
        <f t="shared" ca="1" si="8"/>
        <v>100022</v>
      </c>
      <c r="AB24" s="593">
        <f t="shared" ca="1" si="9"/>
        <v>100023</v>
      </c>
      <c r="AC24" s="594">
        <f ca="1">IF(AE24="",99999,'Endrunde 4'!$D24)</f>
        <v>99999</v>
      </c>
      <c r="AD24" s="224" t="str">
        <f ca="1">IF(AE24="","",'Endrunde 4'!$E24)</f>
        <v/>
      </c>
      <c r="AE24" s="225" t="str">
        <f ca="1">IF($C$19="","",IF('Endrunde 4'!$I24=$C$19,'Endrunde 4'!$K24,IF('Endrunde 4'!$K24=$C$19,'Endrunde 4'!$I24,"")))</f>
        <v/>
      </c>
      <c r="AF24" s="595">
        <f t="shared" ca="1" si="10"/>
        <v>100022</v>
      </c>
      <c r="AG24" s="593">
        <f t="shared" ca="1" si="11"/>
        <v>100023</v>
      </c>
      <c r="AH24" s="594">
        <f ca="1">IF(AJ24="",99999,'Endrunde 4'!$D24)</f>
        <v>99999</v>
      </c>
      <c r="AI24" s="224" t="str">
        <f ca="1">IF(AJ24="","",'Endrunde 4'!$E24)</f>
        <v/>
      </c>
      <c r="AJ24" s="225" t="str">
        <f ca="1">IF($C$24="","",IF('Endrunde 4'!$I24=$C$24,'Endrunde 4'!$K24,IF('Endrunde 4'!$K24=$C$24,'Endrunde 4'!$I24,"")))</f>
        <v/>
      </c>
      <c r="AK24" s="595">
        <f t="shared" ca="1" si="12"/>
        <v>100022</v>
      </c>
      <c r="AL24" s="593">
        <f t="shared" si="13"/>
        <v>100023</v>
      </c>
      <c r="AM24" s="594">
        <f>IF(AO24="",99999,'Endrunde 4'!$D24)</f>
        <v>99999</v>
      </c>
      <c r="AN24" s="224" t="str">
        <f>IF(AO24="","",'Endrunde 4'!$E24)</f>
        <v/>
      </c>
      <c r="AO24" s="225" t="str">
        <f>IF($C$29="","",IF('Endrunde 4'!$I24=$C$29,'Endrunde 4'!$K24,IF('Endrunde 4'!$K24=$C$29,'Endrunde 4'!$I24,"")))</f>
        <v/>
      </c>
      <c r="AP24" s="595">
        <f t="shared" si="14"/>
        <v>100023</v>
      </c>
      <c r="AQ24" s="593">
        <f t="shared" ca="1" si="15"/>
        <v>100023</v>
      </c>
      <c r="AR24" s="594">
        <f ca="1">IF(AT24="",99999,'Endrunde 4'!$D24)</f>
        <v>99999</v>
      </c>
      <c r="AS24" s="224" t="str">
        <f ca="1">IF(AT24="","",'Endrunde 4'!$E24)</f>
        <v/>
      </c>
      <c r="AT24" s="225" t="str">
        <f ca="1">IF($C$34="","",IF('Endrunde 4'!$I24=$C$34,'Endrunde 4'!$K24,IF('Endrunde 4'!$K24=$C$34,'Endrunde 4'!$I24,"")))</f>
        <v/>
      </c>
      <c r="AU24" s="595">
        <f t="shared" ca="1" si="16"/>
        <v>100021</v>
      </c>
      <c r="AV24" s="593">
        <f t="shared" ca="1" si="17"/>
        <v>100023</v>
      </c>
      <c r="AW24" s="594">
        <f ca="1">IF(AY24="",99999,'Endrunde 4'!$D24)</f>
        <v>99999</v>
      </c>
      <c r="AX24" s="224" t="str">
        <f ca="1">IF(AY24="","",'Endrunde 4'!$E24)</f>
        <v/>
      </c>
      <c r="AY24" s="225" t="str">
        <f ca="1">IF($C$39="","",IF('Endrunde 4'!$I24=$C$39,'Endrunde 4'!$K24,IF('Endrunde 4'!$K24=$C$39,'Endrunde 4'!$I24,"")))</f>
        <v/>
      </c>
      <c r="AZ24" s="595">
        <f t="shared" ca="1" si="18"/>
        <v>100022</v>
      </c>
      <c r="BA24" s="593">
        <f t="shared" ca="1" si="19"/>
        <v>100023</v>
      </c>
      <c r="BB24" s="594">
        <f ca="1">IF(BD24="",99999,'Endrunde 4'!$D24)</f>
        <v>99999</v>
      </c>
      <c r="BC24" s="224" t="str">
        <f ca="1">IF(BD24="","",'Endrunde 4'!$E24)</f>
        <v/>
      </c>
      <c r="BD24" s="225" t="str">
        <f ca="1">IF($C$44="","",IF('Endrunde 4'!$I24=$C$44,'Endrunde 4'!$K24,IF('Endrunde 4'!$K24=$C$44,'Endrunde 4'!$I24,"")))</f>
        <v/>
      </c>
      <c r="BE24" s="595">
        <f t="shared" ca="1" si="20"/>
        <v>100022</v>
      </c>
      <c r="BF24" s="593">
        <f t="shared" ca="1" si="21"/>
        <v>100023</v>
      </c>
      <c r="BG24" s="594">
        <f ca="1">IF(BI24="",99999,'Endrunde 4'!$D24)</f>
        <v>99999</v>
      </c>
      <c r="BH24" s="224" t="str">
        <f ca="1">IF(BI24="","",'Endrunde 4'!$E24)</f>
        <v/>
      </c>
      <c r="BI24" s="225" t="str">
        <f ca="1">IF($C$49="","",IF('Endrunde 4'!$I24=$C$49,'Endrunde 4'!$K24,IF('Endrunde 4'!$K24=$C$49,'Endrunde 4'!$I24,"")))</f>
        <v/>
      </c>
      <c r="BJ24" s="595">
        <f t="shared" ca="1" si="22"/>
        <v>100021</v>
      </c>
      <c r="BK24" s="593">
        <f t="shared" ca="1" si="23"/>
        <v>100023</v>
      </c>
      <c r="BL24" s="594">
        <f ca="1">IF(BN24="",99999,'Endrunde 4'!$D24)</f>
        <v>99999</v>
      </c>
      <c r="BM24" s="224" t="str">
        <f ca="1">IF(BN24="","",'Endrunde 4'!$E24)</f>
        <v/>
      </c>
      <c r="BN24" s="225" t="str">
        <f ca="1">IF($C$54="","",IF('Endrunde 4'!$I24=$C$54,'Endrunde 4'!$K24,IF('Endrunde 4'!$K24=$C$54,'Endrunde 4'!$I24,"")))</f>
        <v/>
      </c>
      <c r="BO24" s="595">
        <f t="shared" ca="1" si="24"/>
        <v>100022</v>
      </c>
      <c r="BP24" s="593">
        <f t="shared" si="25"/>
        <v>100023</v>
      </c>
      <c r="BQ24" s="594">
        <f>IF(BS24="",99999,'Endrunde 4'!$D24)</f>
        <v>99999</v>
      </c>
      <c r="BR24" s="224" t="str">
        <f>IF(BS24="","",'Endrunde 4'!$E24)</f>
        <v/>
      </c>
      <c r="BS24" s="225" t="str">
        <f>IF($C$59="","",IF('Endrunde 4'!$I24=$C$59,'Endrunde 4'!$K24,IF('Endrunde 4'!$K24=$C$59,'Endrunde 4'!$I24,"")))</f>
        <v/>
      </c>
      <c r="BT24" s="595">
        <f t="shared" si="26"/>
        <v>100023</v>
      </c>
    </row>
    <row r="25" spans="2:72" ht="15.95" customHeight="1" x14ac:dyDescent="0.2">
      <c r="E25" s="576">
        <f ca="1">IF($AK$12&lt;99999,INDEX($L$12:$L$29,MATCH($AK$12,$AG$12:$AG$29,0)),"")</f>
        <v>31</v>
      </c>
      <c r="F25" s="577">
        <f ca="1">IF($AK$12&lt;99999,VLOOKUP($AK$12,$AG$12:$AJ$29,2,0),"")</f>
        <v>0.54513888888888895</v>
      </c>
      <c r="G25" s="578">
        <f ca="1">IF($AK$12&lt;99999,VLOOKUP($AK$12,$AG$12:$AJ$29,3,0),"")</f>
        <v>3</v>
      </c>
      <c r="H25" s="579" t="str">
        <f ca="1">IF($AK$12&lt;99999,VLOOKUP($AK$12,$AG$12:$AJ$29,4,0),"")</f>
        <v>Inter Mailand</v>
      </c>
      <c r="J25" s="569">
        <f t="shared" ca="1" si="27"/>
        <v>0</v>
      </c>
      <c r="K25" s="569" t="str">
        <f ca="1">IF(J25=0,"",$C$24)</f>
        <v/>
      </c>
      <c r="L25" s="99">
        <f ca="1">'Endrunde 4'!$C25</f>
        <v>29</v>
      </c>
      <c r="M25" s="593">
        <f t="shared" ca="1" si="3"/>
        <v>100024</v>
      </c>
      <c r="N25" s="594">
        <f ca="1">IF(P25="",99999,'Endrunde 4'!$D25)</f>
        <v>99999</v>
      </c>
      <c r="O25" s="224" t="str">
        <f ca="1">IF(P25="","",'Endrunde 4'!$E25)</f>
        <v/>
      </c>
      <c r="P25" s="225" t="str">
        <f ca="1">IF($C$4="","",IF('Endrunde 4'!$I25=$C$4,'Endrunde 4'!$K25,IF('Endrunde 4'!$K25=$C$4,'Endrunde 4'!$I25,"")))</f>
        <v/>
      </c>
      <c r="Q25" s="595">
        <f t="shared" ca="1" si="4"/>
        <v>100023</v>
      </c>
      <c r="R25" s="593">
        <f t="shared" ca="1" si="5"/>
        <v>25.545138888888889</v>
      </c>
      <c r="S25" s="594">
        <f ca="1">IF(U25="",99999,'Endrunde 4'!$D25)</f>
        <v>0.54513888888888895</v>
      </c>
      <c r="T25" s="224">
        <f ca="1">IF(U25="","",'Endrunde 4'!$E25)</f>
        <v>1</v>
      </c>
      <c r="U25" s="225" t="str">
        <f ca="1">IF($C$9="","",IF('Endrunde 4'!$I25=$C$9,'Endrunde 4'!$K25,IF('Endrunde 4'!$K25=$C$9,'Endrunde 4'!$I25,"")))</f>
        <v>SSV Wildbach</v>
      </c>
      <c r="V25" s="595">
        <f t="shared" ca="1" si="6"/>
        <v>100023</v>
      </c>
      <c r="W25" s="593">
        <f t="shared" ca="1" si="7"/>
        <v>100024</v>
      </c>
      <c r="X25" s="594">
        <f ca="1">IF(Z25="",99999,'Endrunde 4'!$D25)</f>
        <v>99999</v>
      </c>
      <c r="Y25" s="224" t="str">
        <f ca="1">IF(Z25="","",'Endrunde 4'!$E25)</f>
        <v/>
      </c>
      <c r="Z25" s="225" t="str">
        <f ca="1">IF($C$14="","",IF('Endrunde 4'!$I25=$C$14,'Endrunde 4'!$K25,IF('Endrunde 4'!$K25=$C$14,'Endrunde 4'!$I25,"")))</f>
        <v/>
      </c>
      <c r="AA25" s="595">
        <f t="shared" ca="1" si="8"/>
        <v>100023</v>
      </c>
      <c r="AB25" s="593">
        <f t="shared" ca="1" si="9"/>
        <v>100024</v>
      </c>
      <c r="AC25" s="594">
        <f ca="1">IF(AE25="",99999,'Endrunde 4'!$D25)</f>
        <v>99999</v>
      </c>
      <c r="AD25" s="224" t="str">
        <f ca="1">IF(AE25="","",'Endrunde 4'!$E25)</f>
        <v/>
      </c>
      <c r="AE25" s="225" t="str">
        <f ca="1">IF($C$19="","",IF('Endrunde 4'!$I25=$C$19,'Endrunde 4'!$K25,IF('Endrunde 4'!$K25=$C$19,'Endrunde 4'!$I25,"")))</f>
        <v/>
      </c>
      <c r="AF25" s="595">
        <f t="shared" ca="1" si="10"/>
        <v>100023</v>
      </c>
      <c r="AG25" s="593">
        <f t="shared" ca="1" si="11"/>
        <v>100024</v>
      </c>
      <c r="AH25" s="594">
        <f ca="1">IF(AJ25="",99999,'Endrunde 4'!$D25)</f>
        <v>99999</v>
      </c>
      <c r="AI25" s="224" t="str">
        <f ca="1">IF(AJ25="","",'Endrunde 4'!$E25)</f>
        <v/>
      </c>
      <c r="AJ25" s="225" t="str">
        <f ca="1">IF($C$24="","",IF('Endrunde 4'!$I25=$C$24,'Endrunde 4'!$K25,IF('Endrunde 4'!$K25=$C$24,'Endrunde 4'!$I25,"")))</f>
        <v/>
      </c>
      <c r="AK25" s="595">
        <f t="shared" ca="1" si="12"/>
        <v>100023</v>
      </c>
      <c r="AL25" s="593">
        <f t="shared" si="13"/>
        <v>100024</v>
      </c>
      <c r="AM25" s="594">
        <f>IF(AO25="",99999,'Endrunde 4'!$D25)</f>
        <v>99999</v>
      </c>
      <c r="AN25" s="224" t="str">
        <f>IF(AO25="","",'Endrunde 4'!$E25)</f>
        <v/>
      </c>
      <c r="AO25" s="225" t="str">
        <f>IF($C$29="","",IF('Endrunde 4'!$I25=$C$29,'Endrunde 4'!$K25,IF('Endrunde 4'!$K25=$C$29,'Endrunde 4'!$I25,"")))</f>
        <v/>
      </c>
      <c r="AP25" s="595">
        <f t="shared" si="14"/>
        <v>100024</v>
      </c>
      <c r="AQ25" s="593">
        <f t="shared" ca="1" si="15"/>
        <v>100024</v>
      </c>
      <c r="AR25" s="594">
        <f ca="1">IF(AT25="",99999,'Endrunde 4'!$D25)</f>
        <v>99999</v>
      </c>
      <c r="AS25" s="224" t="str">
        <f ca="1">IF(AT25="","",'Endrunde 4'!$E25)</f>
        <v/>
      </c>
      <c r="AT25" s="225" t="str">
        <f ca="1">IF($C$34="","",IF('Endrunde 4'!$I25=$C$34,'Endrunde 4'!$K25,IF('Endrunde 4'!$K25=$C$34,'Endrunde 4'!$I25,"")))</f>
        <v/>
      </c>
      <c r="AU25" s="595">
        <f t="shared" ca="1" si="16"/>
        <v>100023</v>
      </c>
      <c r="AV25" s="593">
        <f t="shared" ca="1" si="17"/>
        <v>100024</v>
      </c>
      <c r="AW25" s="594">
        <f ca="1">IF(AY25="",99999,'Endrunde 4'!$D25)</f>
        <v>99999</v>
      </c>
      <c r="AX25" s="224" t="str">
        <f ca="1">IF(AY25="","",'Endrunde 4'!$E25)</f>
        <v/>
      </c>
      <c r="AY25" s="225" t="str">
        <f ca="1">IF($C$39="","",IF('Endrunde 4'!$I25=$C$39,'Endrunde 4'!$K25,IF('Endrunde 4'!$K25=$C$39,'Endrunde 4'!$I25,"")))</f>
        <v/>
      </c>
      <c r="AZ25" s="595">
        <f t="shared" ca="1" si="18"/>
        <v>100023</v>
      </c>
      <c r="BA25" s="593">
        <f t="shared" ca="1" si="19"/>
        <v>25.545138888888889</v>
      </c>
      <c r="BB25" s="594">
        <f ca="1">IF(BD25="",99999,'Endrunde 4'!$D25)</f>
        <v>0.54513888888888895</v>
      </c>
      <c r="BC25" s="224">
        <f ca="1">IF(BD25="","",'Endrunde 4'!$E25)</f>
        <v>1</v>
      </c>
      <c r="BD25" s="225" t="str">
        <f ca="1">IF($C$44="","",IF('Endrunde 4'!$I25=$C$44,'Endrunde 4'!$K25,IF('Endrunde 4'!$K25=$C$44,'Endrunde 4'!$I25,"")))</f>
        <v>FC Barcelona</v>
      </c>
      <c r="BE25" s="595">
        <f t="shared" ca="1" si="20"/>
        <v>100023</v>
      </c>
      <c r="BF25" s="593">
        <f t="shared" ca="1" si="21"/>
        <v>100024</v>
      </c>
      <c r="BG25" s="594">
        <f ca="1">IF(BI25="",99999,'Endrunde 4'!$D25)</f>
        <v>99999</v>
      </c>
      <c r="BH25" s="224" t="str">
        <f ca="1">IF(BI25="","",'Endrunde 4'!$E25)</f>
        <v/>
      </c>
      <c r="BI25" s="225" t="str">
        <f ca="1">IF($C$49="","",IF('Endrunde 4'!$I25=$C$49,'Endrunde 4'!$K25,IF('Endrunde 4'!$K25=$C$49,'Endrunde 4'!$I25,"")))</f>
        <v/>
      </c>
      <c r="BJ25" s="595">
        <f t="shared" ca="1" si="22"/>
        <v>100023</v>
      </c>
      <c r="BK25" s="593">
        <f t="shared" ca="1" si="23"/>
        <v>100024</v>
      </c>
      <c r="BL25" s="594">
        <f ca="1">IF(BN25="",99999,'Endrunde 4'!$D25)</f>
        <v>99999</v>
      </c>
      <c r="BM25" s="224" t="str">
        <f ca="1">IF(BN25="","",'Endrunde 4'!$E25)</f>
        <v/>
      </c>
      <c r="BN25" s="225" t="str">
        <f ca="1">IF($C$54="","",IF('Endrunde 4'!$I25=$C$54,'Endrunde 4'!$K25,IF('Endrunde 4'!$K25=$C$54,'Endrunde 4'!$I25,"")))</f>
        <v/>
      </c>
      <c r="BO25" s="595">
        <f t="shared" ca="1" si="24"/>
        <v>100023</v>
      </c>
      <c r="BP25" s="593">
        <f t="shared" si="25"/>
        <v>100024</v>
      </c>
      <c r="BQ25" s="594">
        <f>IF(BS25="",99999,'Endrunde 4'!$D25)</f>
        <v>99999</v>
      </c>
      <c r="BR25" s="224" t="str">
        <f>IF(BS25="","",'Endrunde 4'!$E25)</f>
        <v/>
      </c>
      <c r="BS25" s="225" t="str">
        <f>IF($C$59="","",IF('Endrunde 4'!$I25=$C$59,'Endrunde 4'!$K25,IF('Endrunde 4'!$K25=$C$59,'Endrunde 4'!$I25,"")))</f>
        <v/>
      </c>
      <c r="BT25" s="595">
        <f t="shared" si="26"/>
        <v>100024</v>
      </c>
    </row>
    <row r="26" spans="2:72" ht="15.95" customHeight="1" x14ac:dyDescent="0.2">
      <c r="E26" s="576" t="str">
        <f ca="1">IF($AK$13&lt;99999,INDEX($L$12:$L$29,MATCH($AK$13,$AG$12:$AG$29,0)),"")</f>
        <v/>
      </c>
      <c r="F26" s="580" t="str">
        <f ca="1">IF($AK$13&lt;99999,VLOOKUP($AK$13,$AG$12:$AJ$29,2,0),"")</f>
        <v/>
      </c>
      <c r="G26" s="581" t="str">
        <f ca="1">IF($AK$13&lt;99999,VLOOKUP($AK$13,$AG$12:$AJ$29,3,0),"")</f>
        <v/>
      </c>
      <c r="H26" s="582" t="str">
        <f ca="1">IF($AK$13&lt;99999,VLOOKUP($AK$13,$AG$12:$AJ$29,4,0),"")</f>
        <v/>
      </c>
      <c r="J26" s="569">
        <f t="shared" ca="1" si="27"/>
        <v>0</v>
      </c>
      <c r="K26" s="569" t="str">
        <f t="shared" ref="K26:K27" ca="1" si="30">IF(J26=0,"",$C$24)</f>
        <v/>
      </c>
      <c r="L26" s="99">
        <f ca="1">'Endrunde 4'!$C26</f>
        <v>30</v>
      </c>
      <c r="M26" s="593">
        <f t="shared" ca="1" si="3"/>
        <v>100025</v>
      </c>
      <c r="N26" s="594">
        <f ca="1">IF(P26="",99999,'Endrunde 4'!$D26)</f>
        <v>99999</v>
      </c>
      <c r="O26" s="224" t="str">
        <f ca="1">IF(P26="","",'Endrunde 4'!$E26)</f>
        <v/>
      </c>
      <c r="P26" s="225" t="str">
        <f ca="1">IF($C$4="","",IF('Endrunde 4'!$I26=$C$4,'Endrunde 4'!$K26,IF('Endrunde 4'!$K26=$C$4,'Endrunde 4'!$I26,"")))</f>
        <v/>
      </c>
      <c r="Q26" s="595">
        <f t="shared" ca="1" si="4"/>
        <v>100024</v>
      </c>
      <c r="R26" s="593">
        <f t="shared" ca="1" si="5"/>
        <v>100025</v>
      </c>
      <c r="S26" s="594">
        <f ca="1">IF(U26="",99999,'Endrunde 4'!$D26)</f>
        <v>99999</v>
      </c>
      <c r="T26" s="224" t="str">
        <f ca="1">IF(U26="","",'Endrunde 4'!$E26)</f>
        <v/>
      </c>
      <c r="U26" s="225" t="str">
        <f ca="1">IF($C$9="","",IF('Endrunde 4'!$I26=$C$9,'Endrunde 4'!$K26,IF('Endrunde 4'!$K26=$C$9,'Endrunde 4'!$I26,"")))</f>
        <v/>
      </c>
      <c r="V26" s="595">
        <f t="shared" ca="1" si="6"/>
        <v>100025</v>
      </c>
      <c r="W26" s="593">
        <f t="shared" ca="1" si="7"/>
        <v>100025</v>
      </c>
      <c r="X26" s="594">
        <f ca="1">IF(Z26="",99999,'Endrunde 4'!$D26)</f>
        <v>99999</v>
      </c>
      <c r="Y26" s="224" t="str">
        <f ca="1">IF(Z26="","",'Endrunde 4'!$E26)</f>
        <v/>
      </c>
      <c r="Z26" s="225" t="str">
        <f ca="1">IF($C$14="","",IF('Endrunde 4'!$I26=$C$14,'Endrunde 4'!$K26,IF('Endrunde 4'!$K26=$C$14,'Endrunde 4'!$I26,"")))</f>
        <v/>
      </c>
      <c r="AA26" s="595">
        <f t="shared" ca="1" si="8"/>
        <v>100024</v>
      </c>
      <c r="AB26" s="593">
        <f t="shared" ca="1" si="9"/>
        <v>26.545138888888889</v>
      </c>
      <c r="AC26" s="594">
        <f ca="1">IF(AE26="",99999,'Endrunde 4'!$D26)</f>
        <v>0.54513888888888895</v>
      </c>
      <c r="AD26" s="224">
        <f ca="1">IF(AE26="","",'Endrunde 4'!$E26)</f>
        <v>2</v>
      </c>
      <c r="AE26" s="225" t="str">
        <f ca="1">IF($C$19="","",IF('Endrunde 4'!$I26=$C$19,'Endrunde 4'!$K26,IF('Endrunde 4'!$K26=$C$19,'Endrunde 4'!$I26,"")))</f>
        <v>Manchester City</v>
      </c>
      <c r="AF26" s="595">
        <f t="shared" ca="1" si="10"/>
        <v>100024</v>
      </c>
      <c r="AG26" s="593">
        <f t="shared" ca="1" si="11"/>
        <v>100025</v>
      </c>
      <c r="AH26" s="594">
        <f ca="1">IF(AJ26="",99999,'Endrunde 4'!$D26)</f>
        <v>99999</v>
      </c>
      <c r="AI26" s="224" t="str">
        <f ca="1">IF(AJ26="","",'Endrunde 4'!$E26)</f>
        <v/>
      </c>
      <c r="AJ26" s="225" t="str">
        <f ca="1">IF($C$24="","",IF('Endrunde 4'!$I26=$C$24,'Endrunde 4'!$K26,IF('Endrunde 4'!$K26=$C$24,'Endrunde 4'!$I26,"")))</f>
        <v/>
      </c>
      <c r="AK26" s="595">
        <f t="shared" ca="1" si="12"/>
        <v>100024</v>
      </c>
      <c r="AL26" s="593">
        <f t="shared" si="13"/>
        <v>100025</v>
      </c>
      <c r="AM26" s="594">
        <f>IF(AO26="",99999,'Endrunde 4'!$D26)</f>
        <v>99999</v>
      </c>
      <c r="AN26" s="224" t="str">
        <f>IF(AO26="","",'Endrunde 4'!$E26)</f>
        <v/>
      </c>
      <c r="AO26" s="225" t="str">
        <f>IF($C$29="","",IF('Endrunde 4'!$I26=$C$29,'Endrunde 4'!$K26,IF('Endrunde 4'!$K26=$C$29,'Endrunde 4'!$I26,"")))</f>
        <v/>
      </c>
      <c r="AP26" s="595">
        <f t="shared" si="14"/>
        <v>100025</v>
      </c>
      <c r="AQ26" s="593">
        <f t="shared" ca="1" si="15"/>
        <v>100025</v>
      </c>
      <c r="AR26" s="594">
        <f ca="1">IF(AT26="",99999,'Endrunde 4'!$D26)</f>
        <v>99999</v>
      </c>
      <c r="AS26" s="224" t="str">
        <f ca="1">IF(AT26="","",'Endrunde 4'!$E26)</f>
        <v/>
      </c>
      <c r="AT26" s="225" t="str">
        <f ca="1">IF($C$34="","",IF('Endrunde 4'!$I26=$C$34,'Endrunde 4'!$K26,IF('Endrunde 4'!$K26=$C$34,'Endrunde 4'!$I26,"")))</f>
        <v/>
      </c>
      <c r="AU26" s="595">
        <f t="shared" ca="1" si="16"/>
        <v>100024</v>
      </c>
      <c r="AV26" s="593">
        <f t="shared" ca="1" si="17"/>
        <v>100025</v>
      </c>
      <c r="AW26" s="594">
        <f ca="1">IF(AY26="",99999,'Endrunde 4'!$D26)</f>
        <v>99999</v>
      </c>
      <c r="AX26" s="224" t="str">
        <f ca="1">IF(AY26="","",'Endrunde 4'!$E26)</f>
        <v/>
      </c>
      <c r="AY26" s="225" t="str">
        <f ca="1">IF($C$39="","",IF('Endrunde 4'!$I26=$C$39,'Endrunde 4'!$K26,IF('Endrunde 4'!$K26=$C$39,'Endrunde 4'!$I26,"")))</f>
        <v/>
      </c>
      <c r="AZ26" s="595">
        <f t="shared" ca="1" si="18"/>
        <v>100024</v>
      </c>
      <c r="BA26" s="593">
        <f t="shared" ca="1" si="19"/>
        <v>100025</v>
      </c>
      <c r="BB26" s="594">
        <f ca="1">IF(BD26="",99999,'Endrunde 4'!$D26)</f>
        <v>99999</v>
      </c>
      <c r="BC26" s="224" t="str">
        <f ca="1">IF(BD26="","",'Endrunde 4'!$E26)</f>
        <v/>
      </c>
      <c r="BD26" s="225" t="str">
        <f ca="1">IF($C$44="","",IF('Endrunde 4'!$I26=$C$44,'Endrunde 4'!$K26,IF('Endrunde 4'!$K26=$C$44,'Endrunde 4'!$I26,"")))</f>
        <v/>
      </c>
      <c r="BE26" s="595">
        <f t="shared" ca="1" si="20"/>
        <v>100025</v>
      </c>
      <c r="BF26" s="593">
        <f t="shared" ca="1" si="21"/>
        <v>26.545138888888889</v>
      </c>
      <c r="BG26" s="594">
        <f ca="1">IF(BI26="",99999,'Endrunde 4'!$D26)</f>
        <v>0.54513888888888895</v>
      </c>
      <c r="BH26" s="224">
        <f ca="1">IF(BI26="","",'Endrunde 4'!$E26)</f>
        <v>2</v>
      </c>
      <c r="BI26" s="225" t="str">
        <f ca="1">IF($C$49="","",IF('Endrunde 4'!$I26=$C$49,'Endrunde 4'!$K26,IF('Endrunde 4'!$K26=$C$49,'Endrunde 4'!$I26,"")))</f>
        <v>Maibach 1822 eV</v>
      </c>
      <c r="BJ26" s="595">
        <f t="shared" ca="1" si="22"/>
        <v>100024</v>
      </c>
      <c r="BK26" s="593">
        <f t="shared" ca="1" si="23"/>
        <v>100025</v>
      </c>
      <c r="BL26" s="594">
        <f ca="1">IF(BN26="",99999,'Endrunde 4'!$D26)</f>
        <v>99999</v>
      </c>
      <c r="BM26" s="224" t="str">
        <f ca="1">IF(BN26="","",'Endrunde 4'!$E26)</f>
        <v/>
      </c>
      <c r="BN26" s="225" t="str">
        <f ca="1">IF($C$54="","",IF('Endrunde 4'!$I26=$C$54,'Endrunde 4'!$K26,IF('Endrunde 4'!$K26=$C$54,'Endrunde 4'!$I26,"")))</f>
        <v/>
      </c>
      <c r="BO26" s="595">
        <f t="shared" ca="1" si="24"/>
        <v>100024</v>
      </c>
      <c r="BP26" s="593">
        <f t="shared" si="25"/>
        <v>100025</v>
      </c>
      <c r="BQ26" s="594">
        <f>IF(BS26="",99999,'Endrunde 4'!$D26)</f>
        <v>99999</v>
      </c>
      <c r="BR26" s="224" t="str">
        <f>IF(BS26="","",'Endrunde 4'!$E26)</f>
        <v/>
      </c>
      <c r="BS26" s="225" t="str">
        <f>IF($C$59="","",IF('Endrunde 4'!$I26=$C$59,'Endrunde 4'!$K26,IF('Endrunde 4'!$K26=$C$59,'Endrunde 4'!$I26,"")))</f>
        <v/>
      </c>
      <c r="BT26" s="595">
        <f t="shared" si="26"/>
        <v>100025</v>
      </c>
    </row>
    <row r="27" spans="2:72" ht="15.95" customHeight="1" thickBot="1" x14ac:dyDescent="0.25">
      <c r="E27" s="583" t="str">
        <f ca="1">IF($AK$14&lt;99999,INDEX($L$12:$L$29,MATCH($AK$14,$AG$12:$AG$29,0)),"")</f>
        <v/>
      </c>
      <c r="F27" s="584" t="str">
        <f ca="1">IF($AK$14&lt;99999,VLOOKUP($AK$14,$AG$12:$AJ$29,2,0),"")</f>
        <v/>
      </c>
      <c r="G27" s="585" t="str">
        <f ca="1">IF($AK$14&lt;99999,VLOOKUP($AK$14,$AG$12:$AJ$29,3,0),"")</f>
        <v/>
      </c>
      <c r="H27" s="586" t="str">
        <f ca="1">IF($AK$14&lt;99999,VLOOKUP($AK$14,$AG$12:$AJ$29,4,0),"")</f>
        <v/>
      </c>
      <c r="J27" s="569">
        <f t="shared" ca="1" si="27"/>
        <v>0</v>
      </c>
      <c r="K27" s="569" t="str">
        <f t="shared" ca="1" si="30"/>
        <v/>
      </c>
      <c r="L27" s="99">
        <f ca="1">'Endrunde 4'!$C27</f>
        <v>31</v>
      </c>
      <c r="M27" s="593">
        <f t="shared" ca="1" si="3"/>
        <v>100026</v>
      </c>
      <c r="N27" s="594">
        <f ca="1">IF(P27="",99999,'Endrunde 4'!$D27)</f>
        <v>99999</v>
      </c>
      <c r="O27" s="224" t="str">
        <f ca="1">IF(P27="","",'Endrunde 4'!$E27)</f>
        <v/>
      </c>
      <c r="P27" s="225" t="str">
        <f ca="1">IF($C$4="","",IF('Endrunde 4'!$I27=$C$4,'Endrunde 4'!$K27,IF('Endrunde 4'!$K27=$C$4,'Endrunde 4'!$I27,"")))</f>
        <v/>
      </c>
      <c r="Q27" s="595">
        <f t="shared" ca="1" si="4"/>
        <v>100025</v>
      </c>
      <c r="R27" s="593">
        <f t="shared" ca="1" si="5"/>
        <v>100026</v>
      </c>
      <c r="S27" s="594">
        <f ca="1">IF(U27="",99999,'Endrunde 4'!$D27)</f>
        <v>99999</v>
      </c>
      <c r="T27" s="224" t="str">
        <f ca="1">IF(U27="","",'Endrunde 4'!$E27)</f>
        <v/>
      </c>
      <c r="U27" s="225" t="str">
        <f ca="1">IF($C$9="","",IF('Endrunde 4'!$I27=$C$9,'Endrunde 4'!$K27,IF('Endrunde 4'!$K27=$C$9,'Endrunde 4'!$I27,"")))</f>
        <v/>
      </c>
      <c r="V27" s="595">
        <f t="shared" ca="1" si="6"/>
        <v>100026</v>
      </c>
      <c r="W27" s="593">
        <f t="shared" ca="1" si="7"/>
        <v>100026</v>
      </c>
      <c r="X27" s="594">
        <f ca="1">IF(Z27="",99999,'Endrunde 4'!$D27)</f>
        <v>99999</v>
      </c>
      <c r="Y27" s="224" t="str">
        <f ca="1">IF(Z27="","",'Endrunde 4'!$E27)</f>
        <v/>
      </c>
      <c r="Z27" s="225" t="str">
        <f ca="1">IF($C$14="","",IF('Endrunde 4'!$I27=$C$14,'Endrunde 4'!$K27,IF('Endrunde 4'!$K27=$C$14,'Endrunde 4'!$I27,"")))</f>
        <v/>
      </c>
      <c r="AA27" s="595">
        <f t="shared" ca="1" si="8"/>
        <v>100025</v>
      </c>
      <c r="AB27" s="593">
        <f t="shared" ca="1" si="9"/>
        <v>100026</v>
      </c>
      <c r="AC27" s="594">
        <f ca="1">IF(AE27="",99999,'Endrunde 4'!$D27)</f>
        <v>99999</v>
      </c>
      <c r="AD27" s="224" t="str">
        <f ca="1">IF(AE27="","",'Endrunde 4'!$E27)</f>
        <v/>
      </c>
      <c r="AE27" s="225" t="str">
        <f ca="1">IF($C$19="","",IF('Endrunde 4'!$I27=$C$19,'Endrunde 4'!$K27,IF('Endrunde 4'!$K27=$C$19,'Endrunde 4'!$I27,"")))</f>
        <v/>
      </c>
      <c r="AF27" s="595">
        <f t="shared" ca="1" si="10"/>
        <v>100026</v>
      </c>
      <c r="AG27" s="593">
        <f t="shared" ca="1" si="11"/>
        <v>27.545138888888889</v>
      </c>
      <c r="AH27" s="594">
        <f ca="1">IF(AJ27="",99999,'Endrunde 4'!$D27)</f>
        <v>0.54513888888888895</v>
      </c>
      <c r="AI27" s="224">
        <f ca="1">IF(AJ27="","",'Endrunde 4'!$E27)</f>
        <v>3</v>
      </c>
      <c r="AJ27" s="225" t="str">
        <f ca="1">IF($C$24="","",IF('Endrunde 4'!$I27=$C$24,'Endrunde 4'!$K27,IF('Endrunde 4'!$K27=$C$24,'Endrunde 4'!$I27,"")))</f>
        <v>Inter Mailand</v>
      </c>
      <c r="AK27" s="595">
        <f t="shared" ca="1" si="12"/>
        <v>100025</v>
      </c>
      <c r="AL27" s="593">
        <f t="shared" si="13"/>
        <v>100026</v>
      </c>
      <c r="AM27" s="594">
        <f>IF(AO27="",99999,'Endrunde 4'!$D27)</f>
        <v>99999</v>
      </c>
      <c r="AN27" s="224" t="str">
        <f>IF(AO27="","",'Endrunde 4'!$E27)</f>
        <v/>
      </c>
      <c r="AO27" s="225" t="str">
        <f>IF($C$29="","",IF('Endrunde 4'!$I27=$C$29,'Endrunde 4'!$K27,IF('Endrunde 4'!$K27=$C$29,'Endrunde 4'!$I27,"")))</f>
        <v/>
      </c>
      <c r="AP27" s="595">
        <f t="shared" si="14"/>
        <v>100026</v>
      </c>
      <c r="AQ27" s="593">
        <f t="shared" ca="1" si="15"/>
        <v>100026</v>
      </c>
      <c r="AR27" s="594">
        <f ca="1">IF(AT27="",99999,'Endrunde 4'!$D27)</f>
        <v>99999</v>
      </c>
      <c r="AS27" s="224" t="str">
        <f ca="1">IF(AT27="","",'Endrunde 4'!$E27)</f>
        <v/>
      </c>
      <c r="AT27" s="225" t="str">
        <f ca="1">IF($C$34="","",IF('Endrunde 4'!$I27=$C$34,'Endrunde 4'!$K27,IF('Endrunde 4'!$K27=$C$34,'Endrunde 4'!$I27,"")))</f>
        <v/>
      </c>
      <c r="AU27" s="595">
        <f t="shared" ca="1" si="16"/>
        <v>100025</v>
      </c>
      <c r="AV27" s="593">
        <f t="shared" ca="1" si="17"/>
        <v>27.545138888888889</v>
      </c>
      <c r="AW27" s="594">
        <f ca="1">IF(AY27="",99999,'Endrunde 4'!$D27)</f>
        <v>0.54513888888888895</v>
      </c>
      <c r="AX27" s="224">
        <f ca="1">IF(AY27="","",'Endrunde 4'!$E27)</f>
        <v>3</v>
      </c>
      <c r="AY27" s="225" t="str">
        <f ca="1">IF($C$39="","",IF('Endrunde 4'!$I27=$C$39,'Endrunde 4'!$K27,IF('Endrunde 4'!$K27=$C$39,'Endrunde 4'!$I27,"")))</f>
        <v>VFB Essenheim</v>
      </c>
      <c r="AZ27" s="595">
        <f t="shared" ca="1" si="18"/>
        <v>100025</v>
      </c>
      <c r="BA27" s="593">
        <f t="shared" ca="1" si="19"/>
        <v>100026</v>
      </c>
      <c r="BB27" s="594">
        <f ca="1">IF(BD27="",99999,'Endrunde 4'!$D27)</f>
        <v>99999</v>
      </c>
      <c r="BC27" s="224" t="str">
        <f ca="1">IF(BD27="","",'Endrunde 4'!$E27)</f>
        <v/>
      </c>
      <c r="BD27" s="225" t="str">
        <f ca="1">IF($C$44="","",IF('Endrunde 4'!$I27=$C$44,'Endrunde 4'!$K27,IF('Endrunde 4'!$K27=$C$44,'Endrunde 4'!$I27,"")))</f>
        <v/>
      </c>
      <c r="BE27" s="595">
        <f t="shared" ca="1" si="20"/>
        <v>100026</v>
      </c>
      <c r="BF27" s="593">
        <f t="shared" ca="1" si="21"/>
        <v>100026</v>
      </c>
      <c r="BG27" s="594">
        <f ca="1">IF(BI27="",99999,'Endrunde 4'!$D27)</f>
        <v>99999</v>
      </c>
      <c r="BH27" s="224" t="str">
        <f ca="1">IF(BI27="","",'Endrunde 4'!$E27)</f>
        <v/>
      </c>
      <c r="BI27" s="225" t="str">
        <f ca="1">IF($C$49="","",IF('Endrunde 4'!$I27=$C$49,'Endrunde 4'!$K27,IF('Endrunde 4'!$K27=$C$49,'Endrunde 4'!$I27,"")))</f>
        <v/>
      </c>
      <c r="BJ27" s="595">
        <f t="shared" ca="1" si="22"/>
        <v>100026</v>
      </c>
      <c r="BK27" s="593">
        <f t="shared" ca="1" si="23"/>
        <v>100026</v>
      </c>
      <c r="BL27" s="594">
        <f ca="1">IF(BN27="",99999,'Endrunde 4'!$D27)</f>
        <v>99999</v>
      </c>
      <c r="BM27" s="224" t="str">
        <f ca="1">IF(BN27="","",'Endrunde 4'!$E27)</f>
        <v/>
      </c>
      <c r="BN27" s="225" t="str">
        <f ca="1">IF($C$54="","",IF('Endrunde 4'!$I27=$C$54,'Endrunde 4'!$K27,IF('Endrunde 4'!$K27=$C$54,'Endrunde 4'!$I27,"")))</f>
        <v/>
      </c>
      <c r="BO27" s="595">
        <f t="shared" ca="1" si="24"/>
        <v>100025</v>
      </c>
      <c r="BP27" s="593">
        <f t="shared" si="25"/>
        <v>100026</v>
      </c>
      <c r="BQ27" s="594">
        <f>IF(BS27="",99999,'Endrunde 4'!$D27)</f>
        <v>99999</v>
      </c>
      <c r="BR27" s="224" t="str">
        <f>IF(BS27="","",'Endrunde 4'!$E27)</f>
        <v/>
      </c>
      <c r="BS27" s="225" t="str">
        <f>IF($C$59="","",IF('Endrunde 4'!$I27=$C$59,'Endrunde 4'!$K27,IF('Endrunde 4'!$K27=$C$59,'Endrunde 4'!$I27,"")))</f>
        <v/>
      </c>
      <c r="BT27" s="595">
        <f t="shared" si="26"/>
        <v>100026</v>
      </c>
    </row>
    <row r="28" spans="2:72" ht="30" customHeight="1" thickBot="1" x14ac:dyDescent="0.25">
      <c r="J28" s="569">
        <f t="shared" ca="1" si="27"/>
        <v>0</v>
      </c>
      <c r="L28" s="99">
        <f ca="1">'Endrunde 4'!$C28</f>
        <v>32</v>
      </c>
      <c r="M28" s="593">
        <f t="shared" ca="1" si="3"/>
        <v>28.545138888888889</v>
      </c>
      <c r="N28" s="594">
        <f ca="1">IF(P28="",99999,'Endrunde 4'!$D28)</f>
        <v>0.54513888888888895</v>
      </c>
      <c r="O28" s="224">
        <f ca="1">IF(P28="","",'Endrunde 4'!$E28)</f>
        <v>4</v>
      </c>
      <c r="P28" s="225" t="str">
        <f ca="1">IF($C$4="","",IF('Endrunde 4'!$I28=$C$4,'Endrunde 4'!$K28,IF('Endrunde 4'!$K28=$C$4,'Endrunde 4'!$I28,"")))</f>
        <v>FC Grönlingen</v>
      </c>
      <c r="Q28" s="595">
        <f t="shared" ca="1" si="4"/>
        <v>100026</v>
      </c>
      <c r="R28" s="593">
        <f t="shared" ca="1" si="5"/>
        <v>100027</v>
      </c>
      <c r="S28" s="594">
        <f ca="1">IF(U28="",99999,'Endrunde 4'!$D28)</f>
        <v>99999</v>
      </c>
      <c r="T28" s="224" t="str">
        <f ca="1">IF(U28="","",'Endrunde 4'!$E28)</f>
        <v/>
      </c>
      <c r="U28" s="225" t="str">
        <f ca="1">IF($C$9="","",IF('Endrunde 4'!$I28=$C$9,'Endrunde 4'!$K28,IF('Endrunde 4'!$K28=$C$9,'Endrunde 4'!$I28,"")))</f>
        <v/>
      </c>
      <c r="V28" s="595">
        <f t="shared" ca="1" si="6"/>
        <v>100027</v>
      </c>
      <c r="W28" s="593">
        <f t="shared" ca="1" si="7"/>
        <v>100027</v>
      </c>
      <c r="X28" s="594">
        <f ca="1">IF(Z28="",99999,'Endrunde 4'!$D28)</f>
        <v>99999</v>
      </c>
      <c r="Y28" s="224" t="str">
        <f ca="1">IF(Z28="","",'Endrunde 4'!$E28)</f>
        <v/>
      </c>
      <c r="Z28" s="225" t="str">
        <f ca="1">IF($C$14="","",IF('Endrunde 4'!$I28=$C$14,'Endrunde 4'!$K28,IF('Endrunde 4'!$K28=$C$14,'Endrunde 4'!$I28,"")))</f>
        <v/>
      </c>
      <c r="AA28" s="595">
        <f t="shared" ca="1" si="8"/>
        <v>100026</v>
      </c>
      <c r="AB28" s="593">
        <f t="shared" ca="1" si="9"/>
        <v>100027</v>
      </c>
      <c r="AC28" s="594">
        <f ca="1">IF(AE28="",99999,'Endrunde 4'!$D28)</f>
        <v>99999</v>
      </c>
      <c r="AD28" s="224" t="str">
        <f ca="1">IF(AE28="","",'Endrunde 4'!$E28)</f>
        <v/>
      </c>
      <c r="AE28" s="225" t="str">
        <f ca="1">IF($C$19="","",IF('Endrunde 4'!$I28=$C$19,'Endrunde 4'!$K28,IF('Endrunde 4'!$K28=$C$19,'Endrunde 4'!$I28,"")))</f>
        <v/>
      </c>
      <c r="AF28" s="595">
        <f t="shared" ca="1" si="10"/>
        <v>100027</v>
      </c>
      <c r="AG28" s="593">
        <f t="shared" ca="1" si="11"/>
        <v>100027</v>
      </c>
      <c r="AH28" s="594">
        <f ca="1">IF(AJ28="",99999,'Endrunde 4'!$D28)</f>
        <v>99999</v>
      </c>
      <c r="AI28" s="224" t="str">
        <f ca="1">IF(AJ28="","",'Endrunde 4'!$E28)</f>
        <v/>
      </c>
      <c r="AJ28" s="225" t="str">
        <f ca="1">IF($C$24="","",IF('Endrunde 4'!$I28=$C$24,'Endrunde 4'!$K28,IF('Endrunde 4'!$K28=$C$24,'Endrunde 4'!$I28,"")))</f>
        <v/>
      </c>
      <c r="AK28" s="595">
        <f t="shared" ca="1" si="12"/>
        <v>100027</v>
      </c>
      <c r="AL28" s="593">
        <f t="shared" si="13"/>
        <v>100027</v>
      </c>
      <c r="AM28" s="594">
        <f>IF(AO28="",99999,'Endrunde 4'!$D28)</f>
        <v>99999</v>
      </c>
      <c r="AN28" s="224" t="str">
        <f>IF(AO28="","",'Endrunde 4'!$E28)</f>
        <v/>
      </c>
      <c r="AO28" s="225" t="str">
        <f>IF($C$29="","",IF('Endrunde 4'!$I28=$C$29,'Endrunde 4'!$K28,IF('Endrunde 4'!$K28=$C$29,'Endrunde 4'!$I28,"")))</f>
        <v/>
      </c>
      <c r="AP28" s="595">
        <f t="shared" si="14"/>
        <v>100027</v>
      </c>
      <c r="AQ28" s="593">
        <f t="shared" ca="1" si="15"/>
        <v>100027</v>
      </c>
      <c r="AR28" s="594">
        <f ca="1">IF(AT28="",99999,'Endrunde 4'!$D28)</f>
        <v>99999</v>
      </c>
      <c r="AS28" s="224" t="str">
        <f ca="1">IF(AT28="","",'Endrunde 4'!$E28)</f>
        <v/>
      </c>
      <c r="AT28" s="225" t="str">
        <f ca="1">IF($C$34="","",IF('Endrunde 4'!$I28=$C$34,'Endrunde 4'!$K28,IF('Endrunde 4'!$K28=$C$34,'Endrunde 4'!$I28,"")))</f>
        <v/>
      </c>
      <c r="AU28" s="595">
        <f t="shared" ca="1" si="16"/>
        <v>100026</v>
      </c>
      <c r="AV28" s="593">
        <f t="shared" ca="1" si="17"/>
        <v>100027</v>
      </c>
      <c r="AW28" s="594">
        <f ca="1">IF(AY28="",99999,'Endrunde 4'!$D28)</f>
        <v>99999</v>
      </c>
      <c r="AX28" s="224" t="str">
        <f ca="1">IF(AY28="","",'Endrunde 4'!$E28)</f>
        <v/>
      </c>
      <c r="AY28" s="225" t="str">
        <f ca="1">IF($C$39="","",IF('Endrunde 4'!$I28=$C$39,'Endrunde 4'!$K28,IF('Endrunde 4'!$K28=$C$39,'Endrunde 4'!$I28,"")))</f>
        <v/>
      </c>
      <c r="AZ28" s="595">
        <f t="shared" ca="1" si="18"/>
        <v>100027</v>
      </c>
      <c r="BA28" s="593">
        <f t="shared" ca="1" si="19"/>
        <v>100027</v>
      </c>
      <c r="BB28" s="594">
        <f ca="1">IF(BD28="",99999,'Endrunde 4'!$D28)</f>
        <v>99999</v>
      </c>
      <c r="BC28" s="224" t="str">
        <f ca="1">IF(BD28="","",'Endrunde 4'!$E28)</f>
        <v/>
      </c>
      <c r="BD28" s="225" t="str">
        <f ca="1">IF($C$44="","",IF('Endrunde 4'!$I28=$C$44,'Endrunde 4'!$K28,IF('Endrunde 4'!$K28=$C$44,'Endrunde 4'!$I28,"")))</f>
        <v/>
      </c>
      <c r="BE28" s="595">
        <f t="shared" ca="1" si="20"/>
        <v>100027</v>
      </c>
      <c r="BF28" s="593">
        <f t="shared" ca="1" si="21"/>
        <v>100027</v>
      </c>
      <c r="BG28" s="594">
        <f ca="1">IF(BI28="",99999,'Endrunde 4'!$D28)</f>
        <v>99999</v>
      </c>
      <c r="BH28" s="224" t="str">
        <f ca="1">IF(BI28="","",'Endrunde 4'!$E28)</f>
        <v/>
      </c>
      <c r="BI28" s="225" t="str">
        <f ca="1">IF($C$49="","",IF('Endrunde 4'!$I28=$C$49,'Endrunde 4'!$K28,IF('Endrunde 4'!$K28=$C$49,'Endrunde 4'!$I28,"")))</f>
        <v/>
      </c>
      <c r="BJ28" s="595">
        <f t="shared" ca="1" si="22"/>
        <v>100027</v>
      </c>
      <c r="BK28" s="593">
        <f t="shared" ca="1" si="23"/>
        <v>28.545138888888889</v>
      </c>
      <c r="BL28" s="594">
        <f ca="1">IF(BN28="",99999,'Endrunde 4'!$D28)</f>
        <v>0.54513888888888895</v>
      </c>
      <c r="BM28" s="224">
        <f ca="1">IF(BN28="","",'Endrunde 4'!$E28)</f>
        <v>4</v>
      </c>
      <c r="BN28" s="225" t="str">
        <f ca="1">IF($C$54="","",IF('Endrunde 4'!$I28=$C$54,'Endrunde 4'!$K28,IF('Endrunde 4'!$K28=$C$54,'Endrunde 4'!$I28,"")))</f>
        <v>1. FC Riedwald</v>
      </c>
      <c r="BO28" s="595">
        <f t="shared" ca="1" si="24"/>
        <v>100026</v>
      </c>
      <c r="BP28" s="593">
        <f t="shared" si="25"/>
        <v>100027</v>
      </c>
      <c r="BQ28" s="594">
        <f>IF(BS28="",99999,'Endrunde 4'!$D28)</f>
        <v>99999</v>
      </c>
      <c r="BR28" s="224" t="str">
        <f>IF(BS28="","",'Endrunde 4'!$E28)</f>
        <v/>
      </c>
      <c r="BS28" s="225" t="str">
        <f>IF($C$59="","",IF('Endrunde 4'!$I28=$C$59,'Endrunde 4'!$K28,IF('Endrunde 4'!$K28=$C$59,'Endrunde 4'!$I28,"")))</f>
        <v/>
      </c>
      <c r="BT28" s="595">
        <f t="shared" si="26"/>
        <v>100027</v>
      </c>
    </row>
    <row r="29" spans="2:72" ht="15.95" customHeight="1" x14ac:dyDescent="0.2">
      <c r="B29" s="570" t="s">
        <v>194</v>
      </c>
      <c r="C29" s="571" t="str">
        <f>IF(Planung!$C$17="","",Planung!$C$17)</f>
        <v/>
      </c>
      <c r="E29" s="572" t="str">
        <f>Sprache!$E$60</f>
        <v>Bälle</v>
      </c>
      <c r="F29" s="573" t="str">
        <f>Sprache!$E$39</f>
        <v>Beginn</v>
      </c>
      <c r="G29" s="574" t="str">
        <f>Sprache!$E$48</f>
        <v>Feld</v>
      </c>
      <c r="H29" s="575" t="str">
        <f>Sprache!$E$46</f>
        <v>Spiel gegen</v>
      </c>
      <c r="J29" s="569">
        <f t="shared" si="27"/>
        <v>0</v>
      </c>
      <c r="L29" s="99">
        <f ca="1">'Endrunde 4'!$C29</f>
        <v>33</v>
      </c>
      <c r="M29" s="596">
        <f t="shared" ca="1" si="3"/>
        <v>100028</v>
      </c>
      <c r="N29" s="597">
        <f ca="1">IF(P29="",99999,'Endrunde 4'!$D29)</f>
        <v>99999</v>
      </c>
      <c r="O29" s="598" t="str">
        <f ca="1">IF(P29="","",'Endrunde 4'!$E29)</f>
        <v/>
      </c>
      <c r="P29" s="599" t="str">
        <f ca="1">IF($C$4="","",IF('Endrunde 4'!$I29=$C$4,'Endrunde 4'!$K29,IF('Endrunde 4'!$K29=$C$4,'Endrunde 4'!$I29,"")))</f>
        <v/>
      </c>
      <c r="Q29" s="600">
        <f t="shared" ca="1" si="4"/>
        <v>100028</v>
      </c>
      <c r="R29" s="596">
        <f t="shared" ca="1" si="5"/>
        <v>100028</v>
      </c>
      <c r="S29" s="597">
        <f ca="1">IF(U29="",99999,'Endrunde 4'!$D29)</f>
        <v>99999</v>
      </c>
      <c r="T29" s="598" t="str">
        <f ca="1">IF(U29="","",'Endrunde 4'!$E29)</f>
        <v/>
      </c>
      <c r="U29" s="599" t="str">
        <f ca="1">IF($C$9="","",IF('Endrunde 4'!$I29=$C$9,'Endrunde 4'!$K29,IF('Endrunde 4'!$K29=$C$9,'Endrunde 4'!$I29,"")))</f>
        <v/>
      </c>
      <c r="V29" s="600">
        <f t="shared" ca="1" si="6"/>
        <v>100028</v>
      </c>
      <c r="W29" s="596">
        <f t="shared" ca="1" si="7"/>
        <v>29.569444444444443</v>
      </c>
      <c r="X29" s="597">
        <f ca="1">IF(Z29="",99999,'Endrunde 4'!$D29)</f>
        <v>0.56944444444444442</v>
      </c>
      <c r="Y29" s="598">
        <f ca="1">IF(Z29="","",'Endrunde 4'!$E29)</f>
        <v>1</v>
      </c>
      <c r="Z29" s="599" t="str">
        <f ca="1">IF($C$14="","",IF('Endrunde 4'!$I29=$C$14,'Endrunde 4'!$K29,IF('Endrunde 4'!$K29=$C$14,'Endrunde 4'!$I29,"")))</f>
        <v>Mainz 05</v>
      </c>
      <c r="AA29" s="600">
        <f t="shared" ca="1" si="8"/>
        <v>100027</v>
      </c>
      <c r="AB29" s="596">
        <f t="shared" ca="1" si="9"/>
        <v>100028</v>
      </c>
      <c r="AC29" s="597">
        <f ca="1">IF(AE29="",99999,'Endrunde 4'!$D29)</f>
        <v>99999</v>
      </c>
      <c r="AD29" s="598" t="str">
        <f ca="1">IF(AE29="","",'Endrunde 4'!$E29)</f>
        <v/>
      </c>
      <c r="AE29" s="599" t="str">
        <f ca="1">IF($C$19="","",IF('Endrunde 4'!$I29=$C$19,'Endrunde 4'!$K29,IF('Endrunde 4'!$K29=$C$19,'Endrunde 4'!$I29,"")))</f>
        <v/>
      </c>
      <c r="AF29" s="600">
        <f t="shared" ca="1" si="10"/>
        <v>100028</v>
      </c>
      <c r="AG29" s="596">
        <f t="shared" ca="1" si="11"/>
        <v>100028</v>
      </c>
      <c r="AH29" s="597">
        <f ca="1">IF(AJ29="",99999,'Endrunde 4'!$D29)</f>
        <v>99999</v>
      </c>
      <c r="AI29" s="598" t="str">
        <f ca="1">IF(AJ29="","",'Endrunde 4'!$E29)</f>
        <v/>
      </c>
      <c r="AJ29" s="599" t="str">
        <f ca="1">IF($C$24="","",IF('Endrunde 4'!$I29=$C$24,'Endrunde 4'!$K29,IF('Endrunde 4'!$K29=$C$24,'Endrunde 4'!$I29,"")))</f>
        <v/>
      </c>
      <c r="AK29" s="600">
        <f t="shared" ca="1" si="12"/>
        <v>100028</v>
      </c>
      <c r="AL29" s="596">
        <f t="shared" si="13"/>
        <v>100028</v>
      </c>
      <c r="AM29" s="597">
        <f>IF(AO29="",99999,'Endrunde 4'!$D29)</f>
        <v>99999</v>
      </c>
      <c r="AN29" s="598" t="str">
        <f>IF(AO29="","",'Endrunde 4'!$E29)</f>
        <v/>
      </c>
      <c r="AO29" s="599" t="str">
        <f>IF($C$29="","",IF('Endrunde 4'!$I29=$C$29,'Endrunde 4'!$K29,IF('Endrunde 4'!$K29=$C$29,'Endrunde 4'!$I29,"")))</f>
        <v/>
      </c>
      <c r="AP29" s="600">
        <f t="shared" si="14"/>
        <v>100028</v>
      </c>
      <c r="AQ29" s="596">
        <f t="shared" ca="1" si="15"/>
        <v>29.569444444444443</v>
      </c>
      <c r="AR29" s="597">
        <f ca="1">IF(AT29="",99999,'Endrunde 4'!$D29)</f>
        <v>0.56944444444444442</v>
      </c>
      <c r="AS29" s="598">
        <f ca="1">IF(AT29="","",'Endrunde 4'!$E29)</f>
        <v>1</v>
      </c>
      <c r="AT29" s="599" t="str">
        <f ca="1">IF($C$34="","",IF('Endrunde 4'!$I29=$C$34,'Endrunde 4'!$K29,IF('Endrunde 4'!$K29=$C$34,'Endrunde 4'!$I29,"")))</f>
        <v>Eintracht Frankfurt</v>
      </c>
      <c r="AU29" s="600">
        <f t="shared" ca="1" si="16"/>
        <v>100027</v>
      </c>
      <c r="AV29" s="596">
        <f t="shared" ca="1" si="17"/>
        <v>100028</v>
      </c>
      <c r="AW29" s="597">
        <f ca="1">IF(AY29="",99999,'Endrunde 4'!$D29)</f>
        <v>99999</v>
      </c>
      <c r="AX29" s="598" t="str">
        <f ca="1">IF(AY29="","",'Endrunde 4'!$E29)</f>
        <v/>
      </c>
      <c r="AY29" s="599" t="str">
        <f ca="1">IF($C$39="","",IF('Endrunde 4'!$I29=$C$39,'Endrunde 4'!$K29,IF('Endrunde 4'!$K29=$C$39,'Endrunde 4'!$I29,"")))</f>
        <v/>
      </c>
      <c r="AZ29" s="600">
        <f t="shared" ca="1" si="18"/>
        <v>100028</v>
      </c>
      <c r="BA29" s="596">
        <f t="shared" ca="1" si="19"/>
        <v>100028</v>
      </c>
      <c r="BB29" s="597">
        <f ca="1">IF(BD29="",99999,'Endrunde 4'!$D29)</f>
        <v>99999</v>
      </c>
      <c r="BC29" s="598" t="str">
        <f ca="1">IF(BD29="","",'Endrunde 4'!$E29)</f>
        <v/>
      </c>
      <c r="BD29" s="599" t="str">
        <f ca="1">IF($C$44="","",IF('Endrunde 4'!$I29=$C$44,'Endrunde 4'!$K29,IF('Endrunde 4'!$K29=$C$44,'Endrunde 4'!$I29,"")))</f>
        <v/>
      </c>
      <c r="BE29" s="600">
        <f t="shared" ca="1" si="20"/>
        <v>100028</v>
      </c>
      <c r="BF29" s="596">
        <f t="shared" ca="1" si="21"/>
        <v>100028</v>
      </c>
      <c r="BG29" s="597">
        <f ca="1">IF(BI29="",99999,'Endrunde 4'!$D29)</f>
        <v>99999</v>
      </c>
      <c r="BH29" s="598" t="str">
        <f ca="1">IF(BI29="","",'Endrunde 4'!$E29)</f>
        <v/>
      </c>
      <c r="BI29" s="599" t="str">
        <f ca="1">IF($C$49="","",IF('Endrunde 4'!$I29=$C$49,'Endrunde 4'!$K29,IF('Endrunde 4'!$K29=$C$49,'Endrunde 4'!$I29,"")))</f>
        <v/>
      </c>
      <c r="BJ29" s="600">
        <f t="shared" ca="1" si="22"/>
        <v>100028</v>
      </c>
      <c r="BK29" s="596">
        <f t="shared" ca="1" si="23"/>
        <v>100028</v>
      </c>
      <c r="BL29" s="597">
        <f ca="1">IF(BN29="",99999,'Endrunde 4'!$D29)</f>
        <v>99999</v>
      </c>
      <c r="BM29" s="598" t="str">
        <f ca="1">IF(BN29="","",'Endrunde 4'!$E29)</f>
        <v/>
      </c>
      <c r="BN29" s="599" t="str">
        <f ca="1">IF($C$54="","",IF('Endrunde 4'!$I29=$C$54,'Endrunde 4'!$K29,IF('Endrunde 4'!$K29=$C$54,'Endrunde 4'!$I29,"")))</f>
        <v/>
      </c>
      <c r="BO29" s="600">
        <f t="shared" ca="1" si="24"/>
        <v>100028</v>
      </c>
      <c r="BP29" s="596">
        <f t="shared" si="25"/>
        <v>100028</v>
      </c>
      <c r="BQ29" s="597">
        <f>IF(BS29="",99999,'Endrunde 4'!$D29)</f>
        <v>99999</v>
      </c>
      <c r="BR29" s="598" t="str">
        <f>IF(BS29="","",'Endrunde 4'!$E29)</f>
        <v/>
      </c>
      <c r="BS29" s="599" t="str">
        <f>IF($C$59="","",IF('Endrunde 4'!$I29=$C$59,'Endrunde 4'!$K29,IF('Endrunde 4'!$K29=$C$59,'Endrunde 4'!$I29,"")))</f>
        <v/>
      </c>
      <c r="BT29" s="600">
        <f t="shared" si="26"/>
        <v>100028</v>
      </c>
    </row>
    <row r="30" spans="2:72" ht="15.95" customHeight="1" x14ac:dyDescent="0.2">
      <c r="E30" s="576" t="str">
        <f>IF($AP$12&lt;99999,INDEX($L$12:$L$29,MATCH($AP$12,$AL$12:$AL$29,0)),"")</f>
        <v/>
      </c>
      <c r="F30" s="577" t="str">
        <f>IF($AP$12&lt;99999,VLOOKUP($AP$12,$AL$12:$AO$29,2,0),"")</f>
        <v/>
      </c>
      <c r="G30" s="578" t="str">
        <f>IF($AP$12&lt;99999,VLOOKUP($AP$12,$AL$12:$AO$29,3,0),"")</f>
        <v/>
      </c>
      <c r="H30" s="579" t="str">
        <f>IF($AP$12&lt;99999,VLOOKUP($AP$12,$AL$12:$AO$29,4,0),"")</f>
        <v/>
      </c>
      <c r="J30" s="569">
        <f t="shared" si="27"/>
        <v>0</v>
      </c>
      <c r="K30" s="569" t="str">
        <f>IF(J30=0,"",$C$29)</f>
        <v/>
      </c>
    </row>
    <row r="31" spans="2:72" ht="15.95" customHeight="1" x14ac:dyDescent="0.2">
      <c r="E31" s="576" t="str">
        <f>IF($AP$13&lt;99999,INDEX($L$12:$L$29,MATCH($AP$13,$AL$12:$AL$29,0)),"")</f>
        <v/>
      </c>
      <c r="F31" s="580" t="str">
        <f>IF($AP$13&lt;99999,VLOOKUP($AP$13,$AL$12:$AO$29,2,0),"")</f>
        <v/>
      </c>
      <c r="G31" s="581" t="str">
        <f>IF($AP$13&lt;99999,VLOOKUP($AP$13,$AL$12:$AO$29,3,0),"")</f>
        <v/>
      </c>
      <c r="H31" s="582" t="str">
        <f>IF($AP$13&lt;99999,VLOOKUP($AP$13,$AL$12:$AO$29,4,0),"")</f>
        <v/>
      </c>
      <c r="J31" s="569">
        <f t="shared" si="27"/>
        <v>0</v>
      </c>
      <c r="K31" s="569" t="str">
        <f t="shared" ref="K31:K32" si="31">IF(J31=0,"",$C$29)</f>
        <v/>
      </c>
    </row>
    <row r="32" spans="2:72" ht="15.95" customHeight="1" thickBot="1" x14ac:dyDescent="0.25">
      <c r="E32" s="583" t="str">
        <f>IF($AP$14&lt;99999,INDEX($L$12:$L$29,MATCH($AP$14,$AL$12:$AL$29,0)),"")</f>
        <v/>
      </c>
      <c r="F32" s="584" t="str">
        <f>IF($AP$14&lt;99999,VLOOKUP($AP$14,$AL$12:$AO$29,2,0),"")</f>
        <v/>
      </c>
      <c r="G32" s="585" t="str">
        <f>IF($AP$14&lt;99999,VLOOKUP($AP$14,$AL$12:$AO$29,3,0),"")</f>
        <v/>
      </c>
      <c r="H32" s="586" t="str">
        <f>IF($AP$14&lt;99999,VLOOKUP($AP$14,$AL$12:$AO$29,4,0),"")</f>
        <v/>
      </c>
      <c r="J32" s="569">
        <f t="shared" si="27"/>
        <v>0</v>
      </c>
      <c r="K32" s="569" t="str">
        <f t="shared" si="31"/>
        <v/>
      </c>
    </row>
    <row r="33" spans="2:11" ht="30" customHeight="1" thickBot="1" x14ac:dyDescent="0.25">
      <c r="J33" s="569">
        <f t="shared" si="27"/>
        <v>0</v>
      </c>
    </row>
    <row r="34" spans="2:11" ht="15.95" customHeight="1" x14ac:dyDescent="0.2">
      <c r="B34" s="570" t="s">
        <v>187</v>
      </c>
      <c r="C34" s="571" t="str">
        <f>IF(Planung!$C$24="","",Planung!$C$24)</f>
        <v>Mainz 05</v>
      </c>
      <c r="E34" s="572" t="str">
        <f>Sprache!$E$60</f>
        <v>Bälle</v>
      </c>
      <c r="F34" s="573" t="str">
        <f>Sprache!$E$39</f>
        <v>Beginn</v>
      </c>
      <c r="G34" s="574" t="str">
        <f>Sprache!$E$48</f>
        <v>Feld</v>
      </c>
      <c r="H34" s="575" t="str">
        <f>Sprache!$E$46</f>
        <v>Spiel gegen</v>
      </c>
      <c r="J34" s="569">
        <f t="shared" ca="1" si="27"/>
        <v>0</v>
      </c>
    </row>
    <row r="35" spans="2:11" ht="15.95" customHeight="1" x14ac:dyDescent="0.2">
      <c r="E35" s="576">
        <f ca="1">IF($AU$12&lt;99999,INDEX($L$12:$L$29,MATCH($AU$12,$AQ$12:$AQ$29,0)),"")</f>
        <v>24</v>
      </c>
      <c r="F35" s="577">
        <f ca="1">IF($AU$12&lt;99999,VLOOKUP($AU$12,$AQ$12:$AT$29,2,0),"")</f>
        <v>0.49652777777777779</v>
      </c>
      <c r="G35" s="578">
        <f ca="1">IF($AU$12&lt;99999,VLOOKUP($AU$12,$AQ$12:$AT$29,3,0),"")</f>
        <v>4</v>
      </c>
      <c r="H35" s="579" t="str">
        <f ca="1">IF($AU$12&lt;99999,VLOOKUP($AU$12,$AQ$12:$AT$29,4,0),"")</f>
        <v>Maibach 1822 eV</v>
      </c>
      <c r="J35" s="569">
        <f t="shared" ca="1" si="27"/>
        <v>0</v>
      </c>
      <c r="K35" s="569" t="str">
        <f ca="1">IF(J35=0,"",$C$34)</f>
        <v/>
      </c>
    </row>
    <row r="36" spans="2:11" ht="15.95" customHeight="1" x14ac:dyDescent="0.2">
      <c r="E36" s="576">
        <f ca="1">IF($AU$13&lt;99999,INDEX($L$12:$L$29,MATCH($AU$13,$AQ$12:$AQ$29,0)),"")</f>
        <v>28</v>
      </c>
      <c r="F36" s="580">
        <f ca="1">IF($AU$13&lt;99999,VLOOKUP($AU$13,$AQ$12:$AT$29,2,0),"")</f>
        <v>0.52083333333333337</v>
      </c>
      <c r="G36" s="581">
        <f ca="1">IF($AU$13&lt;99999,VLOOKUP($AU$13,$AQ$12:$AT$29,3,0),"")</f>
        <v>4</v>
      </c>
      <c r="H36" s="582" t="str">
        <f ca="1">IF($AU$13&lt;99999,VLOOKUP($AU$13,$AQ$12:$AT$29,4,0),"")</f>
        <v>Manchester City</v>
      </c>
      <c r="J36" s="569">
        <f t="shared" ca="1" si="27"/>
        <v>0</v>
      </c>
      <c r="K36" s="569" t="str">
        <f t="shared" ref="K36:K37" ca="1" si="32">IF(J36=0,"",$C$34)</f>
        <v/>
      </c>
    </row>
    <row r="37" spans="2:11" ht="15.95" customHeight="1" thickBot="1" x14ac:dyDescent="0.25">
      <c r="E37" s="583">
        <f ca="1">IF($AU$14&lt;99999,INDEX($L$12:$L$29,MATCH($AU$14,$AQ$12:$AQ$29,0)),"")</f>
        <v>33</v>
      </c>
      <c r="F37" s="584">
        <f ca="1">IF($AU$14&lt;99999,VLOOKUP($AU$14,$AQ$12:$AT$29,2,0),"")</f>
        <v>0.56944444444444442</v>
      </c>
      <c r="G37" s="585">
        <f ca="1">IF($AU$14&lt;99999,VLOOKUP($AU$14,$AQ$12:$AT$29,3,0),"")</f>
        <v>1</v>
      </c>
      <c r="H37" s="586" t="str">
        <f ca="1">IF($AU$14&lt;99999,VLOOKUP($AU$14,$AQ$12:$AT$29,4,0),"")</f>
        <v>Eintracht Frankfurt</v>
      </c>
      <c r="J37" s="569">
        <f t="shared" ca="1" si="27"/>
        <v>0</v>
      </c>
      <c r="K37" s="569" t="str">
        <f t="shared" ca="1" si="32"/>
        <v/>
      </c>
    </row>
    <row r="38" spans="2:11" ht="30" customHeight="1" thickBot="1" x14ac:dyDescent="0.25">
      <c r="J38" s="569">
        <f t="shared" ca="1" si="27"/>
        <v>0</v>
      </c>
    </row>
    <row r="39" spans="2:11" ht="15.95" customHeight="1" x14ac:dyDescent="0.2">
      <c r="B39" s="570" t="s">
        <v>189</v>
      </c>
      <c r="C39" s="571" t="str">
        <f>IF(Planung!$C$26="","",Planung!$C$26)</f>
        <v>Inter Mailand</v>
      </c>
      <c r="E39" s="572" t="str">
        <f>Sprache!$E$60</f>
        <v>Bälle</v>
      </c>
      <c r="F39" s="573" t="str">
        <f>Sprache!$E$39</f>
        <v>Beginn</v>
      </c>
      <c r="G39" s="574" t="str">
        <f>Sprache!$E$48</f>
        <v>Feld</v>
      </c>
      <c r="H39" s="575" t="str">
        <f>Sprache!$E$46</f>
        <v>Spiel gegen</v>
      </c>
      <c r="J39" s="569">
        <f t="shared" ca="1" si="27"/>
        <v>0</v>
      </c>
    </row>
    <row r="40" spans="2:11" ht="15.95" customHeight="1" x14ac:dyDescent="0.2">
      <c r="E40" s="576">
        <f ca="1">IF($AZ$12&lt;99999,INDEX($L$12:$L$29,MATCH($AZ$12,$AV$12:$AV$29,0)),"")</f>
        <v>31</v>
      </c>
      <c r="F40" s="577">
        <f ca="1">IF($AZ$12&lt;99999,VLOOKUP($AZ$12,$AV$12:$AY$29,2,0),"")</f>
        <v>0.54513888888888895</v>
      </c>
      <c r="G40" s="578">
        <f ca="1">IF($AZ$12&lt;99999,VLOOKUP($AZ$12,$AV$12:$AY$29,3,0),"")</f>
        <v>3</v>
      </c>
      <c r="H40" s="579" t="str">
        <f ca="1">IF($AZ$12&lt;99999,VLOOKUP($AZ$12,$AV$12:$AY$29,4,0),"")</f>
        <v>VFB Essenheim</v>
      </c>
      <c r="J40" s="569">
        <f t="shared" ca="1" si="27"/>
        <v>0</v>
      </c>
      <c r="K40" s="569" t="str">
        <f ca="1">IF(J40=0,"",$C$39)</f>
        <v/>
      </c>
    </row>
    <row r="41" spans="2:11" ht="15.95" customHeight="1" x14ac:dyDescent="0.2">
      <c r="E41" s="576" t="str">
        <f ca="1">IF($AZ$13&lt;99999,INDEX($L$12:$L$29,MATCH($AZ$13,$AV$12:$AV$29,0)),"")</f>
        <v/>
      </c>
      <c r="F41" s="580" t="str">
        <f ca="1">IF($AZ$13&lt;99999,VLOOKUP($AZ$13,$AV$12:$AY$29,2,0),"")</f>
        <v/>
      </c>
      <c r="G41" s="581" t="str">
        <f ca="1">IF($AZ$13&lt;99999,VLOOKUP($AZ$13,$AV$12:$AY$29,3,0),"")</f>
        <v/>
      </c>
      <c r="H41" s="582" t="str">
        <f ca="1">IF($AZ$13&lt;99999,VLOOKUP($AZ$13,$AV$12:$AY$29,4,0),"")</f>
        <v/>
      </c>
      <c r="J41" s="569">
        <f t="shared" ca="1" si="27"/>
        <v>0</v>
      </c>
      <c r="K41" s="569" t="str">
        <f t="shared" ref="K41:K42" ca="1" si="33">IF(J41=0,"",$C$39)</f>
        <v/>
      </c>
    </row>
    <row r="42" spans="2:11" ht="15.95" customHeight="1" thickBot="1" x14ac:dyDescent="0.25">
      <c r="E42" s="583" t="str">
        <f ca="1">IF($AZ$14&lt;99999,INDEX($L$12:$L$29,MATCH($AZ$14,$AV$12:$AV$29,0)),"")</f>
        <v/>
      </c>
      <c r="F42" s="584" t="str">
        <f ca="1">IF($AZ$14&lt;99999,VLOOKUP($AZ$14,$AV$12:$AY$29,2,0),"")</f>
        <v/>
      </c>
      <c r="G42" s="585" t="str">
        <f ca="1">IF($AZ$14&lt;99999,VLOOKUP($AZ$14,$AV$12:$AY$29,3,0),"")</f>
        <v/>
      </c>
      <c r="H42" s="586" t="str">
        <f ca="1">IF($AZ$14&lt;99999,VLOOKUP($AZ$14,$AV$12:$AY$29,4,0),"")</f>
        <v/>
      </c>
      <c r="J42" s="569">
        <f t="shared" ca="1" si="27"/>
        <v>0</v>
      </c>
      <c r="K42" s="569" t="str">
        <f t="shared" ca="1" si="33"/>
        <v/>
      </c>
    </row>
    <row r="43" spans="2:11" ht="30" customHeight="1" thickBot="1" x14ac:dyDescent="0.25">
      <c r="J43" s="569">
        <f t="shared" ca="1" si="27"/>
        <v>0</v>
      </c>
    </row>
    <row r="44" spans="2:11" ht="15.95" customHeight="1" x14ac:dyDescent="0.2">
      <c r="B44" s="570" t="s">
        <v>185</v>
      </c>
      <c r="C44" s="571" t="str">
        <f>IF(Planung!$C$28="","",Planung!$C$28)</f>
        <v>SSV Wildbach</v>
      </c>
      <c r="E44" s="572" t="str">
        <f>Sprache!$E$60</f>
        <v>Bälle</v>
      </c>
      <c r="F44" s="573" t="str">
        <f>Sprache!$E$39</f>
        <v>Beginn</v>
      </c>
      <c r="G44" s="574" t="str">
        <f>Sprache!$E$48</f>
        <v>Feld</v>
      </c>
      <c r="H44" s="575" t="str">
        <f>Sprache!$E$46</f>
        <v>Spiel gegen</v>
      </c>
      <c r="J44" s="569">
        <f t="shared" ca="1" si="27"/>
        <v>0</v>
      </c>
    </row>
    <row r="45" spans="2:11" ht="15.95" customHeight="1" x14ac:dyDescent="0.2">
      <c r="E45" s="576">
        <f ca="1">IF($BE$12&lt;99999,INDEX($L$12:$L$29,MATCH($BE$12,$BA$12:$BA$29,0)),"")</f>
        <v>21</v>
      </c>
      <c r="F45" s="577">
        <f ca="1">IF($BE$12&lt;99999,VLOOKUP($BE$12,$BA$12:$BD$29,2,0),"")</f>
        <v>0.49652777777777779</v>
      </c>
      <c r="G45" s="578">
        <f ca="1">IF($BE$12&lt;99999,VLOOKUP($BE$12,$BA$12:$BD$29,3,0),"")</f>
        <v>1</v>
      </c>
      <c r="H45" s="579" t="str">
        <f ca="1">IF($BE$12&lt;99999,VLOOKUP($BE$12,$BA$12:$BD$29,4,0),"")</f>
        <v>1. FC Riedwald</v>
      </c>
      <c r="J45" s="569">
        <f t="shared" ca="1" si="27"/>
        <v>0</v>
      </c>
      <c r="K45" s="569" t="str">
        <f ca="1">IF(J45=0,"",$C$44)</f>
        <v/>
      </c>
    </row>
    <row r="46" spans="2:11" ht="15.95" customHeight="1" x14ac:dyDescent="0.2">
      <c r="E46" s="576">
        <f ca="1">IF($BE$13&lt;99999,INDEX($L$12:$L$29,MATCH($BE$13,$BA$12:$BA$29,0)),"")</f>
        <v>27</v>
      </c>
      <c r="F46" s="580">
        <f ca="1">IF($BE$13&lt;99999,VLOOKUP($BE$13,$BA$12:$BD$29,2,0),"")</f>
        <v>0.52083333333333337</v>
      </c>
      <c r="G46" s="581">
        <f ca="1">IF($BE$13&lt;99999,VLOOKUP($BE$13,$BA$12:$BD$29,3,0),"")</f>
        <v>3</v>
      </c>
      <c r="H46" s="582" t="str">
        <f ca="1">IF($BE$13&lt;99999,VLOOKUP($BE$13,$BA$12:$BD$29,4,0),"")</f>
        <v>FC Grönlingen</v>
      </c>
      <c r="J46" s="569">
        <f t="shared" ca="1" si="27"/>
        <v>0</v>
      </c>
      <c r="K46" s="569" t="str">
        <f t="shared" ref="K46:K47" ca="1" si="34">IF(J46=0,"",$C$44)</f>
        <v/>
      </c>
    </row>
    <row r="47" spans="2:11" ht="15.95" customHeight="1" thickBot="1" x14ac:dyDescent="0.25">
      <c r="E47" s="583">
        <f ca="1">IF($BE$14&lt;99999,INDEX($L$12:$L$29,MATCH($BE$14,$BA$12:$BA$29,0)),"")</f>
        <v>29</v>
      </c>
      <c r="F47" s="584">
        <f ca="1">IF($BE$14&lt;99999,VLOOKUP($BE$14,$BA$12:$BD$29,2,0),"")</f>
        <v>0.54513888888888895</v>
      </c>
      <c r="G47" s="585">
        <f ca="1">IF($BE$14&lt;99999,VLOOKUP($BE$14,$BA$12:$BD$29,3,0),"")</f>
        <v>1</v>
      </c>
      <c r="H47" s="586" t="str">
        <f ca="1">IF($BE$14&lt;99999,VLOOKUP($BE$14,$BA$12:$BD$29,4,0),"")</f>
        <v>FC Barcelona</v>
      </c>
      <c r="J47" s="569">
        <f t="shared" ca="1" si="27"/>
        <v>0</v>
      </c>
      <c r="K47" s="569" t="str">
        <f t="shared" ca="1" si="34"/>
        <v/>
      </c>
    </row>
    <row r="48" spans="2:11" ht="30" customHeight="1" thickBot="1" x14ac:dyDescent="0.25">
      <c r="J48" s="569">
        <f t="shared" ca="1" si="27"/>
        <v>0</v>
      </c>
    </row>
    <row r="49" spans="2:11" ht="15.95" customHeight="1" x14ac:dyDescent="0.2">
      <c r="B49" s="570" t="s">
        <v>191</v>
      </c>
      <c r="C49" s="571" t="str">
        <f>IF(Planung!$C$30="","",Planung!$C$30)</f>
        <v>Manchester City</v>
      </c>
      <c r="E49" s="572" t="str">
        <f>Sprache!$E$60</f>
        <v>Bälle</v>
      </c>
      <c r="F49" s="573" t="str">
        <f>Sprache!$E$39</f>
        <v>Beginn</v>
      </c>
      <c r="G49" s="574" t="str">
        <f>Sprache!$E$48</f>
        <v>Feld</v>
      </c>
      <c r="H49" s="575" t="str">
        <f>Sprache!$E$46</f>
        <v>Spiel gegen</v>
      </c>
      <c r="J49" s="569">
        <f t="shared" ca="1" si="27"/>
        <v>0</v>
      </c>
    </row>
    <row r="50" spans="2:11" ht="15.95" customHeight="1" x14ac:dyDescent="0.2">
      <c r="E50" s="576">
        <f ca="1">IF($BJ$12&lt;99999,INDEX($L$12:$L$29,MATCH($BJ$12,$BF$12:$BF$29,0)),"")</f>
        <v>22</v>
      </c>
      <c r="F50" s="577">
        <f ca="1">IF($BJ$12&lt;99999,VLOOKUP($BJ$12,$BF$12:$BI$29,2,0),"")</f>
        <v>0.49652777777777779</v>
      </c>
      <c r="G50" s="578">
        <f ca="1">IF($BJ$12&lt;99999,VLOOKUP($BJ$12,$BF$12:$BI$29,3,0),"")</f>
        <v>2</v>
      </c>
      <c r="H50" s="579" t="str">
        <f ca="1">IF($BJ$12&lt;99999,VLOOKUP($BJ$12,$BF$12:$BI$29,4,0),"")</f>
        <v>Eintracht Frankfurt</v>
      </c>
      <c r="J50" s="569">
        <f t="shared" ca="1" si="27"/>
        <v>0</v>
      </c>
      <c r="K50" s="569" t="str">
        <f ca="1">IF(J50=0,"",$C$49)</f>
        <v/>
      </c>
    </row>
    <row r="51" spans="2:11" ht="15.95" customHeight="1" x14ac:dyDescent="0.2">
      <c r="E51" s="576">
        <f ca="1">IF($BJ$13&lt;99999,INDEX($L$12:$L$29,MATCH($BJ$13,$BF$12:$BF$29,0)),"")</f>
        <v>28</v>
      </c>
      <c r="F51" s="580">
        <f ca="1">IF($BJ$13&lt;99999,VLOOKUP($BJ$13,$BF$12:$BI$29,2,0),"")</f>
        <v>0.52083333333333337</v>
      </c>
      <c r="G51" s="581">
        <f ca="1">IF($BJ$13&lt;99999,VLOOKUP($BJ$13,$BF$12:$BI$29,3,0),"")</f>
        <v>4</v>
      </c>
      <c r="H51" s="582" t="str">
        <f ca="1">IF($BJ$13&lt;99999,VLOOKUP($BJ$13,$BF$12:$BI$29,4,0),"")</f>
        <v>Mainz 05</v>
      </c>
      <c r="J51" s="569">
        <f t="shared" ca="1" si="27"/>
        <v>0</v>
      </c>
      <c r="K51" s="569" t="str">
        <f t="shared" ref="K51:K52" ca="1" si="35">IF(J51=0,"",$C$49)</f>
        <v/>
      </c>
    </row>
    <row r="52" spans="2:11" ht="15.95" customHeight="1" thickBot="1" x14ac:dyDescent="0.25">
      <c r="E52" s="583">
        <f ca="1">IF($BJ$14&lt;99999,INDEX($L$12:$L$29,MATCH($BJ$14,$BF$12:$BF$29,0)),"")</f>
        <v>30</v>
      </c>
      <c r="F52" s="584">
        <f ca="1">IF($BJ$14&lt;99999,VLOOKUP($BJ$14,$BF$12:$BI$29,2,0),"")</f>
        <v>0.54513888888888895</v>
      </c>
      <c r="G52" s="585">
        <f ca="1">IF($BJ$14&lt;99999,VLOOKUP($BJ$14,$BF$12:$BI$29,3,0),"")</f>
        <v>2</v>
      </c>
      <c r="H52" s="586" t="str">
        <f ca="1">IF($BJ$14&lt;99999,VLOOKUP($BJ$14,$BF$12:$BI$29,4,0),"")</f>
        <v>Maibach 1822 eV</v>
      </c>
      <c r="J52" s="569">
        <f t="shared" ca="1" si="27"/>
        <v>0</v>
      </c>
      <c r="K52" s="569" t="str">
        <f t="shared" ca="1" si="35"/>
        <v/>
      </c>
    </row>
    <row r="53" spans="2:11" ht="30" customHeight="1" thickBot="1" x14ac:dyDescent="0.25">
      <c r="J53" s="569">
        <f t="shared" ca="1" si="27"/>
        <v>0</v>
      </c>
    </row>
    <row r="54" spans="2:11" ht="15.95" customHeight="1" x14ac:dyDescent="0.2">
      <c r="B54" s="570" t="s">
        <v>193</v>
      </c>
      <c r="C54" s="571" t="str">
        <f>IF(Planung!$C$32="","",Planung!$C$32)</f>
        <v>FC Grönlingen</v>
      </c>
      <c r="E54" s="572" t="str">
        <f>Sprache!$E$60</f>
        <v>Bälle</v>
      </c>
      <c r="F54" s="573" t="str">
        <f>Sprache!$E$39</f>
        <v>Beginn</v>
      </c>
      <c r="G54" s="574" t="str">
        <f>Sprache!$E$48</f>
        <v>Feld</v>
      </c>
      <c r="H54" s="575" t="str">
        <f>Sprache!$E$46</f>
        <v>Spiel gegen</v>
      </c>
      <c r="J54" s="569">
        <f t="shared" ca="1" si="27"/>
        <v>0</v>
      </c>
    </row>
    <row r="55" spans="2:11" ht="15.95" customHeight="1" x14ac:dyDescent="0.2">
      <c r="E55" s="576">
        <f ca="1">IF($BO$12&lt;99999,INDEX($L$12:$L$29,MATCH($BO$12,$BK$12:$BK$29,0)),"")</f>
        <v>23</v>
      </c>
      <c r="F55" s="577">
        <f ca="1">IF($BO$12&lt;99999,VLOOKUP($BO$12,$BK$12:$BN$29,2,0),"")</f>
        <v>0.49652777777777779</v>
      </c>
      <c r="G55" s="578">
        <f ca="1">IF($BO$12&lt;99999,VLOOKUP($BO$12,$BK$12:$BN$29,3,0),"")</f>
        <v>3</v>
      </c>
      <c r="H55" s="579" t="str">
        <f ca="1">IF($BO$12&lt;99999,VLOOKUP($BO$12,$BK$12:$BN$29,4,0),"")</f>
        <v>FC Barcelona</v>
      </c>
      <c r="J55" s="569">
        <f t="shared" ca="1" si="27"/>
        <v>0</v>
      </c>
      <c r="K55" s="569" t="str">
        <f ca="1">IF(J55=0,"",$C$54)</f>
        <v/>
      </c>
    </row>
    <row r="56" spans="2:11" ht="15.95" customHeight="1" x14ac:dyDescent="0.2">
      <c r="E56" s="576">
        <f ca="1">IF($BO$13&lt;99999,INDEX($L$12:$L$29,MATCH($BO$13,$BK$12:$BK$29,0)),"")</f>
        <v>27</v>
      </c>
      <c r="F56" s="580">
        <f ca="1">IF($BO$13&lt;99999,VLOOKUP($BO$13,$BK$12:$BN$29,2,0),"")</f>
        <v>0.52083333333333337</v>
      </c>
      <c r="G56" s="581">
        <f ca="1">IF($BO$13&lt;99999,VLOOKUP($BO$13,$BK$12:$BN$29,3,0),"")</f>
        <v>3</v>
      </c>
      <c r="H56" s="582" t="str">
        <f ca="1">IF($BO$13&lt;99999,VLOOKUP($BO$13,$BK$12:$BN$29,4,0),"")</f>
        <v>SSV Wildbach</v>
      </c>
      <c r="J56" s="569">
        <f t="shared" ca="1" si="27"/>
        <v>0</v>
      </c>
      <c r="K56" s="569" t="str">
        <f t="shared" ref="K56:K57" ca="1" si="36">IF(J56=0,"",$C$54)</f>
        <v/>
      </c>
    </row>
    <row r="57" spans="2:11" ht="15.95" customHeight="1" thickBot="1" x14ac:dyDescent="0.25">
      <c r="E57" s="583">
        <f ca="1">IF($BO$14&lt;99999,INDEX($L$12:$L$29,MATCH($BO$14,$BK$12:$BK$29,0)),"")</f>
        <v>32</v>
      </c>
      <c r="F57" s="584">
        <f ca="1">IF($BO$14&lt;99999,VLOOKUP($BO$14,$BK$12:$BN$29,2,0),"")</f>
        <v>0.54513888888888895</v>
      </c>
      <c r="G57" s="585">
        <f ca="1">IF($BO$14&lt;99999,VLOOKUP($BO$14,$BK$12:$BN$29,3,0),"")</f>
        <v>4</v>
      </c>
      <c r="H57" s="586" t="str">
        <f ca="1">IF($BO$14&lt;99999,VLOOKUP($BO$14,$BK$12:$BN$29,4,0),"")</f>
        <v>1. FC Riedwald</v>
      </c>
      <c r="J57" s="569">
        <f t="shared" ca="1" si="27"/>
        <v>0</v>
      </c>
      <c r="K57" s="569" t="str">
        <f t="shared" ca="1" si="36"/>
        <v/>
      </c>
    </row>
    <row r="58" spans="2:11" ht="30" customHeight="1" thickBot="1" x14ac:dyDescent="0.25">
      <c r="J58" s="569">
        <f t="shared" ca="1" si="27"/>
        <v>0</v>
      </c>
    </row>
    <row r="59" spans="2:11" ht="15.95" customHeight="1" x14ac:dyDescent="0.2">
      <c r="B59" s="570" t="s">
        <v>195</v>
      </c>
      <c r="C59" s="571" t="str">
        <f>IF(Planung!$C$34="","",Planung!$C$34)</f>
        <v/>
      </c>
      <c r="E59" s="572" t="str">
        <f>Sprache!$E$60</f>
        <v>Bälle</v>
      </c>
      <c r="F59" s="573" t="str">
        <f>Sprache!$E$39</f>
        <v>Beginn</v>
      </c>
      <c r="G59" s="574" t="str">
        <f>Sprache!$E$48</f>
        <v>Feld</v>
      </c>
      <c r="H59" s="575" t="str">
        <f>Sprache!$E$46</f>
        <v>Spiel gegen</v>
      </c>
      <c r="J59" s="569">
        <f t="shared" si="27"/>
        <v>0</v>
      </c>
    </row>
    <row r="60" spans="2:11" ht="15.95" customHeight="1" x14ac:dyDescent="0.2">
      <c r="E60" s="576" t="str">
        <f>IF($BT$12&lt;99999,INDEX($L$12:$L$29,MATCH($BT$12,$BP$12:$BP$29,0)),"")</f>
        <v/>
      </c>
      <c r="F60" s="577" t="str">
        <f>IF($BT$12&lt;99999,VLOOKUP($BT$12,$BP$12:$BS$29,2,0),"")</f>
        <v/>
      </c>
      <c r="G60" s="578" t="str">
        <f>IF($BT$12&lt;99999,VLOOKUP($BT$12,$BP$12:$BS$29,3,0),"")</f>
        <v/>
      </c>
      <c r="H60" s="579" t="str">
        <f>IF($BT$12&lt;99999,VLOOKUP($BT$12,$BP$12:$BS$29,4,0),"")</f>
        <v/>
      </c>
      <c r="J60" s="569">
        <f t="shared" si="27"/>
        <v>0</v>
      </c>
      <c r="K60" s="569" t="str">
        <f>IF(J60=0,"",$C$59)</f>
        <v/>
      </c>
    </row>
    <row r="61" spans="2:11" ht="15.95" customHeight="1" x14ac:dyDescent="0.2">
      <c r="E61" s="576" t="str">
        <f>IF($BT$13&lt;99999,INDEX($L$12:$L$29,MATCH($BT$13,$BP$12:$BP$29,0)),"")</f>
        <v/>
      </c>
      <c r="F61" s="580" t="str">
        <f>IF($BT$13&lt;99999,VLOOKUP($BT$13,$BP$12:$BS$29,2,0),"")</f>
        <v/>
      </c>
      <c r="G61" s="581" t="str">
        <f>IF($BT$13&lt;99999,VLOOKUP($BT$13,$BP$12:$BS$29,3,0),"")</f>
        <v/>
      </c>
      <c r="H61" s="582" t="str">
        <f>IF($BT$13&lt;99999,VLOOKUP($BT$13,$BP$12:$BS$29,4,0),"")</f>
        <v/>
      </c>
      <c r="J61" s="569">
        <f t="shared" si="27"/>
        <v>0</v>
      </c>
      <c r="K61" s="569" t="str">
        <f t="shared" ref="K61:K62" si="37">IF(J61=0,"",$C$59)</f>
        <v/>
      </c>
    </row>
    <row r="62" spans="2:11" ht="15.95" customHeight="1" thickBot="1" x14ac:dyDescent="0.25">
      <c r="E62" s="583" t="str">
        <f>IF($BT$14&lt;99999,INDEX($L$12:$L$29,MATCH($BT$14,$BP$12:$BP$29,0)),"")</f>
        <v/>
      </c>
      <c r="F62" s="584" t="str">
        <f>IF($BT$14&lt;99999,VLOOKUP($BT$14,$BP$12:$BS$29,2,0),"")</f>
        <v/>
      </c>
      <c r="G62" s="585" t="str">
        <f>IF($BT$14&lt;99999,VLOOKUP($BT$14,$BP$12:$BS$29,3,0),"")</f>
        <v/>
      </c>
      <c r="H62" s="586" t="str">
        <f>IF($BT$14&lt;99999,VLOOKUP($BT$14,$BP$12:$BS$29,4,0),"")</f>
        <v/>
      </c>
      <c r="J62" s="569">
        <f t="shared" si="27"/>
        <v>0</v>
      </c>
      <c r="K62" s="569" t="str">
        <f t="shared" si="37"/>
        <v/>
      </c>
    </row>
    <row r="63" spans="2:11" ht="15.95" customHeight="1" x14ac:dyDescent="0.2"/>
    <row r="64" spans="2:11" x14ac:dyDescent="0.2"/>
  </sheetData>
  <sheetProtection sheet="1" selectLockedCells="1"/>
  <mergeCells count="1">
    <mergeCell ref="B1:H1"/>
  </mergeCells>
  <conditionalFormatting sqref="E5:F62">
    <cfRule type="expression" dxfId="4"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31"/>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15"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34"/>
      <c r="F1" s="831" t="str">
        <f>$E$35</f>
        <v>Sprache wählen</v>
      </c>
      <c r="G1" s="831"/>
      <c r="H1" s="831"/>
      <c r="I1" s="50"/>
      <c r="J1" s="52" t="s">
        <v>144</v>
      </c>
      <c r="K1" s="107" t="str">
        <f>_xlfn.UNICHAR(8592)</f>
        <v>←</v>
      </c>
      <c r="L1" s="106" t="str">
        <f>$E$95</f>
        <v>Hier klicken und Sprache wählen</v>
      </c>
    </row>
    <row r="2" spans="2:12" ht="11.25" customHeight="1" thickBot="1" x14ac:dyDescent="0.25">
      <c r="F2" s="991"/>
      <c r="G2" s="991"/>
      <c r="I2" s="16"/>
      <c r="J2" s="17"/>
    </row>
    <row r="3" spans="2:12" ht="13.5" thickTop="1" x14ac:dyDescent="0.2">
      <c r="B3" s="18" t="s">
        <v>111</v>
      </c>
      <c r="C3" s="19">
        <f>IF(AND($J$1&lt;&gt;B4,$J$1&lt;&gt;B5),1,0)</f>
        <v>0</v>
      </c>
      <c r="D3" s="992"/>
      <c r="E3" s="994"/>
      <c r="F3" s="995" t="s">
        <v>111</v>
      </c>
      <c r="G3" s="997" t="s">
        <v>144</v>
      </c>
      <c r="H3" s="989" t="s">
        <v>110</v>
      </c>
      <c r="I3" s="20"/>
    </row>
    <row r="4" spans="2:12" ht="13.5" thickBot="1" x14ac:dyDescent="0.25">
      <c r="B4" s="18" t="s">
        <v>144</v>
      </c>
      <c r="C4" s="19">
        <f>IF($J$1=B4,1,0)</f>
        <v>1</v>
      </c>
      <c r="D4" s="993"/>
      <c r="E4" s="994"/>
      <c r="F4" s="996"/>
      <c r="G4" s="998"/>
      <c r="H4" s="990"/>
      <c r="I4" s="21"/>
      <c r="J4" s="22"/>
    </row>
    <row r="5" spans="2:12" ht="29.25" thickTop="1" x14ac:dyDescent="0.45">
      <c r="B5" s="18" t="s">
        <v>110</v>
      </c>
      <c r="C5" s="19">
        <f>IF($J$1=B5,1,0)</f>
        <v>0</v>
      </c>
      <c r="E5" s="18"/>
      <c r="F5" s="26" t="str">
        <f>$E$36</f>
        <v>Überschriften</v>
      </c>
      <c r="G5" s="27"/>
      <c r="H5" s="28"/>
      <c r="I5" s="21"/>
      <c r="J5" s="22"/>
    </row>
    <row r="6" spans="2:12" x14ac:dyDescent="0.2">
      <c r="E6" s="18" t="str">
        <f>IF($C$3,F6,IF($C$4,G6,IF($H6&lt;&gt;"",$H6,$F6)))</f>
        <v>Tie Break Vorrunde</v>
      </c>
      <c r="F6" s="25" t="s">
        <v>201</v>
      </c>
      <c r="G6" s="23" t="s">
        <v>200</v>
      </c>
      <c r="H6" s="46"/>
    </row>
    <row r="7" spans="2:12" x14ac:dyDescent="0.2">
      <c r="E7" s="18" t="str">
        <f t="shared" ref="E7:E126" si="0">IF($C$3,F7,IF($C$4,G7,IF($H7&lt;&gt;"",$H7,$F7)))</f>
        <v>Direkte Vergleiche</v>
      </c>
      <c r="F7" s="25" t="s">
        <v>112</v>
      </c>
      <c r="G7" s="23" t="s">
        <v>12</v>
      </c>
      <c r="H7" s="24"/>
    </row>
    <row r="8" spans="2:12" x14ac:dyDescent="0.2">
      <c r="E8" s="18" t="str">
        <f t="shared" si="0"/>
        <v>Dein Datum</v>
      </c>
      <c r="F8" s="44" t="s">
        <v>139</v>
      </c>
      <c r="G8" s="43" t="s">
        <v>138</v>
      </c>
      <c r="H8" s="24"/>
    </row>
    <row r="9" spans="2:12" ht="15" customHeight="1" x14ac:dyDescent="0.45">
      <c r="E9" s="18" t="str">
        <f t="shared" si="0"/>
        <v>Nr.</v>
      </c>
      <c r="F9" s="41" t="s">
        <v>114</v>
      </c>
      <c r="G9" s="40" t="s">
        <v>0</v>
      </c>
      <c r="H9" s="24"/>
      <c r="I9" s="32"/>
    </row>
    <row r="10" spans="2:12" ht="15" customHeight="1" x14ac:dyDescent="0.45">
      <c r="E10" s="18" t="str">
        <f t="shared" si="0"/>
        <v>Teilnehmer bzw. Mannschaft</v>
      </c>
      <c r="F10" s="41" t="s">
        <v>115</v>
      </c>
      <c r="G10" s="40" t="s">
        <v>21</v>
      </c>
      <c r="H10" s="24"/>
      <c r="I10" s="32"/>
    </row>
    <row r="11" spans="2:12" ht="15" customHeight="1" x14ac:dyDescent="0.45">
      <c r="E11" s="18" t="str">
        <f t="shared" si="0"/>
        <v>Ergebnisse</v>
      </c>
      <c r="F11" s="41" t="s">
        <v>116</v>
      </c>
      <c r="G11" s="40" t="s">
        <v>22</v>
      </c>
      <c r="H11" s="24"/>
      <c r="I11" s="32"/>
    </row>
    <row r="12" spans="2:12" ht="15" customHeight="1" x14ac:dyDescent="0.45">
      <c r="E12" s="18" t="str">
        <f t="shared" si="0"/>
        <v>Tabelle</v>
      </c>
      <c r="F12" s="41" t="s">
        <v>117</v>
      </c>
      <c r="G12" s="40" t="s">
        <v>13</v>
      </c>
      <c r="H12" s="24"/>
      <c r="I12" s="32"/>
    </row>
    <row r="13" spans="2:12" ht="15" customHeight="1" x14ac:dyDescent="0.45">
      <c r="E13" s="18" t="str">
        <f t="shared" si="0"/>
        <v>Tabelle (Kopie)</v>
      </c>
      <c r="F13" s="41" t="s">
        <v>118</v>
      </c>
      <c r="G13" s="40" t="s">
        <v>52</v>
      </c>
      <c r="H13" s="24"/>
      <c r="I13" s="32"/>
    </row>
    <row r="14" spans="2:12" ht="15" customHeight="1" x14ac:dyDescent="0.45">
      <c r="E14" s="18" t="str">
        <f t="shared" si="0"/>
        <v>Spielpaarung</v>
      </c>
      <c r="F14" s="41" t="s">
        <v>121</v>
      </c>
      <c r="G14" s="40" t="s">
        <v>1</v>
      </c>
      <c r="H14" s="24"/>
      <c r="I14" s="32"/>
    </row>
    <row r="15" spans="2:12" ht="15" customHeight="1" x14ac:dyDescent="0.45">
      <c r="E15" s="18" t="str">
        <f t="shared" si="0"/>
        <v>Ergebnis</v>
      </c>
      <c r="F15" s="41" t="s">
        <v>122</v>
      </c>
      <c r="G15" s="40" t="s">
        <v>2</v>
      </c>
      <c r="H15" s="24"/>
      <c r="I15" s="32"/>
    </row>
    <row r="16" spans="2:12" ht="15" customHeight="1" x14ac:dyDescent="0.45">
      <c r="E16" s="18" t="str">
        <f t="shared" si="0"/>
        <v>Gruppe</v>
      </c>
      <c r="F16" s="41" t="s">
        <v>182</v>
      </c>
      <c r="G16" s="40" t="s">
        <v>181</v>
      </c>
      <c r="H16" s="24"/>
      <c r="I16" s="32"/>
    </row>
    <row r="17" spans="5:13" ht="15" customHeight="1" x14ac:dyDescent="0.45">
      <c r="E17" s="18" t="str">
        <f t="shared" si="0"/>
        <v>Grp</v>
      </c>
      <c r="F17" s="41" t="s">
        <v>183</v>
      </c>
      <c r="G17" s="40" t="s">
        <v>183</v>
      </c>
      <c r="H17" s="24"/>
      <c r="I17" s="32"/>
    </row>
    <row r="18" spans="5:13" ht="15" customHeight="1" x14ac:dyDescent="0.45">
      <c r="E18" s="18" t="str">
        <f t="shared" si="0"/>
        <v>Vorrunde</v>
      </c>
      <c r="F18" s="41" t="s">
        <v>198</v>
      </c>
      <c r="G18" s="40" t="s">
        <v>196</v>
      </c>
      <c r="H18" s="24"/>
      <c r="I18" s="32"/>
    </row>
    <row r="19" spans="5:13" ht="15" customHeight="1" x14ac:dyDescent="0.45">
      <c r="E19" s="18" t="str">
        <f t="shared" si="0"/>
        <v>Endrunde</v>
      </c>
      <c r="F19" s="41" t="s">
        <v>199</v>
      </c>
      <c r="G19" s="40" t="s">
        <v>197</v>
      </c>
      <c r="H19" s="24"/>
      <c r="I19" s="32"/>
    </row>
    <row r="20" spans="5:13" ht="15" x14ac:dyDescent="0.25">
      <c r="E20" s="18" t="str">
        <f t="shared" si="0"/>
        <v>Zusätzl. Pause (min)</v>
      </c>
      <c r="F20" s="44" t="s">
        <v>209</v>
      </c>
      <c r="G20" s="43" t="s">
        <v>208</v>
      </c>
      <c r="H20" s="24"/>
      <c r="I20" s="33"/>
      <c r="J20" s="33"/>
      <c r="K20" s="33"/>
      <c r="L20" s="33"/>
      <c r="M20" s="33"/>
    </row>
    <row r="21" spans="5:13" ht="15" x14ac:dyDescent="0.25">
      <c r="E21" s="18" t="str">
        <f t="shared" si="0"/>
        <v>SP</v>
      </c>
      <c r="F21" s="44" t="s">
        <v>101</v>
      </c>
      <c r="G21" s="43" t="s">
        <v>123</v>
      </c>
      <c r="H21" s="24"/>
      <c r="I21" s="33"/>
      <c r="J21" s="33"/>
      <c r="K21" s="33"/>
      <c r="L21" s="33"/>
      <c r="M21" s="33"/>
    </row>
    <row r="22" spans="5:13" ht="15" x14ac:dyDescent="0.25">
      <c r="E22" s="18" t="str">
        <f t="shared" si="0"/>
        <v>G</v>
      </c>
      <c r="F22" s="44" t="s">
        <v>102</v>
      </c>
      <c r="G22" s="43" t="s">
        <v>124</v>
      </c>
      <c r="H22" s="24"/>
      <c r="I22" s="33"/>
      <c r="J22" s="33"/>
      <c r="K22" s="33"/>
      <c r="L22" s="33"/>
      <c r="M22" s="33"/>
    </row>
    <row r="23" spans="5:13" ht="15" x14ac:dyDescent="0.25">
      <c r="E23" s="18" t="str">
        <f t="shared" si="0"/>
        <v>U</v>
      </c>
      <c r="F23" s="44" t="s">
        <v>103</v>
      </c>
      <c r="G23" s="43" t="s">
        <v>125</v>
      </c>
      <c r="H23" s="24"/>
      <c r="I23" s="33"/>
      <c r="J23" s="33"/>
      <c r="K23" s="33"/>
      <c r="L23" s="33"/>
      <c r="M23" s="33"/>
    </row>
    <row r="24" spans="5:13" ht="15" x14ac:dyDescent="0.25">
      <c r="E24" s="18" t="str">
        <f t="shared" si="0"/>
        <v>V</v>
      </c>
      <c r="F24" s="44" t="s">
        <v>104</v>
      </c>
      <c r="G24" s="43" t="s">
        <v>126</v>
      </c>
      <c r="H24" s="24"/>
      <c r="I24" s="33"/>
      <c r="J24" s="33"/>
      <c r="K24" s="33"/>
      <c r="L24" s="33"/>
      <c r="M24" s="33"/>
    </row>
    <row r="25" spans="5:13" ht="15" x14ac:dyDescent="0.25">
      <c r="E25" s="18" t="str">
        <f t="shared" si="0"/>
        <v>Sätze</v>
      </c>
      <c r="F25" s="44" t="s">
        <v>362</v>
      </c>
      <c r="G25" s="43" t="s">
        <v>363</v>
      </c>
      <c r="H25" s="24"/>
      <c r="I25" s="33"/>
      <c r="J25" s="33"/>
      <c r="K25" s="33"/>
      <c r="L25" s="33"/>
      <c r="M25" s="33"/>
    </row>
    <row r="26" spans="5:13" ht="15" x14ac:dyDescent="0.25">
      <c r="E26" s="18" t="str">
        <f t="shared" si="0"/>
        <v>Diff.</v>
      </c>
      <c r="F26" s="44" t="s">
        <v>107</v>
      </c>
      <c r="G26" s="43" t="s">
        <v>3</v>
      </c>
      <c r="H26" s="24"/>
      <c r="I26" s="33"/>
      <c r="J26" s="33"/>
      <c r="K26" s="33"/>
      <c r="L26" s="33"/>
      <c r="M26" s="33"/>
    </row>
    <row r="27" spans="5:13" ht="15" x14ac:dyDescent="0.25">
      <c r="E27" s="18" t="str">
        <f t="shared" si="0"/>
        <v>Pkt</v>
      </c>
      <c r="F27" s="44" t="s">
        <v>108</v>
      </c>
      <c r="G27" s="43" t="s">
        <v>127</v>
      </c>
      <c r="H27" s="24"/>
      <c r="I27" s="33"/>
      <c r="J27" s="33"/>
      <c r="K27" s="33"/>
      <c r="L27" s="33"/>
      <c r="M27" s="33"/>
    </row>
    <row r="28" spans="5:13" ht="15" x14ac:dyDescent="0.25">
      <c r="E28" s="18" t="str">
        <f t="shared" si="0"/>
        <v>erz. Tore</v>
      </c>
      <c r="F28" s="44" t="s">
        <v>105</v>
      </c>
      <c r="G28" s="43" t="s">
        <v>148</v>
      </c>
      <c r="H28" s="24"/>
      <c r="I28" s="33"/>
      <c r="J28" s="33"/>
      <c r="K28" s="33"/>
      <c r="L28" s="33"/>
      <c r="M28" s="33"/>
    </row>
    <row r="29" spans="5:13" x14ac:dyDescent="0.2">
      <c r="E29" s="18" t="str">
        <f t="shared" si="0"/>
        <v>Turnierende:</v>
      </c>
      <c r="F29" s="44" t="s">
        <v>211</v>
      </c>
      <c r="G29" s="43" t="s">
        <v>210</v>
      </c>
      <c r="H29" s="24"/>
    </row>
    <row r="30" spans="5:13" x14ac:dyDescent="0.2">
      <c r="E30" s="18" t="str">
        <f t="shared" si="0"/>
        <v>Teilnehmer und Ablaufplan</v>
      </c>
      <c r="F30" s="44" t="s">
        <v>128</v>
      </c>
      <c r="G30" s="43" t="s">
        <v>19</v>
      </c>
      <c r="H30" s="24"/>
    </row>
    <row r="31" spans="5:13" x14ac:dyDescent="0.2">
      <c r="E31" s="18" t="str">
        <f t="shared" si="0"/>
        <v>Teilnehmer</v>
      </c>
      <c r="F31" s="45" t="s">
        <v>129</v>
      </c>
      <c r="G31" s="43" t="s">
        <v>20</v>
      </c>
      <c r="H31" s="24"/>
    </row>
    <row r="32" spans="5:13" x14ac:dyDescent="0.2">
      <c r="E32" s="18" t="str">
        <f t="shared" si="0"/>
        <v>Ablaufplan</v>
      </c>
      <c r="F32" s="45" t="s">
        <v>130</v>
      </c>
      <c r="G32" s="43" t="s">
        <v>23</v>
      </c>
      <c r="H32" s="24"/>
    </row>
    <row r="33" spans="5:8" x14ac:dyDescent="0.2">
      <c r="E33" s="18" t="str">
        <f t="shared" si="0"/>
        <v>Spiel-Nr.</v>
      </c>
      <c r="F33" s="45" t="s">
        <v>131</v>
      </c>
      <c r="G33" s="43" t="s">
        <v>51</v>
      </c>
      <c r="H33" s="24"/>
    </row>
    <row r="34" spans="5:8" x14ac:dyDescent="0.2">
      <c r="E34" s="18" t="str">
        <f t="shared" si="0"/>
        <v>Paarungen</v>
      </c>
      <c r="F34" s="45" t="s">
        <v>132</v>
      </c>
      <c r="G34" s="43" t="s">
        <v>53</v>
      </c>
      <c r="H34" s="24"/>
    </row>
    <row r="35" spans="5:8" x14ac:dyDescent="0.2">
      <c r="E35" s="18" t="str">
        <f t="shared" si="0"/>
        <v>Sprache wählen</v>
      </c>
      <c r="F35" s="44" t="s">
        <v>109</v>
      </c>
      <c r="G35" s="43" t="s">
        <v>137</v>
      </c>
      <c r="H35" s="24"/>
    </row>
    <row r="36" spans="5:8" x14ac:dyDescent="0.2">
      <c r="E36" s="18" t="str">
        <f t="shared" si="0"/>
        <v>Überschriften</v>
      </c>
      <c r="F36" s="44" t="s">
        <v>113</v>
      </c>
      <c r="G36" s="43" t="s">
        <v>134</v>
      </c>
      <c r="H36" s="24"/>
    </row>
    <row r="37" spans="5:8" x14ac:dyDescent="0.2">
      <c r="E37" s="18" t="str">
        <f t="shared" si="0"/>
        <v>Meldungen</v>
      </c>
      <c r="F37" s="44" t="s">
        <v>135</v>
      </c>
      <c r="G37" s="43" t="s">
        <v>136</v>
      </c>
      <c r="H37" s="24"/>
    </row>
    <row r="38" spans="5:8" x14ac:dyDescent="0.2">
      <c r="E38" s="18" t="str">
        <f t="shared" si="0"/>
        <v>Deine Überschriften</v>
      </c>
      <c r="F38" s="44" t="s">
        <v>142</v>
      </c>
      <c r="G38" s="43" t="s">
        <v>141</v>
      </c>
      <c r="H38" s="24"/>
    </row>
    <row r="39" spans="5:8" x14ac:dyDescent="0.2">
      <c r="E39" s="18" t="str">
        <f t="shared" si="0"/>
        <v>Beginn</v>
      </c>
      <c r="F39" s="44" t="s">
        <v>287</v>
      </c>
      <c r="G39" s="43" t="s">
        <v>288</v>
      </c>
      <c r="H39" s="24"/>
    </row>
    <row r="40" spans="5:8" x14ac:dyDescent="0.2">
      <c r="E40" s="18" t="str">
        <f t="shared" si="0"/>
        <v>Ende der Vorrunde:</v>
      </c>
      <c r="F40" s="44" t="s">
        <v>212</v>
      </c>
      <c r="G40" s="43" t="s">
        <v>213</v>
      </c>
      <c r="H40" s="24"/>
    </row>
    <row r="41" spans="5:8" x14ac:dyDescent="0.2">
      <c r="E41" s="18" t="str">
        <f t="shared" si="0"/>
        <v>Spielzeiten</v>
      </c>
      <c r="F41" s="44" t="s">
        <v>162</v>
      </c>
      <c r="G41" s="43" t="s">
        <v>161</v>
      </c>
      <c r="H41" s="24"/>
    </row>
    <row r="42" spans="5:8" x14ac:dyDescent="0.2">
      <c r="E42" s="18" t="str">
        <f t="shared" si="0"/>
        <v>Spielzeit pro Spiel:</v>
      </c>
      <c r="F42" s="44" t="s">
        <v>214</v>
      </c>
      <c r="G42" s="43" t="s">
        <v>215</v>
      </c>
      <c r="H42" s="24"/>
    </row>
    <row r="43" spans="5:8" x14ac:dyDescent="0.2">
      <c r="E43" s="18" t="str">
        <f t="shared" si="0"/>
        <v>Wechselzeit:</v>
      </c>
      <c r="F43" s="44" t="s">
        <v>216</v>
      </c>
      <c r="G43" s="43" t="s">
        <v>217</v>
      </c>
      <c r="H43" s="24"/>
    </row>
    <row r="44" spans="5:8" x14ac:dyDescent="0.2">
      <c r="E44" s="18" t="str">
        <f t="shared" si="0"/>
        <v>Anzahl der Spielfelder:</v>
      </c>
      <c r="F44" s="44" t="s">
        <v>285</v>
      </c>
      <c r="G44" s="43" t="s">
        <v>284</v>
      </c>
      <c r="H44" s="24"/>
    </row>
    <row r="45" spans="5:8" x14ac:dyDescent="0.2">
      <c r="E45" s="18" t="str">
        <f t="shared" si="0"/>
        <v>Uhr</v>
      </c>
      <c r="F45" s="44" t="s">
        <v>154</v>
      </c>
      <c r="G45" s="43" t="s">
        <v>153</v>
      </c>
      <c r="H45" s="24"/>
    </row>
    <row r="46" spans="5:8" x14ac:dyDescent="0.2">
      <c r="E46" s="18" t="str">
        <f t="shared" si="0"/>
        <v>Spiel gegen</v>
      </c>
      <c r="F46" s="44" t="s">
        <v>158</v>
      </c>
      <c r="G46" s="43" t="s">
        <v>157</v>
      </c>
      <c r="H46" s="24"/>
    </row>
    <row r="47" spans="5:8" x14ac:dyDescent="0.2">
      <c r="E47" s="18" t="str">
        <f t="shared" si="0"/>
        <v>Anmerkung</v>
      </c>
      <c r="F47" s="44" t="s">
        <v>159</v>
      </c>
      <c r="G47" s="43" t="s">
        <v>160</v>
      </c>
      <c r="H47" s="24"/>
    </row>
    <row r="48" spans="5:8" x14ac:dyDescent="0.2">
      <c r="E48" s="18" t="str">
        <f t="shared" si="0"/>
        <v>Feld</v>
      </c>
      <c r="F48" s="44" t="s">
        <v>218</v>
      </c>
      <c r="G48" s="43" t="s">
        <v>286</v>
      </c>
      <c r="H48" s="24"/>
    </row>
    <row r="49" spans="5:8" x14ac:dyDescent="0.2">
      <c r="E49" s="18" t="str">
        <f t="shared" si="0"/>
        <v>Tie-Break</v>
      </c>
      <c r="F49" s="25" t="s">
        <v>324</v>
      </c>
      <c r="G49" s="23" t="s">
        <v>323</v>
      </c>
      <c r="H49" s="24"/>
    </row>
    <row r="50" spans="5:8" x14ac:dyDescent="0.2">
      <c r="E50" s="18" t="str">
        <f t="shared" si="0"/>
        <v>Spielpaarungen</v>
      </c>
      <c r="F50" s="41" t="s">
        <v>168</v>
      </c>
      <c r="G50" s="40" t="s">
        <v>169</v>
      </c>
      <c r="H50" s="163"/>
    </row>
    <row r="51" spans="5:8" x14ac:dyDescent="0.2">
      <c r="E51" s="18" t="str">
        <f t="shared" si="0"/>
        <v>Einstellungen</v>
      </c>
      <c r="F51" s="41" t="s">
        <v>171</v>
      </c>
      <c r="G51" s="40" t="s">
        <v>170</v>
      </c>
      <c r="H51" s="163"/>
    </row>
    <row r="52" spans="5:8" x14ac:dyDescent="0.2">
      <c r="E52" s="18" t="str">
        <f t="shared" si="0"/>
        <v>Anzahl der Punkte für einen Sieg:</v>
      </c>
      <c r="F52" s="41" t="s">
        <v>173</v>
      </c>
      <c r="G52" s="40" t="s">
        <v>172</v>
      </c>
      <c r="H52" s="163"/>
    </row>
    <row r="53" spans="5:8" x14ac:dyDescent="0.2">
      <c r="E53" s="18" t="str">
        <f t="shared" si="0"/>
        <v>Halbfinale</v>
      </c>
      <c r="F53" s="41" t="s">
        <v>230</v>
      </c>
      <c r="G53" s="40" t="s">
        <v>227</v>
      </c>
      <c r="H53" s="163"/>
    </row>
    <row r="54" spans="5:8" x14ac:dyDescent="0.2">
      <c r="E54" s="18" t="str">
        <f t="shared" si="0"/>
        <v>Endspiele</v>
      </c>
      <c r="F54" s="41" t="s">
        <v>229</v>
      </c>
      <c r="G54" s="40" t="s">
        <v>228</v>
      </c>
      <c r="H54" s="163"/>
    </row>
    <row r="55" spans="5:8" x14ac:dyDescent="0.2">
      <c r="E55" s="18" t="str">
        <f t="shared" si="0"/>
        <v xml:space="preserve">Spiele um die Plätze </v>
      </c>
      <c r="F55" s="41" t="s">
        <v>232</v>
      </c>
      <c r="G55" s="40" t="s">
        <v>231</v>
      </c>
      <c r="H55" s="163"/>
    </row>
    <row r="56" spans="5:8" x14ac:dyDescent="0.2">
      <c r="E56" s="18" t="str">
        <f t="shared" si="0"/>
        <v>Vorrunde Gruppe</v>
      </c>
      <c r="F56" s="41" t="s">
        <v>236</v>
      </c>
      <c r="G56" s="40" t="s">
        <v>235</v>
      </c>
      <c r="H56" s="163"/>
    </row>
    <row r="57" spans="5:8" x14ac:dyDescent="0.2">
      <c r="E57" s="18" t="str">
        <f t="shared" si="0"/>
        <v>Gruppenerste und -zweite</v>
      </c>
      <c r="F57" s="41" t="s">
        <v>293</v>
      </c>
      <c r="G57" s="40" t="s">
        <v>294</v>
      </c>
      <c r="H57" s="163"/>
    </row>
    <row r="58" spans="5:8" x14ac:dyDescent="0.2">
      <c r="E58" s="18" t="str">
        <f t="shared" si="0"/>
        <v>Gruppendritte und -vierte</v>
      </c>
      <c r="F58" s="41" t="s">
        <v>295</v>
      </c>
      <c r="G58" s="40" t="s">
        <v>296</v>
      </c>
      <c r="H58" s="163"/>
    </row>
    <row r="59" spans="5:8" x14ac:dyDescent="0.2">
      <c r="E59" s="18" t="str">
        <f t="shared" si="0"/>
        <v>Gruppenfünfte und -sechste</v>
      </c>
      <c r="F59" s="41" t="s">
        <v>297</v>
      </c>
      <c r="G59" s="40" t="s">
        <v>298</v>
      </c>
      <c r="H59" s="163"/>
    </row>
    <row r="60" spans="5:8" x14ac:dyDescent="0.2">
      <c r="E60" s="18" t="str">
        <f t="shared" si="0"/>
        <v>Bälle</v>
      </c>
      <c r="F60" s="41" t="s">
        <v>316</v>
      </c>
      <c r="G60" s="40" t="s">
        <v>317</v>
      </c>
      <c r="H60" s="163"/>
    </row>
    <row r="61" spans="5:8" x14ac:dyDescent="0.2">
      <c r="E61" s="18" t="str">
        <f t="shared" si="0"/>
        <v>1. Satz</v>
      </c>
      <c r="F61" s="41" t="s">
        <v>312</v>
      </c>
      <c r="G61" s="40" t="s">
        <v>313</v>
      </c>
      <c r="H61" s="163"/>
    </row>
    <row r="62" spans="5:8" x14ac:dyDescent="0.2">
      <c r="E62" s="18" t="str">
        <f t="shared" si="0"/>
        <v>2. Satz</v>
      </c>
      <c r="F62" s="41" t="s">
        <v>314</v>
      </c>
      <c r="G62" s="40" t="s">
        <v>315</v>
      </c>
      <c r="H62" s="163"/>
    </row>
    <row r="63" spans="5:8" x14ac:dyDescent="0.2">
      <c r="E63" s="18" t="str">
        <f t="shared" si="0"/>
        <v>3. Satz</v>
      </c>
      <c r="F63" s="41" t="s">
        <v>318</v>
      </c>
      <c r="G63" s="40" t="s">
        <v>319</v>
      </c>
      <c r="H63" s="163"/>
    </row>
    <row r="64" spans="5:8" x14ac:dyDescent="0.2">
      <c r="E64" s="18" t="str">
        <f t="shared" si="0"/>
        <v>Tie Break Endrunde 4</v>
      </c>
      <c r="F64" s="41" t="s">
        <v>328</v>
      </c>
      <c r="G64" s="40" t="s">
        <v>329</v>
      </c>
      <c r="H64" s="163"/>
    </row>
    <row r="65" spans="5:8" x14ac:dyDescent="0.2">
      <c r="E65" s="18" t="str">
        <f t="shared" si="0"/>
        <v>Team-Kürzel</v>
      </c>
      <c r="F65" s="41" t="s">
        <v>330</v>
      </c>
      <c r="G65" s="40" t="s">
        <v>331</v>
      </c>
      <c r="H65" s="163"/>
    </row>
    <row r="66" spans="5:8" x14ac:dyDescent="0.2">
      <c r="E66" s="18" t="str">
        <f t="shared" si="0"/>
        <v>z.B.  A2 - A4</v>
      </c>
      <c r="F66" s="41" t="s">
        <v>332</v>
      </c>
      <c r="G66" s="40" t="s">
        <v>333</v>
      </c>
      <c r="H66" s="163"/>
    </row>
    <row r="67" spans="5:8" x14ac:dyDescent="0.2">
      <c r="E67" s="18" t="str">
        <f t="shared" si="0"/>
        <v>Quot.</v>
      </c>
      <c r="F67" s="25" t="s">
        <v>346</v>
      </c>
      <c r="G67" s="23" t="s">
        <v>346</v>
      </c>
      <c r="H67" s="163"/>
    </row>
    <row r="68" spans="5:8" x14ac:dyDescent="0.2">
      <c r="E68" s="18" t="str">
        <f t="shared" si="0"/>
        <v>Schiedsrichter</v>
      </c>
      <c r="F68" s="41" t="s">
        <v>365</v>
      </c>
      <c r="G68" s="40" t="s">
        <v>364</v>
      </c>
      <c r="H68" s="163"/>
    </row>
    <row r="69" spans="5:8" x14ac:dyDescent="0.2">
      <c r="E69" s="18" t="str">
        <f t="shared" si="0"/>
        <v>z.B.  1A - 2B</v>
      </c>
      <c r="F69" s="41" t="s">
        <v>411</v>
      </c>
      <c r="G69" s="40" t="s">
        <v>410</v>
      </c>
      <c r="H69" s="163"/>
    </row>
    <row r="70" spans="5:8" x14ac:dyDescent="0.2">
      <c r="E70" s="18">
        <f t="shared" si="0"/>
        <v>0</v>
      </c>
      <c r="F70" s="41"/>
      <c r="G70" s="40"/>
      <c r="H70" s="163"/>
    </row>
    <row r="71" spans="5:8" x14ac:dyDescent="0.2">
      <c r="E71" s="18" t="str">
        <f t="shared" si="0"/>
        <v>Bonus</v>
      </c>
      <c r="F71" s="41" t="s">
        <v>366</v>
      </c>
      <c r="G71" s="40" t="s">
        <v>367</v>
      </c>
      <c r="H71" s="163"/>
    </row>
    <row r="72" spans="5:8" x14ac:dyDescent="0.2">
      <c r="E72" s="18" t="str">
        <f t="shared" si="0"/>
        <v>Balldifferenz oder Ballquotient:</v>
      </c>
      <c r="F72" s="41" t="s">
        <v>409</v>
      </c>
      <c r="G72" s="40" t="s">
        <v>408</v>
      </c>
      <c r="H72" s="163"/>
    </row>
    <row r="73" spans="5:8" x14ac:dyDescent="0.2">
      <c r="E73" s="18" t="str">
        <f t="shared" si="0"/>
        <v>Balldifferenz</v>
      </c>
      <c r="F73" s="41" t="s">
        <v>340</v>
      </c>
      <c r="G73" s="40" t="s">
        <v>341</v>
      </c>
      <c r="H73" s="163"/>
    </row>
    <row r="74" spans="5:8" x14ac:dyDescent="0.2">
      <c r="E74" s="18" t="str">
        <f t="shared" si="0"/>
        <v>Ballquotient</v>
      </c>
      <c r="F74" s="41" t="s">
        <v>342</v>
      </c>
      <c r="G74" s="40" t="s">
        <v>343</v>
      </c>
      <c r="H74" s="163"/>
    </row>
    <row r="75" spans="5:8" x14ac:dyDescent="0.2">
      <c r="E75" s="18" t="str">
        <f t="shared" si="0"/>
        <v>Ballpunkte</v>
      </c>
      <c r="F75" s="41" t="s">
        <v>350</v>
      </c>
      <c r="G75" s="40" t="s">
        <v>351</v>
      </c>
      <c r="H75" s="163"/>
    </row>
    <row r="76" spans="5:8" x14ac:dyDescent="0.2">
      <c r="E76" s="18" t="str">
        <f t="shared" si="0"/>
        <v>Satzpunkte</v>
      </c>
      <c r="F76" s="41" t="s">
        <v>352</v>
      </c>
      <c r="G76" s="40" t="s">
        <v>353</v>
      </c>
      <c r="H76" s="163"/>
    </row>
    <row r="77" spans="5:8" x14ac:dyDescent="0.2">
      <c r="E77" s="18" t="str">
        <f t="shared" si="0"/>
        <v>Satzdifferenz als zweites Kriterium?</v>
      </c>
      <c r="F77" s="41" t="s">
        <v>368</v>
      </c>
      <c r="G77" s="40" t="s">
        <v>369</v>
      </c>
      <c r="H77" s="163"/>
    </row>
    <row r="78" spans="5:8" x14ac:dyDescent="0.2">
      <c r="E78" s="18" t="str">
        <f t="shared" si="0"/>
        <v>Ja</v>
      </c>
      <c r="F78" s="41" t="s">
        <v>370</v>
      </c>
      <c r="G78" s="40" t="s">
        <v>371</v>
      </c>
      <c r="H78" s="163"/>
    </row>
    <row r="79" spans="5:8" x14ac:dyDescent="0.2">
      <c r="E79" s="18" t="str">
        <f t="shared" si="0"/>
        <v>Nein</v>
      </c>
      <c r="F79" s="41" t="s">
        <v>372</v>
      </c>
      <c r="G79" s="40" t="s">
        <v>373</v>
      </c>
      <c r="H79" s="163"/>
    </row>
    <row r="80" spans="5:8" x14ac:dyDescent="0.2">
      <c r="E80" s="18" t="str">
        <f t="shared" si="0"/>
        <v>Satzpkt.</v>
      </c>
      <c r="F80" s="41" t="s">
        <v>374</v>
      </c>
      <c r="G80" s="40" t="s">
        <v>375</v>
      </c>
      <c r="H80" s="163"/>
    </row>
    <row r="81" spans="5:8" x14ac:dyDescent="0.2">
      <c r="E81" s="18" t="str">
        <f t="shared" si="0"/>
        <v>Erstes Kriterium für die Rangliste:</v>
      </c>
      <c r="F81" s="41" t="s">
        <v>376</v>
      </c>
      <c r="G81" s="40" t="s">
        <v>377</v>
      </c>
      <c r="H81" s="163"/>
    </row>
    <row r="82" spans="5:8" x14ac:dyDescent="0.2">
      <c r="E82" s="18" t="str">
        <f t="shared" si="0"/>
        <v>Anzahl der (Sieg-)Punkte</v>
      </c>
      <c r="F82" s="41" t="s">
        <v>378</v>
      </c>
      <c r="G82" s="40" t="s">
        <v>379</v>
      </c>
      <c r="H82" s="163"/>
    </row>
    <row r="83" spans="5:8" x14ac:dyDescent="0.2">
      <c r="E83" s="18" t="str">
        <f t="shared" si="0"/>
        <v>Anzahl der gewonnenen Sätze</v>
      </c>
      <c r="F83" s="41" t="s">
        <v>380</v>
      </c>
      <c r="G83" s="40" t="s">
        <v>381</v>
      </c>
      <c r="H83" s="163"/>
    </row>
    <row r="84" spans="5:8" x14ac:dyDescent="0.2">
      <c r="E84" s="18" t="str">
        <f t="shared" si="0"/>
        <v>Anzahl der gewonnenen Sätze als drittes Kriterium?</v>
      </c>
      <c r="F84" s="41" t="s">
        <v>382</v>
      </c>
      <c r="G84" s="40" t="s">
        <v>383</v>
      </c>
      <c r="H84" s="163"/>
    </row>
    <row r="85" spans="5:8" x14ac:dyDescent="0.2">
      <c r="E85" s="18" t="str">
        <f t="shared" si="0"/>
        <v>Nur sinnvoll, wenn die Anzahl der (Sieg-)Punkte 1. Kriterium ist</v>
      </c>
      <c r="F85" s="41" t="s">
        <v>384</v>
      </c>
      <c r="G85" s="40" t="s">
        <v>385</v>
      </c>
      <c r="H85" s="163"/>
    </row>
    <row r="86" spans="5:8" x14ac:dyDescent="0.2">
      <c r="E86" s="18" t="str">
        <f t="shared" si="0"/>
        <v>Teamnummern</v>
      </c>
      <c r="F86" s="41" t="s">
        <v>386</v>
      </c>
      <c r="G86" s="40" t="s">
        <v>387</v>
      </c>
      <c r="H86" s="163"/>
    </row>
    <row r="87" spans="5:8" x14ac:dyDescent="0.2">
      <c r="E87" s="18" t="str">
        <f t="shared" si="0"/>
        <v>Sieger</v>
      </c>
      <c r="F87" s="41" t="s">
        <v>334</v>
      </c>
      <c r="G87" s="40" t="s">
        <v>335</v>
      </c>
      <c r="H87" s="163"/>
    </row>
    <row r="88" spans="5:8" x14ac:dyDescent="0.2">
      <c r="E88" s="18" t="str">
        <f t="shared" si="0"/>
        <v>Anzeige in den Kreuztabellen der Vorrunde:</v>
      </c>
      <c r="F88" s="41" t="s">
        <v>348</v>
      </c>
      <c r="G88" s="40" t="s">
        <v>349</v>
      </c>
      <c r="H88" s="163"/>
    </row>
    <row r="89" spans="5:8" x14ac:dyDescent="0.2">
      <c r="E89" s="18">
        <f t="shared" si="0"/>
        <v>0</v>
      </c>
      <c r="F89" s="41"/>
      <c r="G89" s="40"/>
      <c r="H89" s="163"/>
    </row>
    <row r="90" spans="5:8" ht="28.5" x14ac:dyDescent="0.45">
      <c r="E90" s="18"/>
      <c r="F90" s="29" t="str">
        <f>$E$37</f>
        <v>Meldungen</v>
      </c>
      <c r="G90" s="30"/>
      <c r="H90" s="31"/>
    </row>
    <row r="91" spans="5:8" ht="79.5" customHeight="1" x14ac:dyDescent="0.2">
      <c r="E91" s="18" t="str">
        <f t="shared" si="0"/>
        <v>Sind zwei oder mehr Mannschaften nicht unterscheidbar und wird eine Entscheidung z.B. durch Los getroffen, genügt es, für die bevorzugte Mannschaft einen Bonuspunkt einzutragen.</v>
      </c>
      <c r="F91" s="35" t="s">
        <v>389</v>
      </c>
      <c r="G91" s="36" t="s">
        <v>388</v>
      </c>
      <c r="H91" s="37"/>
    </row>
    <row r="92" spans="5:8" ht="51.75" customHeight="1" x14ac:dyDescent="0.2">
      <c r="E92" s="18" t="str">
        <f t="shared" si="0"/>
        <v>Doppelte Spielpaarungen und Spiele gegen sich selbst
führen in der Gesamttabelle zu falschen Werten!</v>
      </c>
      <c r="F92" s="42" t="s">
        <v>149</v>
      </c>
      <c r="G92" s="81" t="s">
        <v>55</v>
      </c>
      <c r="H92" s="37"/>
    </row>
    <row r="93" spans="5:8" ht="51.75" customHeight="1" x14ac:dyDescent="0.2">
      <c r="E93" s="18" t="str">
        <f t="shared" si="0"/>
        <v>Änderung der Spielpaarungen nur auf dem Blatt 'Planung'!   Hier nur die Ergebnisse eintragen!</v>
      </c>
      <c r="F93" s="42" t="s">
        <v>120</v>
      </c>
      <c r="G93" s="36" t="s">
        <v>119</v>
      </c>
      <c r="H93" s="37"/>
    </row>
    <row r="94" spans="5:8" ht="16.5" customHeight="1" x14ac:dyDescent="0.2">
      <c r="E94" s="18" t="str">
        <f t="shared" si="0"/>
        <v>Kann gelöscht werden   →</v>
      </c>
      <c r="F94" s="48" t="s">
        <v>143</v>
      </c>
      <c r="G94" s="47" t="s">
        <v>140</v>
      </c>
      <c r="H94" s="38"/>
    </row>
    <row r="95" spans="5:8" ht="20.25" customHeight="1" x14ac:dyDescent="0.2">
      <c r="E95" s="18" t="str">
        <f t="shared" si="0"/>
        <v>Hier klicken und Sprache wählen</v>
      </c>
      <c r="F95" s="53" t="s">
        <v>146</v>
      </c>
      <c r="G95" s="51" t="s">
        <v>145</v>
      </c>
      <c r="H95" s="39"/>
    </row>
    <row r="96" spans="5:8" ht="32.25" customHeight="1" x14ac:dyDescent="0.2">
      <c r="E96" s="18" t="str">
        <f t="shared" si="0"/>
        <v>Doppelte Namen führen zu
falschen Tabellenwerten</v>
      </c>
      <c r="F96" s="98" t="s">
        <v>151</v>
      </c>
      <c r="G96" s="97" t="s">
        <v>54</v>
      </c>
      <c r="H96" s="39"/>
    </row>
    <row r="97" spans="5:8" ht="51.75" customHeight="1" x14ac:dyDescent="0.2">
      <c r="E97" s="18" t="str">
        <f t="shared" si="0"/>
        <v>Rote Schrift bedeutet, dass die Rangfolge auch mit dem direkten Vergleich nicht geklärt ist. Ein Entscheidungsspiel oder Los muss hier entscheiden.</v>
      </c>
      <c r="F97" s="168" t="s">
        <v>336</v>
      </c>
      <c r="G97" s="169" t="s">
        <v>337</v>
      </c>
      <c r="H97" s="38"/>
    </row>
    <row r="98" spans="5:8" ht="17.25" customHeight="1" x14ac:dyDescent="0.2">
      <c r="E98" s="18" t="str">
        <f t="shared" si="0"/>
        <v>Zeitkonflikt</v>
      </c>
      <c r="F98" s="170" t="s">
        <v>156</v>
      </c>
      <c r="G98" s="171" t="s">
        <v>155</v>
      </c>
      <c r="H98" s="172"/>
    </row>
    <row r="99" spans="5:8" ht="16.5" customHeight="1" x14ac:dyDescent="0.2">
      <c r="E99" s="18" t="str">
        <f t="shared" si="0"/>
        <v xml:space="preserve"> : </v>
      </c>
      <c r="F99" s="173" t="s">
        <v>406</v>
      </c>
      <c r="G99" s="184" t="s">
        <v>407</v>
      </c>
      <c r="H99" s="172"/>
    </row>
    <row r="100" spans="5:8" ht="33" customHeight="1" x14ac:dyDescent="0.2">
      <c r="E100" s="18" t="str">
        <f t="shared" si="0"/>
        <v>Direkte Vergleiche bei Gleichstand in Punkten, Tordifferenz und erzielten Toren (FIFA-Modus)</v>
      </c>
      <c r="F100" s="178" t="s">
        <v>178</v>
      </c>
      <c r="G100" s="179" t="s">
        <v>175</v>
      </c>
      <c r="H100" s="175"/>
    </row>
    <row r="101" spans="5:8" ht="32.25" customHeight="1" x14ac:dyDescent="0.2">
      <c r="E101" s="18" t="str">
        <f t="shared" si="0"/>
        <v>Direkte Vergleiche bei Gleichstand in Punkten (UEFA-Modus)</v>
      </c>
      <c r="F101" s="178" t="s">
        <v>176</v>
      </c>
      <c r="G101" s="179" t="s">
        <v>177</v>
      </c>
      <c r="H101" s="175"/>
    </row>
    <row r="102" spans="5:8" ht="18" customHeight="1" x14ac:dyDescent="0.2">
      <c r="E102" s="18" t="str">
        <f t="shared" si="0"/>
        <v>Balldifferenz oder Ballquotient</v>
      </c>
      <c r="F102" s="180" t="s">
        <v>338</v>
      </c>
      <c r="G102" s="181" t="s">
        <v>339</v>
      </c>
      <c r="H102" s="182"/>
    </row>
    <row r="103" spans="5:8" ht="18" customHeight="1" x14ac:dyDescent="0.2">
      <c r="E103" s="18" t="str">
        <f t="shared" si="0"/>
        <v>Balldifferenz</v>
      </c>
      <c r="F103" s="180" t="s">
        <v>340</v>
      </c>
      <c r="G103" s="181" t="s">
        <v>341</v>
      </c>
      <c r="H103" s="182"/>
    </row>
    <row r="104" spans="5:8" ht="20.25" customHeight="1" x14ac:dyDescent="0.2">
      <c r="E104" s="18" t="str">
        <f t="shared" si="0"/>
        <v>Ballquotient</v>
      </c>
      <c r="F104" s="180" t="s">
        <v>342</v>
      </c>
      <c r="G104" s="181" t="s">
        <v>343</v>
      </c>
      <c r="H104" s="182"/>
    </row>
    <row r="105" spans="5:8" ht="18" customHeight="1" x14ac:dyDescent="0.2">
      <c r="E105" s="18" t="str">
        <f t="shared" si="0"/>
        <v>Abkürzungen der Mannschaftsnamen:</v>
      </c>
      <c r="F105" s="180" t="s">
        <v>256</v>
      </c>
      <c r="G105" s="181" t="s">
        <v>257</v>
      </c>
      <c r="H105" s="182"/>
    </row>
    <row r="106" spans="5:8" ht="17.25" customHeight="1" x14ac:dyDescent="0.2">
      <c r="E106" s="18" t="str">
        <f t="shared" si="0"/>
        <v>Buchstaben</v>
      </c>
      <c r="F106" s="180" t="s">
        <v>180</v>
      </c>
      <c r="G106" s="181" t="s">
        <v>179</v>
      </c>
      <c r="H106" s="182"/>
    </row>
    <row r="107" spans="5:8" ht="18" customHeight="1" x14ac:dyDescent="0.2">
      <c r="E107" s="18" t="str">
        <f t="shared" si="0"/>
        <v>Rang</v>
      </c>
      <c r="F107" s="180" t="s">
        <v>220</v>
      </c>
      <c r="G107" s="181" t="s">
        <v>219</v>
      </c>
      <c r="H107" s="182"/>
    </row>
    <row r="108" spans="5:8" ht="16.5" customHeight="1" x14ac:dyDescent="0.2">
      <c r="E108" s="18" t="str">
        <f t="shared" si="0"/>
        <v>3. Platz</v>
      </c>
      <c r="F108" s="180" t="s">
        <v>226</v>
      </c>
      <c r="G108" s="181" t="s">
        <v>223</v>
      </c>
      <c r="H108" s="182"/>
    </row>
    <row r="109" spans="5:8" ht="17.25" customHeight="1" x14ac:dyDescent="0.2">
      <c r="E109" s="18" t="str">
        <f t="shared" si="0"/>
        <v>Finale</v>
      </c>
      <c r="F109" s="180" t="s">
        <v>225</v>
      </c>
      <c r="G109" s="181" t="s">
        <v>224</v>
      </c>
      <c r="H109" s="182"/>
    </row>
    <row r="110" spans="5:8" ht="30.75" customHeight="1" x14ac:dyDescent="0.2">
      <c r="E110" s="18" t="str">
        <f t="shared" si="0"/>
        <v xml:space="preserve">Wegen zeitlicher Konflikte kann nur auf maximal </v>
      </c>
      <c r="F110" s="178" t="s">
        <v>253</v>
      </c>
      <c r="G110" s="179" t="s">
        <v>254</v>
      </c>
      <c r="H110" s="182"/>
    </row>
    <row r="111" spans="5:8" ht="17.25" customHeight="1" x14ac:dyDescent="0.2">
      <c r="E111" s="18" t="str">
        <f t="shared" si="0"/>
        <v xml:space="preserve"> Spielplätzen gleichzeitig gespielt werden.</v>
      </c>
      <c r="F111" s="178" t="s">
        <v>264</v>
      </c>
      <c r="G111" s="179" t="s">
        <v>255</v>
      </c>
      <c r="H111" s="182"/>
    </row>
    <row r="112" spans="5:8" ht="17.25" customHeight="1" x14ac:dyDescent="0.2">
      <c r="E112" s="18" t="str">
        <f t="shared" si="0"/>
        <v>Turnierende (Endrunde 1):</v>
      </c>
      <c r="F112" s="180" t="s">
        <v>258</v>
      </c>
      <c r="G112" s="181" t="s">
        <v>259</v>
      </c>
      <c r="H112" s="182"/>
    </row>
    <row r="113" spans="5:8" ht="17.25" customHeight="1" x14ac:dyDescent="0.2">
      <c r="E113" s="18" t="str">
        <f t="shared" si="0"/>
        <v>Turnierende (Endrunde 2):</v>
      </c>
      <c r="F113" s="180" t="s">
        <v>260</v>
      </c>
      <c r="G113" s="181" t="s">
        <v>261</v>
      </c>
      <c r="H113" s="182"/>
    </row>
    <row r="114" spans="5:8" ht="17.25" customHeight="1" x14ac:dyDescent="0.2">
      <c r="E114" s="18" t="str">
        <f t="shared" si="0"/>
        <v>Turnierende (Endrunde 3):</v>
      </c>
      <c r="F114" s="180" t="s">
        <v>289</v>
      </c>
      <c r="G114" s="181" t="s">
        <v>290</v>
      </c>
      <c r="H114" s="182"/>
    </row>
    <row r="115" spans="5:8" ht="17.25" customHeight="1" x14ac:dyDescent="0.2">
      <c r="E115" s="18" t="str">
        <f t="shared" si="0"/>
        <v>Turnierende (Endrunde 4):</v>
      </c>
      <c r="F115" s="180" t="s">
        <v>309</v>
      </c>
      <c r="G115" s="181" t="s">
        <v>310</v>
      </c>
      <c r="H115" s="182"/>
    </row>
    <row r="116" spans="5:8" ht="17.25" customHeight="1" x14ac:dyDescent="0.2">
      <c r="E116" s="18">
        <f t="shared" si="0"/>
        <v>0</v>
      </c>
      <c r="F116" s="180"/>
      <c r="G116" s="181"/>
      <c r="H116" s="182"/>
    </row>
    <row r="117" spans="5:8" ht="17.25" customHeight="1" x14ac:dyDescent="0.2">
      <c r="E117" s="18" t="str">
        <f t="shared" si="0"/>
        <v xml:space="preserve">ZEITKONFLIKT für Team </v>
      </c>
      <c r="F117" s="180" t="s">
        <v>269</v>
      </c>
      <c r="G117" s="181" t="s">
        <v>270</v>
      </c>
      <c r="H117" s="182"/>
    </row>
    <row r="118" spans="5:8" ht="17.25" customHeight="1" x14ac:dyDescent="0.2">
      <c r="E118" s="18" t="str">
        <f t="shared" si="0"/>
        <v xml:space="preserve">in den Spielen </v>
      </c>
      <c r="F118" s="180" t="s">
        <v>271</v>
      </c>
      <c r="G118" s="181" t="s">
        <v>272</v>
      </c>
      <c r="H118" s="182"/>
    </row>
    <row r="119" spans="5:8" ht="17.25" customHeight="1" x14ac:dyDescent="0.2">
      <c r="E119" s="18" t="str">
        <f t="shared" si="0"/>
        <v xml:space="preserve"> und </v>
      </c>
      <c r="F119" s="180" t="s">
        <v>273</v>
      </c>
      <c r="G119" s="181" t="s">
        <v>274</v>
      </c>
      <c r="H119" s="182"/>
    </row>
    <row r="120" spans="5:8" ht="31.5" customHeight="1" x14ac:dyDescent="0.2">
      <c r="E120" s="18" t="str">
        <f t="shared" si="0"/>
        <v>ZEITKONFLIKT
Zu viele Spielplätze!</v>
      </c>
      <c r="F120" s="180" t="s">
        <v>262</v>
      </c>
      <c r="G120" s="181" t="s">
        <v>263</v>
      </c>
      <c r="H120" s="182"/>
    </row>
    <row r="121" spans="5:8" ht="17.25" customHeight="1" x14ac:dyDescent="0.2">
      <c r="E121" s="18" t="str">
        <f t="shared" si="0"/>
        <v>Sieger</v>
      </c>
      <c r="F121" s="180" t="s">
        <v>334</v>
      </c>
      <c r="G121" s="181" t="s">
        <v>335</v>
      </c>
      <c r="H121" s="182"/>
    </row>
    <row r="122" spans="5:8" ht="17.25" customHeight="1" x14ac:dyDescent="0.2">
      <c r="E122" s="18" t="str">
        <f t="shared" si="0"/>
        <v>Anzeige in den Kreuztabellen der Vorrunde:</v>
      </c>
      <c r="F122" s="180" t="s">
        <v>348</v>
      </c>
      <c r="G122" s="181" t="s">
        <v>349</v>
      </c>
      <c r="H122" s="182"/>
    </row>
    <row r="123" spans="5:8" ht="17.25" customHeight="1" x14ac:dyDescent="0.2">
      <c r="E123" s="18" t="str">
        <f t="shared" si="0"/>
        <v>Ballpunkte</v>
      </c>
      <c r="F123" s="180" t="s">
        <v>350</v>
      </c>
      <c r="G123" s="181" t="s">
        <v>351</v>
      </c>
      <c r="H123" s="182"/>
    </row>
    <row r="124" spans="5:8" ht="17.25" customHeight="1" x14ac:dyDescent="0.2">
      <c r="E124" s="18" t="str">
        <f t="shared" si="0"/>
        <v>Satzpunkte</v>
      </c>
      <c r="F124" s="180" t="s">
        <v>352</v>
      </c>
      <c r="G124" s="181" t="s">
        <v>353</v>
      </c>
      <c r="H124" s="182"/>
    </row>
    <row r="125" spans="5:8" ht="17.25" customHeight="1" x14ac:dyDescent="0.2">
      <c r="E125" s="18">
        <f t="shared" si="0"/>
        <v>0</v>
      </c>
      <c r="F125" s="180"/>
      <c r="G125" s="181"/>
      <c r="H125" s="182"/>
    </row>
    <row r="126" spans="5:8" ht="18.75" customHeight="1" thickBot="1" x14ac:dyDescent="0.25">
      <c r="E126" s="18">
        <f t="shared" si="0"/>
        <v>0</v>
      </c>
      <c r="F126" s="176"/>
      <c r="G126" s="174"/>
      <c r="H126" s="177"/>
    </row>
    <row r="127" spans="5:8" ht="13.5" thickTop="1" x14ac:dyDescent="0.2"/>
    <row r="128" spans="5:8" x14ac:dyDescent="0.2"/>
    <row r="129" spans="9:9" x14ac:dyDescent="0.2"/>
    <row r="130" spans="9:9" x14ac:dyDescent="0.2"/>
    <row r="131" spans="9:9" hidden="1" x14ac:dyDescent="0.2">
      <c r="I131" s="49"/>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1416D-7B80-4C65-81A2-91AD7854394B}">
  <dimension ref="A1:I36"/>
  <sheetViews>
    <sheetView showGridLines="0" showRowColHeaders="0" workbookViewId="0">
      <selection activeCell="B9" sqref="B9"/>
    </sheetView>
  </sheetViews>
  <sheetFormatPr baseColWidth="10" defaultColWidth="0" defaultRowHeight="12.75" zeroHeight="1" x14ac:dyDescent="0.2"/>
  <cols>
    <col min="1" max="1" width="11.42578125" style="654" customWidth="1"/>
    <col min="2" max="2" width="35.5703125" style="656" customWidth="1"/>
    <col min="3" max="3" width="7.28515625" style="656" customWidth="1"/>
    <col min="4" max="5" width="11.42578125" style="656" customWidth="1"/>
    <col min="6" max="7" width="11.42578125" style="656" hidden="1" customWidth="1"/>
    <col min="8" max="8" width="13.42578125" style="656" hidden="1" customWidth="1"/>
    <col min="9" max="9" width="0" style="656" hidden="1" customWidth="1"/>
    <col min="10" max="16384" width="11.42578125" style="656" hidden="1"/>
  </cols>
  <sheetData>
    <row r="1" spans="1:9" ht="26.25" x14ac:dyDescent="0.4">
      <c r="B1" s="655" t="str">
        <f>Sprache!$E$51</f>
        <v>Einstellungen</v>
      </c>
    </row>
    <row r="2" spans="1:9" x14ac:dyDescent="0.2"/>
    <row r="3" spans="1:9" x14ac:dyDescent="0.2"/>
    <row r="4" spans="1:9" x14ac:dyDescent="0.2">
      <c r="A4" s="657" t="s">
        <v>6</v>
      </c>
      <c r="B4" s="658" t="str">
        <f>Sprache!$E$52</f>
        <v>Anzahl der Punkte für einen Sieg:</v>
      </c>
      <c r="C4" s="659">
        <v>2</v>
      </c>
    </row>
    <row r="5" spans="1:9" x14ac:dyDescent="0.2"/>
    <row r="6" spans="1:9" x14ac:dyDescent="0.2"/>
    <row r="7" spans="1:9" x14ac:dyDescent="0.2">
      <c r="A7" s="657" t="s">
        <v>7</v>
      </c>
      <c r="B7" s="660" t="str">
        <f>Sprache!$E$81</f>
        <v>Erstes Kriterium für die Rangliste:</v>
      </c>
    </row>
    <row r="8" spans="1:9" x14ac:dyDescent="0.2">
      <c r="H8" s="661" t="s">
        <v>196</v>
      </c>
      <c r="I8" s="661"/>
    </row>
    <row r="9" spans="1:9" ht="21.75" customHeight="1" x14ac:dyDescent="0.2">
      <c r="B9" s="662" t="s">
        <v>379</v>
      </c>
      <c r="G9" s="663" t="b">
        <f>($B$9=Sprache!$E$82)</f>
        <v>1</v>
      </c>
      <c r="H9" s="663">
        <f>IF(G9,8,44)</f>
        <v>8</v>
      </c>
      <c r="I9" s="663"/>
    </row>
    <row r="10" spans="1:9" x14ac:dyDescent="0.2">
      <c r="G10" s="664"/>
    </row>
    <row r="11" spans="1:9" x14ac:dyDescent="0.2"/>
    <row r="12" spans="1:9" x14ac:dyDescent="0.2">
      <c r="A12" s="657" t="s">
        <v>8</v>
      </c>
      <c r="B12" s="660" t="str">
        <f>Sprache!$E$77</f>
        <v>Satzdifferenz als zweites Kriterium?</v>
      </c>
    </row>
    <row r="13" spans="1:9" x14ac:dyDescent="0.2"/>
    <row r="14" spans="1:9" ht="21.75" customHeight="1" x14ac:dyDescent="0.2">
      <c r="B14" s="662" t="s">
        <v>373</v>
      </c>
      <c r="G14" s="663" t="b">
        <f>($B$14=Sprache!$E$78)</f>
        <v>0</v>
      </c>
    </row>
    <row r="15" spans="1:9" x14ac:dyDescent="0.2"/>
    <row r="16" spans="1:9" x14ac:dyDescent="0.2"/>
    <row r="17" spans="1:8" x14ac:dyDescent="0.2">
      <c r="A17" s="657" t="s">
        <v>9</v>
      </c>
      <c r="B17" s="660" t="str">
        <f>Sprache!$E$84</f>
        <v>Anzahl der gewonnenen Sätze als drittes Kriterium?</v>
      </c>
    </row>
    <row r="18" spans="1:8" ht="18.75" customHeight="1" x14ac:dyDescent="0.2">
      <c r="B18" s="665" t="str">
        <f>Sprache!$E$85</f>
        <v>Nur sinnvoll, wenn die Anzahl der (Sieg-)Punkte 1. Kriterium ist</v>
      </c>
    </row>
    <row r="19" spans="1:8" ht="21.75" customHeight="1" x14ac:dyDescent="0.2">
      <c r="B19" s="662" t="s">
        <v>373</v>
      </c>
      <c r="G19" s="663" t="b">
        <f>($B$19=Sprache!$E$78)</f>
        <v>0</v>
      </c>
    </row>
    <row r="20" spans="1:8" x14ac:dyDescent="0.2"/>
    <row r="21" spans="1:8" x14ac:dyDescent="0.2"/>
    <row r="22" spans="1:8" x14ac:dyDescent="0.2">
      <c r="A22" s="657" t="s">
        <v>10</v>
      </c>
      <c r="B22" s="660" t="str">
        <f>Sprache!$E$72</f>
        <v>Balldifferenz oder Ballquotient:</v>
      </c>
      <c r="C22" s="666"/>
    </row>
    <row r="23" spans="1:8" x14ac:dyDescent="0.2">
      <c r="B23" s="666"/>
      <c r="C23" s="666"/>
      <c r="F23" s="661" t="s">
        <v>345</v>
      </c>
      <c r="G23" s="661" t="s">
        <v>344</v>
      </c>
      <c r="H23" s="661" t="s">
        <v>347</v>
      </c>
    </row>
    <row r="24" spans="1:8" ht="21.75" customHeight="1" x14ac:dyDescent="0.2">
      <c r="B24" s="662" t="s">
        <v>341</v>
      </c>
      <c r="C24" s="666"/>
      <c r="F24" s="663">
        <v>499</v>
      </c>
      <c r="G24" s="663" t="b">
        <f>($B$24=Sprache!$E$73)</f>
        <v>1</v>
      </c>
      <c r="H24" s="663">
        <v>3</v>
      </c>
    </row>
    <row r="25" spans="1:8" x14ac:dyDescent="0.2"/>
    <row r="26" spans="1:8" x14ac:dyDescent="0.2">
      <c r="B26" s="667"/>
      <c r="C26" s="667"/>
      <c r="D26" s="667"/>
    </row>
    <row r="27" spans="1:8" x14ac:dyDescent="0.2">
      <c r="A27" s="657" t="s">
        <v>11</v>
      </c>
      <c r="B27" s="660" t="str">
        <f>Sprache!$E$88</f>
        <v>Anzeige in den Kreuztabellen der Vorrunde:</v>
      </c>
      <c r="C27" s="667"/>
      <c r="D27" s="667"/>
    </row>
    <row r="28" spans="1:8" x14ac:dyDescent="0.2">
      <c r="B28" s="667"/>
      <c r="C28" s="667"/>
      <c r="D28" s="667"/>
      <c r="G28" s="668" t="s">
        <v>354</v>
      </c>
      <c r="H28" s="668"/>
    </row>
    <row r="29" spans="1:8" ht="28.5" customHeight="1" x14ac:dyDescent="0.2">
      <c r="B29" s="662" t="s">
        <v>351</v>
      </c>
      <c r="C29" s="669"/>
      <c r="D29" s="669"/>
      <c r="F29" s="663"/>
      <c r="G29" s="663">
        <f>IF($B$29=Sprache!$E$75,3,4)</f>
        <v>3</v>
      </c>
      <c r="H29" s="663"/>
    </row>
    <row r="30" spans="1:8" x14ac:dyDescent="0.2"/>
    <row r="31" spans="1:8" x14ac:dyDescent="0.2"/>
    <row r="32" spans="1:8" x14ac:dyDescent="0.2"/>
    <row r="33" spans="1:4" x14ac:dyDescent="0.2">
      <c r="A33" s="657" t="s">
        <v>16</v>
      </c>
      <c r="B33" s="656" t="str">
        <f>Sprache!$E$105</f>
        <v>Abkürzungen der Mannschaftsnamen:</v>
      </c>
      <c r="C33" s="659">
        <v>7</v>
      </c>
      <c r="D33" s="656" t="str">
        <f>Sprache!$E$106</f>
        <v>Buchstaben</v>
      </c>
    </row>
    <row r="34" spans="1:4" x14ac:dyDescent="0.2"/>
    <row r="35" spans="1:4" x14ac:dyDescent="0.2"/>
    <row r="36" spans="1:4" x14ac:dyDescent="0.2"/>
  </sheetData>
  <sheetProtection sheet="1" selectLockedCells="1"/>
  <dataValidations count="1">
    <dataValidation type="whole" allowBlank="1" showInputMessage="1" showErrorMessage="1" sqref="C4" xr:uid="{73539F3F-5B0D-4BF2-8FC4-FA4177B3BE4D}">
      <formula1>1</formula1>
      <formula2>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236F6DD2-E79E-408D-AA7B-46FCD6CDCC7C}">
          <x14:formula1>
            <xm:f>Sprache!$E$78:$E$79</xm:f>
          </x14:formula1>
          <xm:sqref>B14 B19</xm:sqref>
        </x14:dataValidation>
        <x14:dataValidation type="list" allowBlank="1" showInputMessage="1" showErrorMessage="1" xr:uid="{CB5C52DA-15AE-46D0-9BEE-E06220FC584A}">
          <x14:formula1>
            <xm:f>Sprache!$E$73:$E$74</xm:f>
          </x14:formula1>
          <xm:sqref>B24</xm:sqref>
        </x14:dataValidation>
        <x14:dataValidation type="list" allowBlank="1" showInputMessage="1" showErrorMessage="1" xr:uid="{C703A6DD-3A9F-46BE-AD11-CFBD2F23A779}">
          <x14:formula1>
            <xm:f>Sprache!$E$75:$E$76</xm:f>
          </x14:formula1>
          <xm:sqref>B29</xm:sqref>
        </x14:dataValidation>
        <x14:dataValidation type="list" allowBlank="1" showInputMessage="1" showErrorMessage="1" xr:uid="{A1875E5F-A460-4682-B239-D43927A2C15E}">
          <x14:formula1>
            <xm:f>Sprache!$E$82:$E$83</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5712-DCE9-4E71-9304-725BD32C74E3}">
  <dimension ref="A1:W105"/>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18"/>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c r="D100" s="1002"/>
      <c r="E100" s="1003"/>
      <c r="F100" s="1003"/>
      <c r="G100" s="1003"/>
      <c r="H100" s="1003"/>
      <c r="I100" s="1004"/>
      <c r="O100" s="1002"/>
      <c r="P100" s="1003"/>
      <c r="Q100" s="1003"/>
      <c r="R100" s="1003"/>
      <c r="S100" s="1003"/>
      <c r="T100" s="1004"/>
    </row>
    <row r="101" spans="4:20" x14ac:dyDescent="0.2">
      <c r="D101" s="1005" t="s">
        <v>133</v>
      </c>
      <c r="E101" s="1006"/>
      <c r="F101" s="1006"/>
      <c r="G101" s="1006"/>
      <c r="H101" s="1006"/>
      <c r="I101" s="1007"/>
      <c r="O101" s="1005" t="s">
        <v>57</v>
      </c>
      <c r="P101" s="1006"/>
      <c r="Q101" s="1006"/>
      <c r="R101" s="1006"/>
      <c r="S101" s="1006"/>
      <c r="T101" s="1007"/>
    </row>
    <row r="102" spans="4:20" x14ac:dyDescent="0.2">
      <c r="D102" s="1008" t="s">
        <v>56</v>
      </c>
      <c r="E102" s="1009"/>
      <c r="F102" s="1009"/>
      <c r="G102" s="1009"/>
      <c r="H102" s="1009"/>
      <c r="I102" s="1010"/>
      <c r="O102" s="1008" t="s">
        <v>56</v>
      </c>
      <c r="P102" s="1009"/>
      <c r="Q102" s="1009"/>
      <c r="R102" s="1009"/>
      <c r="S102" s="1009"/>
      <c r="T102" s="1010"/>
    </row>
    <row r="103" spans="4:20" x14ac:dyDescent="0.2">
      <c r="D103" s="999"/>
      <c r="E103" s="1000"/>
      <c r="F103" s="1000"/>
      <c r="G103" s="1000"/>
      <c r="H103" s="1000"/>
      <c r="I103" s="1001"/>
      <c r="O103" s="999"/>
      <c r="P103" s="1000"/>
      <c r="Q103" s="1000"/>
      <c r="R103" s="1000"/>
      <c r="S103" s="1000"/>
      <c r="T103" s="1001"/>
    </row>
    <row r="104" spans="4:20" x14ac:dyDescent="0.2"/>
    <row r="105" spans="4:20" x14ac:dyDescent="0.2"/>
  </sheetData>
  <sheetProtection sheet="1" objects="1" scenarios="1" selectLockedCells="1"/>
  <mergeCells count="8">
    <mergeCell ref="D103:I103"/>
    <mergeCell ref="O103:T103"/>
    <mergeCell ref="D100:I100"/>
    <mergeCell ref="O100:T100"/>
    <mergeCell ref="D101:I101"/>
    <mergeCell ref="O101:T101"/>
    <mergeCell ref="D102:I102"/>
    <mergeCell ref="O102:T102"/>
  </mergeCells>
  <hyperlinks>
    <hyperlink ref="O102" r:id="rId1" xr:uid="{55937A80-9C4A-46EE-947A-5C44D9C59390}"/>
    <hyperlink ref="D102" r:id="rId2" xr:uid="{A5CE8088-4DF3-41BB-9B6B-B61142172C00}"/>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F50E-742C-4CFD-A1E3-555EF3555B36}">
  <dimension ref="A1:CB208"/>
  <sheetViews>
    <sheetView zoomScaleNormal="100" workbookViewId="0"/>
  </sheetViews>
  <sheetFormatPr baseColWidth="10" defaultColWidth="2.7109375" defaultRowHeight="12" x14ac:dyDescent="0.2"/>
  <cols>
    <col min="1" max="2" width="4.7109375" style="772" customWidth="1"/>
    <col min="3" max="3" width="8.140625" style="772" customWidth="1"/>
    <col min="4" max="4" width="6.85546875" style="772" customWidth="1"/>
    <col min="5" max="5" width="7.140625" style="772" customWidth="1"/>
    <col min="6" max="6" width="11.28515625" style="772" customWidth="1"/>
    <col min="7" max="7" width="9.5703125" style="772" customWidth="1"/>
    <col min="8" max="8" width="6.42578125" style="772" customWidth="1"/>
    <col min="9" max="9" width="9.28515625" style="772" customWidth="1"/>
    <col min="10" max="10" width="8.28515625" style="772" customWidth="1"/>
    <col min="11" max="11" width="10.85546875" style="772" customWidth="1"/>
    <col min="12" max="12" width="16.28515625" style="772" customWidth="1"/>
    <col min="13" max="13" width="6.28515625" style="772" customWidth="1"/>
    <col min="14" max="14" width="7.140625" style="772" customWidth="1"/>
    <col min="15" max="15" width="9.85546875" style="772" customWidth="1"/>
    <col min="16" max="16" width="12.42578125" style="772" customWidth="1"/>
    <col min="17" max="17" width="21" style="772" customWidth="1"/>
    <col min="18" max="18" width="8" style="772" customWidth="1"/>
    <col min="19" max="19" width="7.42578125" style="772" customWidth="1"/>
    <col min="20" max="20" width="6" style="772" customWidth="1"/>
    <col min="21" max="21" width="5.7109375" style="772" customWidth="1"/>
    <col min="22" max="22" width="17.5703125" style="772" customWidth="1"/>
    <col min="23" max="23" width="21.140625" style="772" customWidth="1"/>
    <col min="24" max="24" width="8.42578125" style="772" customWidth="1"/>
    <col min="25" max="25" width="9.28515625" style="772" customWidth="1"/>
    <col min="26" max="26" width="14.42578125" style="772" customWidth="1"/>
    <col min="27" max="27" width="8.7109375" style="772" customWidth="1"/>
    <col min="28" max="28" width="8.85546875" style="772" customWidth="1"/>
    <col min="29" max="29" width="12.5703125" style="772" customWidth="1"/>
    <col min="30" max="30" width="10.5703125" style="772" customWidth="1"/>
    <col min="31" max="31" width="12.5703125" style="772" customWidth="1"/>
    <col min="32" max="32" width="8" style="772" customWidth="1"/>
    <col min="33" max="33" width="9" style="772" customWidth="1"/>
    <col min="34" max="34" width="10" style="772" customWidth="1"/>
    <col min="35" max="35" width="9.28515625" style="772" customWidth="1"/>
    <col min="36" max="36" width="8" style="772" customWidth="1"/>
    <col min="37" max="39" width="4.7109375" style="772" customWidth="1"/>
    <col min="40" max="40" width="8.5703125" style="772" customWidth="1"/>
    <col min="41" max="41" width="9" style="772" customWidth="1"/>
    <col min="42" max="43" width="4.7109375" style="772" customWidth="1"/>
    <col min="44" max="45" width="8.42578125" style="772" customWidth="1"/>
    <col min="46" max="46" width="8.140625" style="772" customWidth="1"/>
    <col min="47" max="47" width="8.5703125" style="772" customWidth="1"/>
    <col min="48" max="48" width="8.28515625" style="772" customWidth="1"/>
    <col min="49" max="49" width="8.5703125" style="772" customWidth="1"/>
    <col min="50" max="50" width="7.7109375" style="772" customWidth="1"/>
    <col min="51" max="69" width="4.7109375" style="772" customWidth="1"/>
    <col min="70" max="80" width="6.7109375" style="772" customWidth="1"/>
    <col min="81" max="16384" width="2.7109375" style="772"/>
  </cols>
  <sheetData>
    <row r="1" spans="1:50" s="670" customFormat="1" x14ac:dyDescent="0.2"/>
    <row r="2" spans="1:50" s="670" customFormat="1" x14ac:dyDescent="0.2">
      <c r="B2" s="671"/>
      <c r="C2" s="671"/>
      <c r="D2" s="671"/>
      <c r="E2" s="671"/>
      <c r="F2" s="672"/>
      <c r="G2" s="672"/>
      <c r="H2" s="672"/>
      <c r="I2" s="672"/>
      <c r="J2" s="672"/>
      <c r="K2" s="672"/>
      <c r="L2" s="672"/>
      <c r="M2" s="672"/>
      <c r="N2" s="671"/>
      <c r="O2" s="672"/>
      <c r="P2" s="672"/>
      <c r="Q2" s="672"/>
      <c r="W2" s="670" t="s">
        <v>147</v>
      </c>
      <c r="AV2" s="673" t="s">
        <v>390</v>
      </c>
    </row>
    <row r="3" spans="1:50" s="670" customFormat="1" ht="13.5" customHeight="1" thickBot="1" x14ac:dyDescent="0.25">
      <c r="B3" s="672"/>
      <c r="C3" s="671"/>
      <c r="D3" s="671"/>
      <c r="E3" s="671"/>
      <c r="F3" s="671"/>
      <c r="G3" s="674" t="s">
        <v>105</v>
      </c>
      <c r="H3" s="674" t="s">
        <v>106</v>
      </c>
      <c r="I3" s="675" t="s">
        <v>391</v>
      </c>
      <c r="J3" s="676" t="s">
        <v>108</v>
      </c>
      <c r="K3" s="675" t="s">
        <v>101</v>
      </c>
      <c r="L3" s="676" t="s">
        <v>102</v>
      </c>
      <c r="M3" s="676" t="s">
        <v>103</v>
      </c>
      <c r="N3" s="676" t="s">
        <v>104</v>
      </c>
      <c r="O3" s="677">
        <f t="shared" ref="O3:V3" ca="1" si="0">IF(9-COUNTIF(O$17:O$25,"")&gt;1,O$16,99999)</f>
        <v>99999</v>
      </c>
      <c r="P3" s="678">
        <f t="shared" ca="1" si="0"/>
        <v>99999</v>
      </c>
      <c r="Q3" s="678">
        <f t="shared" ca="1" si="0"/>
        <v>99999</v>
      </c>
      <c r="R3" s="678">
        <f t="shared" ca="1" si="0"/>
        <v>4</v>
      </c>
      <c r="S3" s="678">
        <f t="shared" ca="1" si="0"/>
        <v>99999</v>
      </c>
      <c r="T3" s="678">
        <f t="shared" ca="1" si="0"/>
        <v>99999</v>
      </c>
      <c r="U3" s="678">
        <f t="shared" ca="1" si="0"/>
        <v>99999</v>
      </c>
      <c r="V3" s="678">
        <f t="shared" ca="1" si="0"/>
        <v>99999</v>
      </c>
      <c r="W3" s="1011">
        <f ca="1">IF($O$4&lt;10,$O$4,0)</f>
        <v>4</v>
      </c>
      <c r="X3" s="1012"/>
      <c r="Y3" s="1012"/>
      <c r="Z3" s="1012"/>
      <c r="AA3" s="1012"/>
      <c r="AB3" s="1011">
        <f ca="1">IF($P$4&lt;10,$P$4,0)</f>
        <v>0</v>
      </c>
      <c r="AC3" s="1012"/>
      <c r="AD3" s="1012"/>
      <c r="AE3" s="1012"/>
      <c r="AF3" s="1012"/>
      <c r="AG3" s="1011">
        <f ca="1">IF($Q$4&lt;10,$Q$4,0)</f>
        <v>0</v>
      </c>
      <c r="AH3" s="1012"/>
      <c r="AI3" s="1012"/>
      <c r="AJ3" s="1012"/>
      <c r="AK3" s="1012"/>
      <c r="AL3" s="1011">
        <f ca="1">IF($R$4&lt;10,$R$4,0)</f>
        <v>0</v>
      </c>
      <c r="AM3" s="1012"/>
      <c r="AN3" s="1012"/>
      <c r="AO3" s="1012"/>
      <c r="AP3" s="1012"/>
      <c r="AS3" s="676" t="s">
        <v>361</v>
      </c>
      <c r="AT3" s="676" t="s">
        <v>320</v>
      </c>
      <c r="AU3" s="676" t="s">
        <v>392</v>
      </c>
      <c r="AV3" s="676" t="s">
        <v>360</v>
      </c>
      <c r="AW3" s="676"/>
      <c r="AX3" s="676" t="s">
        <v>393</v>
      </c>
    </row>
    <row r="4" spans="1:50" s="670" customFormat="1" ht="12.75" thickTop="1" x14ac:dyDescent="0.2">
      <c r="A4" s="679"/>
      <c r="B4" s="672">
        <v>1</v>
      </c>
      <c r="C4" s="680">
        <f ca="1">RANK(D4,$D$4:$D$12,1)</f>
        <v>3</v>
      </c>
      <c r="D4" s="671">
        <f ca="1">E4+ROW()/1000+(F4="")*10</f>
        <v>3.004</v>
      </c>
      <c r="E4" s="681">
        <f ca="1">IF($AI$15,RANK(AH17,AH$17:AH$25,1),RANK(X17,X$17:X$25,1))</f>
        <v>3</v>
      </c>
      <c r="F4" s="672" t="str">
        <f>$Q64</f>
        <v>1. FC Riedwald</v>
      </c>
      <c r="G4" s="672">
        <f ca="1">SUMIFS($AH$64:$AH$135,$V$64:$V$135,$F4)+SUMIFS($AI$64:$AI$135,$W$64:$W$135,$F4)</f>
        <v>177</v>
      </c>
      <c r="H4" s="672">
        <f ca="1">SUMIFS($AI$64:$AI$135,$V$64:$V$135,$F4)+SUMIFS($AH$64:$AH$135,$W$64:$W$135,$F4)</f>
        <v>176</v>
      </c>
      <c r="I4" s="671">
        <f ca="1">IF(Einstellungen!$G$24,G4-H4,IF(H4=0,IF(G4=0,0,Einstellungen!$F$24),G4/H4))</f>
        <v>1</v>
      </c>
      <c r="J4" s="672">
        <f ca="1">$L4*Einstellungen!$C$4+$M4</f>
        <v>4</v>
      </c>
      <c r="K4" s="672">
        <f ca="1">SUMPRODUCT(($V$64:$V$135=F4)*($AJ$64:$AJ$135&lt;&gt;"")*$AA$64:$AA$135)+SUMPRODUCT(($W$64:$W$135=F4)*($AK$64:$AK$135&lt;&gt;"")*$AA$64:$AA$135)</f>
        <v>4</v>
      </c>
      <c r="L4" s="672">
        <f ca="1">SUMPRODUCT(($V$64:$V$135=F4)*($AJ$64:$AJ$135&gt;$AK$64:$AK$135)*$AA$64:$AA$135)+SUMPRODUCT(($W$64:$W$135=F4)*($AJ$64:$AJ$135&lt;$AK$64:$AK$135)*$AA$64:$AA$135)</f>
        <v>1</v>
      </c>
      <c r="M4" s="672">
        <f t="shared" ref="M4:M12" ca="1" si="1">SUMPRODUCT(($V$64:$W$135=F4)*($AJ$64:$AJ$135=$AK$64:$AK$135)*$AA$64:$AA$135)</f>
        <v>2</v>
      </c>
      <c r="N4" s="672">
        <f ca="1">K4-L4-M4</f>
        <v>1</v>
      </c>
      <c r="O4" s="682">
        <f ca="1">SMALL($O$3:$V$3,1)</f>
        <v>4</v>
      </c>
      <c r="P4" s="682">
        <f ca="1">SMALL($O$3:$V$3,2)</f>
        <v>99999</v>
      </c>
      <c r="Q4" s="682">
        <f ca="1">SMALL($O$3:$V$3,3)</f>
        <v>99999</v>
      </c>
      <c r="R4" s="682">
        <f ca="1">SMALL($O$3:$V$3,4)</f>
        <v>99999</v>
      </c>
      <c r="V4" s="672"/>
      <c r="W4" s="456" t="str">
        <f ca="1">IFERROR(INDEX($O$17:$V$25,ROW(A1),$W$3),"")</f>
        <v/>
      </c>
      <c r="X4" s="457" t="str">
        <f ca="1">INDEX($W$4:$W$12,MATCH(ROW(A1),$AA$4:$AA$12,0))</f>
        <v>FC Barcelona</v>
      </c>
      <c r="Y4" s="458">
        <f ca="1">IF($W4="",99999,VLOOKUP($W4,$C$17:$Z$25,24,0))</f>
        <v>99999</v>
      </c>
      <c r="Z4" s="459">
        <f ca="1">RANK(Y4,Y$4:Y$12,1)+INDEX($E$4:$E$12,MATCH(W4,$F$4:$F$12,0))/100+ROW()/10000</f>
        <v>3.0604</v>
      </c>
      <c r="AA4" s="460">
        <f ca="1">RANK($Z4,$Z$4:$Z$12,1)</f>
        <v>3</v>
      </c>
      <c r="AB4" s="461" t="str">
        <f t="shared" ref="AB4:AB12" ca="1" si="2">IFERROR(INDEX($O$17:$V$25,ROW(A1),$AB$3),"")</f>
        <v/>
      </c>
      <c r="AC4" s="462" t="str">
        <f ca="1">INDEX($AB$4:$AB$12,MATCH(ROW(A1),$AF$4:$AF$12,0))</f>
        <v/>
      </c>
      <c r="AD4" s="463">
        <f ca="1">IF($AB4="",99999,VLOOKUP($AB4,$C$17:$Z$25,24,0))</f>
        <v>99999</v>
      </c>
      <c r="AE4" s="459">
        <f ca="1">RANK(AD4,AD$4:AD$12,1)+INDEX($E$4:$E$12,MATCH(AB4,$F$4:$F$12,0))/100+ROW()/10000</f>
        <v>1.0604</v>
      </c>
      <c r="AF4" s="459">
        <f ca="1">RANK($AE4,$AE$4:$AE$12,1)</f>
        <v>1</v>
      </c>
      <c r="AG4" s="461" t="str">
        <f t="shared" ref="AG4:AG12" ca="1" si="3">IFERROR(INDEX($O$17:$V$25,ROW(C1),$AG$3),"")</f>
        <v/>
      </c>
      <c r="AH4" s="462" t="str">
        <f ca="1">INDEX($AG$4:$AG$12,MATCH(ROW(A1),$AK$4:$AK$12,0))</f>
        <v/>
      </c>
      <c r="AI4" s="463">
        <f ca="1">IF($AG4="",99999,VLOOKUP($AG4,$C$17:$Z$25,24,0))</f>
        <v>99999</v>
      </c>
      <c r="AJ4" s="459">
        <f ca="1">RANK(AI4,AI$4:AI$12,1)+INDEX($E$4:$E$12,MATCH(AG4,$F$4:$F$12,0))/100+ROW()/10000</f>
        <v>1.0604</v>
      </c>
      <c r="AK4" s="464">
        <f ca="1">RANK($AJ4,$AJ$4:$AJ$12,1)</f>
        <v>1</v>
      </c>
      <c r="AL4" s="462" t="str">
        <f t="shared" ref="AL4:AL12" ca="1" si="4">IFERROR(INDEX($O$17:$V$25,ROW(E1),$AL$3),"")</f>
        <v/>
      </c>
      <c r="AM4" s="462" t="str">
        <f ca="1">INDEX($AL$4:$AL$12,MATCH(ROW(A1),$AP$4:$AP$12,0))</f>
        <v/>
      </c>
      <c r="AN4" s="463">
        <f ca="1">IF($AL4="",99999,VLOOKUP($AL4,$C$17:$Z$25,24,0))</f>
        <v>99999</v>
      </c>
      <c r="AO4" s="459">
        <f ca="1">RANK(AN4,AN$4:AN$12,1)+INDEX($E$4:$E$12,MATCH(AL4,$F$4:$F$12,0))/100+ROW()/10000</f>
        <v>1.0604</v>
      </c>
      <c r="AP4" s="464">
        <f ca="1">RANK($AO4,$AO$4:$AO$12,1)</f>
        <v>1</v>
      </c>
      <c r="AS4" s="672">
        <f ca="1">SUMPRODUCT(($V$64:$V$135=F4)*$AK$64:$AK$135)+SUMPRODUCT(($W$64:$W$135=F4)*$AJ$64:$AJ$135)</f>
        <v>4</v>
      </c>
      <c r="AT4" s="672">
        <f ca="1">SUMPRODUCT(($V$64:$V$135=F4)*$AJ$64:$AJ$135)+SUMPRODUCT(($W$64:$W$135=F4)*$AK$64:$AK$135)</f>
        <v>4</v>
      </c>
      <c r="AU4" s="672">
        <f ca="1">AT4-AS4</f>
        <v>0</v>
      </c>
      <c r="AV4" s="672">
        <f ca="1">IF(Einstellungen!$G$24,$I4,ROUND($I4,Einstellungen!$H$24))</f>
        <v>1</v>
      </c>
      <c r="AW4" s="672">
        <f ca="1">I4-(F4="")*10000</f>
        <v>1</v>
      </c>
      <c r="AX4" s="672">
        <f ca="1" xml:space="preserve"> RANK(AW4,$AW$4:$AW$12,1)</f>
        <v>7</v>
      </c>
    </row>
    <row r="5" spans="1:50" s="670" customFormat="1" x14ac:dyDescent="0.2">
      <c r="A5" s="679"/>
      <c r="B5" s="672">
        <v>2</v>
      </c>
      <c r="C5" s="683">
        <f t="shared" ref="C5:C12" ca="1" si="5">RANK(D5,$D$4:$D$12,1)</f>
        <v>4</v>
      </c>
      <c r="D5" s="671">
        <f t="shared" ref="D5:D12" ca="1" si="6">E5+ROW()/1000+(F5="")*10</f>
        <v>4.0049999999999999</v>
      </c>
      <c r="E5" s="681">
        <f t="shared" ref="E5:E12" ca="1" si="7">IF($AI$15,RANK(AH18,AH$17:AH$25,1),RANK(X18,X$17:X$25,1))</f>
        <v>4</v>
      </c>
      <c r="F5" s="672" t="str">
        <f t="shared" ref="F5:F12" si="8">$Q65</f>
        <v>FC Barcelona</v>
      </c>
      <c r="G5" s="672">
        <f t="shared" ref="G5:G12" ca="1" si="9">SUMIFS($AH$64:$AH$135,$V$64:$V$135,$F5)+SUMIFS($AI$64:$AI$135,$W$64:$W$135,$F5)</f>
        <v>185</v>
      </c>
      <c r="H5" s="672">
        <f t="shared" ref="H5:H12" ca="1" si="10">SUMIFS($AI$64:$AI$135,$V$64:$V$135,$F5)+SUMIFS($AH$64:$AH$135,$W$64:$W$135,$F5)</f>
        <v>205</v>
      </c>
      <c r="I5" s="671">
        <f ca="1">IF(Einstellungen!$G$24,G5-H5,IF(H5=0,IF(G5=0,0,Einstellungen!$F$24),G5/H5))</f>
        <v>-20</v>
      </c>
      <c r="J5" s="672">
        <f ca="1">$L5*Einstellungen!$C$4+$M5</f>
        <v>3</v>
      </c>
      <c r="K5" s="672">
        <f t="shared" ref="K5:K12" ca="1" si="11">SUMPRODUCT(($V$64:$V$135=F5)*($AJ$64:$AJ$135&lt;&gt;"")*$AA$64:$AA$135)+SUMPRODUCT(($W$64:$W$135=F5)*($AK$64:$AK$135&lt;&gt;"")*$AA$64:$AA$135)</f>
        <v>4</v>
      </c>
      <c r="L5" s="672">
        <f t="shared" ref="L5:L12" ca="1" si="12">SUMPRODUCT(($V$64:$V$135=F5)*($AJ$64:$AJ$135&gt;$AK$64:$AK$135)*$AA$64:$AA$135)+SUMPRODUCT(($W$64:$W$135=F5)*($AJ$64:$AJ$135&lt;$AK$64:$AK$135)*$AA$64:$AA$135)</f>
        <v>1</v>
      </c>
      <c r="M5" s="672">
        <f t="shared" ca="1" si="1"/>
        <v>1</v>
      </c>
      <c r="N5" s="672">
        <f t="shared" ref="N5:N12" ca="1" si="13">K5-L5-M5</f>
        <v>2</v>
      </c>
      <c r="O5" s="684"/>
      <c r="P5" s="685"/>
      <c r="V5" s="672"/>
      <c r="W5" s="461" t="str">
        <f t="shared" ref="W5:W12" ca="1" si="14">IFERROR(INDEX($O$17:$V$25,ROW(A2),$W$3),"")</f>
        <v>FC Barcelona</v>
      </c>
      <c r="X5" s="462" t="str">
        <f t="shared" ref="X5:X12" ca="1" si="15">INDEX($W$4:$W$12,MATCH(ROW(A2),$AA$4:$AA$12,0))</f>
        <v>VFB Essenheim</v>
      </c>
      <c r="Y5" s="459">
        <f t="shared" ref="Y5:Y12" ca="1" si="16">IF($W5="",99999,VLOOKUP($W5,$C$17:$Z$25,24,0))</f>
        <v>1.9</v>
      </c>
      <c r="Z5" s="459">
        <f ca="1">RANK(Y5,Y$4:Y$12,1)+INDEX($E$4:$E$12,MATCH(W5,$F$4:$F$12,0))/100+ROW()/10000</f>
        <v>1.0405</v>
      </c>
      <c r="AA5" s="464">
        <f t="shared" ref="AA5:AA12" ca="1" si="17">RANK($Z5,$Z$4:$Z$12,1)</f>
        <v>1</v>
      </c>
      <c r="AB5" s="461" t="str">
        <f t="shared" ca="1" si="2"/>
        <v/>
      </c>
      <c r="AC5" s="462" t="str">
        <f t="shared" ref="AC5:AC12" ca="1" si="18">INDEX($AB$4:$AB$12,MATCH(ROW(A2),$AF$4:$AF$12,0))</f>
        <v/>
      </c>
      <c r="AD5" s="463">
        <f t="shared" ref="AD5:AD12" ca="1" si="19">IF($AB5="",99999,VLOOKUP($AB5,$C$17:$Z$25,24,0))</f>
        <v>99999</v>
      </c>
      <c r="AE5" s="459">
        <f ca="1">RANK(AD5,AD$4:AD$12,1)+INDEX($E$4:$E$12,MATCH(AB5,$F$4:$F$12,0))/100+ROW()/10000</f>
        <v>1.0605</v>
      </c>
      <c r="AF5" s="459">
        <f t="shared" ref="AF5:AF12" ca="1" si="20">RANK($AE5,$AE$4:$AE$12,1)</f>
        <v>2</v>
      </c>
      <c r="AG5" s="461" t="str">
        <f t="shared" ca="1" si="3"/>
        <v/>
      </c>
      <c r="AH5" s="462" t="str">
        <f t="shared" ref="AH5:AH12" ca="1" si="21">INDEX($AG$4:$AG$12,MATCH(ROW(A2),$AK$4:$AK$12,0))</f>
        <v/>
      </c>
      <c r="AI5" s="463">
        <f t="shared" ref="AI5:AI12" ca="1" si="22">IF($AG5="",99999,VLOOKUP($AG5,$C$17:$Z$25,24,0))</f>
        <v>99999</v>
      </c>
      <c r="AJ5" s="459">
        <f ca="1">RANK(AI5,AI$4:AI$12,1)+INDEX($E$4:$E$12,MATCH(AG5,$F$4:$F$12,0))/100+ROW()/10000</f>
        <v>1.0605</v>
      </c>
      <c r="AK5" s="464">
        <f t="shared" ref="AK5:AK12" ca="1" si="23">RANK($AJ5,$AJ$4:$AJ$12,1)</f>
        <v>2</v>
      </c>
      <c r="AL5" s="462" t="str">
        <f t="shared" ca="1" si="4"/>
        <v/>
      </c>
      <c r="AM5" s="462" t="str">
        <f t="shared" ref="AM5:AM12" ca="1" si="24">INDEX($AL$4:$AL$12,MATCH(ROW(A2),$AP$4:$AP$12,0))</f>
        <v/>
      </c>
      <c r="AN5" s="463">
        <f t="shared" ref="AN5:AN12" ca="1" si="25">IF($AL5="",99999,VLOOKUP($AL5,$C$17:$Z$25,24,0))</f>
        <v>99999</v>
      </c>
      <c r="AO5" s="459">
        <f ca="1">RANK(AN5,AN$4:AN$12,1)+INDEX($E$4:$E$12,MATCH(AL5,$F$4:$F$12,0))/100+ROW()/10000</f>
        <v>1.0605</v>
      </c>
      <c r="AP5" s="464">
        <f t="shared" ref="AP5:AP12" ca="1" si="26">RANK($AO5,$AO$4:$AO$12,1)</f>
        <v>2</v>
      </c>
      <c r="AS5" s="672">
        <f t="shared" ref="AS5:AS12" ca="1" si="27">SUMPRODUCT(($V$64:$V$135=F5)*$AK$64:$AK$135)+SUMPRODUCT(($W$64:$W$135=F5)*$AJ$64:$AJ$135)</f>
        <v>6</v>
      </c>
      <c r="AT5" s="672">
        <f t="shared" ref="AT5:AT12" ca="1" si="28">SUMPRODUCT(($V$64:$V$135=F5)*$AJ$64:$AJ$135)+SUMPRODUCT(($W$64:$W$135=F5)*$AK$64:$AK$135)</f>
        <v>3</v>
      </c>
      <c r="AU5" s="672">
        <f t="shared" ref="AU5:AU12" ca="1" si="29">AT5-AS5</f>
        <v>-3</v>
      </c>
      <c r="AV5" s="672">
        <f ca="1">IF(Einstellungen!$G$24,$I5,ROUND($I5,Einstellungen!$H$24))</f>
        <v>-20</v>
      </c>
      <c r="AW5" s="672">
        <f t="shared" ref="AW5:AW12" ca="1" si="30">I5-(F5="")*10000</f>
        <v>-20</v>
      </c>
      <c r="AX5" s="672">
        <f t="shared" ref="AX5:AX12" ca="1" si="31" xml:space="preserve"> RANK(AW5,$AW$4:$AW$12,1)</f>
        <v>5</v>
      </c>
    </row>
    <row r="6" spans="1:50" s="670" customFormat="1" x14ac:dyDescent="0.2">
      <c r="A6" s="679"/>
      <c r="B6" s="672">
        <v>3</v>
      </c>
      <c r="C6" s="683">
        <f t="shared" ca="1" si="5"/>
        <v>1</v>
      </c>
      <c r="D6" s="671">
        <f t="shared" ca="1" si="6"/>
        <v>1.006</v>
      </c>
      <c r="E6" s="681">
        <f t="shared" ca="1" si="7"/>
        <v>1</v>
      </c>
      <c r="F6" s="672" t="str">
        <f t="shared" si="8"/>
        <v>Eintracht Frankfurt</v>
      </c>
      <c r="G6" s="672">
        <f t="shared" ca="1" si="9"/>
        <v>191</v>
      </c>
      <c r="H6" s="672">
        <f t="shared" ca="1" si="10"/>
        <v>171</v>
      </c>
      <c r="I6" s="671">
        <f ca="1">IF(Einstellungen!$G$24,G6-H6,IF(H6=0,IF(G6=0,0,Einstellungen!$F$24),G6/H6))</f>
        <v>20</v>
      </c>
      <c r="J6" s="672">
        <f ca="1">$L6*Einstellungen!$C$4+$M6</f>
        <v>5</v>
      </c>
      <c r="K6" s="672">
        <f t="shared" ca="1" si="11"/>
        <v>4</v>
      </c>
      <c r="L6" s="672">
        <f t="shared" ca="1" si="12"/>
        <v>1</v>
      </c>
      <c r="M6" s="672">
        <f t="shared" ca="1" si="1"/>
        <v>3</v>
      </c>
      <c r="N6" s="672">
        <f t="shared" ca="1" si="13"/>
        <v>0</v>
      </c>
      <c r="O6" s="684"/>
      <c r="P6" s="685"/>
      <c r="V6" s="672"/>
      <c r="W6" s="461" t="str">
        <f t="shared" ca="1" si="14"/>
        <v/>
      </c>
      <c r="X6" s="462" t="str">
        <f t="shared" ca="1" si="15"/>
        <v/>
      </c>
      <c r="Y6" s="459">
        <f t="shared" ca="1" si="16"/>
        <v>99999</v>
      </c>
      <c r="Z6" s="459">
        <f ca="1">RANK(Y6,Y$4:Y$12,1)+INDEX($E$4:$E$12,MATCH(W6,$F$4:$F$12,0))/100+ROW()/10000</f>
        <v>3.0606</v>
      </c>
      <c r="AA6" s="464">
        <f t="shared" ca="1" si="17"/>
        <v>4</v>
      </c>
      <c r="AB6" s="461" t="str">
        <f t="shared" ca="1" si="2"/>
        <v/>
      </c>
      <c r="AC6" s="462" t="str">
        <f t="shared" ca="1" si="18"/>
        <v/>
      </c>
      <c r="AD6" s="463">
        <f t="shared" ca="1" si="19"/>
        <v>99999</v>
      </c>
      <c r="AE6" s="459">
        <f ca="1">RANK(AD6,AD$4:AD$12,1)+INDEX($E$4:$E$12,MATCH(AB6,$F$4:$F$12,0))/100+ROW()/10000</f>
        <v>1.0606</v>
      </c>
      <c r="AF6" s="459">
        <f t="shared" ca="1" si="20"/>
        <v>3</v>
      </c>
      <c r="AG6" s="461" t="str">
        <f t="shared" ca="1" si="3"/>
        <v/>
      </c>
      <c r="AH6" s="462" t="str">
        <f t="shared" ca="1" si="21"/>
        <v/>
      </c>
      <c r="AI6" s="463">
        <f t="shared" ca="1" si="22"/>
        <v>99999</v>
      </c>
      <c r="AJ6" s="459">
        <f ca="1">RANK(AI6,AI$4:AI$12,1)+INDEX($E$4:$E$12,MATCH(AG6,$F$4:$F$12,0))/100+ROW()/10000</f>
        <v>1.0606</v>
      </c>
      <c r="AK6" s="464">
        <f t="shared" ca="1" si="23"/>
        <v>3</v>
      </c>
      <c r="AL6" s="462" t="str">
        <f t="shared" ca="1" si="4"/>
        <v/>
      </c>
      <c r="AM6" s="462" t="str">
        <f t="shared" ca="1" si="24"/>
        <v/>
      </c>
      <c r="AN6" s="463">
        <f t="shared" ca="1" si="25"/>
        <v>99999</v>
      </c>
      <c r="AO6" s="459">
        <f ca="1">RANK(AN6,AN$4:AN$12,1)+INDEX($E$4:$E$12,MATCH(AL6,$F$4:$F$12,0))/100+ROW()/10000</f>
        <v>1.0606</v>
      </c>
      <c r="AP6" s="464">
        <f t="shared" ca="1" si="26"/>
        <v>3</v>
      </c>
      <c r="AS6" s="672">
        <f t="shared" ca="1" si="27"/>
        <v>3</v>
      </c>
      <c r="AT6" s="672">
        <f t="shared" ca="1" si="28"/>
        <v>5</v>
      </c>
      <c r="AU6" s="672">
        <f t="shared" ca="1" si="29"/>
        <v>2</v>
      </c>
      <c r="AV6" s="672">
        <f ca="1">IF(Einstellungen!$G$24,$I6,ROUND($I6,Einstellungen!$H$24))</f>
        <v>20</v>
      </c>
      <c r="AW6" s="672">
        <f t="shared" ca="1" si="30"/>
        <v>20</v>
      </c>
      <c r="AX6" s="672">
        <f t="shared" ca="1" si="31"/>
        <v>9</v>
      </c>
    </row>
    <row r="7" spans="1:50" s="670" customFormat="1" x14ac:dyDescent="0.2">
      <c r="A7" s="679"/>
      <c r="B7" s="672">
        <v>4</v>
      </c>
      <c r="C7" s="683">
        <f t="shared" ca="1" si="5"/>
        <v>2</v>
      </c>
      <c r="D7" s="671">
        <f t="shared" ca="1" si="6"/>
        <v>2.0070000000000001</v>
      </c>
      <c r="E7" s="681">
        <f t="shared" ca="1" si="7"/>
        <v>2</v>
      </c>
      <c r="F7" s="672" t="str">
        <f t="shared" si="8"/>
        <v>Maibach 1822 eV</v>
      </c>
      <c r="G7" s="672">
        <f t="shared" ca="1" si="9"/>
        <v>179</v>
      </c>
      <c r="H7" s="672">
        <f t="shared" ca="1" si="10"/>
        <v>160</v>
      </c>
      <c r="I7" s="671">
        <f ca="1">IF(Einstellungen!$G$24,G7-H7,IF(H7=0,IF(G7=0,0,Einstellungen!$F$24),G7/H7))</f>
        <v>19</v>
      </c>
      <c r="J7" s="672">
        <f ca="1">$L7*Einstellungen!$C$4+$M7</f>
        <v>5</v>
      </c>
      <c r="K7" s="672">
        <f t="shared" ca="1" si="11"/>
        <v>4</v>
      </c>
      <c r="L7" s="672">
        <f t="shared" ca="1" si="12"/>
        <v>2</v>
      </c>
      <c r="M7" s="672">
        <f t="shared" ca="1" si="1"/>
        <v>1</v>
      </c>
      <c r="N7" s="672">
        <f t="shared" ca="1" si="13"/>
        <v>1</v>
      </c>
      <c r="O7" s="684"/>
      <c r="P7" s="685"/>
      <c r="V7" s="672"/>
      <c r="W7" s="461" t="str">
        <f t="shared" ca="1" si="14"/>
        <v/>
      </c>
      <c r="X7" s="462" t="str">
        <f t="shared" ca="1" si="15"/>
        <v/>
      </c>
      <c r="Y7" s="459">
        <f t="shared" ca="1" si="16"/>
        <v>99999</v>
      </c>
      <c r="Z7" s="459">
        <f ca="1">RANK(Y7,Y$4:Y$12,1)+INDEX($E$4:$E$12,MATCH(W7,$F$4:$F$12,0))/100+ROW()/10000</f>
        <v>3.0607000000000002</v>
      </c>
      <c r="AA7" s="464">
        <f t="shared" ca="1" si="17"/>
        <v>5</v>
      </c>
      <c r="AB7" s="461" t="str">
        <f t="shared" ca="1" si="2"/>
        <v/>
      </c>
      <c r="AC7" s="462" t="str">
        <f t="shared" ca="1" si="18"/>
        <v/>
      </c>
      <c r="AD7" s="463">
        <f t="shared" ca="1" si="19"/>
        <v>99999</v>
      </c>
      <c r="AE7" s="459">
        <f ca="1">RANK(AD7,AD$4:AD$12,1)+INDEX($E$4:$E$12,MATCH(AB7,$F$4:$F$12,0))/100+ROW()/10000</f>
        <v>1.0607</v>
      </c>
      <c r="AF7" s="459">
        <f t="shared" ca="1" si="20"/>
        <v>4</v>
      </c>
      <c r="AG7" s="461" t="str">
        <f t="shared" ca="1" si="3"/>
        <v/>
      </c>
      <c r="AH7" s="462" t="str">
        <f t="shared" ca="1" si="21"/>
        <v/>
      </c>
      <c r="AI7" s="463">
        <f t="shared" ca="1" si="22"/>
        <v>99999</v>
      </c>
      <c r="AJ7" s="459">
        <f ca="1">RANK(AI7,AI$4:AI$12,1)+INDEX($E$4:$E$12,MATCH(AG7,$F$4:$F$12,0))/100+ROW()/10000</f>
        <v>1.0607</v>
      </c>
      <c r="AK7" s="464">
        <f t="shared" ca="1" si="23"/>
        <v>4</v>
      </c>
      <c r="AL7" s="462" t="str">
        <f t="shared" ca="1" si="4"/>
        <v/>
      </c>
      <c r="AM7" s="462" t="str">
        <f t="shared" ca="1" si="24"/>
        <v/>
      </c>
      <c r="AN7" s="463">
        <f t="shared" ca="1" si="25"/>
        <v>99999</v>
      </c>
      <c r="AO7" s="459">
        <f ca="1">RANK(AN7,AN$4:AN$12,1)+INDEX($E$4:$E$12,MATCH(AL7,$F$4:$F$12,0))/100+ROW()/10000</f>
        <v>1.0607</v>
      </c>
      <c r="AP7" s="464">
        <f t="shared" ca="1" si="26"/>
        <v>4</v>
      </c>
      <c r="AS7" s="672">
        <f t="shared" ca="1" si="27"/>
        <v>3</v>
      </c>
      <c r="AT7" s="672">
        <f t="shared" ca="1" si="28"/>
        <v>5</v>
      </c>
      <c r="AU7" s="672">
        <f t="shared" ca="1" si="29"/>
        <v>2</v>
      </c>
      <c r="AV7" s="672">
        <f ca="1">IF(Einstellungen!$G$24,$I7,ROUND($I7,Einstellungen!$H$24))</f>
        <v>19</v>
      </c>
      <c r="AW7" s="672">
        <f t="shared" ca="1" si="30"/>
        <v>19</v>
      </c>
      <c r="AX7" s="672">
        <f t="shared" ca="1" si="31"/>
        <v>8</v>
      </c>
    </row>
    <row r="8" spans="1:50" s="670" customFormat="1" x14ac:dyDescent="0.2">
      <c r="A8" s="679"/>
      <c r="B8" s="672">
        <v>5</v>
      </c>
      <c r="C8" s="683">
        <f t="shared" ca="1" si="5"/>
        <v>5</v>
      </c>
      <c r="D8" s="671">
        <f t="shared" ca="1" si="6"/>
        <v>5.008</v>
      </c>
      <c r="E8" s="681">
        <f t="shared" ca="1" si="7"/>
        <v>5</v>
      </c>
      <c r="F8" s="672" t="str">
        <f t="shared" si="8"/>
        <v>VFB Essenheim</v>
      </c>
      <c r="G8" s="672">
        <f t="shared" ca="1" si="9"/>
        <v>192</v>
      </c>
      <c r="H8" s="672">
        <f t="shared" ca="1" si="10"/>
        <v>212</v>
      </c>
      <c r="I8" s="671">
        <f ca="1">IF(Einstellungen!$G$24,G8-H8,IF(H8=0,IF(G8=0,0,Einstellungen!$F$24),G8/H8))</f>
        <v>-20</v>
      </c>
      <c r="J8" s="672">
        <f ca="1">$L8*Einstellungen!$C$4+$M8</f>
        <v>3</v>
      </c>
      <c r="K8" s="672">
        <f t="shared" ca="1" si="11"/>
        <v>4</v>
      </c>
      <c r="L8" s="672">
        <f t="shared" ca="1" si="12"/>
        <v>1</v>
      </c>
      <c r="M8" s="672">
        <f t="shared" ca="1" si="1"/>
        <v>1</v>
      </c>
      <c r="N8" s="672">
        <f t="shared" ca="1" si="13"/>
        <v>2</v>
      </c>
      <c r="P8" s="685"/>
      <c r="W8" s="461" t="str">
        <f t="shared" ca="1" si="14"/>
        <v>VFB Essenheim</v>
      </c>
      <c r="X8" s="462" t="str">
        <f t="shared" ca="1" si="15"/>
        <v/>
      </c>
      <c r="Y8" s="459">
        <f t="shared" ca="1" si="16"/>
        <v>2.9</v>
      </c>
      <c r="Z8" s="459">
        <f t="shared" ref="Z8:Z12" ca="1" si="32">RANK(Y8,Y$4:Y$12,1)+INDEX($E$4:$E$12,MATCH(W8,$F$4:$F$12,0))/100+ROW()/10000</f>
        <v>2.0507999999999997</v>
      </c>
      <c r="AA8" s="464">
        <f t="shared" ca="1" si="17"/>
        <v>2</v>
      </c>
      <c r="AB8" s="461" t="str">
        <f t="shared" ca="1" si="2"/>
        <v/>
      </c>
      <c r="AC8" s="462" t="str">
        <f t="shared" ca="1" si="18"/>
        <v/>
      </c>
      <c r="AD8" s="463">
        <f t="shared" ca="1" si="19"/>
        <v>99999</v>
      </c>
      <c r="AE8" s="459">
        <f t="shared" ref="AE8:AE12" ca="1" si="33">RANK(AD8,AD$4:AD$12,1)+INDEX($E$4:$E$12,MATCH(AB8,$F$4:$F$12,0))/100+ROW()/10000</f>
        <v>1.0608</v>
      </c>
      <c r="AF8" s="459">
        <f t="shared" ca="1" si="20"/>
        <v>5</v>
      </c>
      <c r="AG8" s="461" t="str">
        <f t="shared" ca="1" si="3"/>
        <v/>
      </c>
      <c r="AH8" s="462" t="str">
        <f t="shared" ca="1" si="21"/>
        <v/>
      </c>
      <c r="AI8" s="463">
        <f t="shared" ca="1" si="22"/>
        <v>99999</v>
      </c>
      <c r="AJ8" s="459">
        <f t="shared" ref="AJ8:AJ12" ca="1" si="34">RANK(AI8,AI$4:AI$12,1)+INDEX($E$4:$E$12,MATCH(AG8,$F$4:$F$12,0))/100+ROW()/10000</f>
        <v>1.0608</v>
      </c>
      <c r="AK8" s="464">
        <f t="shared" ca="1" si="23"/>
        <v>5</v>
      </c>
      <c r="AL8" s="462" t="str">
        <f t="shared" ca="1" si="4"/>
        <v/>
      </c>
      <c r="AM8" s="462" t="str">
        <f t="shared" ca="1" si="24"/>
        <v/>
      </c>
      <c r="AN8" s="463">
        <f t="shared" ca="1" si="25"/>
        <v>99999</v>
      </c>
      <c r="AO8" s="459">
        <f t="shared" ref="AO8:AO12" ca="1" si="35">RANK(AN8,AN$4:AN$12,1)+INDEX($E$4:$E$12,MATCH(AL8,$F$4:$F$12,0))/100+ROW()/10000</f>
        <v>1.0608</v>
      </c>
      <c r="AP8" s="464">
        <f t="shared" ca="1" si="26"/>
        <v>5</v>
      </c>
      <c r="AS8" s="672">
        <f t="shared" ca="1" si="27"/>
        <v>5</v>
      </c>
      <c r="AT8" s="672">
        <f t="shared" ca="1" si="28"/>
        <v>4</v>
      </c>
      <c r="AU8" s="672">
        <f t="shared" ca="1" si="29"/>
        <v>-1</v>
      </c>
      <c r="AV8" s="672">
        <f ca="1">IF(Einstellungen!$G$24,$I8,ROUND($I8,Einstellungen!$H$24))</f>
        <v>-20</v>
      </c>
      <c r="AW8" s="672">
        <f t="shared" ca="1" si="30"/>
        <v>-20</v>
      </c>
      <c r="AX8" s="672">
        <f t="shared" ca="1" si="31"/>
        <v>5</v>
      </c>
    </row>
    <row r="9" spans="1:50" s="670" customFormat="1" x14ac:dyDescent="0.2">
      <c r="A9" s="679"/>
      <c r="B9" s="672">
        <v>6</v>
      </c>
      <c r="C9" s="683">
        <f t="shared" ca="1" si="5"/>
        <v>6</v>
      </c>
      <c r="D9" s="671">
        <f t="shared" ca="1" si="6"/>
        <v>16.009</v>
      </c>
      <c r="E9" s="681">
        <f t="shared" ca="1" si="7"/>
        <v>6</v>
      </c>
      <c r="F9" s="672" t="str">
        <f t="shared" si="8"/>
        <v/>
      </c>
      <c r="G9" s="672">
        <f t="shared" ca="1" si="9"/>
        <v>0</v>
      </c>
      <c r="H9" s="672">
        <f t="shared" ca="1" si="10"/>
        <v>0</v>
      </c>
      <c r="I9" s="671">
        <f ca="1">IF(Einstellungen!$G$24,G9-H9,IF(H9=0,IF(G9=0,0,Einstellungen!$F$24),G9/H9))</f>
        <v>0</v>
      </c>
      <c r="J9" s="672">
        <f ca="1">$L9*Einstellungen!$C$4+$M9</f>
        <v>0</v>
      </c>
      <c r="K9" s="672">
        <f t="shared" ca="1" si="11"/>
        <v>0</v>
      </c>
      <c r="L9" s="672">
        <f t="shared" ca="1" si="12"/>
        <v>0</v>
      </c>
      <c r="M9" s="672">
        <f t="shared" ca="1" si="1"/>
        <v>0</v>
      </c>
      <c r="N9" s="672">
        <f t="shared" ca="1" si="13"/>
        <v>0</v>
      </c>
      <c r="P9" s="685"/>
      <c r="W9" s="461" t="str">
        <f t="shared" ca="1" si="14"/>
        <v/>
      </c>
      <c r="X9" s="462" t="str">
        <f t="shared" ca="1" si="15"/>
        <v/>
      </c>
      <c r="Y9" s="459">
        <f t="shared" ca="1" si="16"/>
        <v>99999</v>
      </c>
      <c r="Z9" s="459">
        <f t="shared" ca="1" si="32"/>
        <v>3.0609000000000002</v>
      </c>
      <c r="AA9" s="464">
        <f t="shared" ca="1" si="17"/>
        <v>6</v>
      </c>
      <c r="AB9" s="461" t="str">
        <f t="shared" ca="1" si="2"/>
        <v/>
      </c>
      <c r="AC9" s="462" t="str">
        <f t="shared" ca="1" si="18"/>
        <v/>
      </c>
      <c r="AD9" s="463">
        <f t="shared" ca="1" si="19"/>
        <v>99999</v>
      </c>
      <c r="AE9" s="459">
        <f t="shared" ca="1" si="33"/>
        <v>1.0609</v>
      </c>
      <c r="AF9" s="459">
        <f t="shared" ca="1" si="20"/>
        <v>6</v>
      </c>
      <c r="AG9" s="461" t="str">
        <f t="shared" ca="1" si="3"/>
        <v/>
      </c>
      <c r="AH9" s="462" t="str">
        <f t="shared" ca="1" si="21"/>
        <v/>
      </c>
      <c r="AI9" s="463">
        <f t="shared" ca="1" si="22"/>
        <v>99999</v>
      </c>
      <c r="AJ9" s="459">
        <f t="shared" ca="1" si="34"/>
        <v>1.0609</v>
      </c>
      <c r="AK9" s="464">
        <f t="shared" ca="1" si="23"/>
        <v>6</v>
      </c>
      <c r="AL9" s="462" t="str">
        <f t="shared" ca="1" si="4"/>
        <v/>
      </c>
      <c r="AM9" s="462" t="str">
        <f t="shared" ca="1" si="24"/>
        <v/>
      </c>
      <c r="AN9" s="463">
        <f t="shared" ca="1" si="25"/>
        <v>99999</v>
      </c>
      <c r="AO9" s="459">
        <f t="shared" ca="1" si="35"/>
        <v>1.0609</v>
      </c>
      <c r="AP9" s="464">
        <f t="shared" ca="1" si="26"/>
        <v>6</v>
      </c>
      <c r="AS9" s="672">
        <f t="shared" ca="1" si="27"/>
        <v>0</v>
      </c>
      <c r="AT9" s="672">
        <f t="shared" ca="1" si="28"/>
        <v>0</v>
      </c>
      <c r="AU9" s="672">
        <f t="shared" ca="1" si="29"/>
        <v>0</v>
      </c>
      <c r="AV9" s="672">
        <f ca="1">IF(Einstellungen!$G$24,$I9,ROUND($I9,Einstellungen!$H$24))</f>
        <v>0</v>
      </c>
      <c r="AW9" s="672">
        <f t="shared" ca="1" si="30"/>
        <v>-10000</v>
      </c>
      <c r="AX9" s="672">
        <f t="shared" ca="1" si="31"/>
        <v>1</v>
      </c>
    </row>
    <row r="10" spans="1:50" s="670" customFormat="1" x14ac:dyDescent="0.2">
      <c r="A10" s="679"/>
      <c r="B10" s="672">
        <v>7</v>
      </c>
      <c r="C10" s="683">
        <f t="shared" ca="1" si="5"/>
        <v>7</v>
      </c>
      <c r="D10" s="671">
        <f t="shared" ca="1" si="6"/>
        <v>16.009999999999998</v>
      </c>
      <c r="E10" s="681">
        <f t="shared" ca="1" si="7"/>
        <v>6</v>
      </c>
      <c r="F10" s="672" t="str">
        <f t="shared" si="8"/>
        <v/>
      </c>
      <c r="G10" s="672">
        <f t="shared" ca="1" si="9"/>
        <v>0</v>
      </c>
      <c r="H10" s="672">
        <f t="shared" ca="1" si="10"/>
        <v>0</v>
      </c>
      <c r="I10" s="671">
        <f ca="1">IF(Einstellungen!$G$24,G10-H10,IF(H10=0,IF(G10=0,0,Einstellungen!$F$24),G10/H10))</f>
        <v>0</v>
      </c>
      <c r="J10" s="672">
        <f ca="1">$L10*Einstellungen!$C$4+$M10</f>
        <v>0</v>
      </c>
      <c r="K10" s="672">
        <f t="shared" ca="1" si="11"/>
        <v>0</v>
      </c>
      <c r="L10" s="672">
        <f t="shared" ca="1" si="12"/>
        <v>0</v>
      </c>
      <c r="M10" s="672">
        <f t="shared" ca="1" si="1"/>
        <v>0</v>
      </c>
      <c r="N10" s="672">
        <f t="shared" ca="1" si="13"/>
        <v>0</v>
      </c>
      <c r="P10" s="685"/>
      <c r="W10" s="461" t="str">
        <f t="shared" ca="1" si="14"/>
        <v/>
      </c>
      <c r="X10" s="462" t="str">
        <f t="shared" ca="1" si="15"/>
        <v/>
      </c>
      <c r="Y10" s="459">
        <f t="shared" ca="1" si="16"/>
        <v>99999</v>
      </c>
      <c r="Z10" s="459">
        <f t="shared" ca="1" si="32"/>
        <v>3.0609999999999999</v>
      </c>
      <c r="AA10" s="464">
        <f t="shared" ca="1" si="17"/>
        <v>7</v>
      </c>
      <c r="AB10" s="461" t="str">
        <f t="shared" ca="1" si="2"/>
        <v/>
      </c>
      <c r="AC10" s="462" t="str">
        <f t="shared" ca="1" si="18"/>
        <v/>
      </c>
      <c r="AD10" s="463">
        <f t="shared" ca="1" si="19"/>
        <v>99999</v>
      </c>
      <c r="AE10" s="459">
        <f t="shared" ca="1" si="33"/>
        <v>1.0609999999999999</v>
      </c>
      <c r="AF10" s="459">
        <f t="shared" ca="1" si="20"/>
        <v>7</v>
      </c>
      <c r="AG10" s="461" t="str">
        <f t="shared" ca="1" si="3"/>
        <v/>
      </c>
      <c r="AH10" s="462" t="str">
        <f t="shared" ca="1" si="21"/>
        <v/>
      </c>
      <c r="AI10" s="463">
        <f t="shared" ca="1" si="22"/>
        <v>99999</v>
      </c>
      <c r="AJ10" s="459">
        <f t="shared" ca="1" si="34"/>
        <v>1.0609999999999999</v>
      </c>
      <c r="AK10" s="464">
        <f t="shared" ca="1" si="23"/>
        <v>7</v>
      </c>
      <c r="AL10" s="462" t="str">
        <f t="shared" ca="1" si="4"/>
        <v/>
      </c>
      <c r="AM10" s="462" t="str">
        <f t="shared" ca="1" si="24"/>
        <v/>
      </c>
      <c r="AN10" s="463">
        <f t="shared" ca="1" si="25"/>
        <v>99999</v>
      </c>
      <c r="AO10" s="459">
        <f t="shared" ca="1" si="35"/>
        <v>1.0609999999999999</v>
      </c>
      <c r="AP10" s="464">
        <f t="shared" ca="1" si="26"/>
        <v>7</v>
      </c>
      <c r="AS10" s="672">
        <f t="shared" ca="1" si="27"/>
        <v>0</v>
      </c>
      <c r="AT10" s="672">
        <f t="shared" ca="1" si="28"/>
        <v>0</v>
      </c>
      <c r="AU10" s="672">
        <f t="shared" ca="1" si="29"/>
        <v>0</v>
      </c>
      <c r="AV10" s="672">
        <f ca="1">IF(Einstellungen!$G$24,$I10,ROUND($I10,Einstellungen!$H$24))</f>
        <v>0</v>
      </c>
      <c r="AW10" s="672">
        <f t="shared" ca="1" si="30"/>
        <v>-10000</v>
      </c>
      <c r="AX10" s="672">
        <f t="shared" ca="1" si="31"/>
        <v>1</v>
      </c>
    </row>
    <row r="11" spans="1:50" s="670" customFormat="1" x14ac:dyDescent="0.2">
      <c r="A11" s="679"/>
      <c r="B11" s="672">
        <v>8</v>
      </c>
      <c r="C11" s="683">
        <f t="shared" ca="1" si="5"/>
        <v>8</v>
      </c>
      <c r="D11" s="671">
        <f t="shared" ca="1" si="6"/>
        <v>16.010999999999999</v>
      </c>
      <c r="E11" s="681">
        <f t="shared" ca="1" si="7"/>
        <v>6</v>
      </c>
      <c r="F11" s="672" t="str">
        <f t="shared" si="8"/>
        <v/>
      </c>
      <c r="G11" s="672">
        <f t="shared" ca="1" si="9"/>
        <v>0</v>
      </c>
      <c r="H11" s="672">
        <f t="shared" ca="1" si="10"/>
        <v>0</v>
      </c>
      <c r="I11" s="671">
        <f ca="1">IF(Einstellungen!$G$24,G11-H11,IF(H11=0,IF(G11=0,0,Einstellungen!$F$24),G11/H11))</f>
        <v>0</v>
      </c>
      <c r="J11" s="672">
        <f ca="1">$L11*Einstellungen!$C$4+$M11</f>
        <v>0</v>
      </c>
      <c r="K11" s="672">
        <f t="shared" ca="1" si="11"/>
        <v>0</v>
      </c>
      <c r="L11" s="672">
        <f t="shared" ca="1" si="12"/>
        <v>0</v>
      </c>
      <c r="M11" s="672">
        <f t="shared" ca="1" si="1"/>
        <v>0</v>
      </c>
      <c r="N11" s="672">
        <f t="shared" ca="1" si="13"/>
        <v>0</v>
      </c>
      <c r="O11" s="671"/>
      <c r="P11" s="671"/>
      <c r="Q11" s="671"/>
      <c r="R11" s="671"/>
      <c r="S11" s="671"/>
      <c r="T11" s="671"/>
      <c r="U11" s="671"/>
      <c r="V11" s="671"/>
      <c r="W11" s="461" t="str">
        <f t="shared" ca="1" si="14"/>
        <v/>
      </c>
      <c r="X11" s="462" t="str">
        <f t="shared" ca="1" si="15"/>
        <v/>
      </c>
      <c r="Y11" s="459">
        <f t="shared" ca="1" si="16"/>
        <v>99999</v>
      </c>
      <c r="Z11" s="459">
        <f t="shared" ca="1" si="32"/>
        <v>3.0611000000000002</v>
      </c>
      <c r="AA11" s="464">
        <f t="shared" ca="1" si="17"/>
        <v>8</v>
      </c>
      <c r="AB11" s="461" t="str">
        <f t="shared" ca="1" si="2"/>
        <v/>
      </c>
      <c r="AC11" s="462" t="str">
        <f t="shared" ca="1" si="18"/>
        <v/>
      </c>
      <c r="AD11" s="463">
        <f t="shared" ca="1" si="19"/>
        <v>99999</v>
      </c>
      <c r="AE11" s="459">
        <f t="shared" ca="1" si="33"/>
        <v>1.0611000000000002</v>
      </c>
      <c r="AF11" s="459">
        <f t="shared" ca="1" si="20"/>
        <v>8</v>
      </c>
      <c r="AG11" s="461" t="str">
        <f t="shared" ca="1" si="3"/>
        <v/>
      </c>
      <c r="AH11" s="462" t="str">
        <f t="shared" ca="1" si="21"/>
        <v/>
      </c>
      <c r="AI11" s="463">
        <f t="shared" ca="1" si="22"/>
        <v>99999</v>
      </c>
      <c r="AJ11" s="459">
        <f t="shared" ca="1" si="34"/>
        <v>1.0611000000000002</v>
      </c>
      <c r="AK11" s="464">
        <f t="shared" ca="1" si="23"/>
        <v>8</v>
      </c>
      <c r="AL11" s="462" t="str">
        <f t="shared" ca="1" si="4"/>
        <v/>
      </c>
      <c r="AM11" s="462" t="str">
        <f t="shared" ca="1" si="24"/>
        <v/>
      </c>
      <c r="AN11" s="463">
        <f t="shared" ca="1" si="25"/>
        <v>99999</v>
      </c>
      <c r="AO11" s="459">
        <f t="shared" ca="1" si="35"/>
        <v>1.0611000000000002</v>
      </c>
      <c r="AP11" s="464">
        <f t="shared" ca="1" si="26"/>
        <v>8</v>
      </c>
      <c r="AS11" s="672">
        <f t="shared" ca="1" si="27"/>
        <v>0</v>
      </c>
      <c r="AT11" s="672">
        <f t="shared" ca="1" si="28"/>
        <v>0</v>
      </c>
      <c r="AU11" s="672">
        <f t="shared" ca="1" si="29"/>
        <v>0</v>
      </c>
      <c r="AV11" s="672">
        <f ca="1">IF(Einstellungen!$G$24,$I11,ROUND($I11,Einstellungen!$H$24))</f>
        <v>0</v>
      </c>
      <c r="AW11" s="672">
        <f t="shared" ca="1" si="30"/>
        <v>-10000</v>
      </c>
      <c r="AX11" s="672">
        <f t="shared" ca="1" si="31"/>
        <v>1</v>
      </c>
    </row>
    <row r="12" spans="1:50" s="670" customFormat="1" ht="12.75" thickBot="1" x14ac:dyDescent="0.25">
      <c r="A12" s="679"/>
      <c r="B12" s="672">
        <v>9</v>
      </c>
      <c r="C12" s="686">
        <f t="shared" ca="1" si="5"/>
        <v>9</v>
      </c>
      <c r="D12" s="671">
        <f t="shared" ca="1" si="6"/>
        <v>16.012</v>
      </c>
      <c r="E12" s="681">
        <f t="shared" ca="1" si="7"/>
        <v>6</v>
      </c>
      <c r="F12" s="672" t="str">
        <f t="shared" si="8"/>
        <v/>
      </c>
      <c r="G12" s="672">
        <f t="shared" ca="1" si="9"/>
        <v>0</v>
      </c>
      <c r="H12" s="672">
        <f t="shared" ca="1" si="10"/>
        <v>0</v>
      </c>
      <c r="I12" s="671">
        <f ca="1">IF(Einstellungen!$G$24,G12-H12,IF(H12=0,IF(G12=0,0,Einstellungen!$F$24),G12/H12))</f>
        <v>0</v>
      </c>
      <c r="J12" s="672">
        <f ca="1">$L12*Einstellungen!$C$4+$M12</f>
        <v>0</v>
      </c>
      <c r="K12" s="687">
        <f t="shared" ca="1" si="11"/>
        <v>0</v>
      </c>
      <c r="L12" s="672">
        <f t="shared" ca="1" si="12"/>
        <v>0</v>
      </c>
      <c r="M12" s="672">
        <f t="shared" ca="1" si="1"/>
        <v>0</v>
      </c>
      <c r="N12" s="672">
        <f t="shared" ca="1" si="13"/>
        <v>0</v>
      </c>
      <c r="O12" s="672"/>
      <c r="P12" s="672"/>
      <c r="Q12" s="672"/>
      <c r="R12" s="672"/>
      <c r="S12" s="672"/>
      <c r="T12" s="672"/>
      <c r="U12" s="672"/>
      <c r="V12" s="672"/>
      <c r="W12" s="465" t="str">
        <f t="shared" ca="1" si="14"/>
        <v/>
      </c>
      <c r="X12" s="466" t="str">
        <f t="shared" ca="1" si="15"/>
        <v/>
      </c>
      <c r="Y12" s="467">
        <f t="shared" ca="1" si="16"/>
        <v>99999</v>
      </c>
      <c r="Z12" s="467">
        <f t="shared" ca="1" si="32"/>
        <v>3.0611999999999999</v>
      </c>
      <c r="AA12" s="468">
        <f t="shared" ca="1" si="17"/>
        <v>9</v>
      </c>
      <c r="AB12" s="465" t="str">
        <f t="shared" ca="1" si="2"/>
        <v/>
      </c>
      <c r="AC12" s="466" t="str">
        <f t="shared" ca="1" si="18"/>
        <v/>
      </c>
      <c r="AD12" s="469">
        <f t="shared" ca="1" si="19"/>
        <v>99999</v>
      </c>
      <c r="AE12" s="467">
        <f t="shared" ca="1" si="33"/>
        <v>1.0612000000000001</v>
      </c>
      <c r="AF12" s="467">
        <f t="shared" ca="1" si="20"/>
        <v>9</v>
      </c>
      <c r="AG12" s="465" t="str">
        <f t="shared" ca="1" si="3"/>
        <v/>
      </c>
      <c r="AH12" s="466" t="str">
        <f t="shared" ca="1" si="21"/>
        <v/>
      </c>
      <c r="AI12" s="469">
        <f t="shared" ca="1" si="22"/>
        <v>99999</v>
      </c>
      <c r="AJ12" s="467">
        <f t="shared" ca="1" si="34"/>
        <v>1.0612000000000001</v>
      </c>
      <c r="AK12" s="468">
        <f t="shared" ca="1" si="23"/>
        <v>9</v>
      </c>
      <c r="AL12" s="466" t="str">
        <f t="shared" ca="1" si="4"/>
        <v/>
      </c>
      <c r="AM12" s="466" t="str">
        <f t="shared" ca="1" si="24"/>
        <v/>
      </c>
      <c r="AN12" s="469">
        <f t="shared" ca="1" si="25"/>
        <v>99999</v>
      </c>
      <c r="AO12" s="467">
        <f t="shared" ca="1" si="35"/>
        <v>1.0612000000000001</v>
      </c>
      <c r="AP12" s="468">
        <f t="shared" ca="1" si="26"/>
        <v>9</v>
      </c>
      <c r="AS12" s="672">
        <f t="shared" ca="1" si="27"/>
        <v>0</v>
      </c>
      <c r="AT12" s="672">
        <f t="shared" ca="1" si="28"/>
        <v>0</v>
      </c>
      <c r="AU12" s="672">
        <f t="shared" ca="1" si="29"/>
        <v>0</v>
      </c>
      <c r="AV12" s="672">
        <f ca="1">IF(Einstellungen!$G$24,$I12,ROUND($I12,Einstellungen!$H$24))</f>
        <v>0</v>
      </c>
      <c r="AW12" s="672">
        <f t="shared" ca="1" si="30"/>
        <v>-10000</v>
      </c>
      <c r="AX12" s="672">
        <f t="shared" ca="1" si="31"/>
        <v>1</v>
      </c>
    </row>
    <row r="13" spans="1:50" s="670" customFormat="1" ht="12.75" thickTop="1" x14ac:dyDescent="0.2">
      <c r="B13" s="671">
        <f>$F$13*($F$13-1)</f>
        <v>20</v>
      </c>
      <c r="C13" s="671"/>
      <c r="D13" s="671"/>
      <c r="E13" s="671"/>
      <c r="F13" s="671">
        <f>9-COUNTBLANK($F$4:$F$12)</f>
        <v>5</v>
      </c>
      <c r="G13" s="671"/>
      <c r="H13" s="671"/>
      <c r="I13" s="671"/>
      <c r="J13" s="671"/>
      <c r="K13" s="676">
        <f ca="1">QUOTIENT(SUM(K4:K12),2)</f>
        <v>10</v>
      </c>
      <c r="L13" s="672"/>
      <c r="M13" s="672"/>
      <c r="N13" s="672"/>
      <c r="O13" s="672"/>
      <c r="P13" s="672"/>
      <c r="Q13" s="672"/>
      <c r="R13" s="672"/>
      <c r="S13" s="672"/>
      <c r="T13" s="672"/>
      <c r="U13" s="672"/>
      <c r="V13" s="672"/>
      <c r="Y13" s="672"/>
      <c r="Z13" s="672"/>
    </row>
    <row r="14" spans="1:50" s="670" customFormat="1" x14ac:dyDescent="0.2">
      <c r="B14" s="688">
        <f>MAX($B$13,Calc2!$B$13)/2*3</f>
        <v>30</v>
      </c>
      <c r="D14" s="672" t="s">
        <v>394</v>
      </c>
      <c r="F14" s="688">
        <f>MAX($F$13,Calc2!$F$13)</f>
        <v>5</v>
      </c>
      <c r="O14" s="672"/>
      <c r="P14" s="672"/>
      <c r="Q14" s="672"/>
      <c r="R14" s="672"/>
      <c r="S14" s="672"/>
      <c r="T14" s="672"/>
      <c r="U14" s="672"/>
      <c r="V14" s="672"/>
      <c r="W14" s="672"/>
      <c r="Y14" s="672"/>
      <c r="Z14" s="672"/>
    </row>
    <row r="15" spans="1:50" s="670" customFormat="1" x14ac:dyDescent="0.2">
      <c r="O15" s="689"/>
      <c r="AD15" s="690"/>
      <c r="AE15" s="690"/>
      <c r="AF15" s="690"/>
      <c r="AG15" s="690"/>
      <c r="AH15" s="690"/>
      <c r="AI15" s="691"/>
      <c r="AK15" s="679"/>
    </row>
    <row r="16" spans="1:50" s="670" customFormat="1" ht="15.75" thickBot="1" x14ac:dyDescent="0.25">
      <c r="B16" s="671" t="s">
        <v>5</v>
      </c>
      <c r="C16" s="675" t="s">
        <v>96</v>
      </c>
      <c r="D16" s="675" t="s">
        <v>101</v>
      </c>
      <c r="E16" s="675" t="s">
        <v>102</v>
      </c>
      <c r="F16" s="675" t="s">
        <v>103</v>
      </c>
      <c r="G16" s="675" t="s">
        <v>104</v>
      </c>
      <c r="H16" s="675" t="s">
        <v>105</v>
      </c>
      <c r="I16" s="675" t="s">
        <v>106</v>
      </c>
      <c r="J16" s="675" t="s">
        <v>107</v>
      </c>
      <c r="K16" s="675"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row>
    <row r="17" spans="2:80" s="670" customFormat="1" ht="12.75" thickTop="1" x14ac:dyDescent="0.2">
      <c r="C17" s="670" t="str">
        <f>$Q64</f>
        <v>1. FC Riedwald</v>
      </c>
      <c r="D17" s="672">
        <f t="shared" ref="D17:G25" ca="1" si="36">K4</f>
        <v>4</v>
      </c>
      <c r="E17" s="672">
        <f t="shared" ca="1" si="36"/>
        <v>1</v>
      </c>
      <c r="F17" s="672">
        <f t="shared" ca="1" si="36"/>
        <v>2</v>
      </c>
      <c r="G17" s="672">
        <f t="shared" ca="1" si="36"/>
        <v>1</v>
      </c>
      <c r="H17" s="672">
        <f t="shared" ref="H17:J25" ca="1" si="37">G4</f>
        <v>177</v>
      </c>
      <c r="I17" s="672">
        <f t="shared" ca="1" si="37"/>
        <v>176</v>
      </c>
      <c r="J17" s="671">
        <f t="shared" ca="1" si="37"/>
        <v>1</v>
      </c>
      <c r="K17" s="672">
        <f ca="1">IF(Einstellungen!$G$9,J4,$AT4)</f>
        <v>4</v>
      </c>
      <c r="L17" s="696">
        <f ca="1">K17*$F$64+(AU4+$H$65)*$F$65*Einstellungen!$G$14+AT4*$F$66*Einstellungen!$G$19+AX4*$F$67</f>
        <v>4000000.0070000002</v>
      </c>
      <c r="M17" s="688">
        <f ca="1">IF($AI$15,COUNTIF($K$17:$K$25,K17),COUNTIF($L$17:$L$25,L17))</f>
        <v>1</v>
      </c>
      <c r="N17" s="688">
        <f t="array" aca="1" ref="N17" ca="1">IF($AI$15,SUM(($K$17:$K$25&gt;=K17)/COUNTIF($K$17:$K$25,$K$17:$K$25)),SUM(($L$17:$L$25&gt;=L17)/COUNTIF($L$17:$L$25,$L$17:$L$25)))</f>
        <v>3</v>
      </c>
      <c r="O17" s="697" t="str">
        <f t="shared" ref="O17:O25" ca="1" si="38">IF(AND(M17&gt;1,N17=1),C17,"")</f>
        <v/>
      </c>
      <c r="P17" s="698" t="str">
        <f t="shared" ref="P17:P25" ca="1" si="39">IF(AND(M17&gt;1,N17=2),C17,"")</f>
        <v/>
      </c>
      <c r="Q17" s="698" t="str">
        <f t="shared" ref="Q17:Q25" ca="1" si="40">IF(AND(M17&gt;1,N17=3),C17,"")</f>
        <v/>
      </c>
      <c r="R17" s="698" t="str">
        <f t="shared" ref="R17:R25" ca="1" si="41">IF(AND(M17&gt;1,N17=4),C17,"")</f>
        <v/>
      </c>
      <c r="S17" s="698" t="str">
        <f t="shared" ref="S17:S25" ca="1" si="42">IF(AND(M17&gt;1,N17=5),C17,"")</f>
        <v/>
      </c>
      <c r="T17" s="698" t="str">
        <f t="shared" ref="T17:T25" ca="1" si="43">IF(AND($M17&gt;1,$N17=6),$C17,"")</f>
        <v/>
      </c>
      <c r="U17" s="698" t="str">
        <f t="shared" ref="U17:U25" ca="1" si="44">IF(AND($M17&gt;1,$N17=7),$C17,"")</f>
        <v/>
      </c>
      <c r="V17" s="699" t="str">
        <f t="shared" ref="V17:V25" ca="1" si="45">IF(AND($M17&gt;1,$N17=8),$C17,"")</f>
        <v/>
      </c>
      <c r="W17" s="700">
        <f ca="1">AA17*$F$64+(AB17+$H$65)*$F$65</f>
        <v>500000</v>
      </c>
      <c r="X17" s="680">
        <f ca="1">RANK($L17,$L$17:$L$25)+RANK($W17,$W$17:$W$25)/100+(9-$Y17)/10000+($C17="")*100</f>
        <v>3.0308999999999999</v>
      </c>
      <c r="Y17" s="671">
        <f>Vorrunde!$AX12+$AD17</f>
        <v>0</v>
      </c>
      <c r="Z17" s="672">
        <f ca="1">RANK($W17,$W$17:$W$25)+(9-$Y17)/10</f>
        <v>3.9</v>
      </c>
      <c r="AA17" s="672">
        <f ca="1">SUM(E30:BP30)</f>
        <v>0</v>
      </c>
      <c r="AB17" s="672">
        <f ca="1">SUM(E41:BP41)</f>
        <v>0</v>
      </c>
      <c r="AC17" s="672">
        <f ca="1">SUM(E52:BP52)</f>
        <v>0</v>
      </c>
      <c r="AD17" s="671">
        <f>IF($C17="",0,COUNTIF(Playoffs!$U$12:$U$17,$C17))</f>
        <v>0</v>
      </c>
      <c r="AE17" s="779"/>
      <c r="AF17" s="671"/>
      <c r="AG17" s="671"/>
      <c r="AH17" s="701"/>
      <c r="AI17" s="671"/>
    </row>
    <row r="18" spans="2:80" s="670" customFormat="1" x14ac:dyDescent="0.2">
      <c r="C18" s="670" t="str">
        <f t="shared" ref="C18:C25" si="46">$Q65</f>
        <v>FC Barcelona</v>
      </c>
      <c r="D18" s="672">
        <f t="shared" ca="1" si="36"/>
        <v>4</v>
      </c>
      <c r="E18" s="672">
        <f t="shared" ca="1" si="36"/>
        <v>1</v>
      </c>
      <c r="F18" s="672">
        <f t="shared" ca="1" si="36"/>
        <v>1</v>
      </c>
      <c r="G18" s="672">
        <f t="shared" ca="1" si="36"/>
        <v>2</v>
      </c>
      <c r="H18" s="672">
        <f t="shared" ca="1" si="37"/>
        <v>185</v>
      </c>
      <c r="I18" s="672">
        <f t="shared" ca="1" si="37"/>
        <v>205</v>
      </c>
      <c r="J18" s="671">
        <f t="shared" ca="1" si="37"/>
        <v>-20</v>
      </c>
      <c r="K18" s="672">
        <f ca="1">IF(Einstellungen!$G$9,J5,$AT5)</f>
        <v>3</v>
      </c>
      <c r="L18" s="696">
        <f ca="1">K18*$F$64+(AU5+$H$65)*$F$65*Einstellungen!$G$14+AT5*$F$66*Einstellungen!$G$19+AX5*$F$67</f>
        <v>3000000.0049999999</v>
      </c>
      <c r="M18" s="688">
        <f t="shared" ref="M18:M25" ca="1" si="47">IF($AI$15,COUNTIF($K$17:$K$25,K18),COUNTIF($L$17:$L$25,L18))</f>
        <v>2</v>
      </c>
      <c r="N18" s="688">
        <f t="array" aca="1" ref="N18" ca="1">IF($AI$15,SUM(($K$17:$K$25&gt;=K18)/COUNTIF($K$17:$K$25,$K$17:$K$25)),SUM(($L$17:$L$25&gt;=L18)/COUNTIF($L$17:$L$25,$L$17:$L$25)))</f>
        <v>4</v>
      </c>
      <c r="O18" s="702" t="str">
        <f t="shared" ca="1" si="38"/>
        <v/>
      </c>
      <c r="P18" s="691" t="str">
        <f t="shared" ca="1" si="39"/>
        <v/>
      </c>
      <c r="Q18" s="691" t="str">
        <f t="shared" ca="1" si="40"/>
        <v/>
      </c>
      <c r="R18" s="691" t="str">
        <f t="shared" ca="1" si="41"/>
        <v>FC Barcelona</v>
      </c>
      <c r="S18" s="691" t="str">
        <f t="shared" ca="1" si="42"/>
        <v/>
      </c>
      <c r="T18" s="691" t="str">
        <f t="shared" ca="1" si="43"/>
        <v/>
      </c>
      <c r="U18" s="691" t="str">
        <f t="shared" ca="1" si="44"/>
        <v/>
      </c>
      <c r="V18" s="703" t="str">
        <f t="shared" ca="1" si="45"/>
        <v/>
      </c>
      <c r="W18" s="700">
        <f t="shared" ref="W18:W25" ca="1" si="48">AA18*$F$64+(AB18+$H$65)*$F$65</f>
        <v>2514000</v>
      </c>
      <c r="X18" s="683">
        <f t="shared" ref="X18:X25" ca="1" si="49">RANK($L18,$L$17:$L$25)+RANK($W18,$W$17:$W$25)/100+(9-$Y18)/10000+($C18="")*100</f>
        <v>4.0108999999999995</v>
      </c>
      <c r="Y18" s="671">
        <f>Vorrunde!$AX13+$AD18</f>
        <v>0</v>
      </c>
      <c r="Z18" s="672">
        <f t="shared" ref="Z18:Z25" ca="1" si="50">RANK($W18,$W$17:$W$25)+(9-$Y18)/10</f>
        <v>1.9</v>
      </c>
      <c r="AA18" s="672">
        <f t="shared" ref="AA18:AA25" ca="1" si="51">SUM(E31:BP31)</f>
        <v>2</v>
      </c>
      <c r="AB18" s="672">
        <f t="shared" ref="AB18:AB25" ca="1" si="52">SUM(E42:BP42)</f>
        <v>14</v>
      </c>
      <c r="AC18" s="672">
        <f t="shared" ref="AC18:AC25" ca="1" si="53">SUM(E53:BP53)</f>
        <v>71</v>
      </c>
      <c r="AD18" s="671">
        <f>IF($C18="",0,COUNTIF(Playoffs!$U$12:$U$17,$C18))</f>
        <v>0</v>
      </c>
      <c r="AE18" s="696"/>
      <c r="AF18" s="671"/>
      <c r="AG18" s="671"/>
      <c r="AH18" s="701"/>
      <c r="AI18" s="671"/>
    </row>
    <row r="19" spans="2:80" s="670" customFormat="1" x14ac:dyDescent="0.2">
      <c r="C19" s="670" t="str">
        <f t="shared" si="46"/>
        <v>Eintracht Frankfurt</v>
      </c>
      <c r="D19" s="672">
        <f t="shared" ca="1" si="36"/>
        <v>4</v>
      </c>
      <c r="E19" s="672">
        <f t="shared" ca="1" si="36"/>
        <v>1</v>
      </c>
      <c r="F19" s="672">
        <f t="shared" ca="1" si="36"/>
        <v>3</v>
      </c>
      <c r="G19" s="672">
        <f t="shared" ca="1" si="36"/>
        <v>0</v>
      </c>
      <c r="H19" s="672">
        <f t="shared" ca="1" si="37"/>
        <v>191</v>
      </c>
      <c r="I19" s="672">
        <f t="shared" ca="1" si="37"/>
        <v>171</v>
      </c>
      <c r="J19" s="671">
        <f t="shared" ca="1" si="37"/>
        <v>20</v>
      </c>
      <c r="K19" s="672">
        <f ca="1">IF(Einstellungen!$G$9,J6,$AT6)</f>
        <v>5</v>
      </c>
      <c r="L19" s="696">
        <f ca="1">K19*$F$64+(AU6+$H$65)*$F$65*Einstellungen!$G$14+AT6*$F$66*Einstellungen!$G$19+AX6*$F$67</f>
        <v>5000000.0089999996</v>
      </c>
      <c r="M19" s="688">
        <f t="shared" ca="1" si="47"/>
        <v>1</v>
      </c>
      <c r="N19" s="688">
        <f t="array" aca="1" ref="N19" ca="1">IF($AI$15,SUM(($K$17:$K$25&gt;=K19)/COUNTIF($K$17:$K$25,$K$17:$K$25)),SUM(($L$17:$L$25&gt;=L19)/COUNTIF($L$17:$L$25,$L$17:$L$25)))</f>
        <v>1</v>
      </c>
      <c r="O19" s="702" t="str">
        <f t="shared" ca="1" si="38"/>
        <v/>
      </c>
      <c r="P19" s="691" t="str">
        <f t="shared" ca="1" si="39"/>
        <v/>
      </c>
      <c r="Q19" s="691" t="str">
        <f t="shared" ca="1" si="40"/>
        <v/>
      </c>
      <c r="R19" s="691" t="str">
        <f t="shared" ca="1" si="41"/>
        <v/>
      </c>
      <c r="S19" s="691" t="str">
        <f t="shared" ca="1" si="42"/>
        <v/>
      </c>
      <c r="T19" s="691" t="str">
        <f t="shared" ca="1" si="43"/>
        <v/>
      </c>
      <c r="U19" s="691" t="str">
        <f t="shared" ca="1" si="44"/>
        <v/>
      </c>
      <c r="V19" s="703" t="str">
        <f t="shared" ca="1" si="45"/>
        <v/>
      </c>
      <c r="W19" s="700">
        <f t="shared" ca="1" si="48"/>
        <v>500000</v>
      </c>
      <c r="X19" s="683">
        <f t="shared" ca="1" si="49"/>
        <v>1.0308999999999999</v>
      </c>
      <c r="Y19" s="671">
        <f>Vorrunde!$AX14+$AD19</f>
        <v>0</v>
      </c>
      <c r="Z19" s="672">
        <f t="shared" ca="1" si="50"/>
        <v>3.9</v>
      </c>
      <c r="AA19" s="672">
        <f t="shared" ca="1" si="51"/>
        <v>0</v>
      </c>
      <c r="AB19" s="672">
        <f t="shared" ca="1" si="52"/>
        <v>0</v>
      </c>
      <c r="AC19" s="672">
        <f t="shared" ca="1" si="53"/>
        <v>0</v>
      </c>
      <c r="AD19" s="671">
        <f>IF($C19="",0,COUNTIF(Playoffs!$U$12:$U$17,$C19))</f>
        <v>0</v>
      </c>
      <c r="AE19" s="696"/>
      <c r="AF19" s="671"/>
      <c r="AG19" s="671"/>
      <c r="AH19" s="701"/>
      <c r="AI19" s="671"/>
    </row>
    <row r="20" spans="2:80" s="670" customFormat="1" x14ac:dyDescent="0.2">
      <c r="C20" s="670" t="str">
        <f t="shared" si="46"/>
        <v>Maibach 1822 eV</v>
      </c>
      <c r="D20" s="672">
        <f t="shared" ca="1" si="36"/>
        <v>4</v>
      </c>
      <c r="E20" s="672">
        <f t="shared" ca="1" si="36"/>
        <v>2</v>
      </c>
      <c r="F20" s="672">
        <f t="shared" ca="1" si="36"/>
        <v>1</v>
      </c>
      <c r="G20" s="672">
        <f t="shared" ca="1" si="36"/>
        <v>1</v>
      </c>
      <c r="H20" s="672">
        <f t="shared" ca="1" si="37"/>
        <v>179</v>
      </c>
      <c r="I20" s="672">
        <f t="shared" ca="1" si="37"/>
        <v>160</v>
      </c>
      <c r="J20" s="671">
        <f t="shared" ca="1" si="37"/>
        <v>19</v>
      </c>
      <c r="K20" s="672">
        <f ca="1">IF(Einstellungen!$G$9,J7,$AT7)</f>
        <v>5</v>
      </c>
      <c r="L20" s="696">
        <f ca="1">K20*$F$64+(AU7+$H$65)*$F$65*Einstellungen!$G$14+AT7*$F$66*Einstellungen!$G$19+AX7*$F$67</f>
        <v>5000000.0080000004</v>
      </c>
      <c r="M20" s="688">
        <f t="shared" ca="1" si="47"/>
        <v>1</v>
      </c>
      <c r="N20" s="688">
        <f t="array" aca="1" ref="N20" ca="1">IF($AI$15,SUM(($K$17:$K$25&gt;=K20)/COUNTIF($K$17:$K$25,$K$17:$K$25)),SUM(($L$17:$L$25&gt;=L20)/COUNTIF($L$17:$L$25,$L$17:$L$25)))</f>
        <v>2</v>
      </c>
      <c r="O20" s="702" t="str">
        <f t="shared" ca="1" si="38"/>
        <v/>
      </c>
      <c r="P20" s="691" t="str">
        <f t="shared" ca="1" si="39"/>
        <v/>
      </c>
      <c r="Q20" s="691" t="str">
        <f t="shared" ca="1" si="40"/>
        <v/>
      </c>
      <c r="R20" s="691" t="str">
        <f t="shared" ca="1" si="41"/>
        <v/>
      </c>
      <c r="S20" s="691" t="str">
        <f t="shared" ca="1" si="42"/>
        <v/>
      </c>
      <c r="T20" s="691" t="str">
        <f t="shared" ca="1" si="43"/>
        <v/>
      </c>
      <c r="U20" s="691" t="str">
        <f t="shared" ca="1" si="44"/>
        <v/>
      </c>
      <c r="V20" s="703" t="str">
        <f t="shared" ca="1" si="45"/>
        <v/>
      </c>
      <c r="W20" s="700">
        <f t="shared" ca="1" si="48"/>
        <v>500000</v>
      </c>
      <c r="X20" s="683">
        <f t="shared" ca="1" si="49"/>
        <v>2.0308999999999999</v>
      </c>
      <c r="Y20" s="671">
        <f>Vorrunde!$AX15+$AD20</f>
        <v>0</v>
      </c>
      <c r="Z20" s="672">
        <f t="shared" ca="1" si="50"/>
        <v>3.9</v>
      </c>
      <c r="AA20" s="672">
        <f t="shared" ca="1" si="51"/>
        <v>0</v>
      </c>
      <c r="AB20" s="672">
        <f t="shared" ca="1" si="52"/>
        <v>0</v>
      </c>
      <c r="AC20" s="672">
        <f t="shared" ca="1" si="53"/>
        <v>0</v>
      </c>
      <c r="AD20" s="671">
        <f>IF($C20="",0,COUNTIF(Playoffs!$U$12:$U$17,$C20))</f>
        <v>0</v>
      </c>
      <c r="AE20" s="696"/>
      <c r="AF20" s="671"/>
      <c r="AG20" s="671"/>
      <c r="AH20" s="701"/>
      <c r="AI20" s="671"/>
    </row>
    <row r="21" spans="2:80" s="670" customFormat="1" x14ac:dyDescent="0.2">
      <c r="C21" s="670" t="str">
        <f t="shared" si="46"/>
        <v>VFB Essenheim</v>
      </c>
      <c r="D21" s="672">
        <f t="shared" ca="1" si="36"/>
        <v>4</v>
      </c>
      <c r="E21" s="672">
        <f t="shared" ca="1" si="36"/>
        <v>1</v>
      </c>
      <c r="F21" s="672">
        <f t="shared" ca="1" si="36"/>
        <v>1</v>
      </c>
      <c r="G21" s="672">
        <f t="shared" ca="1" si="36"/>
        <v>2</v>
      </c>
      <c r="H21" s="672">
        <f t="shared" ca="1" si="37"/>
        <v>192</v>
      </c>
      <c r="I21" s="672">
        <f t="shared" ca="1" si="37"/>
        <v>212</v>
      </c>
      <c r="J21" s="671">
        <f t="shared" ca="1" si="37"/>
        <v>-20</v>
      </c>
      <c r="K21" s="672">
        <f ca="1">IF(Einstellungen!$G$9,J8,$AT8)</f>
        <v>3</v>
      </c>
      <c r="L21" s="696">
        <f ca="1">K21*$F$64+(AU8+$H$65)*$F$65*Einstellungen!$G$14+AT8*$F$66*Einstellungen!$G$19+AX8*$F$67</f>
        <v>3000000.0049999999</v>
      </c>
      <c r="M21" s="688">
        <f t="shared" ca="1" si="47"/>
        <v>2</v>
      </c>
      <c r="N21" s="688">
        <f t="array" aca="1" ref="N21" ca="1">IF($AI$15,SUM(($K$17:$K$25&gt;=K21)/COUNTIF($K$17:$K$25,$K$17:$K$25)),SUM(($L$17:$L$25&gt;=L21)/COUNTIF($L$17:$L$25,$L$17:$L$25)))</f>
        <v>4</v>
      </c>
      <c r="O21" s="702" t="str">
        <f t="shared" ca="1" si="38"/>
        <v/>
      </c>
      <c r="P21" s="691" t="str">
        <f t="shared" ca="1" si="39"/>
        <v/>
      </c>
      <c r="Q21" s="691" t="str">
        <f t="shared" ca="1" si="40"/>
        <v/>
      </c>
      <c r="R21" s="691" t="str">
        <f t="shared" ca="1" si="41"/>
        <v>VFB Essenheim</v>
      </c>
      <c r="S21" s="691" t="str">
        <f t="shared" ca="1" si="42"/>
        <v/>
      </c>
      <c r="T21" s="691" t="str">
        <f t="shared" ca="1" si="43"/>
        <v/>
      </c>
      <c r="U21" s="691" t="str">
        <f t="shared" ca="1" si="44"/>
        <v/>
      </c>
      <c r="V21" s="703" t="str">
        <f t="shared" ca="1" si="45"/>
        <v/>
      </c>
      <c r="W21" s="700">
        <f t="shared" ca="1" si="48"/>
        <v>1486000</v>
      </c>
      <c r="X21" s="683">
        <f t="shared" ca="1" si="49"/>
        <v>4.0208999999999993</v>
      </c>
      <c r="Y21" s="671">
        <f>Vorrunde!$AX16+$AD21</f>
        <v>0</v>
      </c>
      <c r="Z21" s="672">
        <f t="shared" ca="1" si="50"/>
        <v>2.9</v>
      </c>
      <c r="AA21" s="672">
        <f t="shared" ca="1" si="51"/>
        <v>1</v>
      </c>
      <c r="AB21" s="672">
        <f t="shared" ca="1" si="52"/>
        <v>-14</v>
      </c>
      <c r="AC21" s="672">
        <f t="shared" ca="1" si="53"/>
        <v>57</v>
      </c>
      <c r="AD21" s="671">
        <f>IF($C21="",0,COUNTIF(Playoffs!$U$12:$U$17,$C21))</f>
        <v>0</v>
      </c>
      <c r="AE21" s="696"/>
      <c r="AF21" s="671"/>
      <c r="AG21" s="671"/>
      <c r="AH21" s="701"/>
      <c r="AI21" s="671"/>
    </row>
    <row r="22" spans="2:80" s="670" customFormat="1" x14ac:dyDescent="0.2">
      <c r="C22" s="670" t="str">
        <f t="shared" si="46"/>
        <v/>
      </c>
      <c r="D22" s="672">
        <f t="shared" ca="1" si="36"/>
        <v>0</v>
      </c>
      <c r="E22" s="672">
        <f t="shared" ca="1" si="36"/>
        <v>0</v>
      </c>
      <c r="F22" s="672">
        <f t="shared" ca="1" si="36"/>
        <v>0</v>
      </c>
      <c r="G22" s="672">
        <f t="shared" ca="1" si="36"/>
        <v>0</v>
      </c>
      <c r="H22" s="672">
        <f t="shared" ca="1" si="37"/>
        <v>0</v>
      </c>
      <c r="I22" s="672">
        <f t="shared" ca="1" si="37"/>
        <v>0</v>
      </c>
      <c r="J22" s="671">
        <f t="shared" ca="1" si="37"/>
        <v>0</v>
      </c>
      <c r="K22" s="672">
        <f ca="1">IF(Einstellungen!$G$9,J9,$AT9)</f>
        <v>0</v>
      </c>
      <c r="L22" s="696">
        <f ca="1">K22*$F$64+(AU9+$H$65)*$F$65*Einstellungen!$G$14+AT9*$F$66*Einstellungen!$G$19+AX9*$F$67</f>
        <v>1E-3</v>
      </c>
      <c r="M22" s="688">
        <f t="shared" ca="1" si="47"/>
        <v>4</v>
      </c>
      <c r="N22" s="688">
        <f t="array" aca="1" ref="N22" ca="1">IF($AI$15,SUM(($K$17:$K$25&gt;=K22)/COUNTIF($K$17:$K$25,$K$17:$K$25)),SUM(($L$17:$L$25&gt;=L22)/COUNTIF($L$17:$L$25,$L$17:$L$25)))</f>
        <v>5</v>
      </c>
      <c r="O22" s="702" t="str">
        <f t="shared" ca="1" si="38"/>
        <v/>
      </c>
      <c r="P22" s="691" t="str">
        <f t="shared" ca="1" si="39"/>
        <v/>
      </c>
      <c r="Q22" s="691" t="str">
        <f t="shared" ca="1" si="40"/>
        <v/>
      </c>
      <c r="R22" s="691" t="str">
        <f t="shared" ca="1" si="41"/>
        <v/>
      </c>
      <c r="S22" s="691" t="str">
        <f t="shared" ca="1" si="42"/>
        <v/>
      </c>
      <c r="T22" s="691" t="str">
        <f t="shared" ca="1" si="43"/>
        <v/>
      </c>
      <c r="U22" s="691" t="str">
        <f t="shared" ca="1" si="44"/>
        <v/>
      </c>
      <c r="V22" s="703" t="str">
        <f t="shared" ca="1" si="45"/>
        <v/>
      </c>
      <c r="W22" s="700">
        <f t="shared" ca="1" si="48"/>
        <v>500000</v>
      </c>
      <c r="X22" s="683">
        <f t="shared" ca="1" si="49"/>
        <v>106.0309</v>
      </c>
      <c r="Y22" s="671">
        <f>Vorrunde!$AX17+$AD22</f>
        <v>0</v>
      </c>
      <c r="Z22" s="672">
        <f t="shared" ca="1" si="50"/>
        <v>3.9</v>
      </c>
      <c r="AA22" s="672">
        <f t="shared" ca="1" si="51"/>
        <v>0</v>
      </c>
      <c r="AB22" s="672">
        <f t="shared" ca="1" si="52"/>
        <v>0</v>
      </c>
      <c r="AC22" s="672">
        <f t="shared" ca="1" si="53"/>
        <v>0</v>
      </c>
      <c r="AD22" s="671">
        <f>IF($C22="",0,COUNTIF(Playoffs!$U$12:$U$17,$C22))</f>
        <v>0</v>
      </c>
      <c r="AE22" s="696"/>
      <c r="AF22" s="671"/>
      <c r="AG22" s="671"/>
      <c r="AH22" s="701"/>
      <c r="AI22" s="671"/>
    </row>
    <row r="23" spans="2:80" s="670" customFormat="1" x14ac:dyDescent="0.2">
      <c r="C23" s="670" t="str">
        <f t="shared" si="46"/>
        <v/>
      </c>
      <c r="D23" s="672">
        <f t="shared" ca="1" si="36"/>
        <v>0</v>
      </c>
      <c r="E23" s="672">
        <f t="shared" ca="1" si="36"/>
        <v>0</v>
      </c>
      <c r="F23" s="672">
        <f t="shared" ca="1" si="36"/>
        <v>0</v>
      </c>
      <c r="G23" s="672">
        <f t="shared" ca="1" si="36"/>
        <v>0</v>
      </c>
      <c r="H23" s="672">
        <f t="shared" ca="1" si="37"/>
        <v>0</v>
      </c>
      <c r="I23" s="672">
        <f t="shared" ca="1" si="37"/>
        <v>0</v>
      </c>
      <c r="J23" s="671">
        <f t="shared" ca="1" si="37"/>
        <v>0</v>
      </c>
      <c r="K23" s="672">
        <f ca="1">IF(Einstellungen!$G$9,J10,$AT10)</f>
        <v>0</v>
      </c>
      <c r="L23" s="696">
        <f ca="1">K23*$F$64+(AU10+$H$65)*$F$65*Einstellungen!$G$14+AT10*$F$66*Einstellungen!$G$19+AX10*$F$67</f>
        <v>1E-3</v>
      </c>
      <c r="M23" s="688">
        <f t="shared" ca="1" si="47"/>
        <v>4</v>
      </c>
      <c r="N23" s="688">
        <f t="array" aca="1" ref="N23" ca="1">IF($AI$15,SUM(($K$17:$K$25&gt;=K23)/COUNTIF($K$17:$K$25,$K$17:$K$25)),SUM(($L$17:$L$25&gt;=L23)/COUNTIF($L$17:$L$25,$L$17:$L$25)))</f>
        <v>5</v>
      </c>
      <c r="O23" s="702" t="str">
        <f t="shared" ca="1" si="38"/>
        <v/>
      </c>
      <c r="P23" s="691" t="str">
        <f t="shared" ca="1" si="39"/>
        <v/>
      </c>
      <c r="Q23" s="691" t="str">
        <f t="shared" ca="1" si="40"/>
        <v/>
      </c>
      <c r="R23" s="691" t="str">
        <f t="shared" ca="1" si="41"/>
        <v/>
      </c>
      <c r="S23" s="691" t="str">
        <f t="shared" ca="1" si="42"/>
        <v/>
      </c>
      <c r="T23" s="691" t="str">
        <f t="shared" ca="1" si="43"/>
        <v/>
      </c>
      <c r="U23" s="691" t="str">
        <f t="shared" ca="1" si="44"/>
        <v/>
      </c>
      <c r="V23" s="703" t="str">
        <f t="shared" ca="1" si="45"/>
        <v/>
      </c>
      <c r="W23" s="700">
        <f t="shared" ca="1" si="48"/>
        <v>500000</v>
      </c>
      <c r="X23" s="683">
        <f t="shared" ca="1" si="49"/>
        <v>106.0309</v>
      </c>
      <c r="Y23" s="671">
        <v>0</v>
      </c>
      <c r="Z23" s="672">
        <f t="shared" ca="1" si="50"/>
        <v>3.9</v>
      </c>
      <c r="AA23" s="672">
        <f t="shared" ca="1" si="51"/>
        <v>0</v>
      </c>
      <c r="AB23" s="672">
        <f t="shared" ca="1" si="52"/>
        <v>0</v>
      </c>
      <c r="AC23" s="672">
        <f t="shared" ca="1" si="53"/>
        <v>0</v>
      </c>
      <c r="AD23" s="671">
        <v>0</v>
      </c>
      <c r="AE23" s="696"/>
      <c r="AF23" s="671"/>
      <c r="AG23" s="671"/>
      <c r="AH23" s="701"/>
      <c r="AI23" s="671"/>
    </row>
    <row r="24" spans="2:80" s="670" customFormat="1" x14ac:dyDescent="0.2">
      <c r="C24" s="670" t="str">
        <f t="shared" si="46"/>
        <v/>
      </c>
      <c r="D24" s="672">
        <f t="shared" ca="1" si="36"/>
        <v>0</v>
      </c>
      <c r="E24" s="672">
        <f t="shared" ca="1" si="36"/>
        <v>0</v>
      </c>
      <c r="F24" s="672">
        <f t="shared" ca="1" si="36"/>
        <v>0</v>
      </c>
      <c r="G24" s="672">
        <f t="shared" ca="1" si="36"/>
        <v>0</v>
      </c>
      <c r="H24" s="672">
        <f t="shared" ca="1" si="37"/>
        <v>0</v>
      </c>
      <c r="I24" s="672">
        <f t="shared" ca="1" si="37"/>
        <v>0</v>
      </c>
      <c r="J24" s="671">
        <f t="shared" ca="1" si="37"/>
        <v>0</v>
      </c>
      <c r="K24" s="672">
        <f ca="1">IF(Einstellungen!$G$9,J11,$AT11)</f>
        <v>0</v>
      </c>
      <c r="L24" s="696">
        <f ca="1">K24*$F$64+(AU11+$H$65)*$F$65*Einstellungen!$G$14+AT11*$F$66*Einstellungen!$G$19+AX11*$F$67</f>
        <v>1E-3</v>
      </c>
      <c r="M24" s="688">
        <f t="shared" ca="1" si="47"/>
        <v>4</v>
      </c>
      <c r="N24" s="688">
        <f t="array" aca="1" ref="N24" ca="1">IF($AI$15,SUM(($K$17:$K$25&gt;=K24)/COUNTIF($K$17:$K$25,$K$17:$K$25)),SUM(($L$17:$L$25&gt;=L24)/COUNTIF($L$17:$L$25,$L$17:$L$25)))</f>
        <v>5</v>
      </c>
      <c r="O24" s="702" t="str">
        <f t="shared" ca="1" si="38"/>
        <v/>
      </c>
      <c r="P24" s="691" t="str">
        <f t="shared" ca="1" si="39"/>
        <v/>
      </c>
      <c r="Q24" s="691" t="str">
        <f t="shared" ca="1" si="40"/>
        <v/>
      </c>
      <c r="R24" s="691" t="str">
        <f t="shared" ca="1" si="41"/>
        <v/>
      </c>
      <c r="S24" s="691" t="str">
        <f t="shared" ca="1" si="42"/>
        <v/>
      </c>
      <c r="T24" s="691" t="str">
        <f t="shared" ca="1" si="43"/>
        <v/>
      </c>
      <c r="U24" s="691" t="str">
        <f t="shared" ca="1" si="44"/>
        <v/>
      </c>
      <c r="V24" s="703" t="str">
        <f t="shared" ca="1" si="45"/>
        <v/>
      </c>
      <c r="W24" s="700">
        <f t="shared" ca="1" si="48"/>
        <v>500000</v>
      </c>
      <c r="X24" s="683">
        <f t="shared" ca="1" si="49"/>
        <v>106.0309</v>
      </c>
      <c r="Y24" s="671">
        <v>0</v>
      </c>
      <c r="Z24" s="672">
        <f t="shared" ca="1" si="50"/>
        <v>3.9</v>
      </c>
      <c r="AA24" s="672">
        <f t="shared" ca="1" si="51"/>
        <v>0</v>
      </c>
      <c r="AB24" s="672">
        <f t="shared" ca="1" si="52"/>
        <v>0</v>
      </c>
      <c r="AC24" s="672">
        <f t="shared" ca="1" si="53"/>
        <v>0</v>
      </c>
      <c r="AD24" s="671">
        <v>0</v>
      </c>
      <c r="AE24" s="696"/>
      <c r="AF24" s="671"/>
      <c r="AG24" s="671"/>
      <c r="AH24" s="701"/>
      <c r="AI24" s="671"/>
    </row>
    <row r="25" spans="2:80" s="670" customFormat="1" ht="12.75" thickBot="1" x14ac:dyDescent="0.25">
      <c r="C25" s="670" t="str">
        <f t="shared" si="46"/>
        <v/>
      </c>
      <c r="D25" s="672">
        <f t="shared" ca="1" si="36"/>
        <v>0</v>
      </c>
      <c r="E25" s="672">
        <f t="shared" ca="1" si="36"/>
        <v>0</v>
      </c>
      <c r="F25" s="672">
        <f t="shared" ca="1" si="36"/>
        <v>0</v>
      </c>
      <c r="G25" s="672">
        <f t="shared" ca="1" si="36"/>
        <v>0</v>
      </c>
      <c r="H25" s="672">
        <f t="shared" ca="1" si="37"/>
        <v>0</v>
      </c>
      <c r="I25" s="672">
        <f t="shared" ca="1" si="37"/>
        <v>0</v>
      </c>
      <c r="J25" s="671">
        <f t="shared" ca="1" si="37"/>
        <v>0</v>
      </c>
      <c r="K25" s="672">
        <f ca="1">IF(Einstellungen!$G$9,J12,$AT12)</f>
        <v>0</v>
      </c>
      <c r="L25" s="696">
        <f ca="1">K25*$F$64+(AU12+$H$65)*$F$65*Einstellungen!$G$14+AT12*$F$66*Einstellungen!$G$19+AX12*$F$67</f>
        <v>1E-3</v>
      </c>
      <c r="M25" s="688">
        <f t="shared" ca="1" si="47"/>
        <v>4</v>
      </c>
      <c r="N25" s="688">
        <f t="array" aca="1" ref="N25" ca="1">IF($AI$15,SUM(($K$17:$K$25&gt;=K25)/COUNTIF($K$17:$K$25,$K$17:$K$25)),SUM(($L$17:$L$25&gt;=L25)/COUNTIF($L$17:$L$25,$L$17:$L$25)))</f>
        <v>5</v>
      </c>
      <c r="O25" s="704" t="str">
        <f t="shared" ca="1" si="38"/>
        <v/>
      </c>
      <c r="P25" s="705" t="str">
        <f t="shared" ca="1" si="39"/>
        <v/>
      </c>
      <c r="Q25" s="705" t="str">
        <f t="shared" ca="1" si="40"/>
        <v/>
      </c>
      <c r="R25" s="705" t="str">
        <f t="shared" ca="1" si="41"/>
        <v/>
      </c>
      <c r="S25" s="705" t="str">
        <f t="shared" ca="1" si="42"/>
        <v/>
      </c>
      <c r="T25" s="705" t="str">
        <f t="shared" ca="1" si="43"/>
        <v/>
      </c>
      <c r="U25" s="705" t="str">
        <f t="shared" ca="1" si="44"/>
        <v/>
      </c>
      <c r="V25" s="706" t="str">
        <f t="shared" ca="1" si="45"/>
        <v/>
      </c>
      <c r="W25" s="700">
        <f t="shared" ca="1" si="48"/>
        <v>500000</v>
      </c>
      <c r="X25" s="686">
        <f t="shared" ca="1" si="49"/>
        <v>106.0309</v>
      </c>
      <c r="Y25" s="671">
        <v>0</v>
      </c>
      <c r="Z25" s="672">
        <f t="shared" ca="1" si="50"/>
        <v>3.9</v>
      </c>
      <c r="AA25" s="672">
        <f t="shared" ca="1" si="51"/>
        <v>0</v>
      </c>
      <c r="AB25" s="672">
        <f t="shared" ca="1" si="52"/>
        <v>0</v>
      </c>
      <c r="AC25" s="672">
        <f t="shared" ca="1" si="53"/>
        <v>0</v>
      </c>
      <c r="AD25" s="671">
        <v>0</v>
      </c>
      <c r="AE25" s="696"/>
      <c r="AF25" s="671"/>
      <c r="AG25" s="671"/>
      <c r="AH25" s="701"/>
      <c r="AI25" s="671"/>
    </row>
    <row r="26" spans="2:80" s="670" customFormat="1" ht="12.75" thickTop="1" x14ac:dyDescent="0.2">
      <c r="O26" s="672"/>
      <c r="P26" s="672"/>
      <c r="Q26" s="672"/>
      <c r="R26" s="672"/>
      <c r="S26" s="672"/>
      <c r="T26" s="672"/>
      <c r="U26" s="672"/>
      <c r="V26" s="672"/>
    </row>
    <row r="27" spans="2:80" s="670" customFormat="1" x14ac:dyDescent="0.2">
      <c r="O27" s="672"/>
      <c r="P27" s="672"/>
      <c r="Q27" s="672"/>
      <c r="R27" s="672"/>
      <c r="S27" s="672"/>
      <c r="T27" s="672"/>
      <c r="U27" s="672"/>
      <c r="V27" s="672"/>
    </row>
    <row r="28" spans="2:80" s="670" customFormat="1" ht="12.75" thickBot="1" x14ac:dyDescent="0.25">
      <c r="B28" s="707" t="s">
        <v>98</v>
      </c>
    </row>
    <row r="29" spans="2:80" s="670" customFormat="1" ht="12.75" thickTop="1" x14ac:dyDescent="0.2">
      <c r="B29" s="708" t="s">
        <v>399</v>
      </c>
      <c r="E29" s="1013">
        <v>1</v>
      </c>
      <c r="F29" s="1014"/>
      <c r="G29" s="1014"/>
      <c r="H29" s="1014"/>
      <c r="I29" s="1014"/>
      <c r="J29" s="1014"/>
      <c r="K29" s="1014"/>
      <c r="L29" s="1015"/>
      <c r="M29" s="1016">
        <v>2</v>
      </c>
      <c r="N29" s="1014"/>
      <c r="O29" s="1014"/>
      <c r="P29" s="1014"/>
      <c r="Q29" s="1014"/>
      <c r="R29" s="1014"/>
      <c r="S29" s="1014"/>
      <c r="T29" s="1015"/>
      <c r="U29" s="1016">
        <v>3</v>
      </c>
      <c r="V29" s="1014"/>
      <c r="W29" s="1014"/>
      <c r="X29" s="1014"/>
      <c r="Y29" s="1014"/>
      <c r="Z29" s="1014"/>
      <c r="AA29" s="1014"/>
      <c r="AB29" s="1015"/>
      <c r="AC29" s="1016">
        <v>4</v>
      </c>
      <c r="AD29" s="1014"/>
      <c r="AE29" s="1014"/>
      <c r="AF29" s="1014"/>
      <c r="AG29" s="1014"/>
      <c r="AH29" s="1014"/>
      <c r="AI29" s="1014"/>
      <c r="AJ29" s="1015"/>
      <c r="AK29" s="1016">
        <v>5</v>
      </c>
      <c r="AL29" s="1014"/>
      <c r="AM29" s="1014"/>
      <c r="AN29" s="1014"/>
      <c r="AO29" s="1014"/>
      <c r="AP29" s="1014"/>
      <c r="AQ29" s="1014"/>
      <c r="AR29" s="1015"/>
      <c r="AS29" s="1016">
        <v>6</v>
      </c>
      <c r="AT29" s="1014"/>
      <c r="AU29" s="1014"/>
      <c r="AV29" s="1014"/>
      <c r="AW29" s="1014"/>
      <c r="AX29" s="1014"/>
      <c r="AY29" s="1014"/>
      <c r="AZ29" s="1015"/>
      <c r="BA29" s="1016">
        <v>7</v>
      </c>
      <c r="BB29" s="1014"/>
      <c r="BC29" s="1014"/>
      <c r="BD29" s="1014"/>
      <c r="BE29" s="1014"/>
      <c r="BF29" s="1014"/>
      <c r="BG29" s="1014"/>
      <c r="BH29" s="1015"/>
      <c r="BI29" s="1016">
        <v>8</v>
      </c>
      <c r="BJ29" s="1014"/>
      <c r="BK29" s="1014"/>
      <c r="BL29" s="1014"/>
      <c r="BM29" s="1014"/>
      <c r="BN29" s="1014"/>
      <c r="BO29" s="1014"/>
      <c r="BP29" s="1017"/>
      <c r="BQ29" s="671"/>
      <c r="BR29" s="707" t="s">
        <v>94</v>
      </c>
      <c r="BS29" s="670" t="str">
        <f>$F$4</f>
        <v>1. FC Riedwald</v>
      </c>
      <c r="BT29" s="670" t="str">
        <f>$F$5</f>
        <v>FC Barcelona</v>
      </c>
      <c r="BU29" s="670" t="str">
        <f>$F$6</f>
        <v>Eintracht Frankfurt</v>
      </c>
      <c r="BV29" s="670" t="str">
        <f>$F$7</f>
        <v>Maibach 1822 eV</v>
      </c>
      <c r="BW29" s="670" t="str">
        <f>$F$8</f>
        <v>VFB Essenheim</v>
      </c>
      <c r="BX29" s="670" t="str">
        <f>$F$9</f>
        <v/>
      </c>
      <c r="BY29" s="670" t="str">
        <f>$F$10</f>
        <v/>
      </c>
      <c r="BZ29" s="670" t="str">
        <f>$F$11</f>
        <v/>
      </c>
      <c r="CA29" s="670" t="str">
        <f>$F$12</f>
        <v/>
      </c>
      <c r="CB29" s="709"/>
    </row>
    <row r="30" spans="2:80" s="670" customFormat="1" x14ac:dyDescent="0.2">
      <c r="C30" s="670" t="str">
        <f>$Q64</f>
        <v>1. FC Riedwald</v>
      </c>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si="54">F4</f>
        <v>1. FC Riedwald</v>
      </c>
      <c r="BS30" s="712"/>
      <c r="BT30" s="713">
        <f t="shared" ref="BT30:CA30" ca="1" si="55">SUMIFS($AH$64:$AH$135,$V$64:$V$135,$BR30,$W$64:$W$135,BT$29)+SUMIFS($AI$64:$AI$135,$W$64:$W$135,$BR30,$V$64:$V$135,BT$29)</f>
        <v>50</v>
      </c>
      <c r="BU30" s="713">
        <f t="shared" ca="1" si="55"/>
        <v>42</v>
      </c>
      <c r="BV30" s="713">
        <f t="shared" ca="1" si="55"/>
        <v>41</v>
      </c>
      <c r="BW30" s="713">
        <f t="shared" ca="1" si="55"/>
        <v>44</v>
      </c>
      <c r="BX30" s="713">
        <f t="shared" ca="1" si="55"/>
        <v>0</v>
      </c>
      <c r="BY30" s="713">
        <f t="shared" ca="1" si="55"/>
        <v>0</v>
      </c>
      <c r="BZ30" s="713">
        <f t="shared" ca="1" si="55"/>
        <v>0</v>
      </c>
      <c r="CA30" s="713">
        <f t="shared" ca="1" si="55"/>
        <v>0</v>
      </c>
      <c r="CB30" s="691"/>
    </row>
    <row r="31" spans="2:80" s="670" customFormat="1" x14ac:dyDescent="0.2">
      <c r="C31" s="670" t="str">
        <f t="shared" ref="C31:C38" si="56">$Q65</f>
        <v>FC Barcelona</v>
      </c>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2</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si="54"/>
        <v>FC Barcelona</v>
      </c>
      <c r="BS31" s="714">
        <f t="shared" ref="BS31:BS38" ca="1" si="57">SUMIFS($AH$64:$AH$135,$V$64:$V$135,$BR31,$W$64:$W$135,BS$29)+SUMIFS($AI$64:$AI$135,$W$64:$W$135,$BR31,$V$64:$V$135,BS$29)</f>
        <v>37</v>
      </c>
      <c r="BT31" s="712"/>
      <c r="BU31" s="713">
        <f t="shared" ref="BU31:CA31" ca="1" si="58">SUMIFS($AH$64:$AH$135,$V$64:$V$135,$BR31,$W$64:$W$135,BU$29)+SUMIFS($AI$64:$AI$135,$W$64:$W$135,$BR31,$V$64:$V$135,BU$29)</f>
        <v>48</v>
      </c>
      <c r="BV31" s="713">
        <f t="shared" ca="1" si="58"/>
        <v>29</v>
      </c>
      <c r="BW31" s="713">
        <f t="shared" ca="1" si="58"/>
        <v>71</v>
      </c>
      <c r="BX31" s="713">
        <f t="shared" ca="1" si="58"/>
        <v>0</v>
      </c>
      <c r="BY31" s="713">
        <f t="shared" ca="1" si="58"/>
        <v>0</v>
      </c>
      <c r="BZ31" s="713">
        <f t="shared" ca="1" si="58"/>
        <v>0</v>
      </c>
      <c r="CA31" s="713">
        <f t="shared" ca="1" si="58"/>
        <v>0</v>
      </c>
      <c r="CB31" s="691"/>
    </row>
    <row r="32" spans="2:80" s="670" customFormat="1" x14ac:dyDescent="0.2">
      <c r="C32" s="670" t="str">
        <f t="shared" si="56"/>
        <v>Eintracht Frankfurt</v>
      </c>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si="54"/>
        <v>Eintracht Frankfurt</v>
      </c>
      <c r="BS32" s="714">
        <f t="shared" ca="1" si="57"/>
        <v>46</v>
      </c>
      <c r="BT32" s="714">
        <f t="shared" ref="BT32:BT38" ca="1" si="59">SUMIFS($AH$64:$AH$135,$V$64:$V$135,$BR32,$W$64:$W$135,BT$29)+SUMIFS($AI$64:$AI$135,$W$64:$W$135,$BR32,$V$64:$V$135,BT$29)</f>
        <v>48</v>
      </c>
      <c r="BU32" s="712"/>
      <c r="BV32" s="713">
        <f t="shared" ref="BV32:CA32" ca="1" si="60">SUMIFS($AH$64:$AH$135,$V$64:$V$135,$BR32,$W$64:$W$135,BV$29)+SUMIFS($AI$64:$AI$135,$W$64:$W$135,$BR32,$V$64:$V$135,BV$29)</f>
        <v>50</v>
      </c>
      <c r="BW32" s="713">
        <f t="shared" ca="1" si="60"/>
        <v>47</v>
      </c>
      <c r="BX32" s="713">
        <f t="shared" ca="1" si="60"/>
        <v>0</v>
      </c>
      <c r="BY32" s="713">
        <f t="shared" ca="1" si="60"/>
        <v>0</v>
      </c>
      <c r="BZ32" s="713">
        <f t="shared" ca="1" si="60"/>
        <v>0</v>
      </c>
      <c r="CA32" s="713">
        <f t="shared" ca="1" si="60"/>
        <v>0</v>
      </c>
      <c r="CB32" s="691"/>
    </row>
    <row r="33" spans="2:80" s="670" customFormat="1" x14ac:dyDescent="0.2">
      <c r="C33" s="670" t="str">
        <f t="shared" si="56"/>
        <v>Maibach 1822 eV</v>
      </c>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si="54"/>
        <v>Maibach 1822 eV</v>
      </c>
      <c r="BS33" s="714">
        <f t="shared" ca="1" si="57"/>
        <v>43</v>
      </c>
      <c r="BT33" s="714">
        <f t="shared" ca="1" si="59"/>
        <v>50</v>
      </c>
      <c r="BU33" s="714">
        <f t="shared" ref="BU33:BU38" ca="1" si="61">SUMIFS($AH$64:$AH$135,$V$64:$V$135,$BR33,$W$64:$W$135,BU$29)+SUMIFS($AI$64:$AI$135,$W$64:$W$135,$BR33,$V$64:$V$135,BU$29)</f>
        <v>36</v>
      </c>
      <c r="BV33" s="712"/>
      <c r="BW33" s="713">
        <f ca="1">SUMIFS($AH$64:$AH$135,$V$64:$V$135,$BR33,$W$64:$W$135,BW$29)+SUMIFS($AI$64:$AI$135,$W$64:$W$135,$BR33,$V$64:$V$135,BW$29)</f>
        <v>50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2:80" s="670" customFormat="1" x14ac:dyDescent="0.2">
      <c r="C34" s="670" t="str">
        <f t="shared" si="56"/>
        <v>VFB Essenheim</v>
      </c>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1</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54"/>
        <v>VFB Essenheim</v>
      </c>
      <c r="BS34" s="714">
        <f t="shared" ca="1" si="57"/>
        <v>50</v>
      </c>
      <c r="BT34" s="714">
        <f t="shared" ca="1" si="59"/>
        <v>57</v>
      </c>
      <c r="BU34" s="714">
        <f t="shared" ca="1" si="61"/>
        <v>45</v>
      </c>
      <c r="BV34" s="714">
        <f ca="1">SUMIFS($AH$64:$AH$135,$V$64:$V$135,$BR34,$W$64:$W$135,BV$29)+SUMIFS($AI$64:$AI$135,$W$64:$W$135,$BR34,$V$64:$V$135,BV$29)</f>
        <v>40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2:80" s="670" customFormat="1" x14ac:dyDescent="0.2">
      <c r="C35" s="670" t="str">
        <f t="shared" si="56"/>
        <v/>
      </c>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54"/>
        <v/>
      </c>
      <c r="BS35" s="714">
        <f t="shared" ca="1" si="57"/>
        <v>0</v>
      </c>
      <c r="BT35" s="714">
        <f t="shared" ca="1" si="59"/>
        <v>0</v>
      </c>
      <c r="BU35" s="714">
        <f t="shared" ca="1" si="61"/>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2:80" s="670" customFormat="1" x14ac:dyDescent="0.2">
      <c r="C36" s="670" t="str">
        <f t="shared" si="56"/>
        <v/>
      </c>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54"/>
        <v/>
      </c>
      <c r="BS36" s="714">
        <f t="shared" ca="1" si="57"/>
        <v>0</v>
      </c>
      <c r="BT36" s="714">
        <f t="shared" ca="1" si="59"/>
        <v>0</v>
      </c>
      <c r="BU36" s="714">
        <f t="shared" ca="1" si="61"/>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2:80" s="670" customFormat="1" x14ac:dyDescent="0.2">
      <c r="C37" s="670" t="str">
        <f t="shared" si="56"/>
        <v/>
      </c>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54"/>
        <v/>
      </c>
      <c r="BS37" s="714">
        <f t="shared" ca="1" si="57"/>
        <v>0</v>
      </c>
      <c r="BT37" s="714">
        <f t="shared" ca="1" si="59"/>
        <v>0</v>
      </c>
      <c r="BU37" s="714">
        <f t="shared" ca="1" si="61"/>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2:80" s="670" customFormat="1" x14ac:dyDescent="0.2">
      <c r="C38" s="670" t="str">
        <f t="shared" si="56"/>
        <v/>
      </c>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54"/>
        <v/>
      </c>
      <c r="BS38" s="714">
        <f t="shared" ca="1" si="57"/>
        <v>0</v>
      </c>
      <c r="BT38" s="714">
        <f t="shared" ca="1" si="59"/>
        <v>0</v>
      </c>
      <c r="BU38" s="714">
        <f t="shared" ca="1" si="61"/>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2:80" s="670" customFormat="1" x14ac:dyDescent="0.2">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CB39" s="691"/>
    </row>
    <row r="40" spans="2:80" s="670" customFormat="1" x14ac:dyDescent="0.2">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$F$4</f>
        <v>1. FC Riedwald</v>
      </c>
      <c r="BT40" s="670" t="str">
        <f>$F$5</f>
        <v>FC Barcelona</v>
      </c>
      <c r="BU40" s="670" t="str">
        <f>$F$6</f>
        <v>Eintracht Frankfurt</v>
      </c>
      <c r="BV40" s="670" t="str">
        <f>$F$7</f>
        <v>Maibach 1822 eV</v>
      </c>
      <c r="BW40" s="670" t="str">
        <f>$F$8</f>
        <v>VFB Essenheim</v>
      </c>
      <c r="BX40" s="670" t="str">
        <f>$F$9</f>
        <v/>
      </c>
      <c r="BY40" s="670" t="str">
        <f>$F$10</f>
        <v/>
      </c>
      <c r="BZ40" s="670" t="str">
        <f>$F$11</f>
        <v/>
      </c>
      <c r="CA40" s="670" t="str">
        <f>$F$12</f>
        <v/>
      </c>
      <c r="CB40" s="691"/>
    </row>
    <row r="41" spans="2:80" s="670" customFormat="1" x14ac:dyDescent="0.2">
      <c r="B41" s="708" t="s">
        <v>99</v>
      </c>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si="62">F4</f>
        <v>1. FC Riedwald</v>
      </c>
      <c r="BS41" s="712"/>
      <c r="BT41" s="713">
        <f ca="1">BT30-BS31</f>
        <v>13</v>
      </c>
      <c r="BU41" s="713">
        <f ca="1">BU30-BS32</f>
        <v>-4</v>
      </c>
      <c r="BV41" s="713">
        <f ca="1">BV30-BS33</f>
        <v>-2</v>
      </c>
      <c r="BW41" s="713">
        <f ca="1">BW30-BS34</f>
        <v>-6</v>
      </c>
      <c r="BX41" s="713">
        <f ca="1">BX30-BS35</f>
        <v>0</v>
      </c>
      <c r="BY41" s="713">
        <f ca="1">BY30-BS36</f>
        <v>0</v>
      </c>
      <c r="BZ41" s="713">
        <f ca="1">BZ30-BS37</f>
        <v>0</v>
      </c>
      <c r="CA41" s="713">
        <f ca="1">CA30-BS38</f>
        <v>0</v>
      </c>
      <c r="CB41" s="691"/>
    </row>
    <row r="42" spans="2:80" s="670" customFormat="1" x14ac:dyDescent="0.2">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14</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si="62"/>
        <v>FC Barcelona</v>
      </c>
      <c r="BS42" s="714">
        <f ca="1">IF(BT41="","",-1*BT41)</f>
        <v>-13</v>
      </c>
      <c r="BT42" s="712"/>
      <c r="BU42" s="713">
        <f ca="1">BU31-BT32</f>
        <v>0</v>
      </c>
      <c r="BV42" s="713">
        <f ca="1">BV31-BT33</f>
        <v>-21</v>
      </c>
      <c r="BW42" s="713">
        <f ca="1">BW31-BT34</f>
        <v>14</v>
      </c>
      <c r="BX42" s="713">
        <f ca="1">BX31-BT35</f>
        <v>0</v>
      </c>
      <c r="BY42" s="713">
        <f ca="1">BY31-BT36</f>
        <v>0</v>
      </c>
      <c r="BZ42" s="713">
        <f ca="1">BZ31-BT37</f>
        <v>0</v>
      </c>
      <c r="CA42" s="713">
        <f ca="1">CA31-BT38</f>
        <v>0</v>
      </c>
      <c r="CB42" s="691"/>
    </row>
    <row r="43" spans="2:80" s="670" customFormat="1" x14ac:dyDescent="0.2">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si="62"/>
        <v>Eintracht Frankfurt</v>
      </c>
      <c r="BS43" s="714">
        <f ca="1">IF(BU41="","",-1*BU41)</f>
        <v>4</v>
      </c>
      <c r="BT43" s="714">
        <f ca="1">IF(BU42="","",-1*BU42)</f>
        <v>0</v>
      </c>
      <c r="BU43" s="712"/>
      <c r="BV43" s="713">
        <f ca="1">BV32-BU33</f>
        <v>14</v>
      </c>
      <c r="BW43" s="713">
        <f ca="1">BW32-BU34</f>
        <v>2</v>
      </c>
      <c r="BX43" s="713">
        <f ca="1">BX32-BU35</f>
        <v>0</v>
      </c>
      <c r="BY43" s="713">
        <f ca="1">BY32-BU36</f>
        <v>0</v>
      </c>
      <c r="BZ43" s="713">
        <f ca="1">BZ32-BU37</f>
        <v>0</v>
      </c>
      <c r="CA43" s="713">
        <f ca="1">CA32-BU38</f>
        <v>0</v>
      </c>
      <c r="CB43" s="691"/>
    </row>
    <row r="44" spans="2:80" s="670" customFormat="1" x14ac:dyDescent="0.2">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si="62"/>
        <v>Maibach 1822 eV</v>
      </c>
      <c r="BS44" s="714">
        <f ca="1">IF(BV41="","",-1*BV41)</f>
        <v>2</v>
      </c>
      <c r="BT44" s="714">
        <f ca="1">IF(BV42="","",-1*BV42)</f>
        <v>21</v>
      </c>
      <c r="BU44" s="714">
        <f ca="1">IF(BV43="","",-1*BV43)</f>
        <v>-14</v>
      </c>
      <c r="BV44" s="712"/>
      <c r="BW44" s="713">
        <f ca="1">BW33-BV34</f>
        <v>10</v>
      </c>
      <c r="BX44" s="713">
        <f ca="1">BX33-BV35</f>
        <v>0</v>
      </c>
      <c r="BY44" s="713">
        <f ca="1">BY33-BV36</f>
        <v>0</v>
      </c>
      <c r="BZ44" s="713">
        <f ca="1">BZ33-BV37</f>
        <v>0</v>
      </c>
      <c r="CA44" s="713">
        <f ca="1">CA33-BV38</f>
        <v>0</v>
      </c>
      <c r="CB44" s="691"/>
    </row>
    <row r="45" spans="2:80" s="670" customFormat="1" x14ac:dyDescent="0.2">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-14</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62"/>
        <v>VFB Essenheim</v>
      </c>
      <c r="BS45" s="714">
        <f ca="1">IF(BW41="","",-1*BW41)</f>
        <v>6</v>
      </c>
      <c r="BT45" s="714">
        <f ca="1">IF(BW42="","",-1*BW42)</f>
        <v>-14</v>
      </c>
      <c r="BU45" s="714">
        <f ca="1">IF(BW43="","",-1*BW43)</f>
        <v>-2</v>
      </c>
      <c r="BV45" s="714">
        <f ca="1">IF(BW44="","",-1*BW44)</f>
        <v>-10</v>
      </c>
      <c r="BW45" s="712"/>
      <c r="BX45" s="713">
        <f ca="1">BX34-BW35</f>
        <v>0</v>
      </c>
      <c r="BY45" s="713">
        <f ca="1">BY34-BW36</f>
        <v>0</v>
      </c>
      <c r="BZ45" s="713">
        <f ca="1">BZ34-BW37</f>
        <v>0</v>
      </c>
      <c r="CA45" s="713">
        <f ca="1">CA34-BW38</f>
        <v>0</v>
      </c>
      <c r="CB45" s="691"/>
    </row>
    <row r="46" spans="2:80" s="670" customFormat="1" x14ac:dyDescent="0.2">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62"/>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2:80" s="670" customFormat="1" x14ac:dyDescent="0.2">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62"/>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2:80" s="670" customFormat="1" x14ac:dyDescent="0.2">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62"/>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2:80" s="670" customFormat="1" x14ac:dyDescent="0.2">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62"/>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63">IF(CA48="","",-1*CA48)</f>
        <v>0</v>
      </c>
      <c r="CA49" s="712"/>
      <c r="CB49" s="691"/>
    </row>
    <row r="50" spans="2:80" s="670" customFormat="1" x14ac:dyDescent="0.2">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CB50" s="691"/>
    </row>
    <row r="51" spans="2:80" s="670" customFormat="1" x14ac:dyDescent="0.2">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$F$4</f>
        <v>1. FC Riedwald</v>
      </c>
      <c r="BT51" s="670" t="str">
        <f>$F$5</f>
        <v>FC Barcelona</v>
      </c>
      <c r="BU51" s="670" t="str">
        <f>$F$6</f>
        <v>Eintracht Frankfurt</v>
      </c>
      <c r="BV51" s="670" t="str">
        <f>$F$7</f>
        <v>Maibach 1822 eV</v>
      </c>
      <c r="BW51" s="670" t="str">
        <f>$F$8</f>
        <v>VFB Essenheim</v>
      </c>
      <c r="BX51" s="670" t="str">
        <f>$F$9</f>
        <v/>
      </c>
      <c r="BY51" s="670" t="str">
        <f>$F$10</f>
        <v/>
      </c>
      <c r="BZ51" s="670" t="str">
        <f>$F$11</f>
        <v/>
      </c>
      <c r="CA51" s="670" t="str">
        <f>$F$12</f>
        <v/>
      </c>
      <c r="CB51" s="691"/>
    </row>
    <row r="52" spans="2:80" s="670" customFormat="1" x14ac:dyDescent="0.2">
      <c r="B52" s="708" t="s">
        <v>94</v>
      </c>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si="64">F4</f>
        <v>1. FC Riedwald</v>
      </c>
      <c r="BS52" s="712"/>
      <c r="BT52" s="713">
        <f t="shared" ref="BT52:CA54" ca="1" si="65">SUMIFS($AJ$64:$AJ$135,$V$64:$V$135,$BR52,$W$64:$W$135,BT$51)+SUMIFS($AK$64:$AK$135,$W$64:$W$135,$BR52,$V$64:$V$135,BT$51)</f>
        <v>2</v>
      </c>
      <c r="BU52" s="713">
        <f t="shared" ca="1" si="65"/>
        <v>1</v>
      </c>
      <c r="BV52" s="713">
        <f t="shared" ca="1" si="65"/>
        <v>1</v>
      </c>
      <c r="BW52" s="713">
        <f t="shared" ca="1" si="65"/>
        <v>0</v>
      </c>
      <c r="BX52" s="713">
        <f t="shared" ca="1" si="65"/>
        <v>0</v>
      </c>
      <c r="BY52" s="713">
        <f t="shared" ca="1" si="65"/>
        <v>0</v>
      </c>
      <c r="BZ52" s="713">
        <f t="shared" ca="1" si="65"/>
        <v>0</v>
      </c>
      <c r="CA52" s="713">
        <f t="shared" ca="1" si="65"/>
        <v>0</v>
      </c>
      <c r="CB52" s="691"/>
    </row>
    <row r="53" spans="2:80" s="670" customFormat="1" x14ac:dyDescent="0.2">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71</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si="64"/>
        <v>FC Barcelona</v>
      </c>
      <c r="BS53" s="714">
        <f t="shared" ref="BS53:BU60" ca="1" si="66">SUMIFS($AJ$64:$AJ$135,$V$64:$V$135,$BR53,$W$64:$W$135,BS$51)+SUMIFS($AK$64:$AK$135,$W$64:$W$135,$BR53,$V$64:$V$135,BS$51)</f>
        <v>0</v>
      </c>
      <c r="BT53" s="712"/>
      <c r="BU53" s="713">
        <f t="shared" ca="1" si="65"/>
        <v>1</v>
      </c>
      <c r="BV53" s="713">
        <f t="shared" ca="1" si="65"/>
        <v>0</v>
      </c>
      <c r="BW53" s="713">
        <f t="shared" ca="1" si="65"/>
        <v>2</v>
      </c>
      <c r="BX53" s="713">
        <f t="shared" ca="1" si="65"/>
        <v>0</v>
      </c>
      <c r="BY53" s="713">
        <f t="shared" ca="1" si="65"/>
        <v>0</v>
      </c>
      <c r="BZ53" s="713">
        <f t="shared" ca="1" si="65"/>
        <v>0</v>
      </c>
      <c r="CA53" s="713">
        <f t="shared" ca="1" si="65"/>
        <v>0</v>
      </c>
      <c r="CB53" s="691"/>
    </row>
    <row r="54" spans="2:80" s="670" customFormat="1" x14ac:dyDescent="0.2">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si="64"/>
        <v>Eintracht Frankfurt</v>
      </c>
      <c r="BS54" s="714">
        <f t="shared" ca="1" si="66"/>
        <v>1</v>
      </c>
      <c r="BT54" s="714">
        <f t="shared" ca="1" si="66"/>
        <v>1</v>
      </c>
      <c r="BU54" s="712"/>
      <c r="BV54" s="713">
        <f t="shared" ca="1" si="65"/>
        <v>2</v>
      </c>
      <c r="BW54" s="713">
        <f t="shared" ca="1" si="65"/>
        <v>1</v>
      </c>
      <c r="BX54" s="713">
        <f t="shared" ca="1" si="65"/>
        <v>0</v>
      </c>
      <c r="BY54" s="713">
        <f t="shared" ca="1" si="65"/>
        <v>0</v>
      </c>
      <c r="BZ54" s="713">
        <f t="shared" ca="1" si="65"/>
        <v>0</v>
      </c>
      <c r="CA54" s="713">
        <f t="shared" ca="1" si="65"/>
        <v>0</v>
      </c>
      <c r="CB54" s="691"/>
    </row>
    <row r="55" spans="2:80" s="670" customFormat="1" x14ac:dyDescent="0.2">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si="64"/>
        <v>Maibach 1822 eV</v>
      </c>
      <c r="BS55" s="714">
        <f t="shared" ca="1" si="66"/>
        <v>1</v>
      </c>
      <c r="BT55" s="714">
        <f t="shared" ca="1" si="66"/>
        <v>2</v>
      </c>
      <c r="BU55" s="714">
        <f t="shared" ca="1" si="66"/>
        <v>0</v>
      </c>
      <c r="BV55" s="712"/>
      <c r="BW55" s="713">
        <f ca="1">SUMIFS($AJ$64:$AJ$135,$V$64:$V$135,$BR55,$W$64:$W$135,BW$51)+SUMIFS($AK$64:$AK$135,$W$64:$W$135,$BR55,$V$64:$V$135,BW$51)</f>
        <v>2</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2:80" s="670" customFormat="1" x14ac:dyDescent="0.2">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57</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64"/>
        <v>VFB Essenheim</v>
      </c>
      <c r="BS56" s="714">
        <f t="shared" ca="1" si="66"/>
        <v>2</v>
      </c>
      <c r="BT56" s="714">
        <f t="shared" ca="1" si="66"/>
        <v>1</v>
      </c>
      <c r="BU56" s="714">
        <f t="shared" ca="1" si="66"/>
        <v>1</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2:80" s="670" customFormat="1" x14ac:dyDescent="0.2">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64"/>
        <v/>
      </c>
      <c r="BS57" s="714">
        <f t="shared" ca="1" si="66"/>
        <v>0</v>
      </c>
      <c r="BT57" s="714">
        <f t="shared" ca="1" si="66"/>
        <v>0</v>
      </c>
      <c r="BU57" s="714">
        <f t="shared" ca="1" si="66"/>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2:80" s="670" customFormat="1" x14ac:dyDescent="0.2">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64"/>
        <v/>
      </c>
      <c r="BS58" s="714">
        <f t="shared" ca="1" si="66"/>
        <v>0</v>
      </c>
      <c r="BT58" s="714">
        <f t="shared" ca="1" si="66"/>
        <v>0</v>
      </c>
      <c r="BU58" s="714">
        <f t="shared" ca="1" si="66"/>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2:80" s="670" customFormat="1" x14ac:dyDescent="0.2">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64"/>
        <v/>
      </c>
      <c r="BS59" s="714">
        <f t="shared" ca="1" si="66"/>
        <v>0</v>
      </c>
      <c r="BT59" s="714">
        <f t="shared" ca="1" si="66"/>
        <v>0</v>
      </c>
      <c r="BU59" s="714">
        <f t="shared" ca="1" si="66"/>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2:80" s="670" customFormat="1" ht="12.75" thickBot="1" x14ac:dyDescent="0.25">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64"/>
        <v/>
      </c>
      <c r="BS60" s="714">
        <f t="shared" ca="1" si="66"/>
        <v>0</v>
      </c>
      <c r="BT60" s="714">
        <f t="shared" ca="1" si="66"/>
        <v>0</v>
      </c>
      <c r="BU60" s="714">
        <f t="shared" ca="1" si="66"/>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2:80" s="670" customFormat="1" ht="12.75" thickTop="1" x14ac:dyDescent="0.2">
      <c r="AC61" s="691"/>
      <c r="AD61" s="691"/>
      <c r="AE61" s="691"/>
      <c r="AF61" s="691"/>
      <c r="AG61" s="691"/>
      <c r="AH61" s="691"/>
      <c r="AI61" s="691"/>
      <c r="AJ61" s="691"/>
      <c r="AK61" s="691"/>
      <c r="AL61" s="691"/>
      <c r="AM61" s="691"/>
      <c r="AN61" s="691"/>
      <c r="AO61" s="691"/>
      <c r="AP61" s="691"/>
      <c r="AQ61" s="691"/>
      <c r="AR61" s="691"/>
    </row>
    <row r="62" spans="2:80" s="670" customFormat="1" x14ac:dyDescent="0.2">
      <c r="AC62" s="691"/>
      <c r="AD62" s="691"/>
      <c r="AE62" s="691"/>
      <c r="AF62" s="691"/>
      <c r="AG62" s="691"/>
      <c r="AH62" s="691"/>
      <c r="AI62" s="691"/>
      <c r="AJ62" s="691"/>
      <c r="AK62" s="691"/>
      <c r="AL62" s="691"/>
      <c r="AM62" s="691"/>
      <c r="AN62" s="691"/>
      <c r="AO62" s="691"/>
      <c r="AP62" s="691"/>
      <c r="AQ62" s="691"/>
      <c r="AR62" s="691"/>
    </row>
    <row r="63" spans="2:80" s="670" customFormat="1" ht="12.75" thickBot="1" x14ac:dyDescent="0.25">
      <c r="F63" s="661" t="s">
        <v>164</v>
      </c>
      <c r="X63" s="1018" t="s">
        <v>312</v>
      </c>
      <c r="Y63" s="1018"/>
      <c r="Z63" s="674" t="s">
        <v>150</v>
      </c>
      <c r="AA63" s="674" t="s">
        <v>15</v>
      </c>
      <c r="AB63" s="674" t="s">
        <v>400</v>
      </c>
      <c r="AC63" s="719" t="s">
        <v>399</v>
      </c>
      <c r="AD63" s="1019" t="s">
        <v>314</v>
      </c>
      <c r="AE63" s="1019"/>
      <c r="AF63" s="1019" t="s">
        <v>318</v>
      </c>
      <c r="AG63" s="1019"/>
      <c r="AH63" s="1019" t="s">
        <v>400</v>
      </c>
      <c r="AI63" s="1019"/>
      <c r="AJ63" s="1020" t="s">
        <v>399</v>
      </c>
      <c r="AK63" s="1020"/>
      <c r="AL63" s="1019" t="s">
        <v>108</v>
      </c>
      <c r="AM63" s="1019"/>
      <c r="AN63" s="722"/>
    </row>
    <row r="64" spans="2:80" s="670" customFormat="1" ht="14.25" thickTop="1" thickBot="1" x14ac:dyDescent="0.25">
      <c r="F64" s="723">
        <v>1000000</v>
      </c>
      <c r="G64" s="724" t="s">
        <v>401</v>
      </c>
      <c r="L64" s="725"/>
      <c r="P64" s="726" t="s">
        <v>6</v>
      </c>
      <c r="Q64" s="727" t="str">
        <f>IF(Planung!$C$7="","",Planung!$C$7)</f>
        <v>1. FC Riedwald</v>
      </c>
      <c r="U64" s="728" t="s">
        <v>6</v>
      </c>
      <c r="V64" s="729" t="str">
        <f ca="1">Planung!$L6</f>
        <v>VFB Essenheim</v>
      </c>
      <c r="W64" s="730" t="str">
        <f ca="1">Planung!$N6</f>
        <v>FC Barcelona</v>
      </c>
      <c r="X64" s="730">
        <f ca="1">IF(AND($AA64=1,Vorrunde!$I12&lt;&gt;"",Vorrunde!$K12&lt;&gt;"",ABS(Vorrunde!$I12-Vorrunde!$K12)&gt;1),Vorrunde!$I12,"")</f>
        <v>13</v>
      </c>
      <c r="Y64" s="731">
        <f ca="1">IF(AND($AA64=1,Vorrunde!$I12&lt;&gt;"",Vorrunde!$K12&lt;&gt;"",ABS(Vorrunde!$I12-Vorrunde!$K12)&gt;1),Vorrunde!$K12,"")</f>
        <v>25</v>
      </c>
      <c r="Z64" s="732" t="str">
        <f ca="1">V64&amp;W64</f>
        <v>VFB EssenheimFC Barcelona</v>
      </c>
      <c r="AA64" s="730">
        <f ca="1">IF(AND(V64&lt;&gt;"",W64&lt;&gt;"",V64&lt;&gt;W64,Vorrunde!$R12&lt;&gt;"",Vorrunde!$T12&lt;&gt;""),1,0)</f>
        <v>1</v>
      </c>
      <c r="AB64" s="733" t="str">
        <f ca="1">IF(AA64&gt;0,AH64&amp;Sprache!$E$99&amp;AI64,"")</f>
        <v>57 : 71</v>
      </c>
      <c r="AC64" s="734" t="str">
        <f ca="1">IF(AA64&gt;0,AJ64&amp;Sprache!$E$99&amp;AK64,"")</f>
        <v>1 : 2</v>
      </c>
      <c r="AD64" s="735">
        <f ca="1">IF(AND($AA64=1,Vorrunde!$L12&lt;&gt;"",Vorrunde!$N12&lt;&gt;"",ABS(Vorrunde!$L12-Vorrunde!$N12)&gt;1),Vorrunde!$L12,"")</f>
        <v>19</v>
      </c>
      <c r="AE64" s="734">
        <f ca="1">IF(AND($AA64=1,Vorrunde!$L12&lt;&gt;"",Vorrunde!$N12&lt;&gt;"",ABS(Vorrunde!$L12-Vorrunde!$N12)&gt;1),Vorrunde!$N12,"")</f>
        <v>25</v>
      </c>
      <c r="AF64" s="735">
        <f ca="1">IF(AND($AA64=1,Vorrunde!$O12&lt;&gt;"",Vorrunde!$Q12&lt;&gt;"",ABS(Vorrunde!$O12-Vorrunde!$Q12)&gt;1),Vorrunde!$O12,"")</f>
        <v>25</v>
      </c>
      <c r="AG64" s="734">
        <f ca="1">IF(AND($AA64=1,Vorrunde!$O12&lt;&gt;"",Vorrunde!$Q12&lt;&gt;"",ABS(Vorrunde!$O12-Vorrunde!$Q12)&gt;1),Vorrunde!$Q12,"")</f>
        <v>21</v>
      </c>
      <c r="AH64" s="735">
        <f ca="1">IF(AA64&gt;0,SUM(X64,AD64,AF64),"")</f>
        <v>57</v>
      </c>
      <c r="AI64" s="734">
        <f ca="1">IF(AA64&gt;0,SUM(Y64,AE64,AG64),"")</f>
        <v>71</v>
      </c>
      <c r="AJ64" s="735">
        <f ca="1">IF(Vorrunde!$R12="",0,Vorrunde!$R12)</f>
        <v>1</v>
      </c>
      <c r="AK64" s="734">
        <f ca="1">IF(Vorrunde!$T12="",0,Vorrunde!$T12)</f>
        <v>2</v>
      </c>
      <c r="AL64" s="735">
        <f ca="1">IF($AA64=0,"",IF($AJ64&gt;$AK64,Einstellungen!$C$4,IF($AJ64=$AK64,1,0)))</f>
        <v>0</v>
      </c>
      <c r="AM64" s="734">
        <f ca="1">IF($AA64=0,"",IF($AJ64&lt;$AK64,Einstellungen!$C$4,IF($AJ64=$AK64,1,0)))</f>
        <v>2</v>
      </c>
      <c r="AN64" s="671"/>
    </row>
    <row r="65" spans="2:40" s="670" customFormat="1" ht="13.5" thickBot="1" x14ac:dyDescent="0.25">
      <c r="F65" s="736">
        <v>1000</v>
      </c>
      <c r="G65" s="737" t="s">
        <v>402</v>
      </c>
      <c r="H65" s="738">
        <v>500</v>
      </c>
      <c r="I65" s="739" t="s">
        <v>403</v>
      </c>
      <c r="L65" s="725"/>
      <c r="P65" s="740" t="s">
        <v>7</v>
      </c>
      <c r="Q65" s="741" t="str">
        <f>IF(Planung!$C$9="","",Planung!$C$9)</f>
        <v>FC Barcelona</v>
      </c>
      <c r="U65" s="742" t="s">
        <v>7</v>
      </c>
      <c r="V65" s="743" t="str">
        <f ca="1">Planung!$L7</f>
        <v>FC Grönlingen</v>
      </c>
      <c r="W65" s="671" t="str">
        <f ca="1">Planung!$N7</f>
        <v>Inter Mailand</v>
      </c>
      <c r="X65" s="671">
        <f ca="1">IF(AND($AA65=1,Vorrunde!$I13&lt;&gt;"",Vorrunde!$K13&lt;&gt;"",ABS(Vorrunde!$I13-Vorrunde!$K13)&gt;1),Vorrunde!$I13,"")</f>
        <v>25</v>
      </c>
      <c r="Y65" s="744">
        <f ca="1">IF(AND($AA65=1,Vorrunde!$I13&lt;&gt;"",Vorrunde!$K13&lt;&gt;"",ABS(Vorrunde!$I13-Vorrunde!$K13)&gt;1),Vorrunde!$K13,"")</f>
        <v>20</v>
      </c>
      <c r="Z65" s="745" t="str">
        <f t="shared" ref="Z65:Z73" ca="1" si="67">V65&amp;W65</f>
        <v>FC GrönlingenInter Mailand</v>
      </c>
      <c r="AA65" s="671">
        <f ca="1">IF(AND(V65&lt;&gt;"",W65&lt;&gt;"",V65&lt;&gt;W65,Vorrunde!$R13&lt;&gt;"",Vorrunde!$T13&lt;&gt;""),1,0)</f>
        <v>1</v>
      </c>
      <c r="AB65" s="671" t="str">
        <f ca="1">IF(AA65&gt;0,AH65&amp;Sprache!$E$99&amp;AI65,"")</f>
        <v>48 : 45</v>
      </c>
      <c r="AC65" s="746" t="str">
        <f ca="1">IF(AA65&gt;0,AJ65&amp;Sprache!$E$99&amp;AK65,"")</f>
        <v>1 : 1</v>
      </c>
      <c r="AD65" s="747">
        <f ca="1">IF(AND($AA65=1,Vorrunde!$L13&lt;&gt;"",Vorrunde!$N13&lt;&gt;"",ABS(Vorrunde!$L13-Vorrunde!$N13)&gt;1),Vorrunde!$L13,"")</f>
        <v>23</v>
      </c>
      <c r="AE65" s="746">
        <f ca="1">IF(AND($AA65=1,Vorrunde!$L13&lt;&gt;"",Vorrunde!$N13&lt;&gt;"",ABS(Vorrunde!$L13-Vorrunde!$N13)&gt;1),Vorrunde!$N13,"")</f>
        <v>25</v>
      </c>
      <c r="AF65" s="747" t="str">
        <f ca="1">IF(AND($AA65=1,Vorrunde!$O13&lt;&gt;"",Vorrunde!$Q13&lt;&gt;"",ABS(Vorrunde!$O13-Vorrunde!$Q13)&gt;1),Vorrunde!$O13,"")</f>
        <v/>
      </c>
      <c r="AG65" s="746" t="str">
        <f ca="1">IF(AND($AA65=1,Vorrunde!$O13&lt;&gt;"",Vorrunde!$Q13&lt;&gt;"",ABS(Vorrunde!$O13-Vorrunde!$Q13)&gt;1),Vorrunde!$Q13,"")</f>
        <v/>
      </c>
      <c r="AH65" s="747">
        <f t="shared" ref="AH65:AH93" ca="1" si="68">IF(AA65&gt;0,SUM(X65,AD65,AF65),"")</f>
        <v>48</v>
      </c>
      <c r="AI65" s="746">
        <f t="shared" ref="AI65:AI93" ca="1" si="69">IF(AA65&gt;0,SUM(Y65,AE65,AG65),"")</f>
        <v>45</v>
      </c>
      <c r="AJ65" s="747">
        <f ca="1">IF(Vorrunde!$R13="",0,Vorrunde!$R13)</f>
        <v>1</v>
      </c>
      <c r="AK65" s="746">
        <f ca="1">IF(Vorrunde!$T13="",0,Vorrunde!$T13)</f>
        <v>1</v>
      </c>
      <c r="AL65" s="747">
        <f ca="1">IF($AA65=0,"",IF($AJ65&gt;$AK65,Einstellungen!$C$4,IF($AJ65=$AK65,1,0)))</f>
        <v>1</v>
      </c>
      <c r="AM65" s="746">
        <f ca="1">IF($AA65=0,"",IF($AJ65&lt;$AK65,Einstellungen!$C$4,IF($AJ65=$AK65,1,0)))</f>
        <v>1</v>
      </c>
      <c r="AN65" s="671"/>
    </row>
    <row r="66" spans="2:40" s="670" customFormat="1" ht="12.75" x14ac:dyDescent="0.2">
      <c r="F66" s="736">
        <v>1</v>
      </c>
      <c r="G66" s="737" t="s">
        <v>404</v>
      </c>
      <c r="L66" s="725"/>
      <c r="P66" s="740" t="s">
        <v>8</v>
      </c>
      <c r="Q66" s="741" t="str">
        <f>IF(Planung!$C$11="","",Planung!$C$11)</f>
        <v>Eintracht Frankfurt</v>
      </c>
      <c r="U66" s="742" t="s">
        <v>8</v>
      </c>
      <c r="V66" s="743" t="str">
        <f ca="1">Planung!$L8</f>
        <v>Eintracht Frankfurt</v>
      </c>
      <c r="W66" s="671" t="str">
        <f ca="1">Planung!$N8</f>
        <v>Maibach 1822 eV</v>
      </c>
      <c r="X66" s="671">
        <f ca="1">IF(AND($AA66=1,Vorrunde!$I14&lt;&gt;"",Vorrunde!$K14&lt;&gt;"",ABS(Vorrunde!$I14-Vorrunde!$K14)&gt;1),Vorrunde!$I14,"")</f>
        <v>25</v>
      </c>
      <c r="Y66" s="744">
        <f ca="1">IF(AND($AA66=1,Vorrunde!$I14&lt;&gt;"",Vorrunde!$K14&lt;&gt;"",ABS(Vorrunde!$I14-Vorrunde!$K14)&gt;1),Vorrunde!$K14,"")</f>
        <v>17</v>
      </c>
      <c r="Z66" s="745" t="str">
        <f t="shared" ca="1" si="67"/>
        <v>Eintracht FrankfurtMaibach 1822 eV</v>
      </c>
      <c r="AA66" s="671">
        <f ca="1">IF(AND(V66&lt;&gt;"",W66&lt;&gt;"",V66&lt;&gt;W66,Vorrunde!$R14&lt;&gt;"",Vorrunde!$T14&lt;&gt;""),1,0)</f>
        <v>1</v>
      </c>
      <c r="AB66" s="671" t="str">
        <f ca="1">IF(AA66&gt;0,AH66&amp;Sprache!$E$99&amp;AI66,"")</f>
        <v>50 : 36</v>
      </c>
      <c r="AC66" s="746" t="str">
        <f ca="1">IF(AA66&gt;0,AJ66&amp;Sprache!$E$99&amp;AK66,"")</f>
        <v>2 : 0</v>
      </c>
      <c r="AD66" s="747">
        <f ca="1">IF(AND($AA66=1,Vorrunde!$L14&lt;&gt;"",Vorrunde!$N14&lt;&gt;"",ABS(Vorrunde!$L14-Vorrunde!$N14)&gt;1),Vorrunde!$L14,"")</f>
        <v>25</v>
      </c>
      <c r="AE66" s="746">
        <f ca="1">IF(AND($AA66=1,Vorrunde!$L14&lt;&gt;"",Vorrunde!$N14&lt;&gt;"",ABS(Vorrunde!$L14-Vorrunde!$N14)&gt;1),Vorrunde!$N14,"")</f>
        <v>19</v>
      </c>
      <c r="AF66" s="747" t="str">
        <f ca="1">IF(AND($AA66=1,Vorrunde!$O14&lt;&gt;"",Vorrunde!$Q14&lt;&gt;"",ABS(Vorrunde!$O14-Vorrunde!$Q14)&gt;1),Vorrunde!$O14,"")</f>
        <v/>
      </c>
      <c r="AG66" s="746" t="str">
        <f ca="1">IF(AND($AA66=1,Vorrunde!$O14&lt;&gt;"",Vorrunde!$Q14&lt;&gt;"",ABS(Vorrunde!$O14-Vorrunde!$Q14)&gt;1),Vorrunde!$Q14,"")</f>
        <v/>
      </c>
      <c r="AH66" s="747">
        <f t="shared" ca="1" si="68"/>
        <v>50</v>
      </c>
      <c r="AI66" s="746">
        <f t="shared" ca="1" si="69"/>
        <v>36</v>
      </c>
      <c r="AJ66" s="747">
        <f ca="1">IF(Vorrunde!$R14="",0,Vorrunde!$R14)</f>
        <v>2</v>
      </c>
      <c r="AK66" s="746">
        <f ca="1">IF(Vorrunde!$T14="",0,Vorrunde!$T14)</f>
        <v>0</v>
      </c>
      <c r="AL66" s="747">
        <f ca="1">IF($AA66=0,"",IF($AJ66&gt;$AK66,Einstellungen!$C$4,IF($AJ66=$AK66,1,0)))</f>
        <v>2</v>
      </c>
      <c r="AM66" s="746">
        <f ca="1">IF($AA66=0,"",IF($AJ66&lt;$AK66,Einstellungen!$C$4,IF($AJ66=$AK66,1,0)))</f>
        <v>0</v>
      </c>
      <c r="AN66" s="671"/>
    </row>
    <row r="67" spans="2:40" s="670" customFormat="1" ht="12.75" thickBot="1" x14ac:dyDescent="0.25">
      <c r="F67" s="748">
        <v>1E-3</v>
      </c>
      <c r="G67" s="749" t="s">
        <v>405</v>
      </c>
      <c r="P67" s="740" t="s">
        <v>9</v>
      </c>
      <c r="Q67" s="741" t="str">
        <f>IF(Planung!$C$13="","",Planung!$C$13)</f>
        <v>Maibach 1822 eV</v>
      </c>
      <c r="U67" s="742" t="s">
        <v>9</v>
      </c>
      <c r="V67" s="743" t="str">
        <f ca="1">Planung!$L9</f>
        <v>SSV Wildbach</v>
      </c>
      <c r="W67" s="671" t="str">
        <f ca="1">Planung!$N9</f>
        <v>Manchester City</v>
      </c>
      <c r="X67" s="671">
        <f ca="1">IF(AND($AA67=1,Vorrunde!$I15&lt;&gt;"",Vorrunde!$K15&lt;&gt;"",ABS(Vorrunde!$I15-Vorrunde!$K15)&gt;1),Vorrunde!$I15,"")</f>
        <v>25</v>
      </c>
      <c r="Y67" s="744">
        <f ca="1">IF(AND($AA67=1,Vorrunde!$I15&lt;&gt;"",Vorrunde!$K15&lt;&gt;"",ABS(Vorrunde!$I15-Vorrunde!$K15)&gt;1),Vorrunde!$K15,"")</f>
        <v>22</v>
      </c>
      <c r="Z67" s="745" t="str">
        <f t="shared" ca="1" si="67"/>
        <v>SSV WildbachManchester City</v>
      </c>
      <c r="AA67" s="671">
        <f ca="1">IF(AND(V67&lt;&gt;"",W67&lt;&gt;"",V67&lt;&gt;W67,Vorrunde!$R15&lt;&gt;"",Vorrunde!$T15&lt;&gt;""),1,0)</f>
        <v>1</v>
      </c>
      <c r="AB67" s="671" t="str">
        <f ca="1">IF(AA67&gt;0,AH67&amp;Sprache!$E$99&amp;AI67,"")</f>
        <v>50 : 42</v>
      </c>
      <c r="AC67" s="746" t="str">
        <f ca="1">IF(AA67&gt;0,AJ67&amp;Sprache!$E$99&amp;AK67,"")</f>
        <v>2 : 0</v>
      </c>
      <c r="AD67" s="747">
        <f ca="1">IF(AND($AA67=1,Vorrunde!$L15&lt;&gt;"",Vorrunde!$N15&lt;&gt;"",ABS(Vorrunde!$L15-Vorrunde!$N15)&gt;1),Vorrunde!$L15,"")</f>
        <v>25</v>
      </c>
      <c r="AE67" s="746">
        <f ca="1">IF(AND($AA67=1,Vorrunde!$L15&lt;&gt;"",Vorrunde!$N15&lt;&gt;"",ABS(Vorrunde!$L15-Vorrunde!$N15)&gt;1),Vorrunde!$N15,"")</f>
        <v>20</v>
      </c>
      <c r="AF67" s="747" t="str">
        <f ca="1">IF(AND($AA67=1,Vorrunde!$O15&lt;&gt;"",Vorrunde!$Q15&lt;&gt;"",ABS(Vorrunde!$O15-Vorrunde!$Q15)&gt;1),Vorrunde!$O15,"")</f>
        <v/>
      </c>
      <c r="AG67" s="746" t="str">
        <f ca="1">IF(AND($AA67=1,Vorrunde!$O15&lt;&gt;"",Vorrunde!$Q15&lt;&gt;"",ABS(Vorrunde!$O15-Vorrunde!$Q15)&gt;1),Vorrunde!$Q15,"")</f>
        <v/>
      </c>
      <c r="AH67" s="747">
        <f t="shared" ca="1" si="68"/>
        <v>50</v>
      </c>
      <c r="AI67" s="746">
        <f t="shared" ca="1" si="69"/>
        <v>42</v>
      </c>
      <c r="AJ67" s="747">
        <f ca="1">IF(Vorrunde!$R15="",0,Vorrunde!$R15)</f>
        <v>2</v>
      </c>
      <c r="AK67" s="746">
        <f ca="1">IF(Vorrunde!$T15="",0,Vorrunde!$T15)</f>
        <v>0</v>
      </c>
      <c r="AL67" s="747">
        <f ca="1">IF($AA67=0,"",IF($AJ67&gt;$AK67,Einstellungen!$C$4,IF($AJ67=$AK67,1,0)))</f>
        <v>2</v>
      </c>
      <c r="AM67" s="746">
        <f ca="1">IF($AA67=0,"",IF($AJ67&lt;$AK67,Einstellungen!$C$4,IF($AJ67=$AK67,1,0)))</f>
        <v>0</v>
      </c>
      <c r="AN67" s="671"/>
    </row>
    <row r="68" spans="2:40" s="670" customFormat="1" x14ac:dyDescent="0.2">
      <c r="P68" s="740" t="s">
        <v>10</v>
      </c>
      <c r="Q68" s="741" t="str">
        <f>IF(Planung!$C$15="","",Planung!$C$15)</f>
        <v>VFB Essenheim</v>
      </c>
      <c r="U68" s="742" t="s">
        <v>10</v>
      </c>
      <c r="V68" s="743" t="str">
        <f ca="1">Planung!$L10</f>
        <v>VFB Essenheim</v>
      </c>
      <c r="W68" s="671" t="str">
        <f ca="1">Planung!$N10</f>
        <v>1. FC Riedwald</v>
      </c>
      <c r="X68" s="671">
        <f ca="1">IF(AND($AA68=1,Vorrunde!$I16&lt;&gt;"",Vorrunde!$K16&lt;&gt;"",ABS(Vorrunde!$I16-Vorrunde!$K16)&gt;1),Vorrunde!$I16,"")</f>
        <v>25</v>
      </c>
      <c r="Y68" s="744">
        <f ca="1">IF(AND($AA68=1,Vorrunde!$I16&lt;&gt;"",Vorrunde!$K16&lt;&gt;"",ABS(Vorrunde!$I16-Vorrunde!$K16)&gt;1),Vorrunde!$K16,"")</f>
        <v>23</v>
      </c>
      <c r="Z68" s="745" t="str">
        <f t="shared" ca="1" si="67"/>
        <v>VFB Essenheim1. FC Riedwald</v>
      </c>
      <c r="AA68" s="671">
        <f ca="1">IF(AND(V68&lt;&gt;"",W68&lt;&gt;"",V68&lt;&gt;W68,Vorrunde!$R16&lt;&gt;"",Vorrunde!$T16&lt;&gt;""),1,0)</f>
        <v>1</v>
      </c>
      <c r="AB68" s="671" t="str">
        <f ca="1">IF(AA68&gt;0,AH68&amp;Sprache!$E$99&amp;AI68,"")</f>
        <v>50 : 44</v>
      </c>
      <c r="AC68" s="746" t="str">
        <f ca="1">IF(AA68&gt;0,AJ68&amp;Sprache!$E$99&amp;AK68,"")</f>
        <v>2 : 0</v>
      </c>
      <c r="AD68" s="747">
        <f ca="1">IF(AND($AA68=1,Vorrunde!$L16&lt;&gt;"",Vorrunde!$N16&lt;&gt;"",ABS(Vorrunde!$L16-Vorrunde!$N16)&gt;1),Vorrunde!$L16,"")</f>
        <v>25</v>
      </c>
      <c r="AE68" s="746">
        <f ca="1">IF(AND($AA68=1,Vorrunde!$L16&lt;&gt;"",Vorrunde!$N16&lt;&gt;"",ABS(Vorrunde!$L16-Vorrunde!$N16)&gt;1),Vorrunde!$N16,"")</f>
        <v>21</v>
      </c>
      <c r="AF68" s="747" t="str">
        <f ca="1">IF(AND($AA68=1,Vorrunde!$O16&lt;&gt;"",Vorrunde!$Q16&lt;&gt;"",ABS(Vorrunde!$O16-Vorrunde!$Q16)&gt;1),Vorrunde!$O16,"")</f>
        <v/>
      </c>
      <c r="AG68" s="746" t="str">
        <f ca="1">IF(AND($AA68=1,Vorrunde!$O16&lt;&gt;"",Vorrunde!$Q16&lt;&gt;"",ABS(Vorrunde!$O16-Vorrunde!$Q16)&gt;1),Vorrunde!$Q16,"")</f>
        <v/>
      </c>
      <c r="AH68" s="747">
        <f t="shared" ca="1" si="68"/>
        <v>50</v>
      </c>
      <c r="AI68" s="746">
        <f t="shared" ca="1" si="69"/>
        <v>44</v>
      </c>
      <c r="AJ68" s="747">
        <f ca="1">IF(Vorrunde!$R16="",0,Vorrunde!$R16)</f>
        <v>2</v>
      </c>
      <c r="AK68" s="746">
        <f ca="1">IF(Vorrunde!$T16="",0,Vorrunde!$T16)</f>
        <v>0</v>
      </c>
      <c r="AL68" s="747">
        <f ca="1">IF($AA68=0,"",IF($AJ68&gt;$AK68,Einstellungen!$C$4,IF($AJ68=$AK68,1,0)))</f>
        <v>2</v>
      </c>
      <c r="AM68" s="746">
        <f ca="1">IF($AA68=0,"",IF($AJ68&lt;$AK68,Einstellungen!$C$4,IF($AJ68=$AK68,1,0)))</f>
        <v>0</v>
      </c>
      <c r="AN68" s="671"/>
    </row>
    <row r="69" spans="2:40" s="670" customFormat="1" x14ac:dyDescent="0.2">
      <c r="P69" s="740" t="s">
        <v>11</v>
      </c>
      <c r="Q69" s="741" t="str">
        <f>IF(Planung!$C$17="","",Planung!$C$17)</f>
        <v/>
      </c>
      <c r="U69" s="742" t="s">
        <v>11</v>
      </c>
      <c r="V69" s="743" t="str">
        <f ca="1">Planung!$L11</f>
        <v>FC Grönlingen</v>
      </c>
      <c r="W69" s="671" t="str">
        <f ca="1">Planung!$N11</f>
        <v>Mainz 05</v>
      </c>
      <c r="X69" s="671">
        <f ca="1">IF(AND($AA69=1,Vorrunde!$I17&lt;&gt;"",Vorrunde!$K17&lt;&gt;"",ABS(Vorrunde!$I17-Vorrunde!$K17)&gt;1),Vorrunde!$I17,"")</f>
        <v>25</v>
      </c>
      <c r="Y69" s="744">
        <f ca="1">IF(AND($AA69=1,Vorrunde!$I17&lt;&gt;"",Vorrunde!$K17&lt;&gt;"",ABS(Vorrunde!$I17-Vorrunde!$K17)&gt;1),Vorrunde!$K17,"")</f>
        <v>17</v>
      </c>
      <c r="Z69" s="745" t="str">
        <f t="shared" ca="1" si="67"/>
        <v>FC GrönlingenMainz 05</v>
      </c>
      <c r="AA69" s="671">
        <f ca="1">IF(AND(V69&lt;&gt;"",W69&lt;&gt;"",V69&lt;&gt;W69,Vorrunde!$R17&lt;&gt;"",Vorrunde!$T17&lt;&gt;""),1,0)</f>
        <v>1</v>
      </c>
      <c r="AB69" s="671" t="str">
        <f ca="1">IF(AA69&gt;0,AH69&amp;Sprache!$E$99&amp;AI69,"")</f>
        <v>50 : 39</v>
      </c>
      <c r="AC69" s="746" t="str">
        <f ca="1">IF(AA69&gt;0,AJ69&amp;Sprache!$E$99&amp;AK69,"")</f>
        <v>2 : 0</v>
      </c>
      <c r="AD69" s="747">
        <f ca="1">IF(AND($AA69=1,Vorrunde!$L17&lt;&gt;"",Vorrunde!$N17&lt;&gt;"",ABS(Vorrunde!$L17-Vorrunde!$N17)&gt;1),Vorrunde!$L17,"")</f>
        <v>25</v>
      </c>
      <c r="AE69" s="746">
        <f ca="1">IF(AND($AA69=1,Vorrunde!$L17&lt;&gt;"",Vorrunde!$N17&lt;&gt;"",ABS(Vorrunde!$L17-Vorrunde!$N17)&gt;1),Vorrunde!$N17,"")</f>
        <v>22</v>
      </c>
      <c r="AF69" s="747" t="str">
        <f ca="1">IF(AND($AA69=1,Vorrunde!$O17&lt;&gt;"",Vorrunde!$Q17&lt;&gt;"",ABS(Vorrunde!$O17-Vorrunde!$Q17)&gt;1),Vorrunde!$O17,"")</f>
        <v/>
      </c>
      <c r="AG69" s="746" t="str">
        <f ca="1">IF(AND($AA69=1,Vorrunde!$O17&lt;&gt;"",Vorrunde!$Q17&lt;&gt;"",ABS(Vorrunde!$O17-Vorrunde!$Q17)&gt;1),Vorrunde!$Q17,"")</f>
        <v/>
      </c>
      <c r="AH69" s="747">
        <f t="shared" ca="1" si="68"/>
        <v>50</v>
      </c>
      <c r="AI69" s="746">
        <f t="shared" ca="1" si="69"/>
        <v>39</v>
      </c>
      <c r="AJ69" s="747">
        <f ca="1">IF(Vorrunde!$R17="",0,Vorrunde!$R17)</f>
        <v>2</v>
      </c>
      <c r="AK69" s="746">
        <f ca="1">IF(Vorrunde!$T17="",0,Vorrunde!$T17)</f>
        <v>0</v>
      </c>
      <c r="AL69" s="747">
        <f ca="1">IF($AA69=0,"",IF($AJ69&gt;$AK69,Einstellungen!$C$4,IF($AJ69=$AK69,1,0)))</f>
        <v>2</v>
      </c>
      <c r="AM69" s="746">
        <f ca="1">IF($AA69=0,"",IF($AJ69&lt;$AK69,Einstellungen!$C$4,IF($AJ69=$AK69,1,0)))</f>
        <v>0</v>
      </c>
      <c r="AN69" s="671"/>
    </row>
    <row r="70" spans="2:40" s="670" customFormat="1" x14ac:dyDescent="0.2">
      <c r="P70" s="740"/>
      <c r="Q70" s="741" t="str">
        <f>""</f>
        <v/>
      </c>
      <c r="U70" s="742" t="s">
        <v>16</v>
      </c>
      <c r="V70" s="743" t="str">
        <f ca="1">Planung!$L12</f>
        <v>FC Barcelona</v>
      </c>
      <c r="W70" s="671" t="str">
        <f ca="1">Planung!$N12</f>
        <v>Eintracht Frankfurt</v>
      </c>
      <c r="X70" s="671">
        <f ca="1">IF(AND($AA70=1,Vorrunde!$I18&lt;&gt;"",Vorrunde!$K18&lt;&gt;"",ABS(Vorrunde!$I18-Vorrunde!$K18)&gt;1),Vorrunde!$I18,"")</f>
        <v>23</v>
      </c>
      <c r="Y70" s="744">
        <f ca="1">IF(AND($AA70=1,Vorrunde!$I18&lt;&gt;"",Vorrunde!$K18&lt;&gt;"",ABS(Vorrunde!$I18-Vorrunde!$K18)&gt;1),Vorrunde!$K18,"")</f>
        <v>25</v>
      </c>
      <c r="Z70" s="745" t="str">
        <f t="shared" ca="1" si="67"/>
        <v>FC BarcelonaEintracht Frankfurt</v>
      </c>
      <c r="AA70" s="671">
        <f ca="1">IF(AND(V70&lt;&gt;"",W70&lt;&gt;"",V70&lt;&gt;W70,Vorrunde!$R18&lt;&gt;"",Vorrunde!$T18&lt;&gt;""),1,0)</f>
        <v>1</v>
      </c>
      <c r="AB70" s="671" t="str">
        <f ca="1">IF(AA70&gt;0,AH70&amp;Sprache!$E$99&amp;AI70,"")</f>
        <v>48 : 48</v>
      </c>
      <c r="AC70" s="746" t="str">
        <f ca="1">IF(AA70&gt;0,AJ70&amp;Sprache!$E$99&amp;AK70,"")</f>
        <v>1 : 1</v>
      </c>
      <c r="AD70" s="747">
        <f ca="1">IF(AND($AA70=1,Vorrunde!$L18&lt;&gt;"",Vorrunde!$N18&lt;&gt;"",ABS(Vorrunde!$L18-Vorrunde!$N18)&gt;1),Vorrunde!$L18,"")</f>
        <v>25</v>
      </c>
      <c r="AE70" s="746">
        <f ca="1">IF(AND($AA70=1,Vorrunde!$L18&lt;&gt;"",Vorrunde!$N18&lt;&gt;"",ABS(Vorrunde!$L18-Vorrunde!$N18)&gt;1),Vorrunde!$N18,"")</f>
        <v>23</v>
      </c>
      <c r="AF70" s="747" t="str">
        <f ca="1">IF(AND($AA70=1,Vorrunde!$O18&lt;&gt;"",Vorrunde!$Q18&lt;&gt;"",ABS(Vorrunde!$O18-Vorrunde!$Q18)&gt;1),Vorrunde!$O18,"")</f>
        <v/>
      </c>
      <c r="AG70" s="746" t="str">
        <f ca="1">IF(AND($AA70=1,Vorrunde!$O18&lt;&gt;"",Vorrunde!$Q18&lt;&gt;"",ABS(Vorrunde!$O18-Vorrunde!$Q18)&gt;1),Vorrunde!$Q18,"")</f>
        <v/>
      </c>
      <c r="AH70" s="747">
        <f t="shared" ca="1" si="68"/>
        <v>48</v>
      </c>
      <c r="AI70" s="746">
        <f t="shared" ca="1" si="69"/>
        <v>48</v>
      </c>
      <c r="AJ70" s="747">
        <f ca="1">IF(Vorrunde!$R18="",0,Vorrunde!$R18)</f>
        <v>1</v>
      </c>
      <c r="AK70" s="746">
        <f ca="1">IF(Vorrunde!$T18="",0,Vorrunde!$T18)</f>
        <v>1</v>
      </c>
      <c r="AL70" s="747">
        <f ca="1">IF($AA70=0,"",IF($AJ70&gt;$AK70,Einstellungen!$C$4,IF($AJ70=$AK70,1,0)))</f>
        <v>1</v>
      </c>
      <c r="AM70" s="746">
        <f ca="1">IF($AA70=0,"",IF($AJ70&lt;$AK70,Einstellungen!$C$4,IF($AJ70=$AK70,1,0)))</f>
        <v>1</v>
      </c>
      <c r="AN70" s="691"/>
    </row>
    <row r="71" spans="2:40" s="670" customFormat="1" x14ac:dyDescent="0.2">
      <c r="B71" s="691"/>
      <c r="C71" s="691"/>
      <c r="D71" s="691"/>
      <c r="E71" s="691"/>
      <c r="F71" s="691"/>
      <c r="G71" s="691"/>
      <c r="H71" s="691"/>
      <c r="I71" s="691"/>
      <c r="J71" s="691"/>
      <c r="K71" s="691"/>
      <c r="L71" s="691"/>
      <c r="M71" s="691"/>
      <c r="P71" s="740"/>
      <c r="Q71" s="741" t="str">
        <f>""</f>
        <v/>
      </c>
      <c r="U71" s="742" t="s">
        <v>17</v>
      </c>
      <c r="V71" s="743" t="str">
        <f ca="1">Planung!$L13</f>
        <v>Inter Mailand</v>
      </c>
      <c r="W71" s="671" t="str">
        <f ca="1">Planung!$N13</f>
        <v>SSV Wildbach</v>
      </c>
      <c r="X71" s="671">
        <f ca="1">IF(AND($AA71=1,Vorrunde!$I19&lt;&gt;"",Vorrunde!$K19&lt;&gt;"",ABS(Vorrunde!$I19-Vorrunde!$K19)&gt;1),Vorrunde!$I19,"")</f>
        <v>19</v>
      </c>
      <c r="Y71" s="744">
        <f ca="1">IF(AND($AA71=1,Vorrunde!$I19&lt;&gt;"",Vorrunde!$K19&lt;&gt;"",ABS(Vorrunde!$I19-Vorrunde!$K19)&gt;1),Vorrunde!$K19,"")</f>
        <v>25</v>
      </c>
      <c r="Z71" s="745" t="str">
        <f t="shared" ca="1" si="67"/>
        <v>Inter MailandSSV Wildbach</v>
      </c>
      <c r="AA71" s="671">
        <f ca="1">IF(AND(V71&lt;&gt;"",W71&lt;&gt;"",V71&lt;&gt;W71,Vorrunde!$R19&lt;&gt;"",Vorrunde!$T19&lt;&gt;""),1,0)</f>
        <v>1</v>
      </c>
      <c r="AB71" s="671" t="str">
        <f ca="1">IF(AA71&gt;0,AH71&amp;Sprache!$E$99&amp;AI71,"")</f>
        <v>44 : 37</v>
      </c>
      <c r="AC71" s="746" t="str">
        <f ca="1">IF(AA71&gt;0,AJ71&amp;Sprache!$E$99&amp;AK71,"")</f>
        <v>1 : 1</v>
      </c>
      <c r="AD71" s="747">
        <f ca="1">IF(AND($AA71=1,Vorrunde!$L19&lt;&gt;"",Vorrunde!$N19&lt;&gt;"",ABS(Vorrunde!$L19-Vorrunde!$N19)&gt;1),Vorrunde!$L19,"")</f>
        <v>25</v>
      </c>
      <c r="AE71" s="746">
        <f ca="1">IF(AND($AA71=1,Vorrunde!$L19&lt;&gt;"",Vorrunde!$N19&lt;&gt;"",ABS(Vorrunde!$L19-Vorrunde!$N19)&gt;1),Vorrunde!$N19,"")</f>
        <v>12</v>
      </c>
      <c r="AF71" s="747" t="str">
        <f ca="1">IF(AND($AA71=1,Vorrunde!$O19&lt;&gt;"",Vorrunde!$Q19&lt;&gt;"",ABS(Vorrunde!$O19-Vorrunde!$Q19)&gt;1),Vorrunde!$O19,"")</f>
        <v/>
      </c>
      <c r="AG71" s="746" t="str">
        <f ca="1">IF(AND($AA71=1,Vorrunde!$O19&lt;&gt;"",Vorrunde!$Q19&lt;&gt;"",ABS(Vorrunde!$O19-Vorrunde!$Q19)&gt;1),Vorrunde!$Q19,"")</f>
        <v/>
      </c>
      <c r="AH71" s="747">
        <f t="shared" ca="1" si="68"/>
        <v>44</v>
      </c>
      <c r="AI71" s="746">
        <f t="shared" ca="1" si="69"/>
        <v>37</v>
      </c>
      <c r="AJ71" s="747">
        <f ca="1">IF(Vorrunde!$R19="",0,Vorrunde!$R19)</f>
        <v>1</v>
      </c>
      <c r="AK71" s="746">
        <f ca="1">IF(Vorrunde!$T19="",0,Vorrunde!$T19)</f>
        <v>1</v>
      </c>
      <c r="AL71" s="747">
        <f ca="1">IF($AA71=0,"",IF($AJ71&gt;$AK71,Einstellungen!$C$4,IF($AJ71=$AK71,1,0)))</f>
        <v>1</v>
      </c>
      <c r="AM71" s="746">
        <f ca="1">IF($AA71=0,"",IF($AJ71&lt;$AK71,Einstellungen!$C$4,IF($AJ71=$AK71,1,0)))</f>
        <v>1</v>
      </c>
      <c r="AN71" s="671"/>
    </row>
    <row r="72" spans="2:40" s="670" customFormat="1" ht="12.75" thickBot="1" x14ac:dyDescent="0.25">
      <c r="B72" s="691"/>
      <c r="C72" s="691"/>
      <c r="D72" s="691"/>
      <c r="E72" s="691"/>
      <c r="F72" s="671"/>
      <c r="G72" s="671"/>
      <c r="H72" s="671"/>
      <c r="I72" s="671"/>
      <c r="J72" s="671"/>
      <c r="K72" s="671"/>
      <c r="L72" s="671"/>
      <c r="M72" s="671"/>
      <c r="P72" s="750"/>
      <c r="Q72" s="751" t="str">
        <f>""</f>
        <v/>
      </c>
      <c r="U72" s="742" t="s">
        <v>18</v>
      </c>
      <c r="V72" s="743" t="str">
        <f ca="1">Planung!$L14</f>
        <v>1. FC Riedwald</v>
      </c>
      <c r="W72" s="671" t="str">
        <f ca="1">Planung!$N14</f>
        <v>Maibach 1822 eV</v>
      </c>
      <c r="X72" s="671">
        <f ca="1">IF(AND($AA72=1,Vorrunde!$I20&lt;&gt;"",Vorrunde!$K20&lt;&gt;"",ABS(Vorrunde!$I20-Vorrunde!$K20)&gt;1),Vorrunde!$I20,"")</f>
        <v>16</v>
      </c>
      <c r="Y72" s="744">
        <f ca="1">IF(AND($AA72=1,Vorrunde!$I20&lt;&gt;"",Vorrunde!$K20&lt;&gt;"",ABS(Vorrunde!$I20-Vorrunde!$K20)&gt;1),Vorrunde!$K20,"")</f>
        <v>25</v>
      </c>
      <c r="Z72" s="745" t="str">
        <f t="shared" ca="1" si="67"/>
        <v>1. FC RiedwaldMaibach 1822 eV</v>
      </c>
      <c r="AA72" s="671">
        <f ca="1">IF(AND(V72&lt;&gt;"",W72&lt;&gt;"",V72&lt;&gt;W72,Vorrunde!$R20&lt;&gt;"",Vorrunde!$T20&lt;&gt;""),1,0)</f>
        <v>1</v>
      </c>
      <c r="AB72" s="671" t="str">
        <f ca="1">IF(AA72&gt;0,AH72&amp;Sprache!$E$99&amp;AI72,"")</f>
        <v>41 : 43</v>
      </c>
      <c r="AC72" s="746" t="str">
        <f ca="1">IF(AA72&gt;0,AJ72&amp;Sprache!$E$99&amp;AK72,"")</f>
        <v>1 : 1</v>
      </c>
      <c r="AD72" s="747">
        <f ca="1">IF(AND($AA72=1,Vorrunde!$L20&lt;&gt;"",Vorrunde!$N20&lt;&gt;"",ABS(Vorrunde!$L20-Vorrunde!$N20)&gt;1),Vorrunde!$L20,"")</f>
        <v>25</v>
      </c>
      <c r="AE72" s="746">
        <f ca="1">IF(AND($AA72=1,Vorrunde!$L20&lt;&gt;"",Vorrunde!$N20&lt;&gt;"",ABS(Vorrunde!$L20-Vorrunde!$N20)&gt;1),Vorrunde!$N20,"")</f>
        <v>18</v>
      </c>
      <c r="AF72" s="747" t="str">
        <f ca="1">IF(AND($AA72=1,Vorrunde!$O20&lt;&gt;"",Vorrunde!$Q20&lt;&gt;"",ABS(Vorrunde!$O20-Vorrunde!$Q20)&gt;1),Vorrunde!$O20,"")</f>
        <v/>
      </c>
      <c r="AG72" s="746" t="str">
        <f ca="1">IF(AND($AA72=1,Vorrunde!$O20&lt;&gt;"",Vorrunde!$Q20&lt;&gt;"",ABS(Vorrunde!$O20-Vorrunde!$Q20)&gt;1),Vorrunde!$Q20,"")</f>
        <v/>
      </c>
      <c r="AH72" s="747">
        <f t="shared" ca="1" si="68"/>
        <v>41</v>
      </c>
      <c r="AI72" s="746">
        <f t="shared" ca="1" si="69"/>
        <v>43</v>
      </c>
      <c r="AJ72" s="747">
        <f ca="1">IF(Vorrunde!$R20="",0,Vorrunde!$R20)</f>
        <v>1</v>
      </c>
      <c r="AK72" s="746">
        <f ca="1">IF(Vorrunde!$T20="",0,Vorrunde!$T20)</f>
        <v>1</v>
      </c>
      <c r="AL72" s="747">
        <f ca="1">IF($AA72=0,"",IF($AJ72&gt;$AK72,Einstellungen!$C$4,IF($AJ72=$AK72,1,0)))</f>
        <v>1</v>
      </c>
      <c r="AM72" s="746">
        <f ca="1">IF($AA72=0,"",IF($AJ72&lt;$AK72,Einstellungen!$C$4,IF($AJ72=$AK72,1,0)))</f>
        <v>1</v>
      </c>
      <c r="AN72" s="671"/>
    </row>
    <row r="73" spans="2:40" s="670" customFormat="1" ht="12.75" thickTop="1" x14ac:dyDescent="0.2">
      <c r="B73" s="691"/>
      <c r="C73" s="691"/>
      <c r="D73" s="691"/>
      <c r="E73" s="691"/>
      <c r="F73" s="671"/>
      <c r="G73" s="671"/>
      <c r="H73" s="671"/>
      <c r="I73" s="671"/>
      <c r="J73" s="671"/>
      <c r="K73" s="671"/>
      <c r="L73" s="671"/>
      <c r="M73" s="671"/>
      <c r="U73" s="742" t="s">
        <v>24</v>
      </c>
      <c r="V73" s="743" t="str">
        <f ca="1">Planung!$L15</f>
        <v>Mainz 05</v>
      </c>
      <c r="W73" s="671" t="str">
        <f ca="1">Planung!$N15</f>
        <v>Manchester City</v>
      </c>
      <c r="X73" s="671">
        <f ca="1">IF(AND($AA73=1,Vorrunde!$I21&lt;&gt;"",Vorrunde!$K21&lt;&gt;"",ABS(Vorrunde!$I21-Vorrunde!$K21)&gt;1),Vorrunde!$I21,"")</f>
        <v>14</v>
      </c>
      <c r="Y73" s="744">
        <f ca="1">IF(AND($AA73=1,Vorrunde!$I21&lt;&gt;"",Vorrunde!$K21&lt;&gt;"",ABS(Vorrunde!$I21-Vorrunde!$K21)&gt;1),Vorrunde!$K21,"")</f>
        <v>25</v>
      </c>
      <c r="Z73" s="745" t="str">
        <f t="shared" ca="1" si="67"/>
        <v>Mainz 05Manchester City</v>
      </c>
      <c r="AA73" s="671">
        <f ca="1">IF(AND(V73&lt;&gt;"",W73&lt;&gt;"",V73&lt;&gt;W73,Vorrunde!$R21&lt;&gt;"",Vorrunde!$T21&lt;&gt;""),1,0)</f>
        <v>1</v>
      </c>
      <c r="AB73" s="671" t="str">
        <f ca="1">IF(AA73&gt;0,AH73&amp;Sprache!$E$99&amp;AI73,"")</f>
        <v>39 : 44</v>
      </c>
      <c r="AC73" s="746" t="str">
        <f ca="1">IF(AA73&gt;0,AJ73&amp;Sprache!$E$99&amp;AK73,"")</f>
        <v>1 : 1</v>
      </c>
      <c r="AD73" s="747">
        <f ca="1">IF(AND($AA73=1,Vorrunde!$L21&lt;&gt;"",Vorrunde!$N21&lt;&gt;"",ABS(Vorrunde!$L21-Vorrunde!$N21)&gt;1),Vorrunde!$L21,"")</f>
        <v>25</v>
      </c>
      <c r="AE73" s="746">
        <f ca="1">IF(AND($AA73=1,Vorrunde!$L21&lt;&gt;"",Vorrunde!$N21&lt;&gt;"",ABS(Vorrunde!$L21-Vorrunde!$N21)&gt;1),Vorrunde!$N21,"")</f>
        <v>19</v>
      </c>
      <c r="AF73" s="747" t="str">
        <f ca="1">IF(AND($AA73=1,Vorrunde!$O21&lt;&gt;"",Vorrunde!$Q21&lt;&gt;"",ABS(Vorrunde!$O21-Vorrunde!$Q21)&gt;1),Vorrunde!$O21,"")</f>
        <v/>
      </c>
      <c r="AG73" s="746" t="str">
        <f ca="1">IF(AND($AA73=1,Vorrunde!$O21&lt;&gt;"",Vorrunde!$Q21&lt;&gt;"",ABS(Vorrunde!$O21-Vorrunde!$Q21)&gt;1),Vorrunde!$Q21,"")</f>
        <v/>
      </c>
      <c r="AH73" s="747">
        <f t="shared" ca="1" si="68"/>
        <v>39</v>
      </c>
      <c r="AI73" s="746">
        <f t="shared" ca="1" si="69"/>
        <v>44</v>
      </c>
      <c r="AJ73" s="747">
        <f ca="1">IF(Vorrunde!$R21="",0,Vorrunde!$R21)</f>
        <v>1</v>
      </c>
      <c r="AK73" s="746">
        <f ca="1">IF(Vorrunde!$T21="",0,Vorrunde!$T21)</f>
        <v>1</v>
      </c>
      <c r="AL73" s="747">
        <f ca="1">IF($AA73=0,"",IF($AJ73&gt;$AK73,Einstellungen!$C$4,IF($AJ73=$AK73,1,0)))</f>
        <v>1</v>
      </c>
      <c r="AM73" s="746">
        <f ca="1">IF($AA73=0,"",IF($AJ73&lt;$AK73,Einstellungen!$C$4,IF($AJ73=$AK73,1,0)))</f>
        <v>1</v>
      </c>
      <c r="AN73" s="671"/>
    </row>
    <row r="74" spans="2:40" s="670" customFormat="1" x14ac:dyDescent="0.2">
      <c r="B74" s="691"/>
      <c r="C74" s="691"/>
      <c r="D74" s="691"/>
      <c r="E74" s="691"/>
      <c r="F74" s="671"/>
      <c r="G74" s="671"/>
      <c r="H74" s="671"/>
      <c r="I74" s="671"/>
      <c r="J74" s="671"/>
      <c r="K74" s="671"/>
      <c r="L74" s="671"/>
      <c r="M74" s="671"/>
      <c r="U74" s="742" t="s">
        <v>25</v>
      </c>
      <c r="V74" s="743" t="str">
        <f ca="1">Planung!$L16</f>
        <v>Eintracht Frankfurt</v>
      </c>
      <c r="W74" s="671" t="str">
        <f ca="1">Planung!$N16</f>
        <v>VFB Essenheim</v>
      </c>
      <c r="X74" s="671">
        <f ca="1">IF(AND($AA74=1,Vorrunde!$I22&lt;&gt;"",Vorrunde!$K22&lt;&gt;"",ABS(Vorrunde!$I22-Vorrunde!$K22)&gt;1),Vorrunde!$I22,"")</f>
        <v>22</v>
      </c>
      <c r="Y74" s="744">
        <f ca="1">IF(AND($AA74=1,Vorrunde!$I22&lt;&gt;"",Vorrunde!$K22&lt;&gt;"",ABS(Vorrunde!$I22-Vorrunde!$K22)&gt;1),Vorrunde!$K22,"")</f>
        <v>25</v>
      </c>
      <c r="Z74" s="745" t="str">
        <f ca="1">V74&amp;W74</f>
        <v>Eintracht FrankfurtVFB Essenheim</v>
      </c>
      <c r="AA74" s="671">
        <f ca="1">IF(AND(V74&lt;&gt;"",W74&lt;&gt;"",V74&lt;&gt;W74,Vorrunde!$R22&lt;&gt;"",Vorrunde!$T22&lt;&gt;""),1,0)</f>
        <v>1</v>
      </c>
      <c r="AB74" s="671" t="str">
        <f ca="1">IF(AA74&gt;0,AH74&amp;Sprache!$E$99&amp;AI74,"")</f>
        <v>47 : 45</v>
      </c>
      <c r="AC74" s="746" t="str">
        <f ca="1">IF(AA74&gt;0,AJ74&amp;Sprache!$E$99&amp;AK74,"")</f>
        <v>1 : 1</v>
      </c>
      <c r="AD74" s="747">
        <f ca="1">IF(AND($AA74=1,Vorrunde!$L22&lt;&gt;"",Vorrunde!$N22&lt;&gt;"",ABS(Vorrunde!$L22-Vorrunde!$N22)&gt;1),Vorrunde!$L22,"")</f>
        <v>25</v>
      </c>
      <c r="AE74" s="746">
        <f ca="1">IF(AND($AA74=1,Vorrunde!$L22&lt;&gt;"",Vorrunde!$N22&lt;&gt;"",ABS(Vorrunde!$L22-Vorrunde!$N22)&gt;1),Vorrunde!$N22,"")</f>
        <v>20</v>
      </c>
      <c r="AF74" s="747" t="str">
        <f ca="1">IF(AND($AA74=1,Vorrunde!$O22&lt;&gt;"",Vorrunde!$Q22&lt;&gt;"",ABS(Vorrunde!$O22-Vorrunde!$Q22)&gt;1),Vorrunde!$O22,"")</f>
        <v/>
      </c>
      <c r="AG74" s="746" t="str">
        <f ca="1">IF(AND($AA74=1,Vorrunde!$O22&lt;&gt;"",Vorrunde!$Q22&lt;&gt;"",ABS(Vorrunde!$O22-Vorrunde!$Q22)&gt;1),Vorrunde!$Q22,"")</f>
        <v/>
      </c>
      <c r="AH74" s="747">
        <f t="shared" ca="1" si="68"/>
        <v>47</v>
      </c>
      <c r="AI74" s="746">
        <f t="shared" ca="1" si="69"/>
        <v>45</v>
      </c>
      <c r="AJ74" s="747">
        <f ca="1">IF(Vorrunde!$R22="",0,Vorrunde!$R22)</f>
        <v>1</v>
      </c>
      <c r="AK74" s="746">
        <f ca="1">IF(Vorrunde!$T22="",0,Vorrunde!$T22)</f>
        <v>1</v>
      </c>
      <c r="AL74" s="747">
        <f ca="1">IF($AA74=0,"",IF($AJ74&gt;$AK74,Einstellungen!$C$4,IF($AJ74=$AK74,1,0)))</f>
        <v>1</v>
      </c>
      <c r="AM74" s="746">
        <f ca="1">IF($AA74=0,"",IF($AJ74&lt;$AK74,Einstellungen!$C$4,IF($AJ74=$AK74,1,0)))</f>
        <v>1</v>
      </c>
    </row>
    <row r="75" spans="2:40" s="670" customFormat="1" x14ac:dyDescent="0.2">
      <c r="B75" s="691"/>
      <c r="C75" s="691"/>
      <c r="D75" s="691"/>
      <c r="E75" s="691"/>
      <c r="F75" s="671"/>
      <c r="G75" s="671"/>
      <c r="H75" s="671"/>
      <c r="I75" s="671"/>
      <c r="J75" s="671"/>
      <c r="K75" s="671"/>
      <c r="L75" s="671"/>
      <c r="M75" s="671"/>
      <c r="U75" s="742" t="s">
        <v>26</v>
      </c>
      <c r="V75" s="743" t="str">
        <f ca="1">Planung!$L17</f>
        <v>SSV Wildbach</v>
      </c>
      <c r="W75" s="671" t="str">
        <f ca="1">Planung!$N17</f>
        <v>FC Grönlingen</v>
      </c>
      <c r="X75" s="671">
        <f ca="1">IF(AND($AA75=1,Vorrunde!$I23&lt;&gt;"",Vorrunde!$K23&lt;&gt;"",ABS(Vorrunde!$I23-Vorrunde!$K23)&gt;1),Vorrunde!$I23,"")</f>
        <v>19</v>
      </c>
      <c r="Y75" s="744">
        <f ca="1">IF(AND($AA75=1,Vorrunde!$I23&lt;&gt;"",Vorrunde!$K23&lt;&gt;"",ABS(Vorrunde!$I23-Vorrunde!$K23)&gt;1),Vorrunde!$K23,"")</f>
        <v>25</v>
      </c>
      <c r="Z75" s="745" t="str">
        <f t="shared" ref="Z75:Z93" ca="1" si="70">V75&amp;W75</f>
        <v>SSV WildbachFC Grönlingen</v>
      </c>
      <c r="AA75" s="671">
        <f ca="1">IF(AND(V75&lt;&gt;"",W75&lt;&gt;"",V75&lt;&gt;W75,Vorrunde!$R23&lt;&gt;"",Vorrunde!$T23&lt;&gt;""),1,0)</f>
        <v>1</v>
      </c>
      <c r="AB75" s="671" t="str">
        <f ca="1">IF(AA75&gt;0,AH75&amp;Sprache!$E$99&amp;AI75,"")</f>
        <v>44 : 44</v>
      </c>
      <c r="AC75" s="746" t="str">
        <f ca="1">IF(AA75&gt;0,AJ75&amp;Sprache!$E$99&amp;AK75,"")</f>
        <v>1 : 1</v>
      </c>
      <c r="AD75" s="747">
        <f ca="1">IF(AND($AA75=1,Vorrunde!$L23&lt;&gt;"",Vorrunde!$N23&lt;&gt;"",ABS(Vorrunde!$L23-Vorrunde!$N23)&gt;1),Vorrunde!$L23,"")</f>
        <v>25</v>
      </c>
      <c r="AE75" s="746">
        <f ca="1">IF(AND($AA75=1,Vorrunde!$L23&lt;&gt;"",Vorrunde!$N23&lt;&gt;"",ABS(Vorrunde!$L23-Vorrunde!$N23)&gt;1),Vorrunde!$N23,"")</f>
        <v>19</v>
      </c>
      <c r="AF75" s="747" t="str">
        <f ca="1">IF(AND($AA75=1,Vorrunde!$O23&lt;&gt;"",Vorrunde!$Q23&lt;&gt;"",ABS(Vorrunde!$O23-Vorrunde!$Q23)&gt;1),Vorrunde!$O23,"")</f>
        <v/>
      </c>
      <c r="AG75" s="746" t="str">
        <f ca="1">IF(AND($AA75=1,Vorrunde!$O23&lt;&gt;"",Vorrunde!$Q23&lt;&gt;"",ABS(Vorrunde!$O23-Vorrunde!$Q23)&gt;1),Vorrunde!$Q23,"")</f>
        <v/>
      </c>
      <c r="AH75" s="747">
        <f t="shared" ca="1" si="68"/>
        <v>44</v>
      </c>
      <c r="AI75" s="746">
        <f t="shared" ca="1" si="69"/>
        <v>44</v>
      </c>
      <c r="AJ75" s="747">
        <f ca="1">IF(Vorrunde!$R23="",0,Vorrunde!$R23)</f>
        <v>1</v>
      </c>
      <c r="AK75" s="746">
        <f ca="1">IF(Vorrunde!$T23="",0,Vorrunde!$T23)</f>
        <v>1</v>
      </c>
      <c r="AL75" s="747">
        <f ca="1">IF($AA75=0,"",IF($AJ75&gt;$AK75,Einstellungen!$C$4,IF($AJ75=$AK75,1,0)))</f>
        <v>1</v>
      </c>
      <c r="AM75" s="746">
        <f ca="1">IF($AA75=0,"",IF($AJ75&lt;$AK75,Einstellungen!$C$4,IF($AJ75=$AK75,1,0)))</f>
        <v>1</v>
      </c>
    </row>
    <row r="76" spans="2:40" s="670" customFormat="1" x14ac:dyDescent="0.2">
      <c r="B76" s="691"/>
      <c r="C76" s="691"/>
      <c r="D76" s="691"/>
      <c r="E76" s="691"/>
      <c r="F76" s="671"/>
      <c r="G76" s="671"/>
      <c r="H76" s="671"/>
      <c r="I76" s="671"/>
      <c r="J76" s="671"/>
      <c r="K76" s="671"/>
      <c r="L76" s="671"/>
      <c r="M76" s="671"/>
      <c r="U76" s="742" t="s">
        <v>27</v>
      </c>
      <c r="V76" s="743" t="str">
        <f ca="1">Planung!$L18</f>
        <v>FC Barcelona</v>
      </c>
      <c r="W76" s="671" t="str">
        <f ca="1">Planung!$N18</f>
        <v>Maibach 1822 eV</v>
      </c>
      <c r="X76" s="671">
        <f ca="1">IF(AND($AA76=1,Vorrunde!$I24&lt;&gt;"",Vorrunde!$K24&lt;&gt;"",ABS(Vorrunde!$I24-Vorrunde!$K24)&gt;1),Vorrunde!$I24,"")</f>
        <v>17</v>
      </c>
      <c r="Y76" s="744">
        <f ca="1">IF(AND($AA76=1,Vorrunde!$I24&lt;&gt;"",Vorrunde!$K24&lt;&gt;"",ABS(Vorrunde!$I24-Vorrunde!$K24)&gt;1),Vorrunde!$K24,"")</f>
        <v>25</v>
      </c>
      <c r="Z76" s="745" t="str">
        <f t="shared" ca="1" si="70"/>
        <v>FC BarcelonaMaibach 1822 eV</v>
      </c>
      <c r="AA76" s="671">
        <f ca="1">IF(AND(V76&lt;&gt;"",W76&lt;&gt;"",V76&lt;&gt;W76,Vorrunde!$R24&lt;&gt;"",Vorrunde!$T24&lt;&gt;""),1,0)</f>
        <v>1</v>
      </c>
      <c r="AB76" s="671" t="str">
        <f ca="1">IF(AA76&gt;0,AH76&amp;Sprache!$E$99&amp;AI76,"")</f>
        <v>29 : 50</v>
      </c>
      <c r="AC76" s="746" t="str">
        <f ca="1">IF(AA76&gt;0,AJ76&amp;Sprache!$E$99&amp;AK76,"")</f>
        <v>0 : 2</v>
      </c>
      <c r="AD76" s="747">
        <f ca="1">IF(AND($AA76=1,Vorrunde!$L24&lt;&gt;"",Vorrunde!$N24&lt;&gt;"",ABS(Vorrunde!$L24-Vorrunde!$N24)&gt;1),Vorrunde!$L24,"")</f>
        <v>12</v>
      </c>
      <c r="AE76" s="746">
        <f ca="1">IF(AND($AA76=1,Vorrunde!$L24&lt;&gt;"",Vorrunde!$N24&lt;&gt;"",ABS(Vorrunde!$L24-Vorrunde!$N24)&gt;1),Vorrunde!$N24,"")</f>
        <v>25</v>
      </c>
      <c r="AF76" s="747" t="str">
        <f ca="1">IF(AND($AA76=1,Vorrunde!$O24&lt;&gt;"",Vorrunde!$Q24&lt;&gt;"",ABS(Vorrunde!$O24-Vorrunde!$Q24)&gt;1),Vorrunde!$O24,"")</f>
        <v/>
      </c>
      <c r="AG76" s="746" t="str">
        <f ca="1">IF(AND($AA76=1,Vorrunde!$O24&lt;&gt;"",Vorrunde!$Q24&lt;&gt;"",ABS(Vorrunde!$O24-Vorrunde!$Q24)&gt;1),Vorrunde!$Q24,"")</f>
        <v/>
      </c>
      <c r="AH76" s="747">
        <f t="shared" ca="1" si="68"/>
        <v>29</v>
      </c>
      <c r="AI76" s="746">
        <f t="shared" ca="1" si="69"/>
        <v>50</v>
      </c>
      <c r="AJ76" s="747">
        <f ca="1">IF(Vorrunde!$R24="",0,Vorrunde!$R24)</f>
        <v>0</v>
      </c>
      <c r="AK76" s="746">
        <f ca="1">IF(Vorrunde!$T24="",0,Vorrunde!$T24)</f>
        <v>2</v>
      </c>
      <c r="AL76" s="747">
        <f ca="1">IF($AA76=0,"",IF($AJ76&gt;$AK76,Einstellungen!$C$4,IF($AJ76=$AK76,1,0)))</f>
        <v>0</v>
      </c>
      <c r="AM76" s="746">
        <f ca="1">IF($AA76=0,"",IF($AJ76&lt;$AK76,Einstellungen!$C$4,IF($AJ76=$AK76,1,0)))</f>
        <v>2</v>
      </c>
    </row>
    <row r="77" spans="2:40" s="670" customFormat="1" x14ac:dyDescent="0.2">
      <c r="B77" s="691"/>
      <c r="C77" s="691"/>
      <c r="D77" s="691"/>
      <c r="E77" s="691"/>
      <c r="F77" s="671"/>
      <c r="G77" s="671"/>
      <c r="H77" s="671"/>
      <c r="I77" s="671"/>
      <c r="J77" s="671"/>
      <c r="K77" s="671"/>
      <c r="L77" s="671"/>
      <c r="M77" s="671"/>
      <c r="U77" s="742" t="s">
        <v>28</v>
      </c>
      <c r="V77" s="743" t="str">
        <f ca="1">Planung!$L19</f>
        <v>Inter Mailand</v>
      </c>
      <c r="W77" s="671" t="str">
        <f ca="1">Planung!$N19</f>
        <v>Manchester City</v>
      </c>
      <c r="X77" s="671">
        <f ca="1">IF(AND($AA77=1,Vorrunde!$I25&lt;&gt;"",Vorrunde!$K25&lt;&gt;"",ABS(Vorrunde!$I25-Vorrunde!$K25)&gt;1),Vorrunde!$I25,"")</f>
        <v>14</v>
      </c>
      <c r="Y77" s="744">
        <f ca="1">IF(AND($AA77=1,Vorrunde!$I25&lt;&gt;"",Vorrunde!$K25&lt;&gt;"",ABS(Vorrunde!$I25-Vorrunde!$K25)&gt;1),Vorrunde!$K25,"")</f>
        <v>25</v>
      </c>
      <c r="Z77" s="745" t="str">
        <f t="shared" ca="1" si="70"/>
        <v>Inter MailandManchester City</v>
      </c>
      <c r="AA77" s="671">
        <f ca="1">IF(AND(V77&lt;&gt;"",W77&lt;&gt;"",V77&lt;&gt;W77,Vorrunde!$R25&lt;&gt;"",Vorrunde!$T25&lt;&gt;""),1,0)</f>
        <v>1</v>
      </c>
      <c r="AB77" s="671" t="str">
        <f ca="1">IF(AA77&gt;0,AH77&amp;Sprache!$E$99&amp;AI77,"")</f>
        <v>39 : 48</v>
      </c>
      <c r="AC77" s="746" t="str">
        <f ca="1">IF(AA77&gt;0,AJ77&amp;Sprache!$E$99&amp;AK77,"")</f>
        <v>1 : 1</v>
      </c>
      <c r="AD77" s="747">
        <f ca="1">IF(AND($AA77=1,Vorrunde!$L25&lt;&gt;"",Vorrunde!$N25&lt;&gt;"",ABS(Vorrunde!$L25-Vorrunde!$N25)&gt;1),Vorrunde!$L25,"")</f>
        <v>25</v>
      </c>
      <c r="AE77" s="746">
        <f ca="1">IF(AND($AA77=1,Vorrunde!$L25&lt;&gt;"",Vorrunde!$N25&lt;&gt;"",ABS(Vorrunde!$L25-Vorrunde!$N25)&gt;1),Vorrunde!$N25,"")</f>
        <v>23</v>
      </c>
      <c r="AF77" s="747" t="str">
        <f ca="1">IF(AND($AA77=1,Vorrunde!$O25&lt;&gt;"",Vorrunde!$Q25&lt;&gt;"",ABS(Vorrunde!$O25-Vorrunde!$Q25)&gt;1),Vorrunde!$O25,"")</f>
        <v/>
      </c>
      <c r="AG77" s="746" t="str">
        <f ca="1">IF(AND($AA77=1,Vorrunde!$O25&lt;&gt;"",Vorrunde!$Q25&lt;&gt;"",ABS(Vorrunde!$O25-Vorrunde!$Q25)&gt;1),Vorrunde!$Q25,"")</f>
        <v/>
      </c>
      <c r="AH77" s="747">
        <f t="shared" ca="1" si="68"/>
        <v>39</v>
      </c>
      <c r="AI77" s="746">
        <f t="shared" ca="1" si="69"/>
        <v>48</v>
      </c>
      <c r="AJ77" s="747">
        <f ca="1">IF(Vorrunde!$R25="",0,Vorrunde!$R25)</f>
        <v>1</v>
      </c>
      <c r="AK77" s="746">
        <f ca="1">IF(Vorrunde!$T25="",0,Vorrunde!$T25)</f>
        <v>1</v>
      </c>
      <c r="AL77" s="747">
        <f ca="1">IF($AA77=0,"",IF($AJ77&gt;$AK77,Einstellungen!$C$4,IF($AJ77=$AK77,1,0)))</f>
        <v>1</v>
      </c>
      <c r="AM77" s="746">
        <f ca="1">IF($AA77=0,"",IF($AJ77&lt;$AK77,Einstellungen!$C$4,IF($AJ77=$AK77,1,0)))</f>
        <v>1</v>
      </c>
    </row>
    <row r="78" spans="2:40" s="670" customFormat="1" x14ac:dyDescent="0.2">
      <c r="B78" s="691"/>
      <c r="C78" s="691"/>
      <c r="D78" s="691"/>
      <c r="E78" s="691"/>
      <c r="F78" s="671"/>
      <c r="G78" s="671"/>
      <c r="H78" s="671"/>
      <c r="I78" s="671"/>
      <c r="J78" s="671"/>
      <c r="K78" s="671"/>
      <c r="L78" s="671"/>
      <c r="M78" s="671"/>
      <c r="U78" s="742" t="s">
        <v>29</v>
      </c>
      <c r="V78" s="743" t="str">
        <f ca="1">Planung!$L20</f>
        <v>Eintracht Frankfurt</v>
      </c>
      <c r="W78" s="671" t="str">
        <f ca="1">Planung!$N20</f>
        <v>1. FC Riedwald</v>
      </c>
      <c r="X78" s="671">
        <f ca="1">IF(AND($AA78=1,Vorrunde!$I26&lt;&gt;"",Vorrunde!$K26&lt;&gt;"",ABS(Vorrunde!$I26-Vorrunde!$K26)&gt;1),Vorrunde!$I26,"")</f>
        <v>21</v>
      </c>
      <c r="Y78" s="744">
        <f ca="1">IF(AND($AA78=1,Vorrunde!$I26&lt;&gt;"",Vorrunde!$K26&lt;&gt;"",ABS(Vorrunde!$I26-Vorrunde!$K26)&gt;1),Vorrunde!$K26,"")</f>
        <v>25</v>
      </c>
      <c r="Z78" s="745" t="str">
        <f t="shared" ca="1" si="70"/>
        <v>Eintracht Frankfurt1. FC Riedwald</v>
      </c>
      <c r="AA78" s="671">
        <f ca="1">IF(AND(V78&lt;&gt;"",W78&lt;&gt;"",V78&lt;&gt;W78,Vorrunde!$R26&lt;&gt;"",Vorrunde!$T26&lt;&gt;""),1,0)</f>
        <v>1</v>
      </c>
      <c r="AB78" s="671" t="str">
        <f ca="1">IF(AA78&gt;0,AH78&amp;Sprache!$E$99&amp;AI78,"")</f>
        <v>46 : 42</v>
      </c>
      <c r="AC78" s="746" t="str">
        <f ca="1">IF(AA78&gt;0,AJ78&amp;Sprache!$E$99&amp;AK78,"")</f>
        <v>1 : 1</v>
      </c>
      <c r="AD78" s="747">
        <f ca="1">IF(AND($AA78=1,Vorrunde!$L26&lt;&gt;"",Vorrunde!$N26&lt;&gt;"",ABS(Vorrunde!$L26-Vorrunde!$N26)&gt;1),Vorrunde!$L26,"")</f>
        <v>25</v>
      </c>
      <c r="AE78" s="746">
        <f ca="1">IF(AND($AA78=1,Vorrunde!$L26&lt;&gt;"",Vorrunde!$N26&lt;&gt;"",ABS(Vorrunde!$L26-Vorrunde!$N26)&gt;1),Vorrunde!$N26,"")</f>
        <v>17</v>
      </c>
      <c r="AF78" s="747" t="str">
        <f ca="1">IF(AND($AA78=1,Vorrunde!$O26&lt;&gt;"",Vorrunde!$Q26&lt;&gt;"",ABS(Vorrunde!$O26-Vorrunde!$Q26)&gt;1),Vorrunde!$O26,"")</f>
        <v/>
      </c>
      <c r="AG78" s="746" t="str">
        <f ca="1">IF(AND($AA78=1,Vorrunde!$O26&lt;&gt;"",Vorrunde!$Q26&lt;&gt;"",ABS(Vorrunde!$O26-Vorrunde!$Q26)&gt;1),Vorrunde!$Q26,"")</f>
        <v/>
      </c>
      <c r="AH78" s="747">
        <f t="shared" ca="1" si="68"/>
        <v>46</v>
      </c>
      <c r="AI78" s="746">
        <f t="shared" ca="1" si="69"/>
        <v>42</v>
      </c>
      <c r="AJ78" s="747">
        <f ca="1">IF(Vorrunde!$R26="",0,Vorrunde!$R26)</f>
        <v>1</v>
      </c>
      <c r="AK78" s="746">
        <f ca="1">IF(Vorrunde!$T26="",0,Vorrunde!$T26)</f>
        <v>1</v>
      </c>
      <c r="AL78" s="747">
        <f ca="1">IF($AA78=0,"",IF($AJ78&gt;$AK78,Einstellungen!$C$4,IF($AJ78=$AK78,1,0)))</f>
        <v>1</v>
      </c>
      <c r="AM78" s="746">
        <f ca="1">IF($AA78=0,"",IF($AJ78&lt;$AK78,Einstellungen!$C$4,IF($AJ78=$AK78,1,0)))</f>
        <v>1</v>
      </c>
    </row>
    <row r="79" spans="2:40" s="670" customFormat="1" x14ac:dyDescent="0.2">
      <c r="B79" s="691"/>
      <c r="C79" s="691"/>
      <c r="D79" s="691"/>
      <c r="E79" s="691"/>
      <c r="F79" s="671"/>
      <c r="G79" s="671"/>
      <c r="H79" s="671"/>
      <c r="I79" s="671"/>
      <c r="J79" s="671"/>
      <c r="K79" s="671"/>
      <c r="L79" s="671"/>
      <c r="M79" s="671"/>
      <c r="U79" s="742" t="s">
        <v>30</v>
      </c>
      <c r="V79" s="743" t="str">
        <f ca="1">Planung!$L21</f>
        <v>SSV Wildbach</v>
      </c>
      <c r="W79" s="671" t="str">
        <f ca="1">Planung!$N21</f>
        <v>Mainz 05</v>
      </c>
      <c r="X79" s="671">
        <f ca="1">IF(AND($AA79=1,Vorrunde!$I27&lt;&gt;"",Vorrunde!$K27&lt;&gt;"",ABS(Vorrunde!$I27-Vorrunde!$K27)&gt;1),Vorrunde!$I27,"")</f>
        <v>20</v>
      </c>
      <c r="Y79" s="744">
        <f ca="1">IF(AND($AA79=1,Vorrunde!$I27&lt;&gt;"",Vorrunde!$K27&lt;&gt;"",ABS(Vorrunde!$I27-Vorrunde!$K27)&gt;1),Vorrunde!$K27,"")</f>
        <v>25</v>
      </c>
      <c r="Z79" s="745" t="str">
        <f t="shared" ca="1" si="70"/>
        <v>SSV WildbachMainz 05</v>
      </c>
      <c r="AA79" s="671">
        <f ca="1">IF(AND(V79&lt;&gt;"",W79&lt;&gt;"",V79&lt;&gt;W79,Vorrunde!$R27&lt;&gt;"",Vorrunde!$T27&lt;&gt;""),1,0)</f>
        <v>1</v>
      </c>
      <c r="AB79" s="671" t="str">
        <f ca="1">IF(AA79&gt;0,AH79&amp;Sprache!$E$99&amp;AI79,"")</f>
        <v>38 : 50</v>
      </c>
      <c r="AC79" s="746" t="str">
        <f ca="1">IF(AA79&gt;0,AJ79&amp;Sprache!$E$99&amp;AK79,"")</f>
        <v>0 : 2</v>
      </c>
      <c r="AD79" s="747">
        <f ca="1">IF(AND($AA79=1,Vorrunde!$L27&lt;&gt;"",Vorrunde!$N27&lt;&gt;"",ABS(Vorrunde!$L27-Vorrunde!$N27)&gt;1),Vorrunde!$L27,"")</f>
        <v>18</v>
      </c>
      <c r="AE79" s="746">
        <f ca="1">IF(AND($AA79=1,Vorrunde!$L27&lt;&gt;"",Vorrunde!$N27&lt;&gt;"",ABS(Vorrunde!$L27-Vorrunde!$N27)&gt;1),Vorrunde!$N27,"")</f>
        <v>25</v>
      </c>
      <c r="AF79" s="747" t="str">
        <f ca="1">IF(AND($AA79=1,Vorrunde!$O27&lt;&gt;"",Vorrunde!$Q27&lt;&gt;"",ABS(Vorrunde!$O27-Vorrunde!$Q27)&gt;1),Vorrunde!$O27,"")</f>
        <v/>
      </c>
      <c r="AG79" s="746" t="str">
        <f ca="1">IF(AND($AA79=1,Vorrunde!$O27&lt;&gt;"",Vorrunde!$Q27&lt;&gt;"",ABS(Vorrunde!$O27-Vorrunde!$Q27)&gt;1),Vorrunde!$Q27,"")</f>
        <v/>
      </c>
      <c r="AH79" s="747">
        <f t="shared" ca="1" si="68"/>
        <v>38</v>
      </c>
      <c r="AI79" s="746">
        <f t="shared" ca="1" si="69"/>
        <v>50</v>
      </c>
      <c r="AJ79" s="747">
        <f ca="1">IF(Vorrunde!$R27="",0,Vorrunde!$R27)</f>
        <v>0</v>
      </c>
      <c r="AK79" s="746">
        <f ca="1">IF(Vorrunde!$T27="",0,Vorrunde!$T27)</f>
        <v>2</v>
      </c>
      <c r="AL79" s="747">
        <f ca="1">IF($AA79=0,"",IF($AJ79&gt;$AK79,Einstellungen!$C$4,IF($AJ79=$AK79,1,0)))</f>
        <v>0</v>
      </c>
      <c r="AM79" s="746">
        <f ca="1">IF($AA79=0,"",IF($AJ79&lt;$AK79,Einstellungen!$C$4,IF($AJ79=$AK79,1,0)))</f>
        <v>2</v>
      </c>
    </row>
    <row r="80" spans="2:40" s="670" customFormat="1" x14ac:dyDescent="0.2">
      <c r="B80" s="691"/>
      <c r="C80" s="691"/>
      <c r="D80" s="691"/>
      <c r="E80" s="691"/>
      <c r="F80" s="671"/>
      <c r="G80" s="671"/>
      <c r="H80" s="671"/>
      <c r="I80" s="671"/>
      <c r="J80" s="671"/>
      <c r="K80" s="671"/>
      <c r="L80" s="671"/>
      <c r="M80" s="671"/>
      <c r="U80" s="742" t="s">
        <v>31</v>
      </c>
      <c r="V80" s="743" t="str">
        <f ca="1">Planung!$L22</f>
        <v>Maibach 1822 eV</v>
      </c>
      <c r="W80" s="671" t="str">
        <f ca="1">Planung!$N22</f>
        <v>VFB Essenheim</v>
      </c>
      <c r="X80" s="671">
        <f ca="1">IF(AND($AA80=1,Vorrunde!$I28&lt;&gt;"",Vorrunde!$K28&lt;&gt;"",ABS(Vorrunde!$I28-Vorrunde!$K28)&gt;1),Vorrunde!$I28,"")</f>
        <v>25</v>
      </c>
      <c r="Y80" s="744">
        <f ca="1">IF(AND($AA80=1,Vorrunde!$I28&lt;&gt;"",Vorrunde!$K28&lt;&gt;"",ABS(Vorrunde!$I28-Vorrunde!$K28)&gt;1),Vorrunde!$K28,"")</f>
        <v>21</v>
      </c>
      <c r="Z80" s="745" t="str">
        <f t="shared" ca="1" si="70"/>
        <v>Maibach 1822 eVVFB Essenheim</v>
      </c>
      <c r="AA80" s="671">
        <f ca="1">IF(AND(V80&lt;&gt;"",W80&lt;&gt;"",V80&lt;&gt;W80,Vorrunde!$R28&lt;&gt;"",Vorrunde!$T28&lt;&gt;""),1,0)</f>
        <v>1</v>
      </c>
      <c r="AB80" s="671" t="str">
        <f ca="1">IF(AA80&gt;0,AH80&amp;Sprache!$E$99&amp;AI80,"")</f>
        <v>50 : 40</v>
      </c>
      <c r="AC80" s="746" t="str">
        <f ca="1">IF(AA80&gt;0,AJ80&amp;Sprache!$E$99&amp;AK80,"")</f>
        <v>2 : 0</v>
      </c>
      <c r="AD80" s="747">
        <f ca="1">IF(AND($AA80=1,Vorrunde!$L28&lt;&gt;"",Vorrunde!$N28&lt;&gt;"",ABS(Vorrunde!$L28-Vorrunde!$N28)&gt;1),Vorrunde!$L28,"")</f>
        <v>25</v>
      </c>
      <c r="AE80" s="746">
        <f ca="1">IF(AND($AA80=1,Vorrunde!$L28&lt;&gt;"",Vorrunde!$N28&lt;&gt;"",ABS(Vorrunde!$L28-Vorrunde!$N28)&gt;1),Vorrunde!$N28,"")</f>
        <v>19</v>
      </c>
      <c r="AF80" s="747" t="str">
        <f ca="1">IF(AND($AA80=1,Vorrunde!$O28&lt;&gt;"",Vorrunde!$Q28&lt;&gt;"",ABS(Vorrunde!$O28-Vorrunde!$Q28)&gt;1),Vorrunde!$O28,"")</f>
        <v/>
      </c>
      <c r="AG80" s="746" t="str">
        <f ca="1">IF(AND($AA80=1,Vorrunde!$O28&lt;&gt;"",Vorrunde!$Q28&lt;&gt;"",ABS(Vorrunde!$O28-Vorrunde!$Q28)&gt;1),Vorrunde!$Q28,"")</f>
        <v/>
      </c>
      <c r="AH80" s="747">
        <f t="shared" ca="1" si="68"/>
        <v>50</v>
      </c>
      <c r="AI80" s="746">
        <f t="shared" ca="1" si="69"/>
        <v>40</v>
      </c>
      <c r="AJ80" s="747">
        <f ca="1">IF(Vorrunde!$R28="",0,Vorrunde!$R28)</f>
        <v>2</v>
      </c>
      <c r="AK80" s="746">
        <f ca="1">IF(Vorrunde!$T28="",0,Vorrunde!$T28)</f>
        <v>0</v>
      </c>
      <c r="AL80" s="747">
        <f ca="1">IF($AA80=0,"",IF($AJ80&gt;$AK80,Einstellungen!$C$4,IF($AJ80=$AK80,1,0)))</f>
        <v>2</v>
      </c>
      <c r="AM80" s="746">
        <f ca="1">IF($AA80=0,"",IF($AJ80&lt;$AK80,Einstellungen!$C$4,IF($AJ80=$AK80,1,0)))</f>
        <v>0</v>
      </c>
    </row>
    <row r="81" spans="2:39" s="670" customFormat="1" x14ac:dyDescent="0.2">
      <c r="B81" s="691"/>
      <c r="C81" s="691"/>
      <c r="D81" s="691"/>
      <c r="E81" s="691"/>
      <c r="F81" s="671"/>
      <c r="G81" s="671"/>
      <c r="H81" s="671"/>
      <c r="I81" s="671"/>
      <c r="J81" s="671"/>
      <c r="K81" s="671"/>
      <c r="L81" s="671"/>
      <c r="M81" s="671"/>
      <c r="U81" s="742" t="s">
        <v>32</v>
      </c>
      <c r="V81" s="743" t="str">
        <f ca="1">Planung!$L23</f>
        <v>Manchester City</v>
      </c>
      <c r="W81" s="671" t="str">
        <f ca="1">Planung!$N23</f>
        <v>FC Grönlingen</v>
      </c>
      <c r="X81" s="671">
        <f ca="1">IF(AND($AA81=1,Vorrunde!$I29&lt;&gt;"",Vorrunde!$K29&lt;&gt;"",ABS(Vorrunde!$I29-Vorrunde!$K29)&gt;1),Vorrunde!$I29,"")</f>
        <v>25</v>
      </c>
      <c r="Y81" s="744">
        <f ca="1">IF(AND($AA81=1,Vorrunde!$I29&lt;&gt;"",Vorrunde!$K29&lt;&gt;"",ABS(Vorrunde!$I29-Vorrunde!$K29)&gt;1),Vorrunde!$K29,"")</f>
        <v>12</v>
      </c>
      <c r="Z81" s="745" t="str">
        <f t="shared" ca="1" si="70"/>
        <v>Manchester CityFC Grönlingen</v>
      </c>
      <c r="AA81" s="671">
        <f ca="1">IF(AND(V81&lt;&gt;"",W81&lt;&gt;"",V81&lt;&gt;W81,Vorrunde!$R29&lt;&gt;"",Vorrunde!$T29&lt;&gt;""),1,0)</f>
        <v>1</v>
      </c>
      <c r="AB81" s="671" t="str">
        <f ca="1">IF(AA81&gt;0,AH81&amp;Sprache!$E$99&amp;AI81,"")</f>
        <v>50 : 32</v>
      </c>
      <c r="AC81" s="746" t="str">
        <f ca="1">IF(AA81&gt;0,AJ81&amp;Sprache!$E$99&amp;AK81,"")</f>
        <v>2 : 0</v>
      </c>
      <c r="AD81" s="747">
        <f ca="1">IF(AND($AA81=1,Vorrunde!$L29&lt;&gt;"",Vorrunde!$N29&lt;&gt;"",ABS(Vorrunde!$L29-Vorrunde!$N29)&gt;1),Vorrunde!$L29,"")</f>
        <v>25</v>
      </c>
      <c r="AE81" s="746">
        <f ca="1">IF(AND($AA81=1,Vorrunde!$L29&lt;&gt;"",Vorrunde!$N29&lt;&gt;"",ABS(Vorrunde!$L29-Vorrunde!$N29)&gt;1),Vorrunde!$N29,"")</f>
        <v>20</v>
      </c>
      <c r="AF81" s="747" t="str">
        <f ca="1">IF(AND($AA81=1,Vorrunde!$O29&lt;&gt;"",Vorrunde!$Q29&lt;&gt;"",ABS(Vorrunde!$O29-Vorrunde!$Q29)&gt;1),Vorrunde!$O29,"")</f>
        <v/>
      </c>
      <c r="AG81" s="746" t="str">
        <f ca="1">IF(AND($AA81=1,Vorrunde!$O29&lt;&gt;"",Vorrunde!$Q29&lt;&gt;"",ABS(Vorrunde!$O29-Vorrunde!$Q29)&gt;1),Vorrunde!$Q29,"")</f>
        <v/>
      </c>
      <c r="AH81" s="747">
        <f t="shared" ca="1" si="68"/>
        <v>50</v>
      </c>
      <c r="AI81" s="746">
        <f t="shared" ca="1" si="69"/>
        <v>32</v>
      </c>
      <c r="AJ81" s="747">
        <f ca="1">IF(Vorrunde!$R29="",0,Vorrunde!$R29)</f>
        <v>2</v>
      </c>
      <c r="AK81" s="746">
        <f ca="1">IF(Vorrunde!$T29="",0,Vorrunde!$T29)</f>
        <v>0</v>
      </c>
      <c r="AL81" s="747">
        <f ca="1">IF($AA81=0,"",IF($AJ81&gt;$AK81,Einstellungen!$C$4,IF($AJ81=$AK81,1,0)))</f>
        <v>2</v>
      </c>
      <c r="AM81" s="746">
        <f ca="1">IF($AA81=0,"",IF($AJ81&lt;$AK81,Einstellungen!$C$4,IF($AJ81=$AK81,1,0)))</f>
        <v>0</v>
      </c>
    </row>
    <row r="82" spans="2:39" s="670" customFormat="1" x14ac:dyDescent="0.2">
      <c r="B82" s="691"/>
      <c r="C82" s="691"/>
      <c r="D82" s="691"/>
      <c r="E82" s="691"/>
      <c r="F82" s="671"/>
      <c r="G82" s="671"/>
      <c r="H82" s="671"/>
      <c r="I82" s="671"/>
      <c r="J82" s="671"/>
      <c r="K82" s="671"/>
      <c r="L82" s="671"/>
      <c r="M82" s="671"/>
      <c r="U82" s="742" t="s">
        <v>33</v>
      </c>
      <c r="V82" s="743" t="str">
        <f ca="1">Planung!$L24</f>
        <v>1. FC Riedwald</v>
      </c>
      <c r="W82" s="671" t="str">
        <f ca="1">Planung!$N24</f>
        <v>FC Barcelona</v>
      </c>
      <c r="X82" s="671">
        <f ca="1">IF(AND($AA82=1,Vorrunde!$I30&lt;&gt;"",Vorrunde!$K30&lt;&gt;"",ABS(Vorrunde!$I30-Vorrunde!$K30)&gt;1),Vorrunde!$I30,"")</f>
        <v>25</v>
      </c>
      <c r="Y82" s="744">
        <f ca="1">IF(AND($AA82=1,Vorrunde!$I30&lt;&gt;"",Vorrunde!$K30&lt;&gt;"",ABS(Vorrunde!$I30-Vorrunde!$K30)&gt;1),Vorrunde!$K30,"")</f>
        <v>16</v>
      </c>
      <c r="Z82" s="745" t="str">
        <f t="shared" ca="1" si="70"/>
        <v>1. FC RiedwaldFC Barcelona</v>
      </c>
      <c r="AA82" s="671">
        <f ca="1">IF(AND(V82&lt;&gt;"",W82&lt;&gt;"",V82&lt;&gt;W82,Vorrunde!$R30&lt;&gt;"",Vorrunde!$T30&lt;&gt;""),1,0)</f>
        <v>1</v>
      </c>
      <c r="AB82" s="671" t="str">
        <f ca="1">IF(AA82&gt;0,AH82&amp;Sprache!$E$99&amp;AI82,"")</f>
        <v>50 : 37</v>
      </c>
      <c r="AC82" s="746" t="str">
        <f ca="1">IF(AA82&gt;0,AJ82&amp;Sprache!$E$99&amp;AK82,"")</f>
        <v>2 : 0</v>
      </c>
      <c r="AD82" s="747">
        <f ca="1">IF(AND($AA82=1,Vorrunde!$L30&lt;&gt;"",Vorrunde!$N30&lt;&gt;"",ABS(Vorrunde!$L30-Vorrunde!$N30)&gt;1),Vorrunde!$L30,"")</f>
        <v>25</v>
      </c>
      <c r="AE82" s="746">
        <f ca="1">IF(AND($AA82=1,Vorrunde!$L30&lt;&gt;"",Vorrunde!$N30&lt;&gt;"",ABS(Vorrunde!$L30-Vorrunde!$N30)&gt;1),Vorrunde!$N30,"")</f>
        <v>21</v>
      </c>
      <c r="AF82" s="747" t="str">
        <f ca="1">IF(AND($AA82=1,Vorrunde!$O30&lt;&gt;"",Vorrunde!$Q30&lt;&gt;"",ABS(Vorrunde!$O30-Vorrunde!$Q30)&gt;1),Vorrunde!$O30,"")</f>
        <v/>
      </c>
      <c r="AG82" s="746" t="str">
        <f ca="1">IF(AND($AA82=1,Vorrunde!$O30&lt;&gt;"",Vorrunde!$Q30&lt;&gt;"",ABS(Vorrunde!$O30-Vorrunde!$Q30)&gt;1),Vorrunde!$Q30,"")</f>
        <v/>
      </c>
      <c r="AH82" s="747">
        <f t="shared" ca="1" si="68"/>
        <v>50</v>
      </c>
      <c r="AI82" s="746">
        <f t="shared" ca="1" si="69"/>
        <v>37</v>
      </c>
      <c r="AJ82" s="747">
        <f ca="1">IF(Vorrunde!$R30="",0,Vorrunde!$R30)</f>
        <v>2</v>
      </c>
      <c r="AK82" s="746">
        <f ca="1">IF(Vorrunde!$T30="",0,Vorrunde!$T30)</f>
        <v>0</v>
      </c>
      <c r="AL82" s="747">
        <f ca="1">IF($AA82=0,"",IF($AJ82&gt;$AK82,Einstellungen!$C$4,IF($AJ82=$AK82,1,0)))</f>
        <v>2</v>
      </c>
      <c r="AM82" s="746">
        <f ca="1">IF($AA82=0,"",IF($AJ82&lt;$AK82,Einstellungen!$C$4,IF($AJ82=$AK82,1,0)))</f>
        <v>0</v>
      </c>
    </row>
    <row r="83" spans="2:39" s="670" customFormat="1" x14ac:dyDescent="0.2">
      <c r="B83" s="691"/>
      <c r="C83" s="691"/>
      <c r="D83" s="691"/>
      <c r="E83" s="691"/>
      <c r="F83" s="671"/>
      <c r="G83" s="671"/>
      <c r="H83" s="671"/>
      <c r="I83" s="671"/>
      <c r="J83" s="671"/>
      <c r="K83" s="671"/>
      <c r="L83" s="671"/>
      <c r="M83" s="671"/>
      <c r="U83" s="742" t="s">
        <v>34</v>
      </c>
      <c r="V83" s="743" t="str">
        <f ca="1">Planung!$L25</f>
        <v>Mainz 05</v>
      </c>
      <c r="W83" s="671" t="str">
        <f ca="1">Planung!$N25</f>
        <v>Inter Mailand</v>
      </c>
      <c r="X83" s="671">
        <f ca="1">IF(AND($AA83=1,Vorrunde!$I31&lt;&gt;"",Vorrunde!$K31&lt;&gt;"",ABS(Vorrunde!$I31-Vorrunde!$K31)&gt;1),Vorrunde!$I31,"")</f>
        <v>25</v>
      </c>
      <c r="Y83" s="744">
        <f ca="1">IF(AND($AA83=1,Vorrunde!$I31&lt;&gt;"",Vorrunde!$K31&lt;&gt;"",ABS(Vorrunde!$I31-Vorrunde!$K31)&gt;1),Vorrunde!$K31,"")</f>
        <v>2</v>
      </c>
      <c r="Z83" s="745" t="str">
        <f t="shared" ca="1" si="70"/>
        <v>Mainz 05Inter Mailand</v>
      </c>
      <c r="AA83" s="671">
        <f ca="1">IF(AND(V83&lt;&gt;"",W83&lt;&gt;"",V83&lt;&gt;W83,Vorrunde!$R31&lt;&gt;"",Vorrunde!$T31&lt;&gt;""),1,0)</f>
        <v>1</v>
      </c>
      <c r="AB83" s="671" t="str">
        <f ca="1">IF(AA83&gt;0,AH83&amp;Sprache!$E$99&amp;AI83,"")</f>
        <v>50 : 24</v>
      </c>
      <c r="AC83" s="746" t="str">
        <f ca="1">IF(AA83&gt;0,AJ83&amp;Sprache!$E$99&amp;AK83,"")</f>
        <v>2 : 0</v>
      </c>
      <c r="AD83" s="747">
        <f ca="1">IF(AND($AA83=1,Vorrunde!$L31&lt;&gt;"",Vorrunde!$N31&lt;&gt;"",ABS(Vorrunde!$L31-Vorrunde!$N31)&gt;1),Vorrunde!$L31,"")</f>
        <v>25</v>
      </c>
      <c r="AE83" s="746">
        <f ca="1">IF(AND($AA83=1,Vorrunde!$L31&lt;&gt;"",Vorrunde!$N31&lt;&gt;"",ABS(Vorrunde!$L31-Vorrunde!$N31)&gt;1),Vorrunde!$N31,"")</f>
        <v>22</v>
      </c>
      <c r="AF83" s="747" t="str">
        <f ca="1">IF(AND($AA83=1,Vorrunde!$O31&lt;&gt;"",Vorrunde!$Q31&lt;&gt;"",ABS(Vorrunde!$O31-Vorrunde!$Q31)&gt;1),Vorrunde!$O31,"")</f>
        <v/>
      </c>
      <c r="AG83" s="746" t="str">
        <f ca="1">IF(AND($AA83=1,Vorrunde!$O31&lt;&gt;"",Vorrunde!$Q31&lt;&gt;"",ABS(Vorrunde!$O31-Vorrunde!$Q31)&gt;1),Vorrunde!$Q31,"")</f>
        <v/>
      </c>
      <c r="AH83" s="747">
        <f t="shared" ca="1" si="68"/>
        <v>50</v>
      </c>
      <c r="AI83" s="746">
        <f t="shared" ca="1" si="69"/>
        <v>24</v>
      </c>
      <c r="AJ83" s="747">
        <f ca="1">IF(Vorrunde!$R31="",0,Vorrunde!$R31)</f>
        <v>2</v>
      </c>
      <c r="AK83" s="746">
        <f ca="1">IF(Vorrunde!$T31="",0,Vorrunde!$T31)</f>
        <v>0</v>
      </c>
      <c r="AL83" s="747">
        <f ca="1">IF($AA83=0,"",IF($AJ83&gt;$AK83,Einstellungen!$C$4,IF($AJ83=$AK83,1,0)))</f>
        <v>2</v>
      </c>
      <c r="AM83" s="746">
        <f ca="1">IF($AA83=0,"",IF($AJ83&lt;$AK83,Einstellungen!$C$4,IF($AJ83=$AK83,1,0)))</f>
        <v>0</v>
      </c>
    </row>
    <row r="84" spans="2:39" s="670" customFormat="1" x14ac:dyDescent="0.2">
      <c r="B84" s="691"/>
      <c r="C84" s="691"/>
      <c r="D84" s="691"/>
      <c r="E84" s="691"/>
      <c r="F84" s="671"/>
      <c r="G84" s="671"/>
      <c r="H84" s="671"/>
      <c r="I84" s="671"/>
      <c r="J84" s="671"/>
      <c r="K84" s="671"/>
      <c r="L84" s="671"/>
      <c r="M84" s="671"/>
      <c r="U84" s="742" t="s">
        <v>35</v>
      </c>
      <c r="V84" s="743" t="str">
        <f ca="1">Planung!$L26</f>
        <v/>
      </c>
      <c r="W84" s="671" t="str">
        <f ca="1">Planung!$N26</f>
        <v/>
      </c>
      <c r="X84" s="671" t="str">
        <f ca="1">IF(AND($AA84=1,Vorrunde!$I32&lt;&gt;"",Vorrunde!$K32&lt;&gt;"",ABS(Vorrunde!$I32-Vorrunde!$K32)&gt;1),Vorrunde!$I32,"")</f>
        <v/>
      </c>
      <c r="Y84" s="744" t="str">
        <f ca="1">IF(AND($AA84=1,Vorrunde!$I32&lt;&gt;"",Vorrunde!$K32&lt;&gt;"",ABS(Vorrunde!$I32-Vorrunde!$K32)&gt;1),Vorrunde!$K32,"")</f>
        <v/>
      </c>
      <c r="Z84" s="745" t="str">
        <f t="shared" ca="1" si="70"/>
        <v/>
      </c>
      <c r="AA84" s="671">
        <f ca="1">IF(AND(V84&lt;&gt;"",W84&lt;&gt;"",V84&lt;&gt;W84,Vorrunde!$R32&lt;&gt;"",Vorrunde!$T32&lt;&gt;""),1,0)</f>
        <v>0</v>
      </c>
      <c r="AB84" s="671" t="str">
        <f ca="1">IF(AA84&gt;0,AH84&amp;Sprache!$E$99&amp;AI84,"")</f>
        <v/>
      </c>
      <c r="AC84" s="746" t="str">
        <f ca="1">IF(AA84&gt;0,AJ84&amp;Sprache!$E$99&amp;AK84,"")</f>
        <v/>
      </c>
      <c r="AD84" s="747" t="str">
        <f ca="1">IF(AND($AA84=1,Vorrunde!$L32&lt;&gt;"",Vorrunde!$N32&lt;&gt;"",ABS(Vorrunde!$L32-Vorrunde!$N32)&gt;1),Vorrunde!$L32,"")</f>
        <v/>
      </c>
      <c r="AE84" s="746" t="str">
        <f ca="1">IF(AND($AA84=1,Vorrunde!$L32&lt;&gt;"",Vorrunde!$N32&lt;&gt;"",ABS(Vorrunde!$L32-Vorrunde!$N32)&gt;1),Vorrunde!$N32,"")</f>
        <v/>
      </c>
      <c r="AF84" s="747" t="str">
        <f ca="1">IF(AND($AA84=1,Vorrunde!$O32&lt;&gt;"",Vorrunde!$Q32&lt;&gt;"",ABS(Vorrunde!$O32-Vorrunde!$Q32)&gt;1),Vorrunde!$O32,"")</f>
        <v/>
      </c>
      <c r="AG84" s="746" t="str">
        <f ca="1">IF(AND($AA84=1,Vorrunde!$O32&lt;&gt;"",Vorrunde!$Q32&lt;&gt;"",ABS(Vorrunde!$O32-Vorrunde!$Q32)&gt;1),Vorrunde!$Q32,"")</f>
        <v/>
      </c>
      <c r="AH84" s="747" t="str">
        <f t="shared" ca="1" si="68"/>
        <v/>
      </c>
      <c r="AI84" s="746" t="str">
        <f t="shared" ca="1" si="69"/>
        <v/>
      </c>
      <c r="AJ84" s="747">
        <f ca="1">IF(Vorrunde!$R32="",0,Vorrunde!$R32)</f>
        <v>0</v>
      </c>
      <c r="AK84" s="746">
        <f ca="1">IF(Vorrunde!$T32="",0,Vorrunde!$T32)</f>
        <v>0</v>
      </c>
      <c r="AL84" s="747" t="str">
        <f ca="1">IF($AA84=0,"",IF($AJ84&gt;$AK84,Einstellungen!$C$4,IF($AJ84=$AK84,1,0)))</f>
        <v/>
      </c>
      <c r="AM84" s="746" t="str">
        <f ca="1">IF($AA84=0,"",IF($AJ84&lt;$AK84,Einstellungen!$C$4,IF($AJ84=$AK84,1,0)))</f>
        <v/>
      </c>
    </row>
    <row r="85" spans="2:39" s="670" customFormat="1" x14ac:dyDescent="0.2">
      <c r="B85" s="691"/>
      <c r="C85" s="691"/>
      <c r="D85" s="691"/>
      <c r="E85" s="691"/>
      <c r="F85" s="671"/>
      <c r="G85" s="671"/>
      <c r="H85" s="671"/>
      <c r="I85" s="671"/>
      <c r="J85" s="671"/>
      <c r="K85" s="671"/>
      <c r="L85" s="671"/>
      <c r="M85" s="671"/>
      <c r="U85" s="742" t="s">
        <v>36</v>
      </c>
      <c r="V85" s="743" t="str">
        <f ca="1">Planung!$L27</f>
        <v/>
      </c>
      <c r="W85" s="671" t="str">
        <f ca="1">Planung!$N27</f>
        <v/>
      </c>
      <c r="X85" s="671" t="str">
        <f ca="1">IF(AND($AA85=1,Vorrunde!$I33&lt;&gt;"",Vorrunde!$K33&lt;&gt;"",ABS(Vorrunde!$I33-Vorrunde!$K33)&gt;1),Vorrunde!$I33,"")</f>
        <v/>
      </c>
      <c r="Y85" s="744" t="str">
        <f ca="1">IF(AND($AA85=1,Vorrunde!$I33&lt;&gt;"",Vorrunde!$K33&lt;&gt;"",ABS(Vorrunde!$I33-Vorrunde!$K33)&gt;1),Vorrunde!$K33,"")</f>
        <v/>
      </c>
      <c r="Z85" s="745" t="str">
        <f t="shared" ca="1" si="70"/>
        <v/>
      </c>
      <c r="AA85" s="671">
        <f ca="1">IF(AND(V85&lt;&gt;"",W85&lt;&gt;"",V85&lt;&gt;W85,Vorrunde!$R33&lt;&gt;"",Vorrunde!$T33&lt;&gt;""),1,0)</f>
        <v>0</v>
      </c>
      <c r="AB85" s="671" t="str">
        <f ca="1">IF(AA85&gt;0,AH85&amp;Sprache!$E$99&amp;AI85,"")</f>
        <v/>
      </c>
      <c r="AC85" s="746" t="str">
        <f ca="1">IF(AA85&gt;0,AJ85&amp;Sprache!$E$99&amp;AK85,"")</f>
        <v/>
      </c>
      <c r="AD85" s="747" t="str">
        <f ca="1">IF(AND($AA85=1,Vorrunde!$L33&lt;&gt;"",Vorrunde!$N33&lt;&gt;"",ABS(Vorrunde!$L33-Vorrunde!$N33)&gt;1),Vorrunde!$L33,"")</f>
        <v/>
      </c>
      <c r="AE85" s="746" t="str">
        <f ca="1">IF(AND($AA85=1,Vorrunde!$L33&lt;&gt;"",Vorrunde!$N33&lt;&gt;"",ABS(Vorrunde!$L33-Vorrunde!$N33)&gt;1),Vorrunde!$N33,"")</f>
        <v/>
      </c>
      <c r="AF85" s="747" t="str">
        <f ca="1">IF(AND($AA85=1,Vorrunde!$O33&lt;&gt;"",Vorrunde!$Q33&lt;&gt;"",ABS(Vorrunde!$O33-Vorrunde!$Q33)&gt;1),Vorrunde!$O33,"")</f>
        <v/>
      </c>
      <c r="AG85" s="746" t="str">
        <f ca="1">IF(AND($AA85=1,Vorrunde!$O33&lt;&gt;"",Vorrunde!$Q33&lt;&gt;"",ABS(Vorrunde!$O33-Vorrunde!$Q33)&gt;1),Vorrunde!$Q33,"")</f>
        <v/>
      </c>
      <c r="AH85" s="747" t="str">
        <f t="shared" ca="1" si="68"/>
        <v/>
      </c>
      <c r="AI85" s="746" t="str">
        <f t="shared" ca="1" si="69"/>
        <v/>
      </c>
      <c r="AJ85" s="747">
        <f ca="1">IF(Vorrunde!$R33="",0,Vorrunde!$R33)</f>
        <v>0</v>
      </c>
      <c r="AK85" s="746">
        <f ca="1">IF(Vorrunde!$T33="",0,Vorrunde!$T33)</f>
        <v>0</v>
      </c>
      <c r="AL85" s="747" t="str">
        <f ca="1">IF($AA85=0,"",IF($AJ85&gt;$AK85,Einstellungen!$C$4,IF($AJ85=$AK85,1,0)))</f>
        <v/>
      </c>
      <c r="AM85" s="746" t="str">
        <f ca="1">IF($AA85=0,"",IF($AJ85&lt;$AK85,Einstellungen!$C$4,IF($AJ85=$AK85,1,0)))</f>
        <v/>
      </c>
    </row>
    <row r="86" spans="2:39" s="670" customFormat="1" x14ac:dyDescent="0.2">
      <c r="B86" s="691"/>
      <c r="C86" s="691"/>
      <c r="D86" s="691"/>
      <c r="E86" s="691"/>
      <c r="F86" s="671"/>
      <c r="G86" s="671"/>
      <c r="H86" s="671"/>
      <c r="I86" s="671"/>
      <c r="J86" s="671"/>
      <c r="K86" s="671"/>
      <c r="L86" s="671"/>
      <c r="M86" s="671"/>
      <c r="U86" s="742" t="s">
        <v>37</v>
      </c>
      <c r="V86" s="743" t="str">
        <f ca="1">Planung!$L28</f>
        <v/>
      </c>
      <c r="W86" s="671" t="str">
        <f ca="1">Planung!$N28</f>
        <v/>
      </c>
      <c r="X86" s="671" t="str">
        <f ca="1">IF(AND($AA86=1,Vorrunde!$I34&lt;&gt;"",Vorrunde!$K34&lt;&gt;"",ABS(Vorrunde!$I34-Vorrunde!$K34)&gt;1),Vorrunde!$I34,"")</f>
        <v/>
      </c>
      <c r="Y86" s="744" t="str">
        <f ca="1">IF(AND($AA86=1,Vorrunde!$I34&lt;&gt;"",Vorrunde!$K34&lt;&gt;"",ABS(Vorrunde!$I34-Vorrunde!$K34)&gt;1),Vorrunde!$K34,"")</f>
        <v/>
      </c>
      <c r="Z86" s="745" t="str">
        <f t="shared" ca="1" si="70"/>
        <v/>
      </c>
      <c r="AA86" s="671">
        <f ca="1">IF(AND(V86&lt;&gt;"",W86&lt;&gt;"",V86&lt;&gt;W86,Vorrunde!$R34&lt;&gt;"",Vorrunde!$T34&lt;&gt;""),1,0)</f>
        <v>0</v>
      </c>
      <c r="AB86" s="671" t="str">
        <f ca="1">IF(AA86&gt;0,AH86&amp;Sprache!$E$99&amp;AI86,"")</f>
        <v/>
      </c>
      <c r="AC86" s="746" t="str">
        <f ca="1">IF(AA86&gt;0,AJ86&amp;Sprache!$E$99&amp;AK86,"")</f>
        <v/>
      </c>
      <c r="AD86" s="747" t="str">
        <f ca="1">IF(AND($AA86=1,Vorrunde!$L34&lt;&gt;"",Vorrunde!$N34&lt;&gt;"",ABS(Vorrunde!$L34-Vorrunde!$N34)&gt;1),Vorrunde!$L34,"")</f>
        <v/>
      </c>
      <c r="AE86" s="746" t="str">
        <f ca="1">IF(AND($AA86=1,Vorrunde!$L34&lt;&gt;"",Vorrunde!$N34&lt;&gt;"",ABS(Vorrunde!$L34-Vorrunde!$N34)&gt;1),Vorrunde!$N34,"")</f>
        <v/>
      </c>
      <c r="AF86" s="747" t="str">
        <f ca="1">IF(AND($AA86=1,Vorrunde!$O34&lt;&gt;"",Vorrunde!$Q34&lt;&gt;"",ABS(Vorrunde!$O34-Vorrunde!$Q34)&gt;1),Vorrunde!$O34,"")</f>
        <v/>
      </c>
      <c r="AG86" s="746" t="str">
        <f ca="1">IF(AND($AA86=1,Vorrunde!$O34&lt;&gt;"",Vorrunde!$Q34&lt;&gt;"",ABS(Vorrunde!$O34-Vorrunde!$Q34)&gt;1),Vorrunde!$Q34,"")</f>
        <v/>
      </c>
      <c r="AH86" s="747" t="str">
        <f t="shared" ca="1" si="68"/>
        <v/>
      </c>
      <c r="AI86" s="746" t="str">
        <f t="shared" ca="1" si="69"/>
        <v/>
      </c>
      <c r="AJ86" s="747">
        <f ca="1">IF(Vorrunde!$R34="",0,Vorrunde!$R34)</f>
        <v>0</v>
      </c>
      <c r="AK86" s="746">
        <f ca="1">IF(Vorrunde!$T34="",0,Vorrunde!$T34)</f>
        <v>0</v>
      </c>
      <c r="AL86" s="747" t="str">
        <f ca="1">IF($AA86=0,"",IF($AJ86&gt;$AK86,Einstellungen!$C$4,IF($AJ86=$AK86,1,0)))</f>
        <v/>
      </c>
      <c r="AM86" s="746" t="str">
        <f ca="1">IF($AA86=0,"",IF($AJ86&lt;$AK86,Einstellungen!$C$4,IF($AJ86=$AK86,1,0)))</f>
        <v/>
      </c>
    </row>
    <row r="87" spans="2:39" s="670" customFormat="1" x14ac:dyDescent="0.2">
      <c r="B87" s="691"/>
      <c r="C87" s="691"/>
      <c r="D87" s="691"/>
      <c r="E87" s="691"/>
      <c r="F87" s="671"/>
      <c r="G87" s="671"/>
      <c r="H87" s="671"/>
      <c r="I87" s="671"/>
      <c r="J87" s="671"/>
      <c r="K87" s="671"/>
      <c r="L87" s="671"/>
      <c r="M87" s="671"/>
      <c r="U87" s="742" t="s">
        <v>38</v>
      </c>
      <c r="V87" s="743" t="str">
        <f ca="1">Planung!$L29</f>
        <v/>
      </c>
      <c r="W87" s="671" t="str">
        <f ca="1">Planung!$N29</f>
        <v/>
      </c>
      <c r="X87" s="671" t="str">
        <f ca="1">IF(AND($AA87=1,Vorrunde!$I35&lt;&gt;"",Vorrunde!$K35&lt;&gt;"",ABS(Vorrunde!$I35-Vorrunde!$K35)&gt;1),Vorrunde!$I35,"")</f>
        <v/>
      </c>
      <c r="Y87" s="744" t="str">
        <f ca="1">IF(AND($AA87=1,Vorrunde!$I35&lt;&gt;"",Vorrunde!$K35&lt;&gt;"",ABS(Vorrunde!$I35-Vorrunde!$K35)&gt;1),Vorrunde!$K35,"")</f>
        <v/>
      </c>
      <c r="Z87" s="745" t="str">
        <f t="shared" ca="1" si="70"/>
        <v/>
      </c>
      <c r="AA87" s="671">
        <f ca="1">IF(AND(V87&lt;&gt;"",W87&lt;&gt;"",V87&lt;&gt;W87,Vorrunde!$R35&lt;&gt;"",Vorrunde!$T35&lt;&gt;""),1,0)</f>
        <v>0</v>
      </c>
      <c r="AB87" s="671" t="str">
        <f ca="1">IF(AA87&gt;0,AH87&amp;Sprache!$E$99&amp;AI87,"")</f>
        <v/>
      </c>
      <c r="AC87" s="746" t="str">
        <f ca="1">IF(AA87&gt;0,AJ87&amp;Sprache!$E$99&amp;AK87,"")</f>
        <v/>
      </c>
      <c r="AD87" s="747" t="str">
        <f ca="1">IF(AND($AA87=1,Vorrunde!$L35&lt;&gt;"",Vorrunde!$N35&lt;&gt;"",ABS(Vorrunde!$L35-Vorrunde!$N35)&gt;1),Vorrunde!$L35,"")</f>
        <v/>
      </c>
      <c r="AE87" s="746" t="str">
        <f ca="1">IF(AND($AA87=1,Vorrunde!$L35&lt;&gt;"",Vorrunde!$N35&lt;&gt;"",ABS(Vorrunde!$L35-Vorrunde!$N35)&gt;1),Vorrunde!$N35,"")</f>
        <v/>
      </c>
      <c r="AF87" s="747" t="str">
        <f ca="1">IF(AND($AA87=1,Vorrunde!$O35&lt;&gt;"",Vorrunde!$Q35&lt;&gt;"",ABS(Vorrunde!$O35-Vorrunde!$Q35)&gt;1),Vorrunde!$O35,"")</f>
        <v/>
      </c>
      <c r="AG87" s="746" t="str">
        <f ca="1">IF(AND($AA87=1,Vorrunde!$O35&lt;&gt;"",Vorrunde!$Q35&lt;&gt;"",ABS(Vorrunde!$O35-Vorrunde!$Q35)&gt;1),Vorrunde!$Q35,"")</f>
        <v/>
      </c>
      <c r="AH87" s="747" t="str">
        <f t="shared" ca="1" si="68"/>
        <v/>
      </c>
      <c r="AI87" s="746" t="str">
        <f t="shared" ca="1" si="69"/>
        <v/>
      </c>
      <c r="AJ87" s="747">
        <f ca="1">IF(Vorrunde!$R35="",0,Vorrunde!$R35)</f>
        <v>0</v>
      </c>
      <c r="AK87" s="746">
        <f ca="1">IF(Vorrunde!$T35="",0,Vorrunde!$T35)</f>
        <v>0</v>
      </c>
      <c r="AL87" s="747" t="str">
        <f ca="1">IF($AA87=0,"",IF($AJ87&gt;$AK87,Einstellungen!$C$4,IF($AJ87=$AK87,1,0)))</f>
        <v/>
      </c>
      <c r="AM87" s="746" t="str">
        <f ca="1">IF($AA87=0,"",IF($AJ87&lt;$AK87,Einstellungen!$C$4,IF($AJ87=$AK87,1,0)))</f>
        <v/>
      </c>
    </row>
    <row r="88" spans="2:39" s="670" customFormat="1" x14ac:dyDescent="0.2">
      <c r="B88" s="691"/>
      <c r="C88" s="691"/>
      <c r="D88" s="691"/>
      <c r="E88" s="691"/>
      <c r="F88" s="671"/>
      <c r="G88" s="671"/>
      <c r="H88" s="671"/>
      <c r="I88" s="671"/>
      <c r="J88" s="671"/>
      <c r="K88" s="671"/>
      <c r="L88" s="671"/>
      <c r="M88" s="671"/>
      <c r="U88" s="742" t="s">
        <v>39</v>
      </c>
      <c r="V88" s="743" t="str">
        <f ca="1">Planung!$L30</f>
        <v/>
      </c>
      <c r="W88" s="671" t="str">
        <f ca="1">Planung!$N30</f>
        <v/>
      </c>
      <c r="X88" s="671" t="str">
        <f ca="1">IF(AND($AA88=1,Vorrunde!$I36&lt;&gt;"",Vorrunde!$K36&lt;&gt;"",ABS(Vorrunde!$I36-Vorrunde!$K36)&gt;1),Vorrunde!$I36,"")</f>
        <v/>
      </c>
      <c r="Y88" s="744" t="str">
        <f ca="1">IF(AND($AA88=1,Vorrunde!$I36&lt;&gt;"",Vorrunde!$K36&lt;&gt;"",ABS(Vorrunde!$I36-Vorrunde!$K36)&gt;1),Vorrunde!$K36,"")</f>
        <v/>
      </c>
      <c r="Z88" s="745" t="str">
        <f t="shared" ca="1" si="70"/>
        <v/>
      </c>
      <c r="AA88" s="671">
        <f ca="1">IF(AND(V88&lt;&gt;"",W88&lt;&gt;"",V88&lt;&gt;W88,Vorrunde!$R36&lt;&gt;"",Vorrunde!$T36&lt;&gt;""),1,0)</f>
        <v>0</v>
      </c>
      <c r="AB88" s="671" t="str">
        <f ca="1">IF(AA88&gt;0,AH88&amp;Sprache!$E$99&amp;AI88,"")</f>
        <v/>
      </c>
      <c r="AC88" s="746" t="str">
        <f ca="1">IF(AA88&gt;0,AJ88&amp;Sprache!$E$99&amp;AK88,"")</f>
        <v/>
      </c>
      <c r="AD88" s="747" t="str">
        <f ca="1">IF(AND($AA88=1,Vorrunde!$L36&lt;&gt;"",Vorrunde!$N36&lt;&gt;"",ABS(Vorrunde!$L36-Vorrunde!$N36)&gt;1),Vorrunde!$L36,"")</f>
        <v/>
      </c>
      <c r="AE88" s="746" t="str">
        <f ca="1">IF(AND($AA88=1,Vorrunde!$L36&lt;&gt;"",Vorrunde!$N36&lt;&gt;"",ABS(Vorrunde!$L36-Vorrunde!$N36)&gt;1),Vorrunde!$N36,"")</f>
        <v/>
      </c>
      <c r="AF88" s="747" t="str">
        <f ca="1">IF(AND($AA88=1,Vorrunde!$O36&lt;&gt;"",Vorrunde!$Q36&lt;&gt;"",ABS(Vorrunde!$O36-Vorrunde!$Q36)&gt;1),Vorrunde!$O36,"")</f>
        <v/>
      </c>
      <c r="AG88" s="746" t="str">
        <f ca="1">IF(AND($AA88=1,Vorrunde!$O36&lt;&gt;"",Vorrunde!$Q36&lt;&gt;"",ABS(Vorrunde!$O36-Vorrunde!$Q36)&gt;1),Vorrunde!$Q36,"")</f>
        <v/>
      </c>
      <c r="AH88" s="747" t="str">
        <f t="shared" ca="1" si="68"/>
        <v/>
      </c>
      <c r="AI88" s="746" t="str">
        <f t="shared" ca="1" si="69"/>
        <v/>
      </c>
      <c r="AJ88" s="747">
        <f ca="1">IF(Vorrunde!$R36="",0,Vorrunde!$R36)</f>
        <v>0</v>
      </c>
      <c r="AK88" s="746">
        <f ca="1">IF(Vorrunde!$T36="",0,Vorrunde!$T36)</f>
        <v>0</v>
      </c>
      <c r="AL88" s="747" t="str">
        <f ca="1">IF($AA88=0,"",IF($AJ88&gt;$AK88,Einstellungen!$C$4,IF($AJ88=$AK88,1,0)))</f>
        <v/>
      </c>
      <c r="AM88" s="746" t="str">
        <f ca="1">IF($AA88=0,"",IF($AJ88&lt;$AK88,Einstellungen!$C$4,IF($AJ88=$AK88,1,0)))</f>
        <v/>
      </c>
    </row>
    <row r="89" spans="2:39" s="670" customFormat="1" x14ac:dyDescent="0.2">
      <c r="B89" s="691"/>
      <c r="C89" s="691"/>
      <c r="D89" s="691"/>
      <c r="E89" s="691"/>
      <c r="F89" s="671"/>
      <c r="G89" s="671"/>
      <c r="H89" s="671"/>
      <c r="I89" s="671"/>
      <c r="J89" s="671"/>
      <c r="K89" s="671"/>
      <c r="L89" s="671"/>
      <c r="M89" s="671"/>
      <c r="U89" s="742" t="s">
        <v>40</v>
      </c>
      <c r="V89" s="743" t="str">
        <f ca="1">Planung!$L31</f>
        <v/>
      </c>
      <c r="W89" s="671" t="str">
        <f ca="1">Planung!$N31</f>
        <v/>
      </c>
      <c r="X89" s="671" t="str">
        <f ca="1">IF(AND($AA89=1,Vorrunde!$I37&lt;&gt;"",Vorrunde!$K37&lt;&gt;"",ABS(Vorrunde!$I37-Vorrunde!$K37)&gt;1),Vorrunde!$I37,"")</f>
        <v/>
      </c>
      <c r="Y89" s="744" t="str">
        <f ca="1">IF(AND($AA89=1,Vorrunde!$I37&lt;&gt;"",Vorrunde!$K37&lt;&gt;"",ABS(Vorrunde!$I37-Vorrunde!$K37)&gt;1),Vorrunde!$K37,"")</f>
        <v/>
      </c>
      <c r="Z89" s="745" t="str">
        <f t="shared" ca="1" si="70"/>
        <v/>
      </c>
      <c r="AA89" s="671">
        <f ca="1">IF(AND(V89&lt;&gt;"",W89&lt;&gt;"",V89&lt;&gt;W89,Vorrunde!$R37&lt;&gt;"",Vorrunde!$T37&lt;&gt;""),1,0)</f>
        <v>0</v>
      </c>
      <c r="AB89" s="671" t="str">
        <f ca="1">IF(AA89&gt;0,AH89&amp;Sprache!$E$99&amp;AI89,"")</f>
        <v/>
      </c>
      <c r="AC89" s="746" t="str">
        <f ca="1">IF(AA89&gt;0,AJ89&amp;Sprache!$E$99&amp;AK89,"")</f>
        <v/>
      </c>
      <c r="AD89" s="747" t="str">
        <f ca="1">IF(AND($AA89=1,Vorrunde!$L37&lt;&gt;"",Vorrunde!$N37&lt;&gt;"",ABS(Vorrunde!$L37-Vorrunde!$N37)&gt;1),Vorrunde!$L37,"")</f>
        <v/>
      </c>
      <c r="AE89" s="746" t="str">
        <f ca="1">IF(AND($AA89=1,Vorrunde!$L37&lt;&gt;"",Vorrunde!$N37&lt;&gt;"",ABS(Vorrunde!$L37-Vorrunde!$N37)&gt;1),Vorrunde!$N37,"")</f>
        <v/>
      </c>
      <c r="AF89" s="747" t="str">
        <f ca="1">IF(AND($AA89=1,Vorrunde!$O37&lt;&gt;"",Vorrunde!$Q37&lt;&gt;"",ABS(Vorrunde!$O37-Vorrunde!$Q37)&gt;1),Vorrunde!$O37,"")</f>
        <v/>
      </c>
      <c r="AG89" s="746" t="str">
        <f ca="1">IF(AND($AA89=1,Vorrunde!$O37&lt;&gt;"",Vorrunde!$Q37&lt;&gt;"",ABS(Vorrunde!$O37-Vorrunde!$Q37)&gt;1),Vorrunde!$Q37,"")</f>
        <v/>
      </c>
      <c r="AH89" s="747" t="str">
        <f t="shared" ca="1" si="68"/>
        <v/>
      </c>
      <c r="AI89" s="746" t="str">
        <f t="shared" ca="1" si="69"/>
        <v/>
      </c>
      <c r="AJ89" s="747">
        <f ca="1">IF(Vorrunde!$R37="",0,Vorrunde!$R37)</f>
        <v>0</v>
      </c>
      <c r="AK89" s="746">
        <f ca="1">IF(Vorrunde!$T37="",0,Vorrunde!$T37)</f>
        <v>0</v>
      </c>
      <c r="AL89" s="747" t="str">
        <f ca="1">IF($AA89=0,"",IF($AJ89&gt;$AK89,Einstellungen!$C$4,IF($AJ89=$AK89,1,0)))</f>
        <v/>
      </c>
      <c r="AM89" s="746" t="str">
        <f ca="1">IF($AA89=0,"",IF($AJ89&lt;$AK89,Einstellungen!$C$4,IF($AJ89=$AK89,1,0)))</f>
        <v/>
      </c>
    </row>
    <row r="90" spans="2:39" s="670" customFormat="1" x14ac:dyDescent="0.2">
      <c r="B90" s="691"/>
      <c r="C90" s="691"/>
      <c r="D90" s="691"/>
      <c r="E90" s="691"/>
      <c r="F90" s="671"/>
      <c r="G90" s="671"/>
      <c r="H90" s="671"/>
      <c r="I90" s="671"/>
      <c r="J90" s="671"/>
      <c r="K90" s="671"/>
      <c r="L90" s="671"/>
      <c r="M90" s="671"/>
      <c r="U90" s="742" t="s">
        <v>41</v>
      </c>
      <c r="V90" s="743" t="str">
        <f ca="1">Planung!$L32</f>
        <v/>
      </c>
      <c r="W90" s="671" t="str">
        <f ca="1">Planung!$N32</f>
        <v/>
      </c>
      <c r="X90" s="671" t="str">
        <f ca="1">IF(AND($AA90=1,Vorrunde!$I38&lt;&gt;"",Vorrunde!$K38&lt;&gt;"",ABS(Vorrunde!$I38-Vorrunde!$K38)&gt;1),Vorrunde!$I38,"")</f>
        <v/>
      </c>
      <c r="Y90" s="744" t="str">
        <f ca="1">IF(AND($AA90=1,Vorrunde!$I38&lt;&gt;"",Vorrunde!$K38&lt;&gt;"",ABS(Vorrunde!$I38-Vorrunde!$K38)&gt;1),Vorrunde!$K38,"")</f>
        <v/>
      </c>
      <c r="Z90" s="745" t="str">
        <f t="shared" ca="1" si="70"/>
        <v/>
      </c>
      <c r="AA90" s="671">
        <f ca="1">IF(AND(V90&lt;&gt;"",W90&lt;&gt;"",V90&lt;&gt;W90,Vorrunde!$R38&lt;&gt;"",Vorrunde!$T38&lt;&gt;""),1,0)</f>
        <v>0</v>
      </c>
      <c r="AB90" s="671" t="str">
        <f ca="1">IF(AA90&gt;0,AH90&amp;Sprache!$E$99&amp;AI90,"")</f>
        <v/>
      </c>
      <c r="AC90" s="746" t="str">
        <f ca="1">IF(AA90&gt;0,AJ90&amp;Sprache!$E$99&amp;AK90,"")</f>
        <v/>
      </c>
      <c r="AD90" s="747" t="str">
        <f ca="1">IF(AND($AA90=1,Vorrunde!$L38&lt;&gt;"",Vorrunde!$N38&lt;&gt;"",ABS(Vorrunde!$L38-Vorrunde!$N38)&gt;1),Vorrunde!$L38,"")</f>
        <v/>
      </c>
      <c r="AE90" s="746" t="str">
        <f ca="1">IF(AND($AA90=1,Vorrunde!$L38&lt;&gt;"",Vorrunde!$N38&lt;&gt;"",ABS(Vorrunde!$L38-Vorrunde!$N38)&gt;1),Vorrunde!$N38,"")</f>
        <v/>
      </c>
      <c r="AF90" s="747" t="str">
        <f ca="1">IF(AND($AA90=1,Vorrunde!$O38&lt;&gt;"",Vorrunde!$Q38&lt;&gt;"",ABS(Vorrunde!$O38-Vorrunde!$Q38)&gt;1),Vorrunde!$O38,"")</f>
        <v/>
      </c>
      <c r="AG90" s="746" t="str">
        <f ca="1">IF(AND($AA90=1,Vorrunde!$O38&lt;&gt;"",Vorrunde!$Q38&lt;&gt;"",ABS(Vorrunde!$O38-Vorrunde!$Q38)&gt;1),Vorrunde!$Q38,"")</f>
        <v/>
      </c>
      <c r="AH90" s="747" t="str">
        <f t="shared" ca="1" si="68"/>
        <v/>
      </c>
      <c r="AI90" s="746" t="str">
        <f t="shared" ca="1" si="69"/>
        <v/>
      </c>
      <c r="AJ90" s="747">
        <f ca="1">IF(Vorrunde!$R38="",0,Vorrunde!$R38)</f>
        <v>0</v>
      </c>
      <c r="AK90" s="746">
        <f ca="1">IF(Vorrunde!$T38="",0,Vorrunde!$T38)</f>
        <v>0</v>
      </c>
      <c r="AL90" s="747" t="str">
        <f ca="1">IF($AA90=0,"",IF($AJ90&gt;$AK90,Einstellungen!$C$4,IF($AJ90=$AK90,1,0)))</f>
        <v/>
      </c>
      <c r="AM90" s="746" t="str">
        <f ca="1">IF($AA90=0,"",IF($AJ90&lt;$AK90,Einstellungen!$C$4,IF($AJ90=$AK90,1,0)))</f>
        <v/>
      </c>
    </row>
    <row r="91" spans="2:39" s="670" customFormat="1" x14ac:dyDescent="0.2">
      <c r="B91" s="691"/>
      <c r="C91" s="691"/>
      <c r="D91" s="691"/>
      <c r="E91" s="691"/>
      <c r="F91" s="671"/>
      <c r="G91" s="671"/>
      <c r="H91" s="671"/>
      <c r="I91" s="671"/>
      <c r="J91" s="671"/>
      <c r="K91" s="671"/>
      <c r="L91" s="671"/>
      <c r="M91" s="671"/>
      <c r="U91" s="742" t="s">
        <v>42</v>
      </c>
      <c r="V91" s="743" t="str">
        <f ca="1">Planung!$L33</f>
        <v/>
      </c>
      <c r="W91" s="671" t="str">
        <f ca="1">Planung!$N33</f>
        <v/>
      </c>
      <c r="X91" s="671" t="str">
        <f ca="1">IF(AND($AA91=1,Vorrunde!$I39&lt;&gt;"",Vorrunde!$K39&lt;&gt;"",ABS(Vorrunde!$I39-Vorrunde!$K39)&gt;1),Vorrunde!$I39,"")</f>
        <v/>
      </c>
      <c r="Y91" s="744" t="str">
        <f ca="1">IF(AND($AA91=1,Vorrunde!$I39&lt;&gt;"",Vorrunde!$K39&lt;&gt;"",ABS(Vorrunde!$I39-Vorrunde!$K39)&gt;1),Vorrunde!$K39,"")</f>
        <v/>
      </c>
      <c r="Z91" s="745" t="str">
        <f t="shared" ca="1" si="70"/>
        <v/>
      </c>
      <c r="AA91" s="671">
        <f ca="1">IF(AND(V91&lt;&gt;"",W91&lt;&gt;"",V91&lt;&gt;W91,Vorrunde!$R39&lt;&gt;"",Vorrunde!$T39&lt;&gt;""),1,0)</f>
        <v>0</v>
      </c>
      <c r="AB91" s="671" t="str">
        <f ca="1">IF(AA91&gt;0,AH91&amp;Sprache!$E$99&amp;AI91,"")</f>
        <v/>
      </c>
      <c r="AC91" s="746" t="str">
        <f ca="1">IF(AA91&gt;0,AJ91&amp;Sprache!$E$99&amp;AK91,"")</f>
        <v/>
      </c>
      <c r="AD91" s="747" t="str">
        <f ca="1">IF(AND($AA91=1,Vorrunde!$L39&lt;&gt;"",Vorrunde!$N39&lt;&gt;"",ABS(Vorrunde!$L39-Vorrunde!$N39)&gt;1),Vorrunde!$L39,"")</f>
        <v/>
      </c>
      <c r="AE91" s="746" t="str">
        <f ca="1">IF(AND($AA91=1,Vorrunde!$L39&lt;&gt;"",Vorrunde!$N39&lt;&gt;"",ABS(Vorrunde!$L39-Vorrunde!$N39)&gt;1),Vorrunde!$N39,"")</f>
        <v/>
      </c>
      <c r="AF91" s="747" t="str">
        <f ca="1">IF(AND($AA91=1,Vorrunde!$O39&lt;&gt;"",Vorrunde!$Q39&lt;&gt;"",ABS(Vorrunde!$O39-Vorrunde!$Q39)&gt;1),Vorrunde!$O39,"")</f>
        <v/>
      </c>
      <c r="AG91" s="746" t="str">
        <f ca="1">IF(AND($AA91=1,Vorrunde!$O39&lt;&gt;"",Vorrunde!$Q39&lt;&gt;"",ABS(Vorrunde!$O39-Vorrunde!$Q39)&gt;1),Vorrunde!$Q39,"")</f>
        <v/>
      </c>
      <c r="AH91" s="747" t="str">
        <f t="shared" ca="1" si="68"/>
        <v/>
      </c>
      <c r="AI91" s="746" t="str">
        <f t="shared" ca="1" si="69"/>
        <v/>
      </c>
      <c r="AJ91" s="747">
        <f ca="1">IF(Vorrunde!$R39="",0,Vorrunde!$R39)</f>
        <v>0</v>
      </c>
      <c r="AK91" s="746">
        <f ca="1">IF(Vorrunde!$T39="",0,Vorrunde!$T39)</f>
        <v>0</v>
      </c>
      <c r="AL91" s="747" t="str">
        <f ca="1">IF($AA91=0,"",IF($AJ91&gt;$AK91,Einstellungen!$C$4,IF($AJ91=$AK91,1,0)))</f>
        <v/>
      </c>
      <c r="AM91" s="746" t="str">
        <f ca="1">IF($AA91=0,"",IF($AJ91&lt;$AK91,Einstellungen!$C$4,IF($AJ91=$AK91,1,0)))</f>
        <v/>
      </c>
    </row>
    <row r="92" spans="2:39" s="670" customFormat="1" x14ac:dyDescent="0.2">
      <c r="B92" s="691"/>
      <c r="C92" s="691"/>
      <c r="D92" s="691"/>
      <c r="E92" s="691"/>
      <c r="F92" s="671"/>
      <c r="G92" s="671"/>
      <c r="H92" s="671"/>
      <c r="I92" s="671"/>
      <c r="J92" s="671"/>
      <c r="K92" s="671"/>
      <c r="L92" s="671"/>
      <c r="M92" s="671"/>
      <c r="U92" s="742" t="s">
        <v>43</v>
      </c>
      <c r="V92" s="743" t="str">
        <f ca="1">Planung!$L34</f>
        <v/>
      </c>
      <c r="W92" s="671" t="str">
        <f ca="1">Planung!$N34</f>
        <v/>
      </c>
      <c r="X92" s="671" t="str">
        <f ca="1">IF(AND($AA92=1,Vorrunde!$I40&lt;&gt;"",Vorrunde!$K40&lt;&gt;"",ABS(Vorrunde!$I40-Vorrunde!$K40)&gt;1),Vorrunde!$I40,"")</f>
        <v/>
      </c>
      <c r="Y92" s="744" t="str">
        <f ca="1">IF(AND($AA92=1,Vorrunde!$I40&lt;&gt;"",Vorrunde!$K40&lt;&gt;"",ABS(Vorrunde!$I40-Vorrunde!$K40)&gt;1),Vorrunde!$K40,"")</f>
        <v/>
      </c>
      <c r="Z92" s="745" t="str">
        <f t="shared" ca="1" si="70"/>
        <v/>
      </c>
      <c r="AA92" s="671">
        <f ca="1">IF(AND(V92&lt;&gt;"",W92&lt;&gt;"",V92&lt;&gt;W92,Vorrunde!$R40&lt;&gt;"",Vorrunde!$T40&lt;&gt;""),1,0)</f>
        <v>0</v>
      </c>
      <c r="AB92" s="671" t="str">
        <f ca="1">IF(AA92&gt;0,AH92&amp;Sprache!$E$99&amp;AI92,"")</f>
        <v/>
      </c>
      <c r="AC92" s="746" t="str">
        <f ca="1">IF(AA92&gt;0,AJ92&amp;Sprache!$E$99&amp;AK92,"")</f>
        <v/>
      </c>
      <c r="AD92" s="747" t="str">
        <f ca="1">IF(AND($AA92=1,Vorrunde!$L40&lt;&gt;"",Vorrunde!$N40&lt;&gt;"",ABS(Vorrunde!$L40-Vorrunde!$N40)&gt;1),Vorrunde!$L40,"")</f>
        <v/>
      </c>
      <c r="AE92" s="746" t="str">
        <f ca="1">IF(AND($AA92=1,Vorrunde!$L40&lt;&gt;"",Vorrunde!$N40&lt;&gt;"",ABS(Vorrunde!$L40-Vorrunde!$N40)&gt;1),Vorrunde!$N40,"")</f>
        <v/>
      </c>
      <c r="AF92" s="747" t="str">
        <f ca="1">IF(AND($AA92=1,Vorrunde!$O40&lt;&gt;"",Vorrunde!$Q40&lt;&gt;"",ABS(Vorrunde!$O40-Vorrunde!$Q40)&gt;1),Vorrunde!$O40,"")</f>
        <v/>
      </c>
      <c r="AG92" s="746" t="str">
        <f ca="1">IF(AND($AA92=1,Vorrunde!$O40&lt;&gt;"",Vorrunde!$Q40&lt;&gt;"",ABS(Vorrunde!$O40-Vorrunde!$Q40)&gt;1),Vorrunde!$Q40,"")</f>
        <v/>
      </c>
      <c r="AH92" s="747" t="str">
        <f t="shared" ca="1" si="68"/>
        <v/>
      </c>
      <c r="AI92" s="746" t="str">
        <f t="shared" ca="1" si="69"/>
        <v/>
      </c>
      <c r="AJ92" s="747">
        <f ca="1">IF(Vorrunde!$R40="",0,Vorrunde!$R40)</f>
        <v>0</v>
      </c>
      <c r="AK92" s="746">
        <f ca="1">IF(Vorrunde!$T40="",0,Vorrunde!$T40)</f>
        <v>0</v>
      </c>
      <c r="AL92" s="747" t="str">
        <f ca="1">IF($AA92=0,"",IF($AJ92&gt;$AK92,Einstellungen!$C$4,IF($AJ92=$AK92,1,0)))</f>
        <v/>
      </c>
      <c r="AM92" s="746" t="str">
        <f ca="1">IF($AA92=0,"",IF($AJ92&lt;$AK92,Einstellungen!$C$4,IF($AJ92=$AK92,1,0)))</f>
        <v/>
      </c>
    </row>
    <row r="93" spans="2:39" s="670" customFormat="1" ht="12.75" thickBot="1" x14ac:dyDescent="0.25">
      <c r="B93" s="691"/>
      <c r="C93" s="691"/>
      <c r="D93" s="691"/>
      <c r="E93" s="691"/>
      <c r="F93" s="671"/>
      <c r="G93" s="671"/>
      <c r="H93" s="671"/>
      <c r="I93" s="671"/>
      <c r="J93" s="671"/>
      <c r="K93" s="671"/>
      <c r="L93" s="671"/>
      <c r="M93" s="671"/>
      <c r="U93" s="742" t="s">
        <v>44</v>
      </c>
      <c r="V93" s="743" t="str">
        <f ca="1">Planung!$L35</f>
        <v/>
      </c>
      <c r="W93" s="671" t="str">
        <f ca="1">Planung!$N35</f>
        <v/>
      </c>
      <c r="X93" s="671" t="str">
        <f ca="1">IF(AND($AA93=1,Vorrunde!$I41&lt;&gt;"",Vorrunde!$K41&lt;&gt;"",ABS(Vorrunde!$I41-Vorrunde!$K41)&gt;1),Vorrunde!$I41,"")</f>
        <v/>
      </c>
      <c r="Y93" s="744" t="str">
        <f ca="1">IF(AND($AA93=1,Vorrunde!$I41&lt;&gt;"",Vorrunde!$K41&lt;&gt;"",ABS(Vorrunde!$I41-Vorrunde!$K41)&gt;1),Vorrunde!$K41,"")</f>
        <v/>
      </c>
      <c r="Z93" s="745" t="str">
        <f t="shared" ca="1" si="70"/>
        <v/>
      </c>
      <c r="AA93" s="671">
        <f ca="1">IF(AND(V93&lt;&gt;"",W93&lt;&gt;"",V93&lt;&gt;W93,Vorrunde!$R41&lt;&gt;"",Vorrunde!$T41&lt;&gt;""),1,0)</f>
        <v>0</v>
      </c>
      <c r="AB93" s="671" t="str">
        <f ca="1">IF(AA93&gt;0,AH93&amp;Sprache!$E$99&amp;AI93,"")</f>
        <v/>
      </c>
      <c r="AC93" s="746" t="str">
        <f ca="1">IF(AA93&gt;0,AJ93&amp;Sprache!$E$99&amp;AK93,"")</f>
        <v/>
      </c>
      <c r="AD93" s="747" t="str">
        <f ca="1">IF(AND($AA93=1,Vorrunde!$L41&lt;&gt;"",Vorrunde!$N41&lt;&gt;"",ABS(Vorrunde!$L41-Vorrunde!$N41)&gt;1),Vorrunde!$L41,"")</f>
        <v/>
      </c>
      <c r="AE93" s="746" t="str">
        <f ca="1">IF(AND($AA93=1,Vorrunde!$L41&lt;&gt;"",Vorrunde!$N41&lt;&gt;"",ABS(Vorrunde!$L41-Vorrunde!$N41)&gt;1),Vorrunde!$N41,"")</f>
        <v/>
      </c>
      <c r="AF93" s="747" t="str">
        <f ca="1">IF(AND($AA93=1,Vorrunde!$O41&lt;&gt;"",Vorrunde!$Q41&lt;&gt;"",ABS(Vorrunde!$O41-Vorrunde!$Q41)&gt;1),Vorrunde!$O41,"")</f>
        <v/>
      </c>
      <c r="AG93" s="746" t="str">
        <f ca="1">IF(AND($AA93=1,Vorrunde!$O41&lt;&gt;"",Vorrunde!$Q41&lt;&gt;"",ABS(Vorrunde!$O41-Vorrunde!$Q41)&gt;1),Vorrunde!$Q41,"")</f>
        <v/>
      </c>
      <c r="AH93" s="747" t="str">
        <f t="shared" ca="1" si="68"/>
        <v/>
      </c>
      <c r="AI93" s="746" t="str">
        <f t="shared" ca="1" si="69"/>
        <v/>
      </c>
      <c r="AJ93" s="747">
        <f ca="1">IF(Vorrunde!$R41="",0,Vorrunde!$R41)</f>
        <v>0</v>
      </c>
      <c r="AK93" s="746">
        <f ca="1">IF(Vorrunde!$T41="",0,Vorrunde!$T41)</f>
        <v>0</v>
      </c>
      <c r="AL93" s="747" t="str">
        <f ca="1">IF($AA93=0,"",IF($AJ93&gt;$AK93,Einstellungen!$C$4,IF($AJ93=$AK93,1,0)))</f>
        <v/>
      </c>
      <c r="AM93" s="746" t="str">
        <f ca="1">IF($AA93=0,"",IF($AJ93&lt;$AK93,Einstellungen!$C$4,IF($AJ93=$AK93,1,0)))</f>
        <v/>
      </c>
    </row>
    <row r="94" spans="2:39" s="670" customFormat="1" ht="12.75" thickTop="1" x14ac:dyDescent="0.2">
      <c r="B94" s="691"/>
      <c r="C94" s="691"/>
      <c r="D94" s="691"/>
      <c r="E94" s="691"/>
      <c r="F94" s="671"/>
      <c r="G94" s="671"/>
      <c r="H94" s="671"/>
      <c r="I94" s="671"/>
      <c r="J94" s="671"/>
      <c r="K94" s="671"/>
      <c r="L94" s="671"/>
      <c r="M94" s="671"/>
      <c r="U94" s="752" t="s">
        <v>45</v>
      </c>
      <c r="V94" s="753" t="str">
        <f>""</f>
        <v/>
      </c>
      <c r="W94" s="754" t="str">
        <f>""</f>
        <v/>
      </c>
      <c r="X94" s="754" t="str">
        <f>""</f>
        <v/>
      </c>
      <c r="Y94" s="755" t="str">
        <f>""</f>
        <v/>
      </c>
      <c r="Z94" s="756" t="str">
        <f>""</f>
        <v/>
      </c>
      <c r="AA94" s="754">
        <v>0</v>
      </c>
      <c r="AB94" s="754" t="str">
        <f>""</f>
        <v/>
      </c>
      <c r="AC94" s="757"/>
      <c r="AD94" s="758" t="str">
        <f>""</f>
        <v/>
      </c>
      <c r="AE94" s="757" t="str">
        <f>""</f>
        <v/>
      </c>
      <c r="AF94" s="758" t="str">
        <f>""</f>
        <v/>
      </c>
      <c r="AG94" s="757" t="str">
        <f>""</f>
        <v/>
      </c>
      <c r="AH94" s="758" t="str">
        <f>""</f>
        <v/>
      </c>
      <c r="AI94" s="757" t="str">
        <f>""</f>
        <v/>
      </c>
      <c r="AJ94" s="758"/>
      <c r="AK94" s="757"/>
      <c r="AL94" s="758" t="str">
        <f>""</f>
        <v/>
      </c>
      <c r="AM94" s="757" t="str">
        <f>""</f>
        <v/>
      </c>
    </row>
    <row r="95" spans="2:39" s="670" customFormat="1" x14ac:dyDescent="0.2">
      <c r="B95" s="691"/>
      <c r="C95" s="691"/>
      <c r="D95" s="691"/>
      <c r="E95" s="691"/>
      <c r="F95" s="671"/>
      <c r="G95" s="671"/>
      <c r="H95" s="671"/>
      <c r="I95" s="671"/>
      <c r="J95" s="671"/>
      <c r="K95" s="671"/>
      <c r="L95" s="671"/>
      <c r="M95" s="671"/>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row>
    <row r="96" spans="2:39" s="670" customFormat="1" x14ac:dyDescent="0.2">
      <c r="B96" s="691"/>
      <c r="C96" s="691"/>
      <c r="D96" s="691"/>
      <c r="E96" s="691"/>
      <c r="F96" s="671"/>
      <c r="G96" s="671"/>
      <c r="H96" s="671"/>
      <c r="I96" s="671"/>
      <c r="J96" s="671"/>
      <c r="K96" s="671"/>
      <c r="L96" s="671"/>
      <c r="M96" s="671"/>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row>
    <row r="97" spans="2:39" s="670" customFormat="1" x14ac:dyDescent="0.2">
      <c r="B97" s="691"/>
      <c r="C97" s="691"/>
      <c r="D97" s="691"/>
      <c r="E97" s="691"/>
      <c r="F97" s="671"/>
      <c r="G97" s="671"/>
      <c r="H97" s="671"/>
      <c r="I97" s="671"/>
      <c r="J97" s="671"/>
      <c r="K97" s="671"/>
      <c r="L97" s="671"/>
      <c r="M97" s="671"/>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row>
    <row r="98" spans="2:39" s="670" customFormat="1" x14ac:dyDescent="0.2">
      <c r="B98" s="691"/>
      <c r="C98" s="691"/>
      <c r="D98" s="691"/>
      <c r="E98" s="691"/>
      <c r="F98" s="671"/>
      <c r="G98" s="671"/>
      <c r="H98" s="671"/>
      <c r="I98" s="671"/>
      <c r="J98" s="671"/>
      <c r="K98" s="671"/>
      <c r="L98" s="671"/>
      <c r="M98" s="671"/>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row>
    <row r="99" spans="2:39" s="670" customFormat="1" x14ac:dyDescent="0.2">
      <c r="B99" s="691"/>
      <c r="C99" s="691"/>
      <c r="D99" s="691"/>
      <c r="E99" s="691"/>
      <c r="F99" s="671"/>
      <c r="G99" s="671"/>
      <c r="H99" s="671"/>
      <c r="I99" s="671"/>
      <c r="J99" s="671"/>
      <c r="K99" s="671"/>
      <c r="L99" s="671"/>
      <c r="M99" s="671"/>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row>
    <row r="100" spans="2:39" s="670" customFormat="1" x14ac:dyDescent="0.2">
      <c r="B100" s="691"/>
      <c r="C100" s="691"/>
      <c r="D100" s="691"/>
      <c r="E100" s="691"/>
      <c r="F100" s="671"/>
      <c r="G100" s="671"/>
      <c r="H100" s="671"/>
      <c r="I100" s="671"/>
      <c r="J100" s="671"/>
      <c r="K100" s="671"/>
      <c r="L100" s="671"/>
      <c r="M100" s="671"/>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row>
    <row r="101" spans="2:39" s="670" customFormat="1" x14ac:dyDescent="0.2">
      <c r="B101" s="691"/>
      <c r="C101" s="691"/>
      <c r="D101" s="691"/>
      <c r="E101" s="691"/>
      <c r="F101" s="671"/>
      <c r="G101" s="671"/>
      <c r="H101" s="671"/>
      <c r="I101" s="671"/>
      <c r="J101" s="671"/>
      <c r="K101" s="671"/>
      <c r="L101" s="671"/>
      <c r="M101" s="671"/>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row>
    <row r="102" spans="2:39" s="670" customFormat="1" x14ac:dyDescent="0.2">
      <c r="B102" s="691"/>
      <c r="C102" s="691"/>
      <c r="D102" s="691"/>
      <c r="E102" s="691"/>
      <c r="F102" s="671"/>
      <c r="G102" s="671"/>
      <c r="H102" s="671"/>
      <c r="I102" s="671"/>
      <c r="J102" s="671"/>
      <c r="K102" s="671"/>
      <c r="L102" s="671"/>
      <c r="M102" s="671"/>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row>
    <row r="103" spans="2:39" s="670" customFormat="1" x14ac:dyDescent="0.2">
      <c r="B103" s="691"/>
      <c r="C103" s="691"/>
      <c r="D103" s="691"/>
      <c r="E103" s="691"/>
      <c r="F103" s="671"/>
      <c r="G103" s="671"/>
      <c r="H103" s="671"/>
      <c r="I103" s="671"/>
      <c r="J103" s="671"/>
      <c r="K103" s="671"/>
      <c r="L103" s="671"/>
      <c r="M103" s="671"/>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row>
    <row r="104" spans="2:39" s="670" customFormat="1" x14ac:dyDescent="0.2">
      <c r="B104" s="691"/>
      <c r="C104" s="691"/>
      <c r="D104" s="691"/>
      <c r="E104" s="691"/>
      <c r="F104" s="671"/>
      <c r="G104" s="671"/>
      <c r="H104" s="671"/>
      <c r="I104" s="671"/>
      <c r="J104" s="671"/>
      <c r="K104" s="671"/>
      <c r="L104" s="671"/>
      <c r="M104" s="671"/>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row>
    <row r="105" spans="2:39" s="670" customFormat="1" x14ac:dyDescent="0.2">
      <c r="B105" s="691"/>
      <c r="C105" s="691"/>
      <c r="D105" s="691"/>
      <c r="E105" s="691"/>
      <c r="F105" s="671"/>
      <c r="G105" s="671"/>
      <c r="H105" s="671"/>
      <c r="I105" s="671"/>
      <c r="J105" s="671"/>
      <c r="K105" s="671"/>
      <c r="L105" s="671"/>
      <c r="M105" s="671"/>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row>
    <row r="106" spans="2:39" s="670" customFormat="1" x14ac:dyDescent="0.2">
      <c r="B106" s="691"/>
      <c r="C106" s="691"/>
      <c r="D106" s="691"/>
      <c r="E106" s="691"/>
      <c r="F106" s="671"/>
      <c r="G106" s="671"/>
      <c r="H106" s="671"/>
      <c r="I106" s="671"/>
      <c r="J106" s="671"/>
      <c r="K106" s="671"/>
      <c r="L106" s="671"/>
      <c r="M106" s="671"/>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row>
    <row r="107" spans="2:39" s="670" customFormat="1" x14ac:dyDescent="0.2">
      <c r="B107" s="691"/>
      <c r="C107" s="691"/>
      <c r="D107" s="691"/>
      <c r="E107" s="691"/>
      <c r="F107" s="671"/>
      <c r="G107" s="671"/>
      <c r="H107" s="671"/>
      <c r="I107" s="671"/>
      <c r="J107" s="671"/>
      <c r="K107" s="671"/>
      <c r="L107" s="671"/>
      <c r="M107" s="671"/>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row>
    <row r="108" spans="2:39" s="670" customFormat="1" x14ac:dyDescent="0.2">
      <c r="B108" s="691"/>
      <c r="C108" s="691"/>
      <c r="D108" s="691"/>
      <c r="E108" s="691"/>
      <c r="F108" s="671"/>
      <c r="G108" s="671"/>
      <c r="H108" s="671"/>
      <c r="I108" s="671"/>
      <c r="J108" s="671"/>
      <c r="K108" s="671"/>
      <c r="L108" s="671"/>
      <c r="M108" s="671"/>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row>
    <row r="109" spans="2:39" s="670" customFormat="1" x14ac:dyDescent="0.2">
      <c r="B109" s="691"/>
      <c r="C109" s="691"/>
      <c r="D109" s="691"/>
      <c r="E109" s="691"/>
      <c r="F109" s="671"/>
      <c r="G109" s="671"/>
      <c r="H109" s="671"/>
      <c r="I109" s="671"/>
      <c r="J109" s="671"/>
      <c r="K109" s="671"/>
      <c r="L109" s="671"/>
      <c r="M109" s="671"/>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row>
    <row r="110" spans="2:39" s="670" customFormat="1" x14ac:dyDescent="0.2">
      <c r="B110" s="691"/>
      <c r="C110" s="691"/>
      <c r="D110" s="691"/>
      <c r="E110" s="691"/>
      <c r="F110" s="671"/>
      <c r="G110" s="671"/>
      <c r="H110" s="671"/>
      <c r="I110" s="671"/>
      <c r="J110" s="671"/>
      <c r="K110" s="671"/>
      <c r="L110" s="671"/>
      <c r="M110" s="671"/>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row>
    <row r="111" spans="2:39" s="670" customFormat="1" x14ac:dyDescent="0.2">
      <c r="B111" s="691"/>
      <c r="C111" s="691"/>
      <c r="D111" s="691"/>
      <c r="E111" s="691"/>
      <c r="F111" s="671"/>
      <c r="G111" s="671"/>
      <c r="H111" s="671"/>
      <c r="I111" s="671"/>
      <c r="J111" s="671"/>
      <c r="K111" s="671"/>
      <c r="L111" s="671"/>
      <c r="M111" s="671"/>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row>
    <row r="112" spans="2:39" s="670" customFormat="1" x14ac:dyDescent="0.2">
      <c r="B112" s="691"/>
      <c r="C112" s="691"/>
      <c r="D112" s="691"/>
      <c r="E112" s="691"/>
      <c r="F112" s="671"/>
      <c r="G112" s="671"/>
      <c r="H112" s="671"/>
      <c r="I112" s="671"/>
      <c r="J112" s="671"/>
      <c r="K112" s="671"/>
      <c r="L112" s="671"/>
      <c r="M112" s="671"/>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row>
    <row r="113" spans="2:39" s="670" customFormat="1" x14ac:dyDescent="0.2">
      <c r="B113" s="691"/>
      <c r="C113" s="691"/>
      <c r="D113" s="691"/>
      <c r="E113" s="691"/>
      <c r="F113" s="671"/>
      <c r="G113" s="671"/>
      <c r="H113" s="671"/>
      <c r="I113" s="671"/>
      <c r="J113" s="671"/>
      <c r="K113" s="671"/>
      <c r="L113" s="671"/>
      <c r="M113" s="671"/>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row>
    <row r="114" spans="2:39" s="670" customFormat="1" x14ac:dyDescent="0.2">
      <c r="B114" s="691"/>
      <c r="C114" s="691"/>
      <c r="D114" s="691"/>
      <c r="E114" s="691"/>
      <c r="F114" s="671"/>
      <c r="G114" s="671"/>
      <c r="H114" s="671"/>
      <c r="I114" s="671"/>
      <c r="J114" s="671"/>
      <c r="K114" s="671"/>
      <c r="L114" s="671"/>
      <c r="M114" s="671"/>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row>
    <row r="115" spans="2:39" s="670" customFormat="1" x14ac:dyDescent="0.2">
      <c r="B115" s="691"/>
      <c r="C115" s="691"/>
      <c r="D115" s="691"/>
      <c r="E115" s="691"/>
      <c r="F115" s="671"/>
      <c r="G115" s="671"/>
      <c r="H115" s="671"/>
      <c r="I115" s="671"/>
      <c r="J115" s="671"/>
      <c r="K115" s="671"/>
      <c r="L115" s="671"/>
      <c r="M115" s="671"/>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row>
    <row r="116" spans="2:39" s="670" customFormat="1" x14ac:dyDescent="0.2">
      <c r="B116" s="691"/>
      <c r="C116" s="691"/>
      <c r="D116" s="691"/>
      <c r="E116" s="691"/>
      <c r="F116" s="671"/>
      <c r="G116" s="671"/>
      <c r="H116" s="671"/>
      <c r="I116" s="671"/>
      <c r="J116" s="671"/>
      <c r="K116" s="671"/>
      <c r="L116" s="671"/>
      <c r="M116" s="671"/>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row>
    <row r="117" spans="2:39" s="670" customFormat="1" x14ac:dyDescent="0.2">
      <c r="B117" s="691"/>
      <c r="C117" s="691"/>
      <c r="D117" s="691"/>
      <c r="E117" s="691"/>
      <c r="F117" s="671"/>
      <c r="G117" s="671"/>
      <c r="H117" s="671"/>
      <c r="I117" s="671"/>
      <c r="J117" s="671"/>
      <c r="K117" s="671"/>
      <c r="L117" s="671"/>
      <c r="M117" s="671"/>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row>
    <row r="118" spans="2:39" s="670" customFormat="1" x14ac:dyDescent="0.2">
      <c r="B118" s="691"/>
      <c r="C118" s="691"/>
      <c r="D118" s="691"/>
      <c r="E118" s="691"/>
      <c r="F118" s="671"/>
      <c r="G118" s="671"/>
      <c r="H118" s="671"/>
      <c r="I118" s="671"/>
      <c r="J118" s="671"/>
      <c r="K118" s="671"/>
      <c r="L118" s="671"/>
      <c r="M118" s="671"/>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row>
    <row r="119" spans="2:39" s="670" customFormat="1" x14ac:dyDescent="0.2">
      <c r="B119" s="691"/>
      <c r="C119" s="691"/>
      <c r="D119" s="691"/>
      <c r="E119" s="691"/>
      <c r="F119" s="671"/>
      <c r="G119" s="671"/>
      <c r="H119" s="671"/>
      <c r="I119" s="671"/>
      <c r="J119" s="671"/>
      <c r="K119" s="671"/>
      <c r="L119" s="671"/>
      <c r="M119" s="671"/>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row>
    <row r="120" spans="2:39" s="670" customFormat="1" x14ac:dyDescent="0.2">
      <c r="B120" s="691"/>
      <c r="C120" s="691"/>
      <c r="D120" s="691"/>
      <c r="E120" s="691"/>
      <c r="F120" s="671"/>
      <c r="G120" s="671"/>
      <c r="H120" s="671"/>
      <c r="I120" s="671"/>
      <c r="J120" s="671"/>
      <c r="K120" s="671"/>
      <c r="L120" s="671"/>
      <c r="M120" s="671"/>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row>
    <row r="121" spans="2:39" s="670" customFormat="1" x14ac:dyDescent="0.2">
      <c r="B121" s="691"/>
      <c r="C121" s="691"/>
      <c r="D121" s="691"/>
      <c r="E121" s="691"/>
      <c r="F121" s="671"/>
      <c r="G121" s="671"/>
      <c r="H121" s="671"/>
      <c r="I121" s="671"/>
      <c r="J121" s="671"/>
      <c r="K121" s="671"/>
      <c r="L121" s="671"/>
      <c r="M121" s="671"/>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row>
    <row r="122" spans="2:39" s="670" customFormat="1" x14ac:dyDescent="0.2">
      <c r="B122" s="691"/>
      <c r="C122" s="691"/>
      <c r="D122" s="691"/>
      <c r="E122" s="691"/>
      <c r="F122" s="671"/>
      <c r="G122" s="671"/>
      <c r="H122" s="671"/>
      <c r="I122" s="671"/>
      <c r="J122" s="671"/>
      <c r="K122" s="671"/>
      <c r="L122" s="671"/>
      <c r="M122" s="671"/>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row>
    <row r="123" spans="2:39" s="670" customFormat="1" ht="12.75" thickBot="1" x14ac:dyDescent="0.25">
      <c r="B123" s="691"/>
      <c r="C123" s="691"/>
      <c r="D123" s="691"/>
      <c r="E123" s="691"/>
      <c r="F123" s="671"/>
      <c r="G123" s="671"/>
      <c r="H123" s="671"/>
      <c r="I123" s="671"/>
      <c r="J123" s="671"/>
      <c r="K123" s="671"/>
      <c r="L123" s="671"/>
      <c r="M123" s="671"/>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row>
    <row r="124" spans="2:39" s="670" customFormat="1" ht="12.75" thickTop="1" x14ac:dyDescent="0.2">
      <c r="B124" s="691"/>
      <c r="C124" s="691"/>
      <c r="D124" s="691"/>
      <c r="E124" s="691"/>
      <c r="F124" s="671"/>
      <c r="G124" s="671"/>
      <c r="H124" s="671"/>
      <c r="I124" s="671"/>
      <c r="J124" s="671"/>
      <c r="K124" s="671"/>
      <c r="L124" s="671"/>
      <c r="M124" s="671"/>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row>
    <row r="125" spans="2:39" s="670" customFormat="1" x14ac:dyDescent="0.2">
      <c r="B125" s="691"/>
      <c r="C125" s="691"/>
      <c r="D125" s="691"/>
      <c r="E125" s="691"/>
      <c r="F125" s="671"/>
      <c r="G125" s="671"/>
      <c r="H125" s="671"/>
      <c r="I125" s="671"/>
      <c r="J125" s="671"/>
      <c r="K125" s="671"/>
      <c r="L125" s="671"/>
      <c r="M125" s="671"/>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row>
    <row r="126" spans="2:39" s="670" customFormat="1" x14ac:dyDescent="0.2">
      <c r="B126" s="691"/>
      <c r="C126" s="691"/>
      <c r="D126" s="691"/>
      <c r="E126" s="691"/>
      <c r="F126" s="671"/>
      <c r="G126" s="671"/>
      <c r="H126" s="671"/>
      <c r="I126" s="671"/>
      <c r="J126" s="671"/>
      <c r="K126" s="671"/>
      <c r="L126" s="671"/>
      <c r="M126" s="671"/>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row>
    <row r="127" spans="2:39" s="670" customFormat="1" x14ac:dyDescent="0.2">
      <c r="B127" s="691"/>
      <c r="C127" s="691"/>
      <c r="D127" s="691"/>
      <c r="E127" s="691"/>
      <c r="F127" s="671"/>
      <c r="G127" s="671"/>
      <c r="H127" s="671"/>
      <c r="I127" s="671"/>
      <c r="J127" s="671"/>
      <c r="K127" s="671"/>
      <c r="L127" s="671"/>
      <c r="M127" s="671"/>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row>
    <row r="128" spans="2:39" s="670" customFormat="1" x14ac:dyDescent="0.2">
      <c r="B128" s="691"/>
      <c r="C128" s="691"/>
      <c r="D128" s="691"/>
      <c r="E128" s="691"/>
      <c r="F128" s="671"/>
      <c r="G128" s="671"/>
      <c r="H128" s="671"/>
      <c r="I128" s="671"/>
      <c r="J128" s="671"/>
      <c r="K128" s="671"/>
      <c r="L128" s="671"/>
      <c r="M128" s="671"/>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row>
    <row r="129" spans="2:39" s="670" customFormat="1" x14ac:dyDescent="0.2">
      <c r="B129" s="691"/>
      <c r="C129" s="691"/>
      <c r="D129" s="691"/>
      <c r="E129" s="691"/>
      <c r="F129" s="671"/>
      <c r="G129" s="671"/>
      <c r="H129" s="671"/>
      <c r="I129" s="671"/>
      <c r="J129" s="671"/>
      <c r="K129" s="671"/>
      <c r="L129" s="671"/>
      <c r="M129" s="671"/>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row>
    <row r="130" spans="2:39" s="670" customFormat="1" x14ac:dyDescent="0.2">
      <c r="B130" s="691"/>
      <c r="C130" s="691"/>
      <c r="D130" s="691"/>
      <c r="E130" s="691"/>
      <c r="F130" s="671"/>
      <c r="G130" s="671"/>
      <c r="H130" s="671"/>
      <c r="I130" s="671"/>
      <c r="J130" s="671"/>
      <c r="K130" s="671"/>
      <c r="L130" s="671"/>
      <c r="M130" s="671"/>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row>
    <row r="131" spans="2:39" s="670" customFormat="1" x14ac:dyDescent="0.2">
      <c r="B131" s="691"/>
      <c r="C131" s="691"/>
      <c r="D131" s="691"/>
      <c r="E131" s="691"/>
      <c r="F131" s="671"/>
      <c r="G131" s="671"/>
      <c r="H131" s="671"/>
      <c r="I131" s="671"/>
      <c r="J131" s="671"/>
      <c r="K131" s="671"/>
      <c r="L131" s="671"/>
      <c r="M131" s="671"/>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row>
    <row r="132" spans="2:39" s="670" customFormat="1" x14ac:dyDescent="0.2">
      <c r="B132" s="691"/>
      <c r="C132" s="691"/>
      <c r="D132" s="691"/>
      <c r="E132" s="691"/>
      <c r="F132" s="671"/>
      <c r="G132" s="671"/>
      <c r="H132" s="671"/>
      <c r="I132" s="671"/>
      <c r="J132" s="671"/>
      <c r="K132" s="671"/>
      <c r="L132" s="671"/>
      <c r="M132" s="671"/>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row>
    <row r="133" spans="2:39" s="670" customFormat="1" x14ac:dyDescent="0.2">
      <c r="B133" s="691"/>
      <c r="C133" s="691"/>
      <c r="D133" s="691"/>
      <c r="E133" s="691"/>
      <c r="F133" s="671"/>
      <c r="G133" s="671"/>
      <c r="H133" s="671"/>
      <c r="I133" s="671"/>
      <c r="J133" s="671"/>
      <c r="K133" s="671"/>
      <c r="L133" s="671"/>
      <c r="M133" s="671"/>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row>
    <row r="134" spans="2:39" s="670" customFormat="1" x14ac:dyDescent="0.2">
      <c r="B134" s="691"/>
      <c r="C134" s="691"/>
      <c r="D134" s="691"/>
      <c r="E134" s="691"/>
      <c r="F134" s="671"/>
      <c r="G134" s="671"/>
      <c r="H134" s="671"/>
      <c r="I134" s="671"/>
      <c r="J134" s="671"/>
      <c r="K134" s="671"/>
      <c r="L134" s="671"/>
      <c r="M134" s="671"/>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row>
    <row r="135" spans="2:39" s="670" customFormat="1" ht="12.75" thickBot="1" x14ac:dyDescent="0.25">
      <c r="B135" s="691"/>
      <c r="C135" s="691"/>
      <c r="D135" s="691"/>
      <c r="E135" s="691"/>
      <c r="F135" s="671"/>
      <c r="G135" s="671"/>
      <c r="H135" s="671"/>
      <c r="I135" s="671"/>
      <c r="J135" s="671"/>
      <c r="K135" s="671"/>
      <c r="L135" s="671"/>
      <c r="M135" s="671"/>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row>
    <row r="136" spans="2:39" s="670" customFormat="1" ht="12.75" thickTop="1" x14ac:dyDescent="0.2">
      <c r="B136" s="691"/>
      <c r="C136" s="691"/>
      <c r="D136" s="691"/>
      <c r="E136" s="691"/>
      <c r="F136" s="671"/>
      <c r="G136" s="671"/>
      <c r="H136" s="671"/>
      <c r="I136" s="671"/>
      <c r="J136" s="671"/>
      <c r="K136" s="671"/>
      <c r="L136" s="671"/>
      <c r="M136" s="671"/>
      <c r="Y136" s="728" t="s">
        <v>6</v>
      </c>
      <c r="Z136" s="732" t="str">
        <f ca="1">W64&amp;V64</f>
        <v>FC BarcelonaVFB Essenheim</v>
      </c>
      <c r="AA136" s="730">
        <f ca="1">AA64</f>
        <v>1</v>
      </c>
      <c r="AB136" s="671" t="str">
        <f ca="1">IF(AA64&gt;0,AI64&amp;Sprache!$E$99&amp;AH64,"")</f>
        <v>71 : 57</v>
      </c>
      <c r="AC136" s="770" t="str">
        <f ca="1">IF(AA64&gt;0,AK64&amp;Sprache!$E$99&amp;AJ64,"")</f>
        <v>2 : 1</v>
      </c>
      <c r="AD136" s="735"/>
      <c r="AE136" s="771"/>
      <c r="AF136" s="771"/>
      <c r="AG136" s="771"/>
      <c r="AH136" s="771"/>
    </row>
    <row r="137" spans="2:39" x14ac:dyDescent="0.2">
      <c r="Y137" s="742" t="s">
        <v>7</v>
      </c>
      <c r="Z137" s="745" t="str">
        <f ca="1">W65&amp;V65</f>
        <v>Inter MailandFC Grönlingen</v>
      </c>
      <c r="AA137" s="671">
        <f t="shared" ref="AA137:AA165" ca="1" si="71">AA65</f>
        <v>1</v>
      </c>
      <c r="AB137" s="671" t="str">
        <f ca="1">IF(AA65&gt;0,AI65&amp;Sprache!$E$99&amp;AH65,"")</f>
        <v>45 : 48</v>
      </c>
      <c r="AC137" s="773" t="str">
        <f ca="1">IF(AA65&gt;0,AK65&amp;Sprache!$E$99&amp;AJ65,"")</f>
        <v>1 : 1</v>
      </c>
      <c r="AD137" s="747"/>
      <c r="AE137" s="774"/>
      <c r="AF137" s="774"/>
      <c r="AG137" s="774"/>
      <c r="AH137" s="774"/>
    </row>
    <row r="138" spans="2:39" x14ac:dyDescent="0.2">
      <c r="Y138" s="742" t="s">
        <v>8</v>
      </c>
      <c r="Z138" s="745" t="str">
        <f t="shared" ref="Z138:Z165" ca="1" si="72">W66&amp;V66</f>
        <v>Maibach 1822 eVEintracht Frankfurt</v>
      </c>
      <c r="AA138" s="671">
        <f t="shared" ca="1" si="71"/>
        <v>1</v>
      </c>
      <c r="AB138" s="671" t="str">
        <f ca="1">IF(AA66&gt;0,AI66&amp;Sprache!$E$99&amp;AH66,"")</f>
        <v>36 : 50</v>
      </c>
      <c r="AC138" s="773" t="str">
        <f ca="1">IF(AA66&gt;0,AK66&amp;Sprache!$E$99&amp;AJ66,"")</f>
        <v>0 : 2</v>
      </c>
      <c r="AD138" s="747"/>
      <c r="AE138" s="774"/>
      <c r="AF138" s="774"/>
      <c r="AG138" s="774"/>
      <c r="AH138" s="774"/>
    </row>
    <row r="139" spans="2:39" x14ac:dyDescent="0.2">
      <c r="Y139" s="742" t="s">
        <v>9</v>
      </c>
      <c r="Z139" s="745" t="str">
        <f t="shared" ca="1" si="72"/>
        <v>Manchester CitySSV Wildbach</v>
      </c>
      <c r="AA139" s="671">
        <f t="shared" ca="1" si="71"/>
        <v>1</v>
      </c>
      <c r="AB139" s="671" t="str">
        <f ca="1">IF(AA67&gt;0,AI67&amp;Sprache!$E$99&amp;AH67,"")</f>
        <v>42 : 50</v>
      </c>
      <c r="AC139" s="773" t="str">
        <f ca="1">IF(AA67&gt;0,AK67&amp;Sprache!$E$99&amp;AJ67,"")</f>
        <v>0 : 2</v>
      </c>
      <c r="AD139" s="747"/>
      <c r="AE139" s="774"/>
      <c r="AF139" s="774"/>
      <c r="AG139" s="774"/>
      <c r="AH139" s="774"/>
    </row>
    <row r="140" spans="2:39" x14ac:dyDescent="0.2">
      <c r="Y140" s="742" t="s">
        <v>10</v>
      </c>
      <c r="Z140" s="745" t="str">
        <f t="shared" ca="1" si="72"/>
        <v>1. FC RiedwaldVFB Essenheim</v>
      </c>
      <c r="AA140" s="671">
        <f t="shared" ca="1" si="71"/>
        <v>1</v>
      </c>
      <c r="AB140" s="671" t="str">
        <f ca="1">IF(AA68&gt;0,AI68&amp;Sprache!$E$99&amp;AH68,"")</f>
        <v>44 : 50</v>
      </c>
      <c r="AC140" s="773" t="str">
        <f ca="1">IF(AA68&gt;0,AK68&amp;Sprache!$E$99&amp;AJ68,"")</f>
        <v>0 : 2</v>
      </c>
      <c r="AD140" s="747"/>
      <c r="AE140" s="774"/>
      <c r="AF140" s="774"/>
      <c r="AG140" s="774"/>
      <c r="AH140" s="774"/>
    </row>
    <row r="141" spans="2:39" x14ac:dyDescent="0.2">
      <c r="Y141" s="742" t="s">
        <v>11</v>
      </c>
      <c r="Z141" s="745" t="str">
        <f t="shared" ca="1" si="72"/>
        <v>Mainz 05FC Grönlingen</v>
      </c>
      <c r="AA141" s="671">
        <f t="shared" ca="1" si="71"/>
        <v>1</v>
      </c>
      <c r="AB141" s="671" t="str">
        <f ca="1">IF(AA69&gt;0,AI69&amp;Sprache!$E$99&amp;AH69,"")</f>
        <v>39 : 50</v>
      </c>
      <c r="AC141" s="773" t="str">
        <f ca="1">IF(AA69&gt;0,AK69&amp;Sprache!$E$99&amp;AJ69,"")</f>
        <v>0 : 2</v>
      </c>
      <c r="AD141" s="747"/>
      <c r="AE141" s="774"/>
      <c r="AF141" s="774"/>
      <c r="AG141" s="774"/>
      <c r="AH141" s="774"/>
    </row>
    <row r="142" spans="2:39" x14ac:dyDescent="0.2">
      <c r="Y142" s="742" t="s">
        <v>16</v>
      </c>
      <c r="Z142" s="745" t="str">
        <f t="shared" ca="1" si="72"/>
        <v>Eintracht FrankfurtFC Barcelona</v>
      </c>
      <c r="AA142" s="671">
        <f t="shared" ca="1" si="71"/>
        <v>1</v>
      </c>
      <c r="AB142" s="671" t="str">
        <f ca="1">IF(AA70&gt;0,AI70&amp;Sprache!$E$99&amp;AH70,"")</f>
        <v>48 : 48</v>
      </c>
      <c r="AC142" s="773" t="str">
        <f ca="1">IF(AA70&gt;0,AK70&amp;Sprache!$E$99&amp;AJ70,"")</f>
        <v>1 : 1</v>
      </c>
      <c r="AD142" s="747"/>
      <c r="AE142" s="774"/>
      <c r="AF142" s="774"/>
      <c r="AG142" s="774"/>
      <c r="AH142" s="774"/>
    </row>
    <row r="143" spans="2:39" x14ac:dyDescent="0.2">
      <c r="Y143" s="742" t="s">
        <v>17</v>
      </c>
      <c r="Z143" s="745" t="str">
        <f t="shared" ca="1" si="72"/>
        <v>SSV WildbachInter Mailand</v>
      </c>
      <c r="AA143" s="671">
        <f t="shared" ca="1" si="71"/>
        <v>1</v>
      </c>
      <c r="AB143" s="671" t="str">
        <f ca="1">IF(AA71&gt;0,AI71&amp;Sprache!$E$99&amp;AH71,"")</f>
        <v>37 : 44</v>
      </c>
      <c r="AC143" s="773" t="str">
        <f ca="1">IF(AA71&gt;0,AK71&amp;Sprache!$E$99&amp;AJ71,"")</f>
        <v>1 : 1</v>
      </c>
      <c r="AD143" s="747"/>
      <c r="AE143" s="774"/>
      <c r="AF143" s="774"/>
      <c r="AG143" s="774"/>
      <c r="AH143" s="774"/>
    </row>
    <row r="144" spans="2:39" x14ac:dyDescent="0.2">
      <c r="Y144" s="742" t="s">
        <v>18</v>
      </c>
      <c r="Z144" s="745" t="str">
        <f t="shared" ca="1" si="72"/>
        <v>Maibach 1822 eV1. FC Riedwald</v>
      </c>
      <c r="AA144" s="671">
        <f t="shared" ca="1" si="71"/>
        <v>1</v>
      </c>
      <c r="AB144" s="671" t="str">
        <f ca="1">IF(AA72&gt;0,AI72&amp;Sprache!$E$99&amp;AH72,"")</f>
        <v>43 : 41</v>
      </c>
      <c r="AC144" s="773" t="str">
        <f ca="1">IF(AA72&gt;0,AK72&amp;Sprache!$E$99&amp;AJ72,"")</f>
        <v>1 : 1</v>
      </c>
      <c r="AD144" s="747"/>
      <c r="AE144" s="774"/>
      <c r="AF144" s="774"/>
      <c r="AG144" s="774"/>
      <c r="AH144" s="774"/>
    </row>
    <row r="145" spans="25:34" x14ac:dyDescent="0.2">
      <c r="Y145" s="742" t="s">
        <v>24</v>
      </c>
      <c r="Z145" s="745" t="str">
        <f t="shared" ca="1" si="72"/>
        <v>Manchester CityMainz 05</v>
      </c>
      <c r="AA145" s="671">
        <f t="shared" ca="1" si="71"/>
        <v>1</v>
      </c>
      <c r="AB145" s="671" t="str">
        <f ca="1">IF(AA73&gt;0,AI73&amp;Sprache!$E$99&amp;AH73,"")</f>
        <v>44 : 39</v>
      </c>
      <c r="AC145" s="773" t="str">
        <f ca="1">IF(AA73&gt;0,AK73&amp;Sprache!$E$99&amp;AJ73,"")</f>
        <v>1 : 1</v>
      </c>
      <c r="AD145" s="747"/>
      <c r="AE145" s="774"/>
      <c r="AF145" s="774"/>
      <c r="AG145" s="774"/>
      <c r="AH145" s="774"/>
    </row>
    <row r="146" spans="25:34" x14ac:dyDescent="0.2">
      <c r="Y146" s="742" t="s">
        <v>25</v>
      </c>
      <c r="Z146" s="745" t="str">
        <f t="shared" ca="1" si="72"/>
        <v>VFB EssenheimEintracht Frankfurt</v>
      </c>
      <c r="AA146" s="671">
        <f t="shared" ca="1" si="71"/>
        <v>1</v>
      </c>
      <c r="AB146" s="671" t="str">
        <f ca="1">IF(AA74&gt;0,AI74&amp;Sprache!$E$99&amp;AH74,"")</f>
        <v>45 : 47</v>
      </c>
      <c r="AC146" s="773" t="str">
        <f ca="1">IF(AA74&gt;0,AK74&amp;Sprache!$E$99&amp;AJ74,"")</f>
        <v>1 : 1</v>
      </c>
      <c r="AD146" s="747"/>
      <c r="AE146" s="774"/>
      <c r="AF146" s="774"/>
      <c r="AG146" s="774"/>
      <c r="AH146" s="774"/>
    </row>
    <row r="147" spans="25:34" x14ac:dyDescent="0.2">
      <c r="Y147" s="742" t="s">
        <v>26</v>
      </c>
      <c r="Z147" s="745" t="str">
        <f t="shared" ca="1" si="72"/>
        <v>FC GrönlingenSSV Wildbach</v>
      </c>
      <c r="AA147" s="671">
        <f t="shared" ca="1" si="71"/>
        <v>1</v>
      </c>
      <c r="AB147" s="671" t="str">
        <f ca="1">IF(AA75&gt;0,AI75&amp;Sprache!$E$99&amp;AH75,"")</f>
        <v>44 : 44</v>
      </c>
      <c r="AC147" s="773" t="str">
        <f ca="1">IF(AA75&gt;0,AK75&amp;Sprache!$E$99&amp;AJ75,"")</f>
        <v>1 : 1</v>
      </c>
      <c r="AD147" s="747"/>
      <c r="AE147" s="774"/>
      <c r="AF147" s="774"/>
      <c r="AG147" s="774"/>
      <c r="AH147" s="774"/>
    </row>
    <row r="148" spans="25:34" x14ac:dyDescent="0.2">
      <c r="Y148" s="742" t="s">
        <v>27</v>
      </c>
      <c r="Z148" s="745" t="str">
        <f t="shared" ca="1" si="72"/>
        <v>Maibach 1822 eVFC Barcelona</v>
      </c>
      <c r="AA148" s="671">
        <f t="shared" ca="1" si="71"/>
        <v>1</v>
      </c>
      <c r="AB148" s="671" t="str">
        <f ca="1">IF(AA76&gt;0,AI76&amp;Sprache!$E$99&amp;AH76,"")</f>
        <v>50 : 29</v>
      </c>
      <c r="AC148" s="773" t="str">
        <f ca="1">IF(AA76&gt;0,AK76&amp;Sprache!$E$99&amp;AJ76,"")</f>
        <v>2 : 0</v>
      </c>
      <c r="AD148" s="747"/>
      <c r="AE148" s="774"/>
      <c r="AF148" s="774"/>
      <c r="AG148" s="774"/>
      <c r="AH148" s="774"/>
    </row>
    <row r="149" spans="25:34" x14ac:dyDescent="0.2">
      <c r="Y149" s="742" t="s">
        <v>28</v>
      </c>
      <c r="Z149" s="745" t="str">
        <f t="shared" ca="1" si="72"/>
        <v>Manchester CityInter Mailand</v>
      </c>
      <c r="AA149" s="671">
        <f t="shared" ca="1" si="71"/>
        <v>1</v>
      </c>
      <c r="AB149" s="671" t="str">
        <f ca="1">IF(AA77&gt;0,AI77&amp;Sprache!$E$99&amp;AH77,"")</f>
        <v>48 : 39</v>
      </c>
      <c r="AC149" s="773" t="str">
        <f ca="1">IF(AA77&gt;0,AK77&amp;Sprache!$E$99&amp;AJ77,"")</f>
        <v>1 : 1</v>
      </c>
      <c r="AD149" s="747"/>
      <c r="AE149" s="774"/>
      <c r="AF149" s="774"/>
      <c r="AG149" s="774"/>
      <c r="AH149" s="774"/>
    </row>
    <row r="150" spans="25:34" x14ac:dyDescent="0.2">
      <c r="Y150" s="742" t="s">
        <v>29</v>
      </c>
      <c r="Z150" s="745" t="str">
        <f t="shared" ca="1" si="72"/>
        <v>1. FC RiedwaldEintracht Frankfurt</v>
      </c>
      <c r="AA150" s="671">
        <f t="shared" ca="1" si="71"/>
        <v>1</v>
      </c>
      <c r="AB150" s="671" t="str">
        <f ca="1">IF(AA78&gt;0,AI78&amp;Sprache!$E$99&amp;AH78,"")</f>
        <v>42 : 46</v>
      </c>
      <c r="AC150" s="773" t="str">
        <f ca="1">IF(AA78&gt;0,AK78&amp;Sprache!$E$99&amp;AJ78,"")</f>
        <v>1 : 1</v>
      </c>
      <c r="AD150" s="747"/>
      <c r="AE150" s="774"/>
      <c r="AF150" s="774"/>
      <c r="AG150" s="774"/>
      <c r="AH150" s="774"/>
    </row>
    <row r="151" spans="25:34" x14ac:dyDescent="0.2">
      <c r="Y151" s="742" t="s">
        <v>30</v>
      </c>
      <c r="Z151" s="745" t="str">
        <f t="shared" ca="1" si="72"/>
        <v>Mainz 05SSV Wildbach</v>
      </c>
      <c r="AA151" s="671">
        <f t="shared" ca="1" si="71"/>
        <v>1</v>
      </c>
      <c r="AB151" s="671" t="str">
        <f ca="1">IF(AA79&gt;0,AI79&amp;Sprache!$E$99&amp;AH79,"")</f>
        <v>50 : 38</v>
      </c>
      <c r="AC151" s="773" t="str">
        <f ca="1">IF(AA79&gt;0,AK79&amp;Sprache!$E$99&amp;AJ79,"")</f>
        <v>2 : 0</v>
      </c>
      <c r="AD151" s="747"/>
      <c r="AE151" s="774"/>
      <c r="AF151" s="774"/>
      <c r="AG151" s="774"/>
      <c r="AH151" s="774"/>
    </row>
    <row r="152" spans="25:34" x14ac:dyDescent="0.2">
      <c r="Y152" s="742" t="s">
        <v>31</v>
      </c>
      <c r="Z152" s="745" t="str">
        <f t="shared" ca="1" si="72"/>
        <v>VFB EssenheimMaibach 1822 eV</v>
      </c>
      <c r="AA152" s="671">
        <f t="shared" ca="1" si="71"/>
        <v>1</v>
      </c>
      <c r="AB152" s="671" t="str">
        <f ca="1">IF(AA80&gt;0,AI80&amp;Sprache!$E$99&amp;AH80,"")</f>
        <v>40 : 50</v>
      </c>
      <c r="AC152" s="773" t="str">
        <f ca="1">IF(AA80&gt;0,AK80&amp;Sprache!$E$99&amp;AJ80,"")</f>
        <v>0 : 2</v>
      </c>
      <c r="AD152" s="747"/>
      <c r="AE152" s="774"/>
      <c r="AF152" s="774"/>
      <c r="AG152" s="774"/>
      <c r="AH152" s="774"/>
    </row>
    <row r="153" spans="25:34" x14ac:dyDescent="0.2">
      <c r="Y153" s="742" t="s">
        <v>32</v>
      </c>
      <c r="Z153" s="745" t="str">
        <f t="shared" ca="1" si="72"/>
        <v>FC GrönlingenManchester City</v>
      </c>
      <c r="AA153" s="671">
        <f t="shared" ca="1" si="71"/>
        <v>1</v>
      </c>
      <c r="AB153" s="671" t="str">
        <f ca="1">IF(AA81&gt;0,AI81&amp;Sprache!$E$99&amp;AH81,"")</f>
        <v>32 : 50</v>
      </c>
      <c r="AC153" s="773" t="str">
        <f ca="1">IF(AA81&gt;0,AK81&amp;Sprache!$E$99&amp;AJ81,"")</f>
        <v>0 : 2</v>
      </c>
      <c r="AD153" s="747"/>
      <c r="AE153" s="774"/>
      <c r="AF153" s="774"/>
      <c r="AG153" s="774"/>
      <c r="AH153" s="774"/>
    </row>
    <row r="154" spans="25:34" x14ac:dyDescent="0.2">
      <c r="Y154" s="742" t="s">
        <v>33</v>
      </c>
      <c r="Z154" s="745" t="str">
        <f t="shared" ca="1" si="72"/>
        <v>FC Barcelona1. FC Riedwald</v>
      </c>
      <c r="AA154" s="671">
        <f t="shared" ca="1" si="71"/>
        <v>1</v>
      </c>
      <c r="AB154" s="671" t="str">
        <f ca="1">IF(AA82&gt;0,AI82&amp;Sprache!$E$99&amp;AH82,"")</f>
        <v>37 : 50</v>
      </c>
      <c r="AC154" s="773" t="str">
        <f ca="1">IF(AA82&gt;0,AK82&amp;Sprache!$E$99&amp;AJ82,"")</f>
        <v>0 : 2</v>
      </c>
      <c r="AD154" s="747"/>
      <c r="AE154" s="774"/>
      <c r="AF154" s="774"/>
      <c r="AG154" s="774"/>
      <c r="AH154" s="774"/>
    </row>
    <row r="155" spans="25:34" x14ac:dyDescent="0.2">
      <c r="Y155" s="742" t="s">
        <v>34</v>
      </c>
      <c r="Z155" s="745" t="str">
        <f t="shared" ca="1" si="72"/>
        <v>Inter MailandMainz 05</v>
      </c>
      <c r="AA155" s="671">
        <f t="shared" ca="1" si="71"/>
        <v>1</v>
      </c>
      <c r="AB155" s="671" t="str">
        <f ca="1">IF(AA83&gt;0,AI83&amp;Sprache!$E$99&amp;AH83,"")</f>
        <v>24 : 50</v>
      </c>
      <c r="AC155" s="773" t="str">
        <f ca="1">IF(AA83&gt;0,AK83&amp;Sprache!$E$99&amp;AJ83,"")</f>
        <v>0 : 2</v>
      </c>
      <c r="AD155" s="747"/>
      <c r="AE155" s="774"/>
      <c r="AF155" s="774"/>
      <c r="AG155" s="774"/>
      <c r="AH155" s="774"/>
    </row>
    <row r="156" spans="25:34" x14ac:dyDescent="0.2">
      <c r="Y156" s="742" t="s">
        <v>35</v>
      </c>
      <c r="Z156" s="745" t="str">
        <f t="shared" ca="1" si="72"/>
        <v/>
      </c>
      <c r="AA156" s="671">
        <f t="shared" ca="1" si="71"/>
        <v>0</v>
      </c>
      <c r="AB156" s="671" t="str">
        <f ca="1">IF(AA84&gt;0,AI84&amp;Sprache!$E$99&amp;AH84,"")</f>
        <v/>
      </c>
      <c r="AC156" s="773" t="str">
        <f ca="1">IF(AA84&gt;0,AK84&amp;Sprache!$E$99&amp;AJ84,"")</f>
        <v/>
      </c>
      <c r="AD156" s="747"/>
      <c r="AE156" s="774"/>
      <c r="AF156" s="774"/>
      <c r="AG156" s="774"/>
      <c r="AH156" s="774"/>
    </row>
    <row r="157" spans="25:34" x14ac:dyDescent="0.2">
      <c r="Y157" s="742" t="s">
        <v>36</v>
      </c>
      <c r="Z157" s="745" t="str">
        <f t="shared" ca="1" si="72"/>
        <v/>
      </c>
      <c r="AA157" s="671">
        <f t="shared" ca="1" si="71"/>
        <v>0</v>
      </c>
      <c r="AB157" s="671" t="str">
        <f ca="1">IF(AA85&gt;0,AI85&amp;Sprache!$E$99&amp;AH85,"")</f>
        <v/>
      </c>
      <c r="AC157" s="773" t="str">
        <f ca="1">IF(AA85&gt;0,AK85&amp;Sprache!$E$99&amp;AJ85,"")</f>
        <v/>
      </c>
      <c r="AD157" s="747"/>
      <c r="AE157" s="774"/>
      <c r="AF157" s="774"/>
      <c r="AG157" s="774"/>
      <c r="AH157" s="774"/>
    </row>
    <row r="158" spans="25:34" x14ac:dyDescent="0.2">
      <c r="Y158" s="742" t="s">
        <v>37</v>
      </c>
      <c r="Z158" s="745" t="str">
        <f t="shared" ca="1" si="72"/>
        <v/>
      </c>
      <c r="AA158" s="671">
        <f t="shared" ca="1" si="71"/>
        <v>0</v>
      </c>
      <c r="AB158" s="671" t="str">
        <f ca="1">IF(AA86&gt;0,AI86&amp;Sprache!$E$99&amp;AH86,"")</f>
        <v/>
      </c>
      <c r="AC158" s="773" t="str">
        <f ca="1">IF(AA86&gt;0,AK86&amp;Sprache!$E$99&amp;AJ86,"")</f>
        <v/>
      </c>
      <c r="AD158" s="747"/>
      <c r="AE158" s="774"/>
      <c r="AF158" s="774"/>
      <c r="AG158" s="774"/>
      <c r="AH158" s="774"/>
    </row>
    <row r="159" spans="25:34" x14ac:dyDescent="0.2">
      <c r="Y159" s="742" t="s">
        <v>38</v>
      </c>
      <c r="Z159" s="745" t="str">
        <f t="shared" ca="1" si="72"/>
        <v/>
      </c>
      <c r="AA159" s="671">
        <f t="shared" ca="1" si="71"/>
        <v>0</v>
      </c>
      <c r="AB159" s="671" t="str">
        <f ca="1">IF(AA87&gt;0,AI87&amp;Sprache!$E$99&amp;AH87,"")</f>
        <v/>
      </c>
      <c r="AC159" s="773" t="str">
        <f ca="1">IF(AA87&gt;0,AK87&amp;Sprache!$E$99&amp;AJ87,"")</f>
        <v/>
      </c>
      <c r="AD159" s="747"/>
      <c r="AE159" s="774"/>
      <c r="AF159" s="774"/>
      <c r="AG159" s="774"/>
      <c r="AH159" s="774"/>
    </row>
    <row r="160" spans="25:34" x14ac:dyDescent="0.2">
      <c r="Y160" s="742" t="s">
        <v>39</v>
      </c>
      <c r="Z160" s="745" t="str">
        <f t="shared" ca="1" si="72"/>
        <v/>
      </c>
      <c r="AA160" s="671">
        <f t="shared" ca="1" si="71"/>
        <v>0</v>
      </c>
      <c r="AB160" s="671" t="str">
        <f ca="1">IF(AA88&gt;0,AI88&amp;Sprache!$E$99&amp;AH88,"")</f>
        <v/>
      </c>
      <c r="AC160" s="773" t="str">
        <f ca="1">IF(AA88&gt;0,AK88&amp;Sprache!$E$99&amp;AJ88,"")</f>
        <v/>
      </c>
      <c r="AD160" s="747"/>
      <c r="AE160" s="774"/>
      <c r="AF160" s="774"/>
      <c r="AG160" s="774"/>
      <c r="AH160" s="774"/>
    </row>
    <row r="161" spans="25:34" x14ac:dyDescent="0.2">
      <c r="Y161" s="742" t="s">
        <v>40</v>
      </c>
      <c r="Z161" s="745" t="str">
        <f t="shared" ca="1" si="72"/>
        <v/>
      </c>
      <c r="AA161" s="671">
        <f t="shared" ca="1" si="71"/>
        <v>0</v>
      </c>
      <c r="AB161" s="671" t="str">
        <f ca="1">IF(AA89&gt;0,AI89&amp;Sprache!$E$99&amp;AH89,"")</f>
        <v/>
      </c>
      <c r="AC161" s="773" t="str">
        <f ca="1">IF(AA89&gt;0,AK89&amp;Sprache!$E$99&amp;AJ89,"")</f>
        <v/>
      </c>
      <c r="AD161" s="747"/>
      <c r="AE161" s="774"/>
      <c r="AF161" s="774"/>
      <c r="AG161" s="774"/>
      <c r="AH161" s="774"/>
    </row>
    <row r="162" spans="25:34" x14ac:dyDescent="0.2">
      <c r="Y162" s="742" t="s">
        <v>41</v>
      </c>
      <c r="Z162" s="745" t="str">
        <f t="shared" ca="1" si="72"/>
        <v/>
      </c>
      <c r="AA162" s="671">
        <f t="shared" ca="1" si="71"/>
        <v>0</v>
      </c>
      <c r="AB162" s="671" t="str">
        <f ca="1">IF(AA90&gt;0,AI90&amp;Sprache!$E$99&amp;AH90,"")</f>
        <v/>
      </c>
      <c r="AC162" s="773" t="str">
        <f ca="1">IF(AA90&gt;0,AK90&amp;Sprache!$E$99&amp;AJ90,"")</f>
        <v/>
      </c>
      <c r="AD162" s="747"/>
      <c r="AE162" s="774"/>
      <c r="AF162" s="774"/>
      <c r="AG162" s="774"/>
      <c r="AH162" s="774"/>
    </row>
    <row r="163" spans="25:34" x14ac:dyDescent="0.2">
      <c r="Y163" s="742" t="s">
        <v>42</v>
      </c>
      <c r="Z163" s="745" t="str">
        <f t="shared" ca="1" si="72"/>
        <v/>
      </c>
      <c r="AA163" s="671">
        <f t="shared" ca="1" si="71"/>
        <v>0</v>
      </c>
      <c r="AB163" s="671" t="str">
        <f ca="1">IF(AA91&gt;0,AI91&amp;Sprache!$E$99&amp;AH91,"")</f>
        <v/>
      </c>
      <c r="AC163" s="773" t="str">
        <f ca="1">IF(AA91&gt;0,AK91&amp;Sprache!$E$99&amp;AJ91,"")</f>
        <v/>
      </c>
      <c r="AD163" s="747"/>
      <c r="AE163" s="774"/>
      <c r="AF163" s="774"/>
      <c r="AG163" s="774"/>
      <c r="AH163" s="774"/>
    </row>
    <row r="164" spans="25:34" x14ac:dyDescent="0.2">
      <c r="Y164" s="742" t="s">
        <v>43</v>
      </c>
      <c r="Z164" s="745" t="str">
        <f t="shared" ca="1" si="72"/>
        <v/>
      </c>
      <c r="AA164" s="671">
        <f t="shared" ca="1" si="71"/>
        <v>0</v>
      </c>
      <c r="AB164" s="671" t="str">
        <f ca="1">IF(AA92&gt;0,AI92&amp;Sprache!$E$99&amp;AH92,"")</f>
        <v/>
      </c>
      <c r="AC164" s="773" t="str">
        <f ca="1">IF(AA92&gt;0,AK92&amp;Sprache!$E$99&amp;AJ92,"")</f>
        <v/>
      </c>
      <c r="AD164" s="747"/>
      <c r="AE164" s="774"/>
      <c r="AF164" s="774"/>
      <c r="AG164" s="774"/>
      <c r="AH164" s="774"/>
    </row>
    <row r="165" spans="25:34" ht="12.75" thickBot="1" x14ac:dyDescent="0.25">
      <c r="Y165" s="742" t="s">
        <v>44</v>
      </c>
      <c r="Z165" s="745" t="str">
        <f t="shared" ca="1" si="72"/>
        <v/>
      </c>
      <c r="AA165" s="671">
        <f t="shared" ca="1" si="71"/>
        <v>0</v>
      </c>
      <c r="AB165" s="671" t="str">
        <f ca="1">IF(AA93&gt;0,AI93&amp;Sprache!$E$99&amp;AH93,"")</f>
        <v/>
      </c>
      <c r="AC165" s="773" t="str">
        <f ca="1">IF(AA93&gt;0,AK93&amp;Sprache!$E$99&amp;AJ93,"")</f>
        <v/>
      </c>
      <c r="AD165" s="747"/>
      <c r="AE165" s="774"/>
      <c r="AF165" s="774"/>
      <c r="AG165" s="774"/>
      <c r="AH165" s="774"/>
    </row>
    <row r="166" spans="25:34" ht="12.75" thickTop="1" x14ac:dyDescent="0.2">
      <c r="Y166" s="752" t="s">
        <v>45</v>
      </c>
      <c r="Z166" s="756" t="str">
        <f>""</f>
        <v/>
      </c>
      <c r="AA166" s="754">
        <v>0</v>
      </c>
      <c r="AB166" s="754" t="str">
        <f>""</f>
        <v/>
      </c>
      <c r="AC166" s="775" t="str">
        <f>""</f>
        <v/>
      </c>
      <c r="AD166" s="747"/>
      <c r="AE166" s="774"/>
      <c r="AF166" s="774"/>
      <c r="AG166" s="774"/>
      <c r="AH166" s="774"/>
    </row>
    <row r="167" spans="25:34" x14ac:dyDescent="0.2">
      <c r="Y167" s="742" t="s">
        <v>46</v>
      </c>
      <c r="Z167" s="745" t="str">
        <f>""</f>
        <v/>
      </c>
      <c r="AA167" s="671">
        <v>0</v>
      </c>
      <c r="AB167" s="671" t="str">
        <f>""</f>
        <v/>
      </c>
      <c r="AC167" s="773" t="str">
        <f>""</f>
        <v/>
      </c>
      <c r="AD167" s="747"/>
      <c r="AE167" s="774"/>
      <c r="AF167" s="774"/>
      <c r="AG167" s="774"/>
      <c r="AH167" s="774"/>
    </row>
    <row r="168" spans="25:34" x14ac:dyDescent="0.2">
      <c r="Y168" s="742" t="s">
        <v>47</v>
      </c>
      <c r="Z168" s="745" t="str">
        <f>""</f>
        <v/>
      </c>
      <c r="AA168" s="671">
        <v>0</v>
      </c>
      <c r="AB168" s="671" t="str">
        <f>""</f>
        <v/>
      </c>
      <c r="AC168" s="773" t="str">
        <f>""</f>
        <v/>
      </c>
      <c r="AD168" s="747"/>
      <c r="AE168" s="774"/>
      <c r="AF168" s="774"/>
      <c r="AG168" s="774"/>
      <c r="AH168" s="774"/>
    </row>
    <row r="169" spans="25:34" x14ac:dyDescent="0.2">
      <c r="Y169" s="742" t="s">
        <v>48</v>
      </c>
      <c r="Z169" s="745" t="str">
        <f>""</f>
        <v/>
      </c>
      <c r="AA169" s="671">
        <v>0</v>
      </c>
      <c r="AB169" s="671" t="str">
        <f>""</f>
        <v/>
      </c>
      <c r="AC169" s="773" t="str">
        <f>""</f>
        <v/>
      </c>
      <c r="AD169" s="747"/>
      <c r="AE169" s="774"/>
      <c r="AF169" s="774"/>
      <c r="AG169" s="774"/>
      <c r="AH169" s="774"/>
    </row>
    <row r="170" spans="25:34" x14ac:dyDescent="0.2">
      <c r="Y170" s="742" t="s">
        <v>49</v>
      </c>
      <c r="Z170" s="745" t="str">
        <f>""</f>
        <v/>
      </c>
      <c r="AA170" s="671">
        <v>0</v>
      </c>
      <c r="AB170" s="671" t="str">
        <f>""</f>
        <v/>
      </c>
      <c r="AC170" s="773" t="str">
        <f>""</f>
        <v/>
      </c>
      <c r="AD170" s="747"/>
      <c r="AE170" s="774"/>
      <c r="AF170" s="774"/>
      <c r="AG170" s="774"/>
      <c r="AH170" s="774"/>
    </row>
    <row r="171" spans="25:34" x14ac:dyDescent="0.2">
      <c r="Y171" s="742" t="s">
        <v>50</v>
      </c>
      <c r="Z171" s="745" t="str">
        <f>""</f>
        <v/>
      </c>
      <c r="AA171" s="671">
        <v>0</v>
      </c>
      <c r="AB171" s="671" t="str">
        <f>""</f>
        <v/>
      </c>
      <c r="AC171" s="773" t="str">
        <f>""</f>
        <v/>
      </c>
      <c r="AD171" s="747"/>
      <c r="AE171" s="774"/>
      <c r="AF171" s="774"/>
      <c r="AG171" s="774"/>
      <c r="AH171" s="774"/>
    </row>
    <row r="172" spans="25:34" x14ac:dyDescent="0.2">
      <c r="Y172" s="742" t="s">
        <v>58</v>
      </c>
      <c r="Z172" s="745" t="str">
        <f>""</f>
        <v/>
      </c>
      <c r="AA172" s="671">
        <v>0</v>
      </c>
      <c r="AB172" s="671" t="str">
        <f>""</f>
        <v/>
      </c>
      <c r="AC172" s="773" t="str">
        <f>""</f>
        <v/>
      </c>
      <c r="AD172" s="747"/>
      <c r="AE172" s="774"/>
      <c r="AF172" s="774"/>
      <c r="AG172" s="774"/>
      <c r="AH172" s="774"/>
    </row>
    <row r="173" spans="25:34" x14ac:dyDescent="0.2">
      <c r="Y173" s="742" t="s">
        <v>59</v>
      </c>
      <c r="Z173" s="745" t="str">
        <f>""</f>
        <v/>
      </c>
      <c r="AA173" s="671">
        <v>0</v>
      </c>
      <c r="AB173" s="671" t="str">
        <f>""</f>
        <v/>
      </c>
      <c r="AC173" s="773" t="str">
        <f>""</f>
        <v/>
      </c>
      <c r="AD173" s="747"/>
      <c r="AE173" s="774"/>
      <c r="AF173" s="774"/>
      <c r="AG173" s="774"/>
      <c r="AH173" s="774"/>
    </row>
    <row r="174" spans="25:34" x14ac:dyDescent="0.2">
      <c r="Y174" s="742" t="s">
        <v>60</v>
      </c>
      <c r="Z174" s="745" t="str">
        <f>""</f>
        <v/>
      </c>
      <c r="AA174" s="671">
        <v>0</v>
      </c>
      <c r="AB174" s="671" t="str">
        <f>""</f>
        <v/>
      </c>
      <c r="AC174" s="773" t="str">
        <f>""</f>
        <v/>
      </c>
      <c r="AD174" s="747"/>
      <c r="AE174" s="774"/>
      <c r="AF174" s="774"/>
      <c r="AG174" s="774"/>
      <c r="AH174" s="774"/>
    </row>
    <row r="175" spans="25:34" x14ac:dyDescent="0.2">
      <c r="Y175" s="742" t="s">
        <v>61</v>
      </c>
      <c r="Z175" s="745" t="str">
        <f>""</f>
        <v/>
      </c>
      <c r="AA175" s="671">
        <v>0</v>
      </c>
      <c r="AB175" s="671" t="str">
        <f>""</f>
        <v/>
      </c>
      <c r="AC175" s="773" t="str">
        <f>""</f>
        <v/>
      </c>
      <c r="AD175" s="747"/>
      <c r="AE175" s="774"/>
      <c r="AF175" s="774"/>
      <c r="AG175" s="774"/>
      <c r="AH175" s="774"/>
    </row>
    <row r="176" spans="25:34" x14ac:dyDescent="0.2">
      <c r="Y176" s="742" t="s">
        <v>62</v>
      </c>
      <c r="Z176" s="745" t="str">
        <f>""</f>
        <v/>
      </c>
      <c r="AA176" s="671">
        <v>0</v>
      </c>
      <c r="AB176" s="671" t="str">
        <f>""</f>
        <v/>
      </c>
      <c r="AC176" s="773" t="str">
        <f>""</f>
        <v/>
      </c>
      <c r="AD176" s="747"/>
      <c r="AE176" s="774"/>
      <c r="AF176" s="774"/>
      <c r="AG176" s="774"/>
      <c r="AH176" s="774"/>
    </row>
    <row r="177" spans="25:34" x14ac:dyDescent="0.2">
      <c r="Y177" s="742" t="s">
        <v>63</v>
      </c>
      <c r="Z177" s="745" t="str">
        <f>""</f>
        <v/>
      </c>
      <c r="AA177" s="671">
        <v>0</v>
      </c>
      <c r="AB177" s="671" t="str">
        <f>""</f>
        <v/>
      </c>
      <c r="AC177" s="773" t="str">
        <f>""</f>
        <v/>
      </c>
      <c r="AD177" s="747"/>
      <c r="AE177" s="774"/>
      <c r="AF177" s="774"/>
      <c r="AG177" s="774"/>
      <c r="AH177" s="774"/>
    </row>
    <row r="178" spans="25:34" x14ac:dyDescent="0.2">
      <c r="Y178" s="742" t="s">
        <v>64</v>
      </c>
      <c r="Z178" s="745" t="str">
        <f>""</f>
        <v/>
      </c>
      <c r="AA178" s="671">
        <v>0</v>
      </c>
      <c r="AB178" s="671" t="str">
        <f>""</f>
        <v/>
      </c>
      <c r="AC178" s="773" t="str">
        <f>""</f>
        <v/>
      </c>
      <c r="AD178" s="747"/>
      <c r="AE178" s="774"/>
      <c r="AF178" s="774"/>
      <c r="AG178" s="774"/>
      <c r="AH178" s="774"/>
    </row>
    <row r="179" spans="25:34" x14ac:dyDescent="0.2">
      <c r="Y179" s="742" t="s">
        <v>65</v>
      </c>
      <c r="Z179" s="745" t="str">
        <f>""</f>
        <v/>
      </c>
      <c r="AA179" s="671">
        <v>0</v>
      </c>
      <c r="AB179" s="671" t="str">
        <f>""</f>
        <v/>
      </c>
      <c r="AC179" s="773" t="str">
        <f>""</f>
        <v/>
      </c>
      <c r="AD179" s="747"/>
      <c r="AE179" s="774"/>
      <c r="AF179" s="774"/>
      <c r="AG179" s="774"/>
      <c r="AH179" s="774"/>
    </row>
    <row r="180" spans="25:34" x14ac:dyDescent="0.2">
      <c r="Y180" s="742" t="s">
        <v>66</v>
      </c>
      <c r="Z180" s="745" t="str">
        <f>""</f>
        <v/>
      </c>
      <c r="AA180" s="671">
        <v>0</v>
      </c>
      <c r="AB180" s="671" t="str">
        <f>""</f>
        <v/>
      </c>
      <c r="AC180" s="773" t="str">
        <f>""</f>
        <v/>
      </c>
      <c r="AD180" s="747"/>
      <c r="AE180" s="774"/>
      <c r="AF180" s="774"/>
      <c r="AG180" s="774"/>
      <c r="AH180" s="774"/>
    </row>
    <row r="181" spans="25:34" x14ac:dyDescent="0.2">
      <c r="Y181" s="742" t="s">
        <v>67</v>
      </c>
      <c r="Z181" s="745" t="str">
        <f>""</f>
        <v/>
      </c>
      <c r="AA181" s="671">
        <v>0</v>
      </c>
      <c r="AB181" s="671" t="str">
        <f>""</f>
        <v/>
      </c>
      <c r="AC181" s="773" t="str">
        <f>""</f>
        <v/>
      </c>
      <c r="AD181" s="747"/>
      <c r="AE181" s="774"/>
      <c r="AF181" s="774"/>
      <c r="AG181" s="774"/>
      <c r="AH181" s="774"/>
    </row>
    <row r="182" spans="25:34" x14ac:dyDescent="0.2">
      <c r="Y182" s="742" t="s">
        <v>68</v>
      </c>
      <c r="Z182" s="745" t="str">
        <f>""</f>
        <v/>
      </c>
      <c r="AA182" s="671">
        <v>0</v>
      </c>
      <c r="AB182" s="671" t="str">
        <f>""</f>
        <v/>
      </c>
      <c r="AC182" s="773" t="str">
        <f>""</f>
        <v/>
      </c>
      <c r="AD182" s="747"/>
      <c r="AE182" s="774"/>
      <c r="AF182" s="774"/>
      <c r="AG182" s="774"/>
      <c r="AH182" s="774"/>
    </row>
    <row r="183" spans="25:34" x14ac:dyDescent="0.2">
      <c r="Y183" s="742" t="s">
        <v>69</v>
      </c>
      <c r="Z183" s="745" t="str">
        <f>""</f>
        <v/>
      </c>
      <c r="AA183" s="671">
        <v>0</v>
      </c>
      <c r="AB183" s="671" t="str">
        <f>""</f>
        <v/>
      </c>
      <c r="AC183" s="773" t="str">
        <f>""</f>
        <v/>
      </c>
      <c r="AD183" s="747"/>
      <c r="AE183" s="774"/>
      <c r="AF183" s="774"/>
      <c r="AG183" s="774"/>
      <c r="AH183" s="774"/>
    </row>
    <row r="184" spans="25:34" x14ac:dyDescent="0.2">
      <c r="Y184" s="742" t="s">
        <v>70</v>
      </c>
      <c r="Z184" s="745" t="str">
        <f>""</f>
        <v/>
      </c>
      <c r="AA184" s="671">
        <v>0</v>
      </c>
      <c r="AB184" s="671" t="str">
        <f>""</f>
        <v/>
      </c>
      <c r="AC184" s="773" t="str">
        <f>""</f>
        <v/>
      </c>
      <c r="AD184" s="747"/>
      <c r="AE184" s="774"/>
      <c r="AF184" s="774"/>
      <c r="AG184" s="774"/>
      <c r="AH184" s="774"/>
    </row>
    <row r="185" spans="25:34" x14ac:dyDescent="0.2">
      <c r="Y185" s="742" t="s">
        <v>71</v>
      </c>
      <c r="Z185" s="745" t="str">
        <f>""</f>
        <v/>
      </c>
      <c r="AA185" s="671">
        <v>0</v>
      </c>
      <c r="AB185" s="671" t="str">
        <f>""</f>
        <v/>
      </c>
      <c r="AC185" s="773" t="str">
        <f>""</f>
        <v/>
      </c>
      <c r="AD185" s="747"/>
      <c r="AE185" s="774"/>
      <c r="AF185" s="774"/>
      <c r="AG185" s="774"/>
      <c r="AH185" s="774"/>
    </row>
    <row r="186" spans="25:34" x14ac:dyDescent="0.2">
      <c r="Y186" s="742" t="s">
        <v>72</v>
      </c>
      <c r="Z186" s="745" t="str">
        <f>""</f>
        <v/>
      </c>
      <c r="AA186" s="671">
        <v>0</v>
      </c>
      <c r="AB186" s="671" t="str">
        <f>""</f>
        <v/>
      </c>
      <c r="AC186" s="773" t="str">
        <f>""</f>
        <v/>
      </c>
      <c r="AD186" s="747"/>
      <c r="AE186" s="774"/>
      <c r="AF186" s="774"/>
      <c r="AG186" s="774"/>
      <c r="AH186" s="774"/>
    </row>
    <row r="187" spans="25:34" x14ac:dyDescent="0.2">
      <c r="Y187" s="742" t="s">
        <v>73</v>
      </c>
      <c r="Z187" s="745" t="str">
        <f>""</f>
        <v/>
      </c>
      <c r="AA187" s="671">
        <v>0</v>
      </c>
      <c r="AB187" s="671" t="str">
        <f>""</f>
        <v/>
      </c>
      <c r="AC187" s="773" t="str">
        <f>""</f>
        <v/>
      </c>
      <c r="AD187" s="747"/>
      <c r="AE187" s="774"/>
      <c r="AF187" s="774"/>
      <c r="AG187" s="774"/>
      <c r="AH187" s="774"/>
    </row>
    <row r="188" spans="25:34" x14ac:dyDescent="0.2">
      <c r="Y188" s="742" t="s">
        <v>74</v>
      </c>
      <c r="Z188" s="745" t="str">
        <f>""</f>
        <v/>
      </c>
      <c r="AA188" s="671">
        <v>0</v>
      </c>
      <c r="AB188" s="671" t="str">
        <f>""</f>
        <v/>
      </c>
      <c r="AC188" s="773" t="str">
        <f>""</f>
        <v/>
      </c>
      <c r="AD188" s="747"/>
      <c r="AE188" s="774"/>
      <c r="AF188" s="774"/>
      <c r="AG188" s="774"/>
      <c r="AH188" s="774"/>
    </row>
    <row r="189" spans="25:34" x14ac:dyDescent="0.2">
      <c r="Y189" s="742" t="s">
        <v>75</v>
      </c>
      <c r="Z189" s="745" t="str">
        <f>""</f>
        <v/>
      </c>
      <c r="AA189" s="671">
        <v>0</v>
      </c>
      <c r="AB189" s="671" t="str">
        <f>""</f>
        <v/>
      </c>
      <c r="AC189" s="773" t="str">
        <f>""</f>
        <v/>
      </c>
      <c r="AD189" s="747"/>
      <c r="AE189" s="774"/>
      <c r="AF189" s="774"/>
      <c r="AG189" s="774"/>
      <c r="AH189" s="774"/>
    </row>
    <row r="190" spans="25:34" x14ac:dyDescent="0.2">
      <c r="Y190" s="742" t="s">
        <v>76</v>
      </c>
      <c r="Z190" s="745" t="str">
        <f>""</f>
        <v/>
      </c>
      <c r="AA190" s="671">
        <v>0</v>
      </c>
      <c r="AB190" s="671" t="str">
        <f>""</f>
        <v/>
      </c>
      <c r="AC190" s="773" t="str">
        <f>""</f>
        <v/>
      </c>
      <c r="AD190" s="747"/>
      <c r="AE190" s="774"/>
      <c r="AF190" s="774"/>
      <c r="AG190" s="774"/>
      <c r="AH190" s="774"/>
    </row>
    <row r="191" spans="25:34" x14ac:dyDescent="0.2">
      <c r="Y191" s="742" t="s">
        <v>77</v>
      </c>
      <c r="Z191" s="745" t="str">
        <f>""</f>
        <v/>
      </c>
      <c r="AA191" s="671">
        <v>0</v>
      </c>
      <c r="AB191" s="671" t="str">
        <f>""</f>
        <v/>
      </c>
      <c r="AC191" s="773" t="str">
        <f>""</f>
        <v/>
      </c>
      <c r="AD191" s="747"/>
      <c r="AE191" s="774"/>
      <c r="AF191" s="774"/>
      <c r="AG191" s="774"/>
      <c r="AH191" s="774"/>
    </row>
    <row r="192" spans="25:34" x14ac:dyDescent="0.2">
      <c r="Y192" s="742" t="s">
        <v>78</v>
      </c>
      <c r="Z192" s="745" t="str">
        <f>""</f>
        <v/>
      </c>
      <c r="AA192" s="671">
        <v>0</v>
      </c>
      <c r="AB192" s="671" t="str">
        <f>""</f>
        <v/>
      </c>
      <c r="AC192" s="773" t="str">
        <f>""</f>
        <v/>
      </c>
      <c r="AD192" s="747"/>
      <c r="AE192" s="774"/>
      <c r="AF192" s="774"/>
      <c r="AG192" s="774"/>
      <c r="AH192" s="774"/>
    </row>
    <row r="193" spans="25:34" x14ac:dyDescent="0.2">
      <c r="Y193" s="742" t="s">
        <v>79</v>
      </c>
      <c r="Z193" s="745" t="str">
        <f>""</f>
        <v/>
      </c>
      <c r="AA193" s="671">
        <v>0</v>
      </c>
      <c r="AB193" s="671" t="str">
        <f>""</f>
        <v/>
      </c>
      <c r="AC193" s="773" t="str">
        <f>""</f>
        <v/>
      </c>
      <c r="AD193" s="747"/>
      <c r="AE193" s="774"/>
      <c r="AF193" s="774"/>
      <c r="AG193" s="774"/>
      <c r="AH193" s="774"/>
    </row>
    <row r="194" spans="25:34" x14ac:dyDescent="0.2">
      <c r="Y194" s="742" t="s">
        <v>80</v>
      </c>
      <c r="Z194" s="745" t="str">
        <f>""</f>
        <v/>
      </c>
      <c r="AA194" s="671">
        <v>0</v>
      </c>
      <c r="AB194" s="671" t="str">
        <f>""</f>
        <v/>
      </c>
      <c r="AC194" s="773" t="str">
        <f>""</f>
        <v/>
      </c>
      <c r="AD194" s="747"/>
      <c r="AE194" s="774"/>
      <c r="AF194" s="774"/>
      <c r="AG194" s="774"/>
      <c r="AH194" s="774"/>
    </row>
    <row r="195" spans="25:34" ht="12.75" thickBot="1" x14ac:dyDescent="0.25">
      <c r="Y195" s="742" t="s">
        <v>81</v>
      </c>
      <c r="Z195" s="745" t="str">
        <f>""</f>
        <v/>
      </c>
      <c r="AA195" s="671">
        <v>0</v>
      </c>
      <c r="AB195" s="671" t="str">
        <f>""</f>
        <v/>
      </c>
      <c r="AC195" s="773" t="str">
        <f>""</f>
        <v/>
      </c>
      <c r="AD195" s="747"/>
      <c r="AE195" s="774"/>
      <c r="AF195" s="774"/>
      <c r="AG195" s="774"/>
      <c r="AH195" s="774"/>
    </row>
    <row r="196" spans="25:34" ht="12.75" thickTop="1" x14ac:dyDescent="0.2">
      <c r="Y196" s="752" t="s">
        <v>82</v>
      </c>
      <c r="Z196" s="756" t="str">
        <f>""</f>
        <v/>
      </c>
      <c r="AA196" s="754">
        <v>0</v>
      </c>
      <c r="AB196" s="754" t="str">
        <f>""</f>
        <v/>
      </c>
      <c r="AC196" s="775"/>
      <c r="AD196" s="747"/>
      <c r="AE196" s="671"/>
      <c r="AF196" s="671"/>
      <c r="AG196" s="671"/>
      <c r="AH196" s="671"/>
    </row>
    <row r="197" spans="25:34" x14ac:dyDescent="0.2">
      <c r="Y197" s="742" t="s">
        <v>83</v>
      </c>
      <c r="Z197" s="745" t="str">
        <f>""</f>
        <v/>
      </c>
      <c r="AA197" s="671">
        <v>0</v>
      </c>
      <c r="AB197" s="671" t="str">
        <f>""</f>
        <v/>
      </c>
      <c r="AC197" s="776"/>
      <c r="AD197" s="747"/>
      <c r="AE197" s="774"/>
      <c r="AF197" s="774"/>
      <c r="AG197" s="774"/>
      <c r="AH197" s="774"/>
    </row>
    <row r="198" spans="25:34" x14ac:dyDescent="0.2">
      <c r="Y198" s="742" t="s">
        <v>84</v>
      </c>
      <c r="Z198" s="745" t="str">
        <f>""</f>
        <v/>
      </c>
      <c r="AA198" s="671">
        <v>0</v>
      </c>
      <c r="AB198" s="671" t="str">
        <f>""</f>
        <v/>
      </c>
      <c r="AC198" s="776"/>
      <c r="AD198" s="747"/>
      <c r="AE198" s="774"/>
      <c r="AF198" s="774"/>
      <c r="AG198" s="774"/>
      <c r="AH198" s="774"/>
    </row>
    <row r="199" spans="25:34" x14ac:dyDescent="0.2">
      <c r="Y199" s="742" t="s">
        <v>85</v>
      </c>
      <c r="Z199" s="745" t="str">
        <f>""</f>
        <v/>
      </c>
      <c r="AA199" s="671">
        <v>0</v>
      </c>
      <c r="AB199" s="671" t="str">
        <f>""</f>
        <v/>
      </c>
      <c r="AC199" s="776"/>
      <c r="AD199" s="747"/>
      <c r="AE199" s="774"/>
      <c r="AF199" s="774"/>
      <c r="AG199" s="774"/>
      <c r="AH199" s="774"/>
    </row>
    <row r="200" spans="25:34" x14ac:dyDescent="0.2">
      <c r="Y200" s="742" t="s">
        <v>86</v>
      </c>
      <c r="Z200" s="745" t="str">
        <f>""</f>
        <v/>
      </c>
      <c r="AA200" s="671">
        <v>0</v>
      </c>
      <c r="AB200" s="671" t="str">
        <f>""</f>
        <v/>
      </c>
      <c r="AC200" s="776"/>
      <c r="AD200" s="747"/>
      <c r="AE200" s="774"/>
      <c r="AF200" s="774"/>
      <c r="AG200" s="774"/>
      <c r="AH200" s="774"/>
    </row>
    <row r="201" spans="25:34" x14ac:dyDescent="0.2">
      <c r="Y201" s="742" t="s">
        <v>87</v>
      </c>
      <c r="Z201" s="745" t="str">
        <f>""</f>
        <v/>
      </c>
      <c r="AA201" s="671">
        <v>0</v>
      </c>
      <c r="AB201" s="671" t="str">
        <f>""</f>
        <v/>
      </c>
      <c r="AC201" s="776"/>
      <c r="AD201" s="747"/>
      <c r="AE201" s="774"/>
      <c r="AF201" s="774"/>
      <c r="AG201" s="774"/>
      <c r="AH201" s="774"/>
    </row>
    <row r="202" spans="25:34" x14ac:dyDescent="0.2">
      <c r="Y202" s="742" t="s">
        <v>88</v>
      </c>
      <c r="Z202" s="745" t="str">
        <f>""</f>
        <v/>
      </c>
      <c r="AA202" s="671">
        <v>0</v>
      </c>
      <c r="AB202" s="671" t="str">
        <f>""</f>
        <v/>
      </c>
      <c r="AC202" s="776"/>
      <c r="AD202" s="747"/>
      <c r="AE202" s="774"/>
      <c r="AF202" s="774"/>
      <c r="AG202" s="774"/>
      <c r="AH202" s="774"/>
    </row>
    <row r="203" spans="25:34" x14ac:dyDescent="0.2">
      <c r="Y203" s="742" t="s">
        <v>89</v>
      </c>
      <c r="Z203" s="745" t="str">
        <f>""</f>
        <v/>
      </c>
      <c r="AA203" s="671">
        <v>0</v>
      </c>
      <c r="AB203" s="671" t="str">
        <f>""</f>
        <v/>
      </c>
      <c r="AC203" s="776"/>
      <c r="AD203" s="747"/>
      <c r="AE203" s="774"/>
      <c r="AF203" s="774"/>
      <c r="AG203" s="774"/>
      <c r="AH203" s="774"/>
    </row>
    <row r="204" spans="25:34" x14ac:dyDescent="0.2">
      <c r="Y204" s="742" t="s">
        <v>90</v>
      </c>
      <c r="Z204" s="745" t="str">
        <f>""</f>
        <v/>
      </c>
      <c r="AA204" s="671">
        <v>0</v>
      </c>
      <c r="AB204" s="671" t="str">
        <f>""</f>
        <v/>
      </c>
      <c r="AC204" s="776"/>
      <c r="AD204" s="747"/>
      <c r="AE204" s="774"/>
      <c r="AF204" s="774"/>
      <c r="AG204" s="774"/>
      <c r="AH204" s="774"/>
    </row>
    <row r="205" spans="25:34" x14ac:dyDescent="0.2">
      <c r="Y205" s="742" t="s">
        <v>91</v>
      </c>
      <c r="Z205" s="745" t="str">
        <f>""</f>
        <v/>
      </c>
      <c r="AA205" s="671">
        <v>0</v>
      </c>
      <c r="AB205" s="671" t="str">
        <f>""</f>
        <v/>
      </c>
      <c r="AC205" s="776"/>
      <c r="AD205" s="747"/>
      <c r="AE205" s="774"/>
      <c r="AF205" s="774"/>
      <c r="AG205" s="774"/>
      <c r="AH205" s="774"/>
    </row>
    <row r="206" spans="25:34" x14ac:dyDescent="0.2">
      <c r="Y206" s="742" t="s">
        <v>92</v>
      </c>
      <c r="Z206" s="745" t="str">
        <f>""</f>
        <v/>
      </c>
      <c r="AA206" s="671">
        <v>0</v>
      </c>
      <c r="AB206" s="671" t="str">
        <f>""</f>
        <v/>
      </c>
      <c r="AC206" s="776"/>
      <c r="AD206" s="747"/>
      <c r="AE206" s="774"/>
      <c r="AF206" s="774"/>
      <c r="AG206" s="774"/>
      <c r="AH206" s="774"/>
    </row>
    <row r="207" spans="25:34" ht="12.75" thickBot="1" x14ac:dyDescent="0.25">
      <c r="Y207" s="761" t="s">
        <v>93</v>
      </c>
      <c r="Z207" s="777" t="str">
        <f>""</f>
        <v/>
      </c>
      <c r="AA207" s="763">
        <v>0</v>
      </c>
      <c r="AB207" s="765" t="str">
        <f>""</f>
        <v/>
      </c>
      <c r="AC207" s="778"/>
      <c r="AD207" s="747"/>
      <c r="AE207" s="774"/>
      <c r="AF207" s="774"/>
      <c r="AG207" s="774"/>
      <c r="AH207" s="774"/>
    </row>
    <row r="208" spans="25:34" ht="12.75" thickTop="1" x14ac:dyDescent="0.2"/>
  </sheetData>
  <mergeCells count="18">
    <mergeCell ref="AS29:AZ29"/>
    <mergeCell ref="BA29:BH29"/>
    <mergeCell ref="BI29:BP29"/>
    <mergeCell ref="X63:Y63"/>
    <mergeCell ref="AD63:AE63"/>
    <mergeCell ref="AF63:AG63"/>
    <mergeCell ref="AH63:AI63"/>
    <mergeCell ref="AJ63:AK63"/>
    <mergeCell ref="AL63:AM63"/>
    <mergeCell ref="W3:AA3"/>
    <mergeCell ref="AB3:AF3"/>
    <mergeCell ref="AG3:AK3"/>
    <mergeCell ref="AL3:AP3"/>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28515625" style="2" customWidth="1"/>
    <col min="8" max="9" width="6.42578125" style="2" customWidth="1"/>
    <col min="10" max="10" width="8.28515625" style="2" customWidth="1"/>
    <col min="11" max="11" width="7.42578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20" t="s">
        <v>391</v>
      </c>
      <c r="J3" s="676" t="s">
        <v>108</v>
      </c>
      <c r="K3" s="720" t="s">
        <v>101</v>
      </c>
      <c r="L3" s="676" t="s">
        <v>102</v>
      </c>
      <c r="M3" s="676" t="s">
        <v>103</v>
      </c>
      <c r="N3" s="676" t="s">
        <v>104</v>
      </c>
      <c r="O3" s="677">
        <f t="shared" ref="O3:V3" ca="1" si="0">IF(9-COUNTIF(O$17:O$25,"")&gt;1,O$16,99999)</f>
        <v>99999</v>
      </c>
      <c r="P3" s="678">
        <f t="shared" ca="1" si="0"/>
        <v>99999</v>
      </c>
      <c r="Q3" s="678">
        <f t="shared" ca="1" si="0"/>
        <v>99999</v>
      </c>
      <c r="R3" s="678">
        <f t="shared" ca="1" si="0"/>
        <v>99999</v>
      </c>
      <c r="S3" s="678">
        <f t="shared" ca="1" si="0"/>
        <v>99999</v>
      </c>
      <c r="T3" s="678">
        <f t="shared" ca="1" si="0"/>
        <v>99999</v>
      </c>
      <c r="U3" s="678">
        <f t="shared" ca="1" si="0"/>
        <v>99999</v>
      </c>
      <c r="V3" s="678">
        <f t="shared" ca="1" si="0"/>
        <v>99999</v>
      </c>
      <c r="W3" s="1011">
        <f ca="1">IF($O$4&lt;10,$O$4,0)</f>
        <v>0</v>
      </c>
      <c r="X3" s="1012"/>
      <c r="Y3" s="1012"/>
      <c r="Z3" s="1012"/>
      <c r="AA3" s="1012"/>
      <c r="AB3" s="1011">
        <f ca="1">IF($P$4&lt;10,$P$4,0)</f>
        <v>0</v>
      </c>
      <c r="AC3" s="1012"/>
      <c r="AD3" s="1012"/>
      <c r="AE3" s="1012"/>
      <c r="AF3" s="1012"/>
      <c r="AG3" s="1011">
        <f ca="1">IF($Q$4&lt;10,$Q$4,0)</f>
        <v>0</v>
      </c>
      <c r="AH3" s="1012"/>
      <c r="AI3" s="1012"/>
      <c r="AJ3" s="1012"/>
      <c r="AK3" s="1012"/>
      <c r="AL3" s="1011">
        <f ca="1">IF($R$4&lt;10,$R$4,0)</f>
        <v>0</v>
      </c>
      <c r="AM3" s="1012"/>
      <c r="AN3" s="1012"/>
      <c r="AO3" s="1012"/>
      <c r="AP3" s="1012"/>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$Q64</f>
        <v>Mainz 05</v>
      </c>
      <c r="G4" s="672">
        <f ca="1">SUMIFS($AH$64:$AH$135,$V$64:$V$135,$F4)+SUMIFS($AI$64:$AI$135,$W$64:$W$135,$F4)</f>
        <v>178</v>
      </c>
      <c r="H4" s="672">
        <f ca="1">SUMIFS($AI$64:$AI$135,$V$64:$V$135,$F4)+SUMIFS($AH$64:$AH$135,$W$64:$W$135,$F4)</f>
        <v>156</v>
      </c>
      <c r="I4" s="671">
        <f ca="1">IF(Einstellungen!$G$24,G4-H4,IF(H4=0,IF(G4=0,0,Einstellungen!$F$24),G4/H4))</f>
        <v>22</v>
      </c>
      <c r="J4" s="672">
        <f ca="1">$L4*Einstellungen!$C$4+$M4</f>
        <v>5</v>
      </c>
      <c r="K4" s="672">
        <f ca="1">SUMPRODUCT(($V$64:$V$135=F4)*($AJ$64:$AJ$135&lt;&gt;"")*$AA$64:$AA$135)+SUMPRODUCT(($W$64:$W$135=F4)*($AK$64:$AK$135&lt;&gt;"")*$AA$64:$AA$135)</f>
        <v>4</v>
      </c>
      <c r="L4" s="672">
        <f ca="1">SUMPRODUCT(($V$64:$V$135=F4)*($AJ$64:$AJ$135&gt;$AK$64:$AK$135)*$AA$64:$AA$135)+SUMPRODUCT(($W$64:$W$135=F4)*($AJ$64:$AJ$135&lt;$AK$64:$AK$135)*$AA$64:$AA$135)</f>
        <v>2</v>
      </c>
      <c r="M4" s="672">
        <f t="shared" ref="M4:M12" ca="1" si="1">SUMPRODUCT(($V$64:$W$135=F4)*($AJ$64:$AJ$135=$AK$64:$AK$135)*$AA$64:$AA$135)</f>
        <v>1</v>
      </c>
      <c r="N4" s="672">
        <f ca="1">K4-L4-M4</f>
        <v>1</v>
      </c>
      <c r="O4" s="682">
        <f ca="1">SMALL($O$3:$V$3,1)</f>
        <v>99999</v>
      </c>
      <c r="P4" s="682">
        <f ca="1">SMALL($O$3:$V$3,2)</f>
        <v>99999</v>
      </c>
      <c r="Q4" s="682">
        <f ca="1">SMALL($O$3:$V$3,3)</f>
        <v>99999</v>
      </c>
      <c r="R4" s="682">
        <f ca="1">SMALL($O$3:$V$3,4)</f>
        <v>99999</v>
      </c>
      <c r="S4" s="670"/>
      <c r="T4" s="670"/>
      <c r="U4" s="670"/>
      <c r="V4" s="672"/>
      <c r="W4" s="456" t="str">
        <f ca="1">IFERROR(INDEX($O$17:$V$25,ROW(A1),$W$3),"")</f>
        <v/>
      </c>
      <c r="X4" s="457" t="str">
        <f ca="1">INDEX($W$4:$W$12,MATCH(ROW(A1),$AA$4:$AA$12,0))</f>
        <v/>
      </c>
      <c r="Y4" s="458">
        <f ca="1">IF($W4="",99999,VLOOKUP($W4,$C$17:$Z$25,24,0))</f>
        <v>99999</v>
      </c>
      <c r="Z4" s="459">
        <f ca="1">RANK(Y4,Y$4:Y$12,1)+INDEX($E$4:$E$12,MATCH(W4,$F$4:$F$12,0))/100+ROW()/10000</f>
        <v>1.0604</v>
      </c>
      <c r="AA4" s="460">
        <f ca="1">RANK($Z4,$Z$4:$Z$12,1)</f>
        <v>1</v>
      </c>
      <c r="AB4" s="461" t="str">
        <f t="shared" ref="AB4:AB12" ca="1" si="2">IFERROR(INDEX($O$17:$V$25,ROW(A1),$AB$3),"")</f>
        <v/>
      </c>
      <c r="AC4" s="462" t="str">
        <f ca="1">INDEX($AB$4:$AB$12,MATCH(ROW(A1),$AF$4:$AF$12,0))</f>
        <v/>
      </c>
      <c r="AD4" s="463">
        <f ca="1">IF($AB4="",99999,VLOOKUP($AB4,$C$17:$Z$25,24,0))</f>
        <v>99999</v>
      </c>
      <c r="AE4" s="459">
        <f ca="1">RANK(AD4,AD$4:AD$12,1)+INDEX($E$4:$E$12,MATCH(AB4,$F$4:$F$12,0))/100+ROW()/10000</f>
        <v>1.0604</v>
      </c>
      <c r="AF4" s="459">
        <f ca="1">RANK($AE4,$AE$4:$AE$12,1)</f>
        <v>1</v>
      </c>
      <c r="AG4" s="461" t="str">
        <f t="shared" ref="AG4:AG12" ca="1" si="3">IFERROR(INDEX($O$17:$V$25,ROW(C1),$AG$3),"")</f>
        <v/>
      </c>
      <c r="AH4" s="462" t="str">
        <f ca="1">INDEX($AG$4:$AG$12,MATCH(ROW(A1),$AK$4:$AK$12,0))</f>
        <v/>
      </c>
      <c r="AI4" s="463">
        <f ca="1">IF($AG4="",99999,VLOOKUP($AG4,$C$17:$Z$25,24,0))</f>
        <v>99999</v>
      </c>
      <c r="AJ4" s="459">
        <f ca="1">RANK(AI4,AI$4:AI$12,1)+INDEX($E$4:$E$12,MATCH(AG4,$F$4:$F$12,0))/100+ROW()/10000</f>
        <v>1.0604</v>
      </c>
      <c r="AK4" s="464">
        <f ca="1">RANK($AJ4,$AJ$4:$AJ$12,1)</f>
        <v>1</v>
      </c>
      <c r="AL4" s="462" t="str">
        <f t="shared" ref="AL4:AL12" ca="1" si="4">IFERROR(INDEX($O$17:$V$25,ROW(E1),$AL$3),"")</f>
        <v/>
      </c>
      <c r="AM4" s="462" t="str">
        <f ca="1">INDEX($AL$4:$AL$12,MATCH(ROW(A1),$AP$4:$AP$12,0))</f>
        <v/>
      </c>
      <c r="AN4" s="463">
        <f ca="1">IF($AL4="",99999,VLOOKUP($AL4,$C$17:$Z$25,24,0))</f>
        <v>99999</v>
      </c>
      <c r="AO4" s="459">
        <f ca="1">RANK(AN4,AN$4:AN$12,1)+INDEX($E$4:$E$12,MATCH(AL4,$F$4:$F$12,0))/100+ROW()/10000</f>
        <v>1.0604</v>
      </c>
      <c r="AP4" s="464">
        <f ca="1">RANK($AO4,$AO$4:$AO$12,1)</f>
        <v>1</v>
      </c>
      <c r="AQ4" s="670"/>
      <c r="AR4" s="670"/>
      <c r="AS4" s="672">
        <f ca="1">SUMPRODUCT(($V$64:$V$135=F4)*$AK$64:$AK$135)+SUMPRODUCT(($W$64:$W$135=F4)*$AJ$64:$AJ$135)</f>
        <v>3</v>
      </c>
      <c r="AT4" s="672">
        <f ca="1">SUMPRODUCT(($V$64:$V$135=F4)*$AJ$64:$AJ$135)+SUMPRODUCT(($W$64:$W$135=F4)*$AK$64:$AK$135)</f>
        <v>5</v>
      </c>
      <c r="AU4" s="672">
        <f ca="1">AT4-AS4</f>
        <v>2</v>
      </c>
      <c r="AV4" s="672">
        <f ca="1">IF(Einstellungen!$G$24,$I4,ROUND($I4,Einstellungen!$H$24))</f>
        <v>22</v>
      </c>
      <c r="AW4" s="672">
        <f ca="1">I4-(F4="")*10000</f>
        <v>22</v>
      </c>
      <c r="AX4" s="672">
        <f ca="1" xml:space="preserve"> RANK(AW4,$AW$4:$AW$12,1)</f>
        <v>8</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5">RANK(D5,$D$4:$D$12,1)</f>
        <v>5</v>
      </c>
      <c r="D5" s="671">
        <f t="shared" ref="D5:D12" ca="1" si="6">E5+ROW()/1000+(F5="")*10</f>
        <v>5.0049999999999999</v>
      </c>
      <c r="E5" s="681">
        <f t="shared" ref="E5:E12" ca="1" si="7">IF($AI$15,RANK(AH18,AH$17:AH$25,1),RANK(X18,X$17:X$25,1))</f>
        <v>5</v>
      </c>
      <c r="F5" s="672" t="str">
        <f t="shared" ref="F5:F12" si="8">$Q65</f>
        <v>Inter Mailand</v>
      </c>
      <c r="G5" s="672">
        <f t="shared" ref="G5:G12" ca="1" si="9">SUMIFS($AH$64:$AH$135,$V$64:$V$135,$F5)+SUMIFS($AI$64:$AI$135,$W$64:$W$135,$F5)</f>
        <v>152</v>
      </c>
      <c r="H5" s="672">
        <f t="shared" ref="H5:H12" ca="1" si="10">SUMIFS($AI$64:$AI$135,$V$64:$V$135,$F5)+SUMIFS($AH$64:$AH$135,$W$64:$W$135,$F5)</f>
        <v>183</v>
      </c>
      <c r="I5" s="671">
        <f ca="1">IF(Einstellungen!$G$24,G5-H5,IF(H5=0,IF(G5=0,0,Einstellungen!$F$24),G5/H5))</f>
        <v>-31</v>
      </c>
      <c r="J5" s="672">
        <f ca="1">$L5*Einstellungen!$C$4+$M5</f>
        <v>3</v>
      </c>
      <c r="K5" s="672">
        <f t="shared" ref="K5:K12" ca="1" si="11">SUMPRODUCT(($V$64:$V$135=F5)*($AJ$64:$AJ$135&lt;&gt;"")*$AA$64:$AA$135)+SUMPRODUCT(($W$64:$W$135=F5)*($AK$64:$AK$135&lt;&gt;"")*$AA$64:$AA$135)</f>
        <v>4</v>
      </c>
      <c r="L5" s="672">
        <f t="shared" ref="L5:L12" ca="1" si="12">SUMPRODUCT(($V$64:$V$135=F5)*($AJ$64:$AJ$135&gt;$AK$64:$AK$135)*$AA$64:$AA$135)+SUMPRODUCT(($W$64:$W$135=F5)*($AJ$64:$AJ$135&lt;$AK$64:$AK$135)*$AA$64:$AA$135)</f>
        <v>0</v>
      </c>
      <c r="M5" s="672">
        <f t="shared" ca="1" si="1"/>
        <v>3</v>
      </c>
      <c r="N5" s="672">
        <f t="shared" ref="N5:N12" ca="1" si="13">K5-L5-M5</f>
        <v>1</v>
      </c>
      <c r="O5" s="684"/>
      <c r="P5" s="685"/>
      <c r="Q5" s="670"/>
      <c r="R5" s="670"/>
      <c r="S5" s="670"/>
      <c r="T5" s="670"/>
      <c r="U5" s="670"/>
      <c r="V5" s="672"/>
      <c r="W5" s="461" t="str">
        <f t="shared" ref="W5:W12" ca="1" si="14">IFERROR(INDEX($O$17:$V$25,ROW(A2),$W$3),"")</f>
        <v/>
      </c>
      <c r="X5" s="462" t="str">
        <f t="shared" ref="X5:X12" ca="1" si="15">INDEX($W$4:$W$12,MATCH(ROW(A2),$AA$4:$AA$12,0))</f>
        <v/>
      </c>
      <c r="Y5" s="459">
        <f t="shared" ref="Y5:Y12" ca="1" si="16">IF($W5="",99999,VLOOKUP($W5,$C$17:$Z$25,24,0))</f>
        <v>99999</v>
      </c>
      <c r="Z5" s="459">
        <f ca="1">RANK(Y5,Y$4:Y$12,1)+INDEX($E$4:$E$12,MATCH(W5,$F$4:$F$12,0))/100+ROW()/10000</f>
        <v>1.0605</v>
      </c>
      <c r="AA5" s="464">
        <f t="shared" ref="AA5:AA12" ca="1" si="17">RANK($Z5,$Z$4:$Z$12,1)</f>
        <v>2</v>
      </c>
      <c r="AB5" s="461" t="str">
        <f t="shared" ca="1" si="2"/>
        <v/>
      </c>
      <c r="AC5" s="462" t="str">
        <f t="shared" ref="AC5:AC12" ca="1" si="18">INDEX($AB$4:$AB$12,MATCH(ROW(A2),$AF$4:$AF$12,0))</f>
        <v/>
      </c>
      <c r="AD5" s="463">
        <f t="shared" ref="AD5:AD12" ca="1" si="19">IF($AB5="",99999,VLOOKUP($AB5,$C$17:$Z$25,24,0))</f>
        <v>99999</v>
      </c>
      <c r="AE5" s="459">
        <f ca="1">RANK(AD5,AD$4:AD$12,1)+INDEX($E$4:$E$12,MATCH(AB5,$F$4:$F$12,0))/100+ROW()/10000</f>
        <v>1.0605</v>
      </c>
      <c r="AF5" s="459">
        <f t="shared" ref="AF5:AF12" ca="1" si="20">RANK($AE5,$AE$4:$AE$12,1)</f>
        <v>2</v>
      </c>
      <c r="AG5" s="461" t="str">
        <f t="shared" ca="1" si="3"/>
        <v/>
      </c>
      <c r="AH5" s="462" t="str">
        <f t="shared" ref="AH5:AH12" ca="1" si="21">INDEX($AG$4:$AG$12,MATCH(ROW(A2),$AK$4:$AK$12,0))</f>
        <v/>
      </c>
      <c r="AI5" s="463">
        <f t="shared" ref="AI5:AI12" ca="1" si="22">IF($AG5="",99999,VLOOKUP($AG5,$C$17:$Z$25,24,0))</f>
        <v>99999</v>
      </c>
      <c r="AJ5" s="459">
        <f ca="1">RANK(AI5,AI$4:AI$12,1)+INDEX($E$4:$E$12,MATCH(AG5,$F$4:$F$12,0))/100+ROW()/10000</f>
        <v>1.0605</v>
      </c>
      <c r="AK5" s="464">
        <f t="shared" ref="AK5:AK12" ca="1" si="23">RANK($AJ5,$AJ$4:$AJ$12,1)</f>
        <v>2</v>
      </c>
      <c r="AL5" s="462" t="str">
        <f t="shared" ca="1" si="4"/>
        <v/>
      </c>
      <c r="AM5" s="462" t="str">
        <f t="shared" ref="AM5:AM12" ca="1" si="24">INDEX($AL$4:$AL$12,MATCH(ROW(A2),$AP$4:$AP$12,0))</f>
        <v/>
      </c>
      <c r="AN5" s="463">
        <f t="shared" ref="AN5:AN12" ca="1" si="25">IF($AL5="",99999,VLOOKUP($AL5,$C$17:$Z$25,24,0))</f>
        <v>99999</v>
      </c>
      <c r="AO5" s="459">
        <f ca="1">RANK(AN5,AN$4:AN$12,1)+INDEX($E$4:$E$12,MATCH(AL5,$F$4:$F$12,0))/100+ROW()/10000</f>
        <v>1.0605</v>
      </c>
      <c r="AP5" s="464">
        <f t="shared" ref="AP5:AP12" ca="1" si="26">RANK($AO5,$AO$4:$AO$12,1)</f>
        <v>2</v>
      </c>
      <c r="AQ5" s="670"/>
      <c r="AR5" s="670"/>
      <c r="AS5" s="672">
        <f t="shared" ref="AS5:AS12" ca="1" si="27">SUMPRODUCT(($V$64:$V$135=F5)*$AK$64:$AK$135)+SUMPRODUCT(($W$64:$W$135=F5)*$AJ$64:$AJ$135)</f>
        <v>5</v>
      </c>
      <c r="AT5" s="672">
        <f t="shared" ref="AT5:AT12" ca="1" si="28">SUMPRODUCT(($V$64:$V$135=F5)*$AJ$64:$AJ$135)+SUMPRODUCT(($W$64:$W$135=F5)*$AK$64:$AK$135)</f>
        <v>3</v>
      </c>
      <c r="AU5" s="672">
        <f t="shared" ref="AU5:AU12" ca="1" si="29">AT5-AS5</f>
        <v>-2</v>
      </c>
      <c r="AV5" s="672">
        <f ca="1">IF(Einstellungen!$G$24,$I5,ROUND($I5,Einstellungen!$H$24))</f>
        <v>-31</v>
      </c>
      <c r="AW5" s="672">
        <f t="shared" ref="AW5:AW12" ca="1" si="30">I5-(F5="")*10000</f>
        <v>-31</v>
      </c>
      <c r="AX5" s="672">
        <f t="shared" ref="AX5:AX12" ca="1" si="31" xml:space="preserve"> RANK(AW5,$AW$4:$AW$12,1)</f>
        <v>5</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5"/>
        <v>4</v>
      </c>
      <c r="D6" s="671">
        <f t="shared" ca="1" si="6"/>
        <v>4.0060000000000002</v>
      </c>
      <c r="E6" s="681">
        <f t="shared" ca="1" si="7"/>
        <v>4</v>
      </c>
      <c r="F6" s="672" t="str">
        <f t="shared" si="8"/>
        <v>SSV Wildbach</v>
      </c>
      <c r="G6" s="672">
        <f t="shared" ca="1" si="9"/>
        <v>169</v>
      </c>
      <c r="H6" s="672">
        <f t="shared" ca="1" si="10"/>
        <v>180</v>
      </c>
      <c r="I6" s="671">
        <f ca="1">IF(Einstellungen!$G$24,G6-H6,IF(H6=0,IF(G6=0,0,Einstellungen!$F$24),G6/H6))</f>
        <v>-11</v>
      </c>
      <c r="J6" s="672">
        <f ca="1">$L6*Einstellungen!$C$4+$M6</f>
        <v>4</v>
      </c>
      <c r="K6" s="672">
        <f t="shared" ca="1" si="11"/>
        <v>4</v>
      </c>
      <c r="L6" s="672">
        <f t="shared" ca="1" si="12"/>
        <v>1</v>
      </c>
      <c r="M6" s="672">
        <f t="shared" ca="1" si="1"/>
        <v>2</v>
      </c>
      <c r="N6" s="672">
        <f t="shared" ca="1" si="13"/>
        <v>1</v>
      </c>
      <c r="O6" s="684"/>
      <c r="P6" s="685"/>
      <c r="Q6" s="670"/>
      <c r="R6" s="670"/>
      <c r="S6" s="670"/>
      <c r="T6" s="670"/>
      <c r="U6" s="670"/>
      <c r="V6" s="672"/>
      <c r="W6" s="461" t="str">
        <f t="shared" ca="1" si="14"/>
        <v/>
      </c>
      <c r="X6" s="462" t="str">
        <f t="shared" ca="1" si="15"/>
        <v/>
      </c>
      <c r="Y6" s="459">
        <f t="shared" ca="1" si="16"/>
        <v>99999</v>
      </c>
      <c r="Z6" s="459">
        <f ca="1">RANK(Y6,Y$4:Y$12,1)+INDEX($E$4:$E$12,MATCH(W6,$F$4:$F$12,0))/100+ROW()/10000</f>
        <v>1.0606</v>
      </c>
      <c r="AA6" s="464">
        <f t="shared" ca="1" si="17"/>
        <v>3</v>
      </c>
      <c r="AB6" s="461" t="str">
        <f t="shared" ca="1" si="2"/>
        <v/>
      </c>
      <c r="AC6" s="462" t="str">
        <f t="shared" ca="1" si="18"/>
        <v/>
      </c>
      <c r="AD6" s="463">
        <f t="shared" ca="1" si="19"/>
        <v>99999</v>
      </c>
      <c r="AE6" s="459">
        <f ca="1">RANK(AD6,AD$4:AD$12,1)+INDEX($E$4:$E$12,MATCH(AB6,$F$4:$F$12,0))/100+ROW()/10000</f>
        <v>1.0606</v>
      </c>
      <c r="AF6" s="459">
        <f t="shared" ca="1" si="20"/>
        <v>3</v>
      </c>
      <c r="AG6" s="461" t="str">
        <f t="shared" ca="1" si="3"/>
        <v/>
      </c>
      <c r="AH6" s="462" t="str">
        <f t="shared" ca="1" si="21"/>
        <v/>
      </c>
      <c r="AI6" s="463">
        <f t="shared" ca="1" si="22"/>
        <v>99999</v>
      </c>
      <c r="AJ6" s="459">
        <f ca="1">RANK(AI6,AI$4:AI$12,1)+INDEX($E$4:$E$12,MATCH(AG6,$F$4:$F$12,0))/100+ROW()/10000</f>
        <v>1.0606</v>
      </c>
      <c r="AK6" s="464">
        <f t="shared" ca="1" si="23"/>
        <v>3</v>
      </c>
      <c r="AL6" s="462" t="str">
        <f t="shared" ca="1" si="4"/>
        <v/>
      </c>
      <c r="AM6" s="462" t="str">
        <f t="shared" ca="1" si="24"/>
        <v/>
      </c>
      <c r="AN6" s="463">
        <f t="shared" ca="1" si="25"/>
        <v>99999</v>
      </c>
      <c r="AO6" s="459">
        <f ca="1">RANK(AN6,AN$4:AN$12,1)+INDEX($E$4:$E$12,MATCH(AL6,$F$4:$F$12,0))/100+ROW()/10000</f>
        <v>1.0606</v>
      </c>
      <c r="AP6" s="464">
        <f t="shared" ca="1" si="26"/>
        <v>3</v>
      </c>
      <c r="AQ6" s="670"/>
      <c r="AR6" s="670"/>
      <c r="AS6" s="672">
        <f t="shared" ca="1" si="27"/>
        <v>4</v>
      </c>
      <c r="AT6" s="672">
        <f t="shared" ca="1" si="28"/>
        <v>4</v>
      </c>
      <c r="AU6" s="672">
        <f t="shared" ca="1" si="29"/>
        <v>0</v>
      </c>
      <c r="AV6" s="672">
        <f ca="1">IF(Einstellungen!$G$24,$I6,ROUND($I6,Einstellungen!$H$24))</f>
        <v>-11</v>
      </c>
      <c r="AW6" s="672">
        <f t="shared" ca="1" si="30"/>
        <v>-11</v>
      </c>
      <c r="AX6" s="672">
        <f t="shared" ca="1" si="31"/>
        <v>6</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5"/>
        <v>2</v>
      </c>
      <c r="D7" s="671">
        <f t="shared" ca="1" si="6"/>
        <v>2.0070000000000001</v>
      </c>
      <c r="E7" s="681">
        <f t="shared" ca="1" si="7"/>
        <v>2</v>
      </c>
      <c r="F7" s="672" t="str">
        <f t="shared" si="8"/>
        <v>Manchester City</v>
      </c>
      <c r="G7" s="672">
        <f t="shared" ca="1" si="9"/>
        <v>184</v>
      </c>
      <c r="H7" s="672">
        <f t="shared" ca="1" si="10"/>
        <v>160</v>
      </c>
      <c r="I7" s="671">
        <f ca="1">IF(Einstellungen!$G$24,G7-H7,IF(H7=0,IF(G7=0,0,Einstellungen!$F$24),G7/H7))</f>
        <v>24</v>
      </c>
      <c r="J7" s="672">
        <f ca="1">$L7*Einstellungen!$C$4+$M7</f>
        <v>4</v>
      </c>
      <c r="K7" s="672">
        <f t="shared" ca="1" si="11"/>
        <v>4</v>
      </c>
      <c r="L7" s="672">
        <f t="shared" ca="1" si="12"/>
        <v>1</v>
      </c>
      <c r="M7" s="672">
        <f t="shared" ca="1" si="1"/>
        <v>2</v>
      </c>
      <c r="N7" s="672">
        <f t="shared" ca="1" si="13"/>
        <v>1</v>
      </c>
      <c r="O7" s="684"/>
      <c r="P7" s="685"/>
      <c r="Q7" s="670"/>
      <c r="R7" s="670"/>
      <c r="S7" s="670"/>
      <c r="T7" s="670"/>
      <c r="U7" s="670"/>
      <c r="V7" s="672"/>
      <c r="W7" s="461" t="str">
        <f t="shared" ca="1" si="14"/>
        <v/>
      </c>
      <c r="X7" s="462" t="str">
        <f t="shared" ca="1" si="15"/>
        <v/>
      </c>
      <c r="Y7" s="459">
        <f t="shared" ca="1" si="16"/>
        <v>99999</v>
      </c>
      <c r="Z7" s="459">
        <f ca="1">RANK(Y7,Y$4:Y$12,1)+INDEX($E$4:$E$12,MATCH(W7,$F$4:$F$12,0))/100+ROW()/10000</f>
        <v>1.0607</v>
      </c>
      <c r="AA7" s="464">
        <f t="shared" ca="1" si="17"/>
        <v>4</v>
      </c>
      <c r="AB7" s="461" t="str">
        <f t="shared" ca="1" si="2"/>
        <v/>
      </c>
      <c r="AC7" s="462" t="str">
        <f t="shared" ca="1" si="18"/>
        <v/>
      </c>
      <c r="AD7" s="463">
        <f t="shared" ca="1" si="19"/>
        <v>99999</v>
      </c>
      <c r="AE7" s="459">
        <f ca="1">RANK(AD7,AD$4:AD$12,1)+INDEX($E$4:$E$12,MATCH(AB7,$F$4:$F$12,0))/100+ROW()/10000</f>
        <v>1.0607</v>
      </c>
      <c r="AF7" s="459">
        <f t="shared" ca="1" si="20"/>
        <v>4</v>
      </c>
      <c r="AG7" s="461" t="str">
        <f t="shared" ca="1" si="3"/>
        <v/>
      </c>
      <c r="AH7" s="462" t="str">
        <f t="shared" ca="1" si="21"/>
        <v/>
      </c>
      <c r="AI7" s="463">
        <f t="shared" ca="1" si="22"/>
        <v>99999</v>
      </c>
      <c r="AJ7" s="459">
        <f ca="1">RANK(AI7,AI$4:AI$12,1)+INDEX($E$4:$E$12,MATCH(AG7,$F$4:$F$12,0))/100+ROW()/10000</f>
        <v>1.0607</v>
      </c>
      <c r="AK7" s="464">
        <f t="shared" ca="1" si="23"/>
        <v>4</v>
      </c>
      <c r="AL7" s="462" t="str">
        <f t="shared" ca="1" si="4"/>
        <v/>
      </c>
      <c r="AM7" s="462" t="str">
        <f t="shared" ca="1" si="24"/>
        <v/>
      </c>
      <c r="AN7" s="463">
        <f t="shared" ca="1" si="25"/>
        <v>99999</v>
      </c>
      <c r="AO7" s="459">
        <f ca="1">RANK(AN7,AN$4:AN$12,1)+INDEX($E$4:$E$12,MATCH(AL7,$F$4:$F$12,0))/100+ROW()/10000</f>
        <v>1.0607</v>
      </c>
      <c r="AP7" s="464">
        <f t="shared" ca="1" si="26"/>
        <v>4</v>
      </c>
      <c r="AQ7" s="670"/>
      <c r="AR7" s="670"/>
      <c r="AS7" s="672">
        <f t="shared" ca="1" si="27"/>
        <v>4</v>
      </c>
      <c r="AT7" s="672">
        <f t="shared" ca="1" si="28"/>
        <v>4</v>
      </c>
      <c r="AU7" s="672">
        <f t="shared" ca="1" si="29"/>
        <v>0</v>
      </c>
      <c r="AV7" s="672">
        <f ca="1">IF(Einstellungen!$G$24,$I7,ROUND($I7,Einstellungen!$H$24))</f>
        <v>24</v>
      </c>
      <c r="AW7" s="672">
        <f t="shared" ca="1" si="30"/>
        <v>24</v>
      </c>
      <c r="AX7" s="672">
        <f t="shared" ca="1" si="31"/>
        <v>9</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5"/>
        <v>3</v>
      </c>
      <c r="D8" s="671">
        <f t="shared" ca="1" si="6"/>
        <v>3.008</v>
      </c>
      <c r="E8" s="681">
        <f t="shared" ca="1" si="7"/>
        <v>3</v>
      </c>
      <c r="F8" s="672" t="str">
        <f t="shared" si="8"/>
        <v>FC Grönlingen</v>
      </c>
      <c r="G8" s="672">
        <f t="shared" ca="1" si="9"/>
        <v>174</v>
      </c>
      <c r="H8" s="672">
        <f t="shared" ca="1" si="10"/>
        <v>178</v>
      </c>
      <c r="I8" s="671">
        <f ca="1">IF(Einstellungen!$G$24,G8-H8,IF(H8=0,IF(G8=0,0,Einstellungen!$F$24),G8/H8))</f>
        <v>-4</v>
      </c>
      <c r="J8" s="672">
        <f ca="1">$L8*Einstellungen!$C$4+$M8</f>
        <v>4</v>
      </c>
      <c r="K8" s="672">
        <f t="shared" ca="1" si="11"/>
        <v>4</v>
      </c>
      <c r="L8" s="672">
        <f t="shared" ca="1" si="12"/>
        <v>1</v>
      </c>
      <c r="M8" s="672">
        <f t="shared" ca="1" si="1"/>
        <v>2</v>
      </c>
      <c r="N8" s="672">
        <f t="shared" ca="1" si="13"/>
        <v>1</v>
      </c>
      <c r="O8" s="670"/>
      <c r="P8" s="685"/>
      <c r="Q8" s="670"/>
      <c r="R8" s="670"/>
      <c r="S8" s="670"/>
      <c r="T8" s="670"/>
      <c r="U8" s="670"/>
      <c r="V8" s="670"/>
      <c r="W8" s="461" t="str">
        <f t="shared" ca="1" si="14"/>
        <v/>
      </c>
      <c r="X8" s="462" t="str">
        <f t="shared" ca="1" si="15"/>
        <v/>
      </c>
      <c r="Y8" s="459">
        <f t="shared" ca="1" si="16"/>
        <v>99999</v>
      </c>
      <c r="Z8" s="459">
        <f t="shared" ref="Z8:Z12" ca="1" si="32">RANK(Y8,Y$4:Y$12,1)+INDEX($E$4:$E$12,MATCH(W8,$F$4:$F$12,0))/100+ROW()/10000</f>
        <v>1.0608</v>
      </c>
      <c r="AA8" s="464">
        <f t="shared" ca="1" si="17"/>
        <v>5</v>
      </c>
      <c r="AB8" s="461" t="str">
        <f t="shared" ca="1" si="2"/>
        <v/>
      </c>
      <c r="AC8" s="462" t="str">
        <f t="shared" ca="1" si="18"/>
        <v/>
      </c>
      <c r="AD8" s="463">
        <f t="shared" ca="1" si="19"/>
        <v>99999</v>
      </c>
      <c r="AE8" s="459">
        <f t="shared" ref="AE8:AE12" ca="1" si="33">RANK(AD8,AD$4:AD$12,1)+INDEX($E$4:$E$12,MATCH(AB8,$F$4:$F$12,0))/100+ROW()/10000</f>
        <v>1.0608</v>
      </c>
      <c r="AF8" s="459">
        <f t="shared" ca="1" si="20"/>
        <v>5</v>
      </c>
      <c r="AG8" s="461" t="str">
        <f t="shared" ca="1" si="3"/>
        <v/>
      </c>
      <c r="AH8" s="462" t="str">
        <f t="shared" ca="1" si="21"/>
        <v/>
      </c>
      <c r="AI8" s="463">
        <f t="shared" ca="1" si="22"/>
        <v>99999</v>
      </c>
      <c r="AJ8" s="459">
        <f t="shared" ref="AJ8:AJ12" ca="1" si="34">RANK(AI8,AI$4:AI$12,1)+INDEX($E$4:$E$12,MATCH(AG8,$F$4:$F$12,0))/100+ROW()/10000</f>
        <v>1.0608</v>
      </c>
      <c r="AK8" s="464">
        <f t="shared" ca="1" si="23"/>
        <v>5</v>
      </c>
      <c r="AL8" s="462" t="str">
        <f t="shared" ca="1" si="4"/>
        <v/>
      </c>
      <c r="AM8" s="462" t="str">
        <f t="shared" ca="1" si="24"/>
        <v/>
      </c>
      <c r="AN8" s="463">
        <f t="shared" ca="1" si="25"/>
        <v>99999</v>
      </c>
      <c r="AO8" s="459">
        <f t="shared" ref="AO8:AO12" ca="1" si="35">RANK(AN8,AN$4:AN$12,1)+INDEX($E$4:$E$12,MATCH(AL8,$F$4:$F$12,0))/100+ROW()/10000</f>
        <v>1.0608</v>
      </c>
      <c r="AP8" s="464">
        <f t="shared" ca="1" si="26"/>
        <v>5</v>
      </c>
      <c r="AQ8" s="670"/>
      <c r="AR8" s="670"/>
      <c r="AS8" s="672">
        <f t="shared" ca="1" si="27"/>
        <v>4</v>
      </c>
      <c r="AT8" s="672">
        <f t="shared" ca="1" si="28"/>
        <v>4</v>
      </c>
      <c r="AU8" s="672">
        <f t="shared" ca="1" si="29"/>
        <v>0</v>
      </c>
      <c r="AV8" s="672">
        <f ca="1">IF(Einstellungen!$G$24,$I8,ROUND($I8,Einstellungen!$H$24))</f>
        <v>-4</v>
      </c>
      <c r="AW8" s="672">
        <f t="shared" ca="1" si="30"/>
        <v>-4</v>
      </c>
      <c r="AX8" s="672">
        <f t="shared" ca="1" si="31"/>
        <v>7</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5"/>
        <v>6</v>
      </c>
      <c r="D9" s="671">
        <f t="shared" ca="1" si="6"/>
        <v>16.009</v>
      </c>
      <c r="E9" s="681">
        <f t="shared" ca="1" si="7"/>
        <v>6</v>
      </c>
      <c r="F9" s="672" t="str">
        <f t="shared" si="8"/>
        <v/>
      </c>
      <c r="G9" s="672">
        <f t="shared" ca="1" si="9"/>
        <v>0</v>
      </c>
      <c r="H9" s="672">
        <f t="shared" ca="1" si="10"/>
        <v>0</v>
      </c>
      <c r="I9" s="671">
        <f ca="1">IF(Einstellungen!$G$24,G9-H9,IF(H9=0,IF(G9=0,0,Einstellungen!$F$24),G9/H9))</f>
        <v>0</v>
      </c>
      <c r="J9" s="672">
        <f ca="1">$L9*Einstellungen!$C$4+$M9</f>
        <v>0</v>
      </c>
      <c r="K9" s="672">
        <f t="shared" ca="1" si="11"/>
        <v>0</v>
      </c>
      <c r="L9" s="672">
        <f t="shared" ca="1" si="12"/>
        <v>0</v>
      </c>
      <c r="M9" s="672">
        <f t="shared" ca="1" si="1"/>
        <v>0</v>
      </c>
      <c r="N9" s="672">
        <f t="shared" ca="1" si="13"/>
        <v>0</v>
      </c>
      <c r="O9" s="670"/>
      <c r="P9" s="685"/>
      <c r="Q9" s="670"/>
      <c r="R9" s="670"/>
      <c r="S9" s="670"/>
      <c r="T9" s="670"/>
      <c r="U9" s="670"/>
      <c r="V9" s="670"/>
      <c r="W9" s="461" t="str">
        <f t="shared" ca="1" si="14"/>
        <v/>
      </c>
      <c r="X9" s="462" t="str">
        <f t="shared" ca="1" si="15"/>
        <v/>
      </c>
      <c r="Y9" s="459">
        <f t="shared" ca="1" si="16"/>
        <v>99999</v>
      </c>
      <c r="Z9" s="459">
        <f t="shared" ca="1" si="32"/>
        <v>1.0609</v>
      </c>
      <c r="AA9" s="464">
        <f t="shared" ca="1" si="17"/>
        <v>6</v>
      </c>
      <c r="AB9" s="461" t="str">
        <f t="shared" ca="1" si="2"/>
        <v/>
      </c>
      <c r="AC9" s="462" t="str">
        <f t="shared" ca="1" si="18"/>
        <v/>
      </c>
      <c r="AD9" s="463">
        <f t="shared" ca="1" si="19"/>
        <v>99999</v>
      </c>
      <c r="AE9" s="459">
        <f t="shared" ca="1" si="33"/>
        <v>1.0609</v>
      </c>
      <c r="AF9" s="459">
        <f t="shared" ca="1" si="20"/>
        <v>6</v>
      </c>
      <c r="AG9" s="461" t="str">
        <f t="shared" ca="1" si="3"/>
        <v/>
      </c>
      <c r="AH9" s="462" t="str">
        <f t="shared" ca="1" si="21"/>
        <v/>
      </c>
      <c r="AI9" s="463">
        <f t="shared" ca="1" si="22"/>
        <v>99999</v>
      </c>
      <c r="AJ9" s="459">
        <f t="shared" ca="1" si="34"/>
        <v>1.0609</v>
      </c>
      <c r="AK9" s="464">
        <f t="shared" ca="1" si="23"/>
        <v>6</v>
      </c>
      <c r="AL9" s="462" t="str">
        <f t="shared" ca="1" si="4"/>
        <v/>
      </c>
      <c r="AM9" s="462" t="str">
        <f t="shared" ca="1" si="24"/>
        <v/>
      </c>
      <c r="AN9" s="463">
        <f t="shared" ca="1" si="25"/>
        <v>99999</v>
      </c>
      <c r="AO9" s="459">
        <f t="shared" ca="1" si="35"/>
        <v>1.0609</v>
      </c>
      <c r="AP9" s="464">
        <f t="shared" ca="1" si="26"/>
        <v>6</v>
      </c>
      <c r="AQ9" s="670"/>
      <c r="AR9" s="670"/>
      <c r="AS9" s="672">
        <f t="shared" ca="1" si="27"/>
        <v>0</v>
      </c>
      <c r="AT9" s="672">
        <f t="shared" ca="1" si="28"/>
        <v>0</v>
      </c>
      <c r="AU9" s="672">
        <f t="shared" ca="1" si="29"/>
        <v>0</v>
      </c>
      <c r="AV9" s="672">
        <f ca="1">IF(Einstellungen!$G$24,$I9,ROUND($I9,Einstellungen!$H$24))</f>
        <v>0</v>
      </c>
      <c r="AW9" s="672">
        <f t="shared" ca="1" si="30"/>
        <v>-10000</v>
      </c>
      <c r="AX9" s="672">
        <f t="shared" ca="1" si="31"/>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5"/>
        <v>7</v>
      </c>
      <c r="D10" s="671">
        <f t="shared" ca="1" si="6"/>
        <v>16.009999999999998</v>
      </c>
      <c r="E10" s="681">
        <f t="shared" ca="1" si="7"/>
        <v>6</v>
      </c>
      <c r="F10" s="672" t="str">
        <f t="shared" si="8"/>
        <v/>
      </c>
      <c r="G10" s="672">
        <f t="shared" ca="1" si="9"/>
        <v>0</v>
      </c>
      <c r="H10" s="672">
        <f t="shared" ca="1" si="10"/>
        <v>0</v>
      </c>
      <c r="I10" s="671">
        <f ca="1">IF(Einstellungen!$G$24,G10-H10,IF(H10=0,IF(G10=0,0,Einstellungen!$F$24),G10/H10))</f>
        <v>0</v>
      </c>
      <c r="J10" s="672">
        <f ca="1">$L10*Einstellungen!$C$4+$M10</f>
        <v>0</v>
      </c>
      <c r="K10" s="672">
        <f t="shared" ca="1" si="11"/>
        <v>0</v>
      </c>
      <c r="L10" s="672">
        <f t="shared" ca="1" si="12"/>
        <v>0</v>
      </c>
      <c r="M10" s="672">
        <f t="shared" ca="1" si="1"/>
        <v>0</v>
      </c>
      <c r="N10" s="672">
        <f t="shared" ca="1" si="13"/>
        <v>0</v>
      </c>
      <c r="O10" s="670"/>
      <c r="P10" s="685"/>
      <c r="Q10" s="670"/>
      <c r="R10" s="670"/>
      <c r="S10" s="670"/>
      <c r="T10" s="670"/>
      <c r="U10" s="670"/>
      <c r="V10" s="670"/>
      <c r="W10" s="461" t="str">
        <f t="shared" ca="1" si="14"/>
        <v/>
      </c>
      <c r="X10" s="462" t="str">
        <f t="shared" ca="1" si="15"/>
        <v/>
      </c>
      <c r="Y10" s="459">
        <f t="shared" ca="1" si="16"/>
        <v>99999</v>
      </c>
      <c r="Z10" s="459">
        <f t="shared" ca="1" si="32"/>
        <v>1.0609999999999999</v>
      </c>
      <c r="AA10" s="464">
        <f t="shared" ca="1" si="17"/>
        <v>7</v>
      </c>
      <c r="AB10" s="461" t="str">
        <f t="shared" ca="1" si="2"/>
        <v/>
      </c>
      <c r="AC10" s="462" t="str">
        <f t="shared" ca="1" si="18"/>
        <v/>
      </c>
      <c r="AD10" s="463">
        <f t="shared" ca="1" si="19"/>
        <v>99999</v>
      </c>
      <c r="AE10" s="459">
        <f t="shared" ca="1" si="33"/>
        <v>1.0609999999999999</v>
      </c>
      <c r="AF10" s="459">
        <f t="shared" ca="1" si="20"/>
        <v>7</v>
      </c>
      <c r="AG10" s="461" t="str">
        <f t="shared" ca="1" si="3"/>
        <v/>
      </c>
      <c r="AH10" s="462" t="str">
        <f t="shared" ca="1" si="21"/>
        <v/>
      </c>
      <c r="AI10" s="463">
        <f t="shared" ca="1" si="22"/>
        <v>99999</v>
      </c>
      <c r="AJ10" s="459">
        <f t="shared" ca="1" si="34"/>
        <v>1.0609999999999999</v>
      </c>
      <c r="AK10" s="464">
        <f t="shared" ca="1" si="23"/>
        <v>7</v>
      </c>
      <c r="AL10" s="462" t="str">
        <f t="shared" ca="1" si="4"/>
        <v/>
      </c>
      <c r="AM10" s="462" t="str">
        <f t="shared" ca="1" si="24"/>
        <v/>
      </c>
      <c r="AN10" s="463">
        <f t="shared" ca="1" si="25"/>
        <v>99999</v>
      </c>
      <c r="AO10" s="459">
        <f t="shared" ca="1" si="35"/>
        <v>1.0609999999999999</v>
      </c>
      <c r="AP10" s="464">
        <f t="shared" ca="1" si="26"/>
        <v>7</v>
      </c>
      <c r="AQ10" s="670"/>
      <c r="AR10" s="670"/>
      <c r="AS10" s="672">
        <f t="shared" ca="1" si="27"/>
        <v>0</v>
      </c>
      <c r="AT10" s="672">
        <f t="shared" ca="1" si="28"/>
        <v>0</v>
      </c>
      <c r="AU10" s="672">
        <f t="shared" ca="1" si="29"/>
        <v>0</v>
      </c>
      <c r="AV10" s="672">
        <f ca="1">IF(Einstellungen!$G$24,$I10,ROUND($I10,Einstellungen!$H$24))</f>
        <v>0</v>
      </c>
      <c r="AW10" s="672">
        <f t="shared" ca="1" si="30"/>
        <v>-10000</v>
      </c>
      <c r="AX10" s="672">
        <f t="shared" ca="1" si="31"/>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5"/>
        <v>8</v>
      </c>
      <c r="D11" s="671">
        <f t="shared" ca="1" si="6"/>
        <v>16.010999999999999</v>
      </c>
      <c r="E11" s="681">
        <f t="shared" ca="1" si="7"/>
        <v>6</v>
      </c>
      <c r="F11" s="672" t="str">
        <f t="shared" si="8"/>
        <v/>
      </c>
      <c r="G11" s="672">
        <f t="shared" ca="1" si="9"/>
        <v>0</v>
      </c>
      <c r="H11" s="672">
        <f t="shared" ca="1" si="10"/>
        <v>0</v>
      </c>
      <c r="I11" s="671">
        <f ca="1">IF(Einstellungen!$G$24,G11-H11,IF(H11=0,IF(G11=0,0,Einstellungen!$F$24),G11/H11))</f>
        <v>0</v>
      </c>
      <c r="J11" s="672">
        <f ca="1">$L11*Einstellungen!$C$4+$M11</f>
        <v>0</v>
      </c>
      <c r="K11" s="672">
        <f t="shared" ca="1" si="11"/>
        <v>0</v>
      </c>
      <c r="L11" s="672">
        <f t="shared" ca="1" si="12"/>
        <v>0</v>
      </c>
      <c r="M11" s="672">
        <f t="shared" ca="1" si="1"/>
        <v>0</v>
      </c>
      <c r="N11" s="672">
        <f t="shared" ca="1" si="13"/>
        <v>0</v>
      </c>
      <c r="O11" s="671"/>
      <c r="P11" s="671"/>
      <c r="Q11" s="671"/>
      <c r="R11" s="671"/>
      <c r="S11" s="671"/>
      <c r="T11" s="671"/>
      <c r="U11" s="671"/>
      <c r="V11" s="671"/>
      <c r="W11" s="461" t="str">
        <f t="shared" ca="1" si="14"/>
        <v/>
      </c>
      <c r="X11" s="462" t="str">
        <f t="shared" ca="1" si="15"/>
        <v/>
      </c>
      <c r="Y11" s="459">
        <f t="shared" ca="1" si="16"/>
        <v>99999</v>
      </c>
      <c r="Z11" s="459">
        <f t="shared" ca="1" si="32"/>
        <v>1.0611000000000002</v>
      </c>
      <c r="AA11" s="464">
        <f t="shared" ca="1" si="17"/>
        <v>8</v>
      </c>
      <c r="AB11" s="461" t="str">
        <f t="shared" ca="1" si="2"/>
        <v/>
      </c>
      <c r="AC11" s="462" t="str">
        <f t="shared" ca="1" si="18"/>
        <v/>
      </c>
      <c r="AD11" s="463">
        <f t="shared" ca="1" si="19"/>
        <v>99999</v>
      </c>
      <c r="AE11" s="459">
        <f t="shared" ca="1" si="33"/>
        <v>1.0611000000000002</v>
      </c>
      <c r="AF11" s="459">
        <f t="shared" ca="1" si="20"/>
        <v>8</v>
      </c>
      <c r="AG11" s="461" t="str">
        <f t="shared" ca="1" si="3"/>
        <v/>
      </c>
      <c r="AH11" s="462" t="str">
        <f t="shared" ca="1" si="21"/>
        <v/>
      </c>
      <c r="AI11" s="463">
        <f t="shared" ca="1" si="22"/>
        <v>99999</v>
      </c>
      <c r="AJ11" s="459">
        <f t="shared" ca="1" si="34"/>
        <v>1.0611000000000002</v>
      </c>
      <c r="AK11" s="464">
        <f t="shared" ca="1" si="23"/>
        <v>8</v>
      </c>
      <c r="AL11" s="462" t="str">
        <f t="shared" ca="1" si="4"/>
        <v/>
      </c>
      <c r="AM11" s="462" t="str">
        <f t="shared" ca="1" si="24"/>
        <v/>
      </c>
      <c r="AN11" s="463">
        <f t="shared" ca="1" si="25"/>
        <v>99999</v>
      </c>
      <c r="AO11" s="459">
        <f t="shared" ca="1" si="35"/>
        <v>1.0611000000000002</v>
      </c>
      <c r="AP11" s="464">
        <f t="shared" ca="1" si="26"/>
        <v>8</v>
      </c>
      <c r="AQ11" s="670"/>
      <c r="AR11" s="670"/>
      <c r="AS11" s="672">
        <f t="shared" ca="1" si="27"/>
        <v>0</v>
      </c>
      <c r="AT11" s="672">
        <f t="shared" ca="1" si="28"/>
        <v>0</v>
      </c>
      <c r="AU11" s="672">
        <f t="shared" ca="1" si="29"/>
        <v>0</v>
      </c>
      <c r="AV11" s="672">
        <f ca="1">IF(Einstellungen!$G$24,$I11,ROUND($I11,Einstellungen!$H$24))</f>
        <v>0</v>
      </c>
      <c r="AW11" s="672">
        <f t="shared" ca="1" si="30"/>
        <v>-10000</v>
      </c>
      <c r="AX11" s="672">
        <f t="shared" ca="1" si="31"/>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5"/>
        <v>9</v>
      </c>
      <c r="D12" s="671">
        <f t="shared" ca="1" si="6"/>
        <v>16.012</v>
      </c>
      <c r="E12" s="681">
        <f t="shared" ca="1" si="7"/>
        <v>6</v>
      </c>
      <c r="F12" s="672" t="str">
        <f t="shared" si="8"/>
        <v/>
      </c>
      <c r="G12" s="672">
        <f t="shared" ca="1" si="9"/>
        <v>0</v>
      </c>
      <c r="H12" s="672">
        <f t="shared" ca="1" si="10"/>
        <v>0</v>
      </c>
      <c r="I12" s="671">
        <f ca="1">IF(Einstellungen!$G$24,G12-H12,IF(H12=0,IF(G12=0,0,Einstellungen!$F$24),G12/H12))</f>
        <v>0</v>
      </c>
      <c r="J12" s="672">
        <f ca="1">$L12*Einstellungen!$C$4+$M12</f>
        <v>0</v>
      </c>
      <c r="K12" s="687">
        <f t="shared" ca="1" si="11"/>
        <v>0</v>
      </c>
      <c r="L12" s="672">
        <f t="shared" ca="1" si="12"/>
        <v>0</v>
      </c>
      <c r="M12" s="672">
        <f t="shared" ca="1" si="1"/>
        <v>0</v>
      </c>
      <c r="N12" s="672">
        <f t="shared" ca="1" si="13"/>
        <v>0</v>
      </c>
      <c r="O12" s="672"/>
      <c r="P12" s="672"/>
      <c r="Q12" s="672"/>
      <c r="R12" s="672"/>
      <c r="S12" s="672"/>
      <c r="T12" s="672"/>
      <c r="U12" s="672"/>
      <c r="V12" s="672"/>
      <c r="W12" s="465" t="str">
        <f t="shared" ca="1" si="14"/>
        <v/>
      </c>
      <c r="X12" s="466" t="str">
        <f t="shared" ca="1" si="15"/>
        <v/>
      </c>
      <c r="Y12" s="467">
        <f t="shared" ca="1" si="16"/>
        <v>99999</v>
      </c>
      <c r="Z12" s="467">
        <f t="shared" ca="1" si="32"/>
        <v>1.0612000000000001</v>
      </c>
      <c r="AA12" s="468">
        <f t="shared" ca="1" si="17"/>
        <v>9</v>
      </c>
      <c r="AB12" s="465" t="str">
        <f t="shared" ca="1" si="2"/>
        <v/>
      </c>
      <c r="AC12" s="466" t="str">
        <f t="shared" ca="1" si="18"/>
        <v/>
      </c>
      <c r="AD12" s="469">
        <f t="shared" ca="1" si="19"/>
        <v>99999</v>
      </c>
      <c r="AE12" s="467">
        <f t="shared" ca="1" si="33"/>
        <v>1.0612000000000001</v>
      </c>
      <c r="AF12" s="467">
        <f t="shared" ca="1" si="20"/>
        <v>9</v>
      </c>
      <c r="AG12" s="465" t="str">
        <f t="shared" ca="1" si="3"/>
        <v/>
      </c>
      <c r="AH12" s="466" t="str">
        <f t="shared" ca="1" si="21"/>
        <v/>
      </c>
      <c r="AI12" s="469">
        <f t="shared" ca="1" si="22"/>
        <v>99999</v>
      </c>
      <c r="AJ12" s="467">
        <f t="shared" ca="1" si="34"/>
        <v>1.0612000000000001</v>
      </c>
      <c r="AK12" s="468">
        <f t="shared" ca="1" si="23"/>
        <v>9</v>
      </c>
      <c r="AL12" s="466" t="str">
        <f t="shared" ca="1" si="4"/>
        <v/>
      </c>
      <c r="AM12" s="466" t="str">
        <f t="shared" ca="1" si="24"/>
        <v/>
      </c>
      <c r="AN12" s="469">
        <f t="shared" ca="1" si="25"/>
        <v>99999</v>
      </c>
      <c r="AO12" s="467">
        <f t="shared" ca="1" si="35"/>
        <v>1.0612000000000001</v>
      </c>
      <c r="AP12" s="468">
        <f t="shared" ca="1" si="26"/>
        <v>9</v>
      </c>
      <c r="AQ12" s="670"/>
      <c r="AR12" s="670"/>
      <c r="AS12" s="672">
        <f t="shared" ca="1" si="27"/>
        <v>0</v>
      </c>
      <c r="AT12" s="672">
        <f t="shared" ca="1" si="28"/>
        <v>0</v>
      </c>
      <c r="AU12" s="672">
        <f t="shared" ca="1" si="29"/>
        <v>0</v>
      </c>
      <c r="AV12" s="672">
        <f ca="1">IF(Einstellungen!$G$24,$I12,ROUND($I12,Einstellungen!$H$24))</f>
        <v>0</v>
      </c>
      <c r="AW12" s="672">
        <f t="shared" ca="1" si="30"/>
        <v>-10000</v>
      </c>
      <c r="AX12" s="672">
        <f t="shared" ca="1" si="31"/>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$F$13*($F$13-1)</f>
        <v>20</v>
      </c>
      <c r="C13" s="671"/>
      <c r="D13" s="671"/>
      <c r="E13" s="671"/>
      <c r="F13" s="671">
        <f>9-COUNTBLANK($F$4:$F$12)</f>
        <v>5</v>
      </c>
      <c r="G13" s="671"/>
      <c r="H13" s="671"/>
      <c r="I13" s="671"/>
      <c r="J13" s="671"/>
      <c r="K13" s="676">
        <f ca="1">QUOTIENT(SUM(K4:K12),2)</f>
        <v>10</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c r="C14" s="670"/>
      <c r="D14" s="672"/>
      <c r="E14" s="670"/>
      <c r="F14" s="688"/>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20" t="s">
        <v>96</v>
      </c>
      <c r="D16" s="720" t="s">
        <v>101</v>
      </c>
      <c r="E16" s="720" t="s">
        <v>102</v>
      </c>
      <c r="F16" s="720" t="s">
        <v>103</v>
      </c>
      <c r="G16" s="720" t="s">
        <v>104</v>
      </c>
      <c r="H16" s="720" t="s">
        <v>105</v>
      </c>
      <c r="I16" s="720" t="s">
        <v>106</v>
      </c>
      <c r="J16" s="720" t="s">
        <v>107</v>
      </c>
      <c r="K16" s="720"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$Q64</f>
        <v>Mainz 05</v>
      </c>
      <c r="D17" s="672">
        <f t="shared" ref="D17:G25" ca="1" si="36">K4</f>
        <v>4</v>
      </c>
      <c r="E17" s="672">
        <f t="shared" ca="1" si="36"/>
        <v>2</v>
      </c>
      <c r="F17" s="672">
        <f t="shared" ca="1" si="36"/>
        <v>1</v>
      </c>
      <c r="G17" s="672">
        <f t="shared" ca="1" si="36"/>
        <v>1</v>
      </c>
      <c r="H17" s="672">
        <f t="shared" ref="H17:J25" ca="1" si="37">G4</f>
        <v>178</v>
      </c>
      <c r="I17" s="672">
        <f t="shared" ca="1" si="37"/>
        <v>156</v>
      </c>
      <c r="J17" s="671">
        <f t="shared" ca="1" si="37"/>
        <v>22</v>
      </c>
      <c r="K17" s="672">
        <f ca="1">IF(Einstellungen!$G$9,J4,$AT4)</f>
        <v>5</v>
      </c>
      <c r="L17" s="696">
        <f ca="1">K17*$F$64+(AU4+$H$65)*$F$65*Einstellungen!$G$14+AT4*$F$66*Einstellungen!$G$19+AX4*$F$67</f>
        <v>5000000.0080000004</v>
      </c>
      <c r="M17" s="688">
        <f ca="1">IF($AI$15,COUNTIF($K$17:$K$25,K17),COUNTIF($L$17:$L$25,L17))</f>
        <v>1</v>
      </c>
      <c r="N17" s="688">
        <f t="array" aca="1" ref="N17" ca="1">IF($AI$15,SUM(($K$17:$K$25&gt;=K17)/COUNTIF($K$17:$K$25,$K$17:$K$25)),SUM(($L$17:$L$25&gt;=L17)/COUNTIF($L$17:$L$25,$L$17:$L$25)))</f>
        <v>1</v>
      </c>
      <c r="O17" s="697" t="str">
        <f t="shared" ref="O17:O25" ca="1" si="38">IF(AND(M17&gt;1,N17=1),C17,"")</f>
        <v/>
      </c>
      <c r="P17" s="698" t="str">
        <f t="shared" ref="P17:P25" ca="1" si="39">IF(AND(M17&gt;1,N17=2),C17,"")</f>
        <v/>
      </c>
      <c r="Q17" s="698" t="str">
        <f t="shared" ref="Q17:Q25" ca="1" si="40">IF(AND(M17&gt;1,N17=3),C17,"")</f>
        <v/>
      </c>
      <c r="R17" s="698" t="str">
        <f t="shared" ref="R17:R25" ca="1" si="41">IF(AND(M17&gt;1,N17=4),C17,"")</f>
        <v/>
      </c>
      <c r="S17" s="698" t="str">
        <f t="shared" ref="S17:S25" ca="1" si="42">IF(AND(M17&gt;1,N17=5),C17,"")</f>
        <v/>
      </c>
      <c r="T17" s="698" t="str">
        <f t="shared" ref="T17:T25" ca="1" si="43">IF(AND($M17&gt;1,$N17=6),$C17,"")</f>
        <v/>
      </c>
      <c r="U17" s="698" t="str">
        <f t="shared" ref="U17:U25" ca="1" si="44">IF(AND($M17&gt;1,$N17=7),$C17,"")</f>
        <v/>
      </c>
      <c r="V17" s="699" t="str">
        <f t="shared" ref="V17:V25" ca="1" si="45">IF(AND($M17&gt;1,$N17=8),$C17,"")</f>
        <v/>
      </c>
      <c r="W17" s="700">
        <f ca="1">AA17*$F$64+(AB17+$H$65)*$F$65</f>
        <v>500000</v>
      </c>
      <c r="X17" s="680">
        <f ca="1">RANK($L17,$L$17:$L$25)+RANK($W17,$W$17:$W$25)/100+(9-$Y17)/10000+($C17="")*100</f>
        <v>1.0108999999999999</v>
      </c>
      <c r="Y17" s="671">
        <f>Vorrunde!$AX22+$AD17</f>
        <v>0</v>
      </c>
      <c r="Z17" s="672">
        <f ca="1">RANK($W17,$W$17:$W$25)+(9-$Y17)/10</f>
        <v>1.9</v>
      </c>
      <c r="AA17" s="672">
        <f ca="1">SUM(E30:BP30)</f>
        <v>0</v>
      </c>
      <c r="AB17" s="672">
        <f ca="1">SUM(E41:BP41)</f>
        <v>0</v>
      </c>
      <c r="AC17" s="672">
        <f ca="1">SUM(E52:BP52)</f>
        <v>0</v>
      </c>
      <c r="AD17" s="671">
        <f>IF($C17="",0,COUNTIF(Playoffs!$U$12:$U$17,$C17))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si="46">$Q65</f>
        <v>Inter Mailand</v>
      </c>
      <c r="D18" s="672">
        <f t="shared" ca="1" si="36"/>
        <v>4</v>
      </c>
      <c r="E18" s="672">
        <f t="shared" ca="1" si="36"/>
        <v>0</v>
      </c>
      <c r="F18" s="672">
        <f t="shared" ca="1" si="36"/>
        <v>3</v>
      </c>
      <c r="G18" s="672">
        <f t="shared" ca="1" si="36"/>
        <v>1</v>
      </c>
      <c r="H18" s="672">
        <f t="shared" ca="1" si="37"/>
        <v>152</v>
      </c>
      <c r="I18" s="672">
        <f t="shared" ca="1" si="37"/>
        <v>183</v>
      </c>
      <c r="J18" s="671">
        <f t="shared" ca="1" si="37"/>
        <v>-31</v>
      </c>
      <c r="K18" s="672">
        <f ca="1">IF(Einstellungen!$G$9,J5,$AT5)</f>
        <v>3</v>
      </c>
      <c r="L18" s="696">
        <f ca="1">K18*$F$64+(AU5+$H$65)*$F$65*Einstellungen!$G$14+AT5*$F$66*Einstellungen!$G$19+AX5*$F$67</f>
        <v>3000000.0049999999</v>
      </c>
      <c r="M18" s="688">
        <f t="shared" ref="M18:M25" ca="1" si="47">IF($AI$15,COUNTIF($K$17:$K$25,K18),COUNTIF($L$17:$L$25,L18))</f>
        <v>1</v>
      </c>
      <c r="N18" s="688">
        <f t="array" aca="1" ref="N18" ca="1">IF($AI$15,SUM(($K$17:$K$25&gt;=K18)/COUNTIF($K$17:$K$25,$K$17:$K$25)),SUM(($L$17:$L$25&gt;=L18)/COUNTIF($L$17:$L$25,$L$17:$L$25)))</f>
        <v>5</v>
      </c>
      <c r="O18" s="702" t="str">
        <f t="shared" ca="1" si="38"/>
        <v/>
      </c>
      <c r="P18" s="691" t="str">
        <f t="shared" ca="1" si="39"/>
        <v/>
      </c>
      <c r="Q18" s="691" t="str">
        <f t="shared" ca="1" si="40"/>
        <v/>
      </c>
      <c r="R18" s="691" t="str">
        <f t="shared" ca="1" si="41"/>
        <v/>
      </c>
      <c r="S18" s="691" t="str">
        <f t="shared" ca="1" si="42"/>
        <v/>
      </c>
      <c r="T18" s="691" t="str">
        <f t="shared" ca="1" si="43"/>
        <v/>
      </c>
      <c r="U18" s="691" t="str">
        <f t="shared" ca="1" si="44"/>
        <v/>
      </c>
      <c r="V18" s="703" t="str">
        <f t="shared" ca="1" si="45"/>
        <v/>
      </c>
      <c r="W18" s="700">
        <f t="shared" ref="W18:W25" ca="1" si="48">AA18*$F$64+(AB18+$H$65)*$F$65</f>
        <v>500000</v>
      </c>
      <c r="X18" s="683">
        <f t="shared" ref="X18:X25" ca="1" si="49">RANK($L18,$L$17:$L$25)+RANK($W18,$W$17:$W$25)/100+(9-$Y18)/10000+($C18="")*100</f>
        <v>5.0108999999999995</v>
      </c>
      <c r="Y18" s="671">
        <f>Vorrunde!$AX23+$AD18</f>
        <v>0</v>
      </c>
      <c r="Z18" s="672">
        <f t="shared" ref="Z18:Z25" ca="1" si="50">RANK($W18,$W$17:$W$25)+(9-$Y18)/10</f>
        <v>1.9</v>
      </c>
      <c r="AA18" s="672">
        <f t="shared" ref="AA18:AA25" ca="1" si="51">SUM(E31:BP31)</f>
        <v>0</v>
      </c>
      <c r="AB18" s="672">
        <f t="shared" ref="AB18:AB25" ca="1" si="52">SUM(E42:BP42)</f>
        <v>0</v>
      </c>
      <c r="AC18" s="672">
        <f t="shared" ref="AC18:AC25" ca="1" si="53">SUM(E53:BP53)</f>
        <v>0</v>
      </c>
      <c r="AD18" s="671">
        <f>IF($C18="",0,COUNTIF(Playoffs!$U$12:$U$17,$C18))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si="46"/>
        <v>SSV Wildbach</v>
      </c>
      <c r="D19" s="672">
        <f t="shared" ca="1" si="36"/>
        <v>4</v>
      </c>
      <c r="E19" s="672">
        <f t="shared" ca="1" si="36"/>
        <v>1</v>
      </c>
      <c r="F19" s="672">
        <f t="shared" ca="1" si="36"/>
        <v>2</v>
      </c>
      <c r="G19" s="672">
        <f t="shared" ca="1" si="36"/>
        <v>1</v>
      </c>
      <c r="H19" s="672">
        <f t="shared" ca="1" si="37"/>
        <v>169</v>
      </c>
      <c r="I19" s="672">
        <f t="shared" ca="1" si="37"/>
        <v>180</v>
      </c>
      <c r="J19" s="671">
        <f t="shared" ca="1" si="37"/>
        <v>-11</v>
      </c>
      <c r="K19" s="672">
        <f ca="1">IF(Einstellungen!$G$9,J6,$AT6)</f>
        <v>4</v>
      </c>
      <c r="L19" s="696">
        <f ca="1">K19*$F$64+(AU6+$H$65)*$F$65*Einstellungen!$G$14+AT6*$F$66*Einstellungen!$G$19+AX6*$F$67</f>
        <v>4000000.0060000001</v>
      </c>
      <c r="M19" s="688">
        <f t="shared" ca="1" si="47"/>
        <v>1</v>
      </c>
      <c r="N19" s="688">
        <f t="array" aca="1" ref="N19" ca="1">IF($AI$15,SUM(($K$17:$K$25&gt;=K19)/COUNTIF($K$17:$K$25,$K$17:$K$25)),SUM(($L$17:$L$25&gt;=L19)/COUNTIF($L$17:$L$25,$L$17:$L$25)))</f>
        <v>4</v>
      </c>
      <c r="O19" s="702" t="str">
        <f t="shared" ca="1" si="38"/>
        <v/>
      </c>
      <c r="P19" s="691" t="str">
        <f t="shared" ca="1" si="39"/>
        <v/>
      </c>
      <c r="Q19" s="691" t="str">
        <f t="shared" ca="1" si="40"/>
        <v/>
      </c>
      <c r="R19" s="691" t="str">
        <f t="shared" ca="1" si="41"/>
        <v/>
      </c>
      <c r="S19" s="691" t="str">
        <f t="shared" ca="1" si="42"/>
        <v/>
      </c>
      <c r="T19" s="691" t="str">
        <f t="shared" ca="1" si="43"/>
        <v/>
      </c>
      <c r="U19" s="691" t="str">
        <f t="shared" ca="1" si="44"/>
        <v/>
      </c>
      <c r="V19" s="703" t="str">
        <f t="shared" ca="1" si="45"/>
        <v/>
      </c>
      <c r="W19" s="700">
        <f t="shared" ca="1" si="48"/>
        <v>500000</v>
      </c>
      <c r="X19" s="683">
        <f t="shared" ca="1" si="49"/>
        <v>4.0108999999999995</v>
      </c>
      <c r="Y19" s="671">
        <f>Vorrunde!$AX24+$AD19</f>
        <v>0</v>
      </c>
      <c r="Z19" s="672">
        <f t="shared" ca="1" si="50"/>
        <v>1.9</v>
      </c>
      <c r="AA19" s="672">
        <f t="shared" ca="1" si="51"/>
        <v>0</v>
      </c>
      <c r="AB19" s="672">
        <f t="shared" ca="1" si="52"/>
        <v>0</v>
      </c>
      <c r="AC19" s="672">
        <f t="shared" ca="1" si="53"/>
        <v>0</v>
      </c>
      <c r="AD19" s="671">
        <f>IF($C19="",0,COUNTIF(Playoffs!$U$12:$U$17,$C19))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si="46"/>
        <v>Manchester City</v>
      </c>
      <c r="D20" s="672">
        <f t="shared" ca="1" si="36"/>
        <v>4</v>
      </c>
      <c r="E20" s="672">
        <f t="shared" ca="1" si="36"/>
        <v>1</v>
      </c>
      <c r="F20" s="672">
        <f t="shared" ca="1" si="36"/>
        <v>2</v>
      </c>
      <c r="G20" s="672">
        <f t="shared" ca="1" si="36"/>
        <v>1</v>
      </c>
      <c r="H20" s="672">
        <f t="shared" ca="1" si="37"/>
        <v>184</v>
      </c>
      <c r="I20" s="672">
        <f t="shared" ca="1" si="37"/>
        <v>160</v>
      </c>
      <c r="J20" s="671">
        <f t="shared" ca="1" si="37"/>
        <v>24</v>
      </c>
      <c r="K20" s="672">
        <f ca="1">IF(Einstellungen!$G$9,J7,$AT7)</f>
        <v>4</v>
      </c>
      <c r="L20" s="696">
        <f ca="1">K20*$F$64+(AU7+$H$65)*$F$65*Einstellungen!$G$14+AT7*$F$66*Einstellungen!$G$19+AX7*$F$67</f>
        <v>4000000.0090000001</v>
      </c>
      <c r="M20" s="688">
        <f t="shared" ca="1" si="47"/>
        <v>1</v>
      </c>
      <c r="N20" s="688">
        <f t="array" aca="1" ref="N20" ca="1">IF($AI$15,SUM(($K$17:$K$25&gt;=K20)/COUNTIF($K$17:$K$25,$K$17:$K$25)),SUM(($L$17:$L$25&gt;=L20)/COUNTIF($L$17:$L$25,$L$17:$L$25)))</f>
        <v>2</v>
      </c>
      <c r="O20" s="702" t="str">
        <f t="shared" ca="1" si="38"/>
        <v/>
      </c>
      <c r="P20" s="691" t="str">
        <f t="shared" ca="1" si="39"/>
        <v/>
      </c>
      <c r="Q20" s="691" t="str">
        <f t="shared" ca="1" si="40"/>
        <v/>
      </c>
      <c r="R20" s="691" t="str">
        <f t="shared" ca="1" si="41"/>
        <v/>
      </c>
      <c r="S20" s="691" t="str">
        <f t="shared" ca="1" si="42"/>
        <v/>
      </c>
      <c r="T20" s="691" t="str">
        <f t="shared" ca="1" si="43"/>
        <v/>
      </c>
      <c r="U20" s="691" t="str">
        <f t="shared" ca="1" si="44"/>
        <v/>
      </c>
      <c r="V20" s="703" t="str">
        <f t="shared" ca="1" si="45"/>
        <v/>
      </c>
      <c r="W20" s="700">
        <f t="shared" ca="1" si="48"/>
        <v>500000</v>
      </c>
      <c r="X20" s="683">
        <f t="shared" ca="1" si="49"/>
        <v>2.0108999999999999</v>
      </c>
      <c r="Y20" s="671">
        <f>Vorrunde!$AX25+$AD20</f>
        <v>0</v>
      </c>
      <c r="Z20" s="672">
        <f t="shared" ca="1" si="50"/>
        <v>1.9</v>
      </c>
      <c r="AA20" s="672">
        <f t="shared" ca="1" si="51"/>
        <v>0</v>
      </c>
      <c r="AB20" s="672">
        <f t="shared" ca="1" si="52"/>
        <v>0</v>
      </c>
      <c r="AC20" s="672">
        <f t="shared" ca="1" si="53"/>
        <v>0</v>
      </c>
      <c r="AD20" s="671">
        <f>IF($C20="",0,COUNTIF(Playoffs!$U$12:$U$17,$C20))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46"/>
        <v>FC Grönlingen</v>
      </c>
      <c r="D21" s="672">
        <f t="shared" ca="1" si="36"/>
        <v>4</v>
      </c>
      <c r="E21" s="672">
        <f t="shared" ca="1" si="36"/>
        <v>1</v>
      </c>
      <c r="F21" s="672">
        <f t="shared" ca="1" si="36"/>
        <v>2</v>
      </c>
      <c r="G21" s="672">
        <f t="shared" ca="1" si="36"/>
        <v>1</v>
      </c>
      <c r="H21" s="672">
        <f t="shared" ca="1" si="37"/>
        <v>174</v>
      </c>
      <c r="I21" s="672">
        <f t="shared" ca="1" si="37"/>
        <v>178</v>
      </c>
      <c r="J21" s="671">
        <f t="shared" ca="1" si="37"/>
        <v>-4</v>
      </c>
      <c r="K21" s="672">
        <f ca="1">IF(Einstellungen!$G$9,J8,$AT8)</f>
        <v>4</v>
      </c>
      <c r="L21" s="696">
        <f ca="1">K21*$F$64+(AU8+$H$65)*$F$65*Einstellungen!$G$14+AT8*$F$66*Einstellungen!$G$19+AX8*$F$67</f>
        <v>4000000.0070000002</v>
      </c>
      <c r="M21" s="688">
        <f t="shared" ca="1" si="47"/>
        <v>1</v>
      </c>
      <c r="N21" s="688">
        <f t="array" aca="1" ref="N21" ca="1">IF($AI$15,SUM(($K$17:$K$25&gt;=K21)/COUNTIF($K$17:$K$25,$K$17:$K$25)),SUM(($L$17:$L$25&gt;=L21)/COUNTIF($L$17:$L$25,$L$17:$L$25)))</f>
        <v>3</v>
      </c>
      <c r="O21" s="702" t="str">
        <f t="shared" ca="1" si="38"/>
        <v/>
      </c>
      <c r="P21" s="691" t="str">
        <f t="shared" ca="1" si="39"/>
        <v/>
      </c>
      <c r="Q21" s="691" t="str">
        <f t="shared" ca="1" si="40"/>
        <v/>
      </c>
      <c r="R21" s="691" t="str">
        <f t="shared" ca="1" si="41"/>
        <v/>
      </c>
      <c r="S21" s="691" t="str">
        <f t="shared" ca="1" si="42"/>
        <v/>
      </c>
      <c r="T21" s="691" t="str">
        <f t="shared" ca="1" si="43"/>
        <v/>
      </c>
      <c r="U21" s="691" t="str">
        <f t="shared" ca="1" si="44"/>
        <v/>
      </c>
      <c r="V21" s="703" t="str">
        <f t="shared" ca="1" si="45"/>
        <v/>
      </c>
      <c r="W21" s="700">
        <f t="shared" ca="1" si="48"/>
        <v>500000</v>
      </c>
      <c r="X21" s="683">
        <f t="shared" ca="1" si="49"/>
        <v>3.0108999999999999</v>
      </c>
      <c r="Y21" s="671">
        <f>Vorrunde!$AX26+$AD21</f>
        <v>0</v>
      </c>
      <c r="Z21" s="672">
        <f t="shared" ca="1" si="50"/>
        <v>1.9</v>
      </c>
      <c r="AA21" s="672">
        <f t="shared" ca="1" si="51"/>
        <v>0</v>
      </c>
      <c r="AB21" s="672">
        <f t="shared" ca="1" si="52"/>
        <v>0</v>
      </c>
      <c r="AC21" s="672">
        <f t="shared" ca="1" si="53"/>
        <v>0</v>
      </c>
      <c r="AD21" s="671">
        <f>IF($C21="",0,COUNTIF(Playoffs!$U$12:$U$17,$C21))</f>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46"/>
        <v/>
      </c>
      <c r="D22" s="672">
        <f t="shared" ca="1" si="36"/>
        <v>0</v>
      </c>
      <c r="E22" s="672">
        <f t="shared" ca="1" si="36"/>
        <v>0</v>
      </c>
      <c r="F22" s="672">
        <f t="shared" ca="1" si="36"/>
        <v>0</v>
      </c>
      <c r="G22" s="672">
        <f t="shared" ca="1" si="36"/>
        <v>0</v>
      </c>
      <c r="H22" s="672">
        <f t="shared" ca="1" si="37"/>
        <v>0</v>
      </c>
      <c r="I22" s="672">
        <f t="shared" ca="1" si="37"/>
        <v>0</v>
      </c>
      <c r="J22" s="671">
        <f t="shared" ca="1" si="37"/>
        <v>0</v>
      </c>
      <c r="K22" s="672">
        <f ca="1">IF(Einstellungen!$G$9,J9,$AT9)</f>
        <v>0</v>
      </c>
      <c r="L22" s="696">
        <f ca="1">K22*$F$64+(AU9+$H$65)*$F$65*Einstellungen!$G$14+AT9*$F$66*Einstellungen!$G$19+AX9*$F$67</f>
        <v>1E-3</v>
      </c>
      <c r="M22" s="688">
        <f t="shared" ca="1" si="47"/>
        <v>4</v>
      </c>
      <c r="N22" s="688">
        <f t="array" aca="1" ref="N22" ca="1">IF($AI$15,SUM(($K$17:$K$25&gt;=K22)/COUNTIF($K$17:$K$25,$K$17:$K$25)),SUM(($L$17:$L$25&gt;=L22)/COUNTIF($L$17:$L$25,$L$17:$L$25)))</f>
        <v>6</v>
      </c>
      <c r="O22" s="702" t="str">
        <f t="shared" ca="1" si="38"/>
        <v/>
      </c>
      <c r="P22" s="691" t="str">
        <f t="shared" ca="1" si="39"/>
        <v/>
      </c>
      <c r="Q22" s="691" t="str">
        <f t="shared" ca="1" si="40"/>
        <v/>
      </c>
      <c r="R22" s="691" t="str">
        <f t="shared" ca="1" si="41"/>
        <v/>
      </c>
      <c r="S22" s="691" t="str">
        <f t="shared" ca="1" si="42"/>
        <v/>
      </c>
      <c r="T22" s="691" t="str">
        <f t="shared" ca="1" si="43"/>
        <v/>
      </c>
      <c r="U22" s="691" t="str">
        <f t="shared" ca="1" si="44"/>
        <v/>
      </c>
      <c r="V22" s="703" t="str">
        <f t="shared" ca="1" si="45"/>
        <v/>
      </c>
      <c r="W22" s="700">
        <f t="shared" ca="1" si="48"/>
        <v>500000</v>
      </c>
      <c r="X22" s="683">
        <f t="shared" ca="1" si="49"/>
        <v>106.01089999999999</v>
      </c>
      <c r="Y22" s="671">
        <f>Vorrunde!$AX27+$AD22</f>
        <v>0</v>
      </c>
      <c r="Z22" s="672">
        <f t="shared" ca="1" si="50"/>
        <v>1.9</v>
      </c>
      <c r="AA22" s="672">
        <f t="shared" ca="1" si="51"/>
        <v>0</v>
      </c>
      <c r="AB22" s="672">
        <f t="shared" ca="1" si="52"/>
        <v>0</v>
      </c>
      <c r="AC22" s="672">
        <f t="shared" ca="1" si="53"/>
        <v>0</v>
      </c>
      <c r="AD22" s="671">
        <f>IF($C22="",0,COUNTIF(Playoffs!$U$12:$U$17,$C22))</f>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46"/>
        <v/>
      </c>
      <c r="D23" s="672">
        <f t="shared" ca="1" si="36"/>
        <v>0</v>
      </c>
      <c r="E23" s="672">
        <f t="shared" ca="1" si="36"/>
        <v>0</v>
      </c>
      <c r="F23" s="672">
        <f t="shared" ca="1" si="36"/>
        <v>0</v>
      </c>
      <c r="G23" s="672">
        <f t="shared" ca="1" si="36"/>
        <v>0</v>
      </c>
      <c r="H23" s="672">
        <f t="shared" ca="1" si="37"/>
        <v>0</v>
      </c>
      <c r="I23" s="672">
        <f t="shared" ca="1" si="37"/>
        <v>0</v>
      </c>
      <c r="J23" s="671">
        <f t="shared" ca="1" si="37"/>
        <v>0</v>
      </c>
      <c r="K23" s="672">
        <f ca="1">IF(Einstellungen!$G$9,J10,$AT10)</f>
        <v>0</v>
      </c>
      <c r="L23" s="696">
        <f ca="1">K23*$F$64+(AU10+$H$65)*$F$65*Einstellungen!$G$14+AT10*$F$66*Einstellungen!$G$19+AX10*$F$67</f>
        <v>1E-3</v>
      </c>
      <c r="M23" s="688">
        <f t="shared" ca="1" si="47"/>
        <v>4</v>
      </c>
      <c r="N23" s="688">
        <f t="array" aca="1" ref="N23" ca="1">IF($AI$15,SUM(($K$17:$K$25&gt;=K23)/COUNTIF($K$17:$K$25,$K$17:$K$25)),SUM(($L$17:$L$25&gt;=L23)/COUNTIF($L$17:$L$25,$L$17:$L$25)))</f>
        <v>6</v>
      </c>
      <c r="O23" s="702" t="str">
        <f t="shared" ca="1" si="38"/>
        <v/>
      </c>
      <c r="P23" s="691" t="str">
        <f t="shared" ca="1" si="39"/>
        <v/>
      </c>
      <c r="Q23" s="691" t="str">
        <f t="shared" ca="1" si="40"/>
        <v/>
      </c>
      <c r="R23" s="691" t="str">
        <f t="shared" ca="1" si="41"/>
        <v/>
      </c>
      <c r="S23" s="691" t="str">
        <f t="shared" ca="1" si="42"/>
        <v/>
      </c>
      <c r="T23" s="691" t="str">
        <f t="shared" ca="1" si="43"/>
        <v/>
      </c>
      <c r="U23" s="691" t="str">
        <f t="shared" ca="1" si="44"/>
        <v/>
      </c>
      <c r="V23" s="703" t="str">
        <f t="shared" ca="1" si="45"/>
        <v/>
      </c>
      <c r="W23" s="700">
        <f t="shared" ca="1" si="48"/>
        <v>500000</v>
      </c>
      <c r="X23" s="683">
        <f t="shared" ca="1" si="49"/>
        <v>106.01089999999999</v>
      </c>
      <c r="Y23" s="671">
        <v>0</v>
      </c>
      <c r="Z23" s="672">
        <f t="shared" ca="1" si="50"/>
        <v>1.9</v>
      </c>
      <c r="AA23" s="672">
        <f t="shared" ca="1" si="51"/>
        <v>0</v>
      </c>
      <c r="AB23" s="672">
        <f t="shared" ca="1" si="52"/>
        <v>0</v>
      </c>
      <c r="AC23" s="672">
        <f t="shared" ca="1" si="53"/>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46"/>
        <v/>
      </c>
      <c r="D24" s="672">
        <f t="shared" ca="1" si="36"/>
        <v>0</v>
      </c>
      <c r="E24" s="672">
        <f t="shared" ca="1" si="36"/>
        <v>0</v>
      </c>
      <c r="F24" s="672">
        <f t="shared" ca="1" si="36"/>
        <v>0</v>
      </c>
      <c r="G24" s="672">
        <f t="shared" ca="1" si="36"/>
        <v>0</v>
      </c>
      <c r="H24" s="672">
        <f t="shared" ca="1" si="37"/>
        <v>0</v>
      </c>
      <c r="I24" s="672">
        <f t="shared" ca="1" si="37"/>
        <v>0</v>
      </c>
      <c r="J24" s="671">
        <f t="shared" ca="1" si="37"/>
        <v>0</v>
      </c>
      <c r="K24" s="672">
        <f ca="1">IF(Einstellungen!$G$9,J11,$AT11)</f>
        <v>0</v>
      </c>
      <c r="L24" s="696">
        <f ca="1">K24*$F$64+(AU11+$H$65)*$F$65*Einstellungen!$G$14+AT11*$F$66*Einstellungen!$G$19+AX11*$F$67</f>
        <v>1E-3</v>
      </c>
      <c r="M24" s="688">
        <f t="shared" ca="1" si="47"/>
        <v>4</v>
      </c>
      <c r="N24" s="688">
        <f t="array" aca="1" ref="N24" ca="1">IF($AI$15,SUM(($K$17:$K$25&gt;=K24)/COUNTIF($K$17:$K$25,$K$17:$K$25)),SUM(($L$17:$L$25&gt;=L24)/COUNTIF($L$17:$L$25,$L$17:$L$25)))</f>
        <v>6</v>
      </c>
      <c r="O24" s="702" t="str">
        <f t="shared" ca="1" si="38"/>
        <v/>
      </c>
      <c r="P24" s="691" t="str">
        <f t="shared" ca="1" si="39"/>
        <v/>
      </c>
      <c r="Q24" s="691" t="str">
        <f t="shared" ca="1" si="40"/>
        <v/>
      </c>
      <c r="R24" s="691" t="str">
        <f t="shared" ca="1" si="41"/>
        <v/>
      </c>
      <c r="S24" s="691" t="str">
        <f t="shared" ca="1" si="42"/>
        <v/>
      </c>
      <c r="T24" s="691" t="str">
        <f t="shared" ca="1" si="43"/>
        <v/>
      </c>
      <c r="U24" s="691" t="str">
        <f t="shared" ca="1" si="44"/>
        <v/>
      </c>
      <c r="V24" s="703" t="str">
        <f t="shared" ca="1" si="45"/>
        <v/>
      </c>
      <c r="W24" s="700">
        <f t="shared" ca="1" si="48"/>
        <v>500000</v>
      </c>
      <c r="X24" s="683">
        <f t="shared" ca="1" si="49"/>
        <v>106.01089999999999</v>
      </c>
      <c r="Y24" s="671">
        <v>0</v>
      </c>
      <c r="Z24" s="672">
        <f t="shared" ca="1" si="50"/>
        <v>1.9</v>
      </c>
      <c r="AA24" s="672">
        <f t="shared" ca="1" si="51"/>
        <v>0</v>
      </c>
      <c r="AB24" s="672">
        <f t="shared" ca="1" si="52"/>
        <v>0</v>
      </c>
      <c r="AC24" s="672">
        <f t="shared" ca="1" si="53"/>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46"/>
        <v/>
      </c>
      <c r="D25" s="672">
        <f t="shared" ca="1" si="36"/>
        <v>0</v>
      </c>
      <c r="E25" s="672">
        <f t="shared" ca="1" si="36"/>
        <v>0</v>
      </c>
      <c r="F25" s="672">
        <f t="shared" ca="1" si="36"/>
        <v>0</v>
      </c>
      <c r="G25" s="672">
        <f t="shared" ca="1" si="36"/>
        <v>0</v>
      </c>
      <c r="H25" s="672">
        <f t="shared" ca="1" si="37"/>
        <v>0</v>
      </c>
      <c r="I25" s="672">
        <f t="shared" ca="1" si="37"/>
        <v>0</v>
      </c>
      <c r="J25" s="671">
        <f t="shared" ca="1" si="37"/>
        <v>0</v>
      </c>
      <c r="K25" s="672">
        <f ca="1">IF(Einstellungen!$G$9,J12,$AT12)</f>
        <v>0</v>
      </c>
      <c r="L25" s="696">
        <f ca="1">K25*$F$64+(AU12+$H$65)*$F$65*Einstellungen!$G$14+AT12*$F$66*Einstellungen!$G$19+AX12*$F$67</f>
        <v>1E-3</v>
      </c>
      <c r="M25" s="688">
        <f t="shared" ca="1" si="47"/>
        <v>4</v>
      </c>
      <c r="N25" s="688">
        <f t="array" aca="1" ref="N25" ca="1">IF($AI$15,SUM(($K$17:$K$25&gt;=K25)/COUNTIF($K$17:$K$25,$K$17:$K$25)),SUM(($L$17:$L$25&gt;=L25)/COUNTIF($L$17:$L$25,$L$17:$L$25)))</f>
        <v>6</v>
      </c>
      <c r="O25" s="704" t="str">
        <f t="shared" ca="1" si="38"/>
        <v/>
      </c>
      <c r="P25" s="705" t="str">
        <f t="shared" ca="1" si="39"/>
        <v/>
      </c>
      <c r="Q25" s="705" t="str">
        <f t="shared" ca="1" si="40"/>
        <v/>
      </c>
      <c r="R25" s="705" t="str">
        <f t="shared" ca="1" si="41"/>
        <v/>
      </c>
      <c r="S25" s="705" t="str">
        <f t="shared" ca="1" si="42"/>
        <v/>
      </c>
      <c r="T25" s="705" t="str">
        <f t="shared" ca="1" si="43"/>
        <v/>
      </c>
      <c r="U25" s="705" t="str">
        <f t="shared" ca="1" si="44"/>
        <v/>
      </c>
      <c r="V25" s="706" t="str">
        <f t="shared" ca="1" si="45"/>
        <v/>
      </c>
      <c r="W25" s="700">
        <f t="shared" ca="1" si="48"/>
        <v>500000</v>
      </c>
      <c r="X25" s="686">
        <f t="shared" ca="1" si="49"/>
        <v>106.01089999999999</v>
      </c>
      <c r="Y25" s="671">
        <v>0</v>
      </c>
      <c r="Z25" s="672">
        <f t="shared" ca="1" si="50"/>
        <v>1.9</v>
      </c>
      <c r="AA25" s="672">
        <f t="shared" ca="1" si="51"/>
        <v>0</v>
      </c>
      <c r="AB25" s="672">
        <f t="shared" ca="1" si="52"/>
        <v>0</v>
      </c>
      <c r="AC25" s="672">
        <f t="shared" ca="1" si="53"/>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13">
        <v>1</v>
      </c>
      <c r="F29" s="1014"/>
      <c r="G29" s="1014"/>
      <c r="H29" s="1014"/>
      <c r="I29" s="1014"/>
      <c r="J29" s="1014"/>
      <c r="K29" s="1014"/>
      <c r="L29" s="1015"/>
      <c r="M29" s="1016">
        <v>2</v>
      </c>
      <c r="N29" s="1014"/>
      <c r="O29" s="1014"/>
      <c r="P29" s="1014"/>
      <c r="Q29" s="1014"/>
      <c r="R29" s="1014"/>
      <c r="S29" s="1014"/>
      <c r="T29" s="1015"/>
      <c r="U29" s="1016">
        <v>3</v>
      </c>
      <c r="V29" s="1014"/>
      <c r="W29" s="1014"/>
      <c r="X29" s="1014"/>
      <c r="Y29" s="1014"/>
      <c r="Z29" s="1014"/>
      <c r="AA29" s="1014"/>
      <c r="AB29" s="1015"/>
      <c r="AC29" s="1016">
        <v>4</v>
      </c>
      <c r="AD29" s="1014"/>
      <c r="AE29" s="1014"/>
      <c r="AF29" s="1014"/>
      <c r="AG29" s="1014"/>
      <c r="AH29" s="1014"/>
      <c r="AI29" s="1014"/>
      <c r="AJ29" s="1015"/>
      <c r="AK29" s="1016">
        <v>5</v>
      </c>
      <c r="AL29" s="1014"/>
      <c r="AM29" s="1014"/>
      <c r="AN29" s="1014"/>
      <c r="AO29" s="1014"/>
      <c r="AP29" s="1014"/>
      <c r="AQ29" s="1014"/>
      <c r="AR29" s="1015"/>
      <c r="AS29" s="1016">
        <v>6</v>
      </c>
      <c r="AT29" s="1014"/>
      <c r="AU29" s="1014"/>
      <c r="AV29" s="1014"/>
      <c r="AW29" s="1014"/>
      <c r="AX29" s="1014"/>
      <c r="AY29" s="1014"/>
      <c r="AZ29" s="1015"/>
      <c r="BA29" s="1016">
        <v>7</v>
      </c>
      <c r="BB29" s="1014"/>
      <c r="BC29" s="1014"/>
      <c r="BD29" s="1014"/>
      <c r="BE29" s="1014"/>
      <c r="BF29" s="1014"/>
      <c r="BG29" s="1014"/>
      <c r="BH29" s="1015"/>
      <c r="BI29" s="1016">
        <v>8</v>
      </c>
      <c r="BJ29" s="1014"/>
      <c r="BK29" s="1014"/>
      <c r="BL29" s="1014"/>
      <c r="BM29" s="1014"/>
      <c r="BN29" s="1014"/>
      <c r="BO29" s="1014"/>
      <c r="BP29" s="1017"/>
      <c r="BQ29" s="671"/>
      <c r="BR29" s="707" t="s">
        <v>94</v>
      </c>
      <c r="BS29" s="670" t="str">
        <f>$F$4</f>
        <v>Mainz 05</v>
      </c>
      <c r="BT29" s="670" t="str">
        <f>$F$5</f>
        <v>Inter Mailand</v>
      </c>
      <c r="BU29" s="670" t="str">
        <f>$F$6</f>
        <v>SSV Wildbach</v>
      </c>
      <c r="BV29" s="670" t="str">
        <f>$F$7</f>
        <v>Manchester City</v>
      </c>
      <c r="BW29" s="670" t="str">
        <f>$F$8</f>
        <v>FC Grönlingen</v>
      </c>
      <c r="BX29" s="670" t="str">
        <f>$F$9</f>
        <v/>
      </c>
      <c r="BY29" s="670" t="str">
        <f>$F$10</f>
        <v/>
      </c>
      <c r="BZ29" s="670" t="str">
        <f>$F$11</f>
        <v/>
      </c>
      <c r="CA29" s="670" t="str">
        <f>$F$12</f>
        <v/>
      </c>
      <c r="CB29" s="709"/>
    </row>
    <row r="30" spans="1:80" s="1" customFormat="1" x14ac:dyDescent="0.2">
      <c r="A30" s="670"/>
      <c r="B30" s="670"/>
      <c r="C30" s="670" t="str">
        <f>$Q64</f>
        <v>Mainz 05</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si="54">F4</f>
        <v>Mainz 05</v>
      </c>
      <c r="BS30" s="712"/>
      <c r="BT30" s="713">
        <f t="shared" ref="BT30:CA30" ca="1" si="55">SUMIFS($AH$64:$AH$135,$V$64:$V$135,$BR30,$W$64:$W$135,BT$29)+SUMIFS($AI$64:$AI$135,$W$64:$W$135,$BR30,$V$64:$V$135,BT$29)</f>
        <v>50</v>
      </c>
      <c r="BU30" s="713">
        <f t="shared" ca="1" si="55"/>
        <v>50</v>
      </c>
      <c r="BV30" s="713">
        <f t="shared" ca="1" si="55"/>
        <v>39</v>
      </c>
      <c r="BW30" s="713">
        <f t="shared" ca="1" si="55"/>
        <v>39</v>
      </c>
      <c r="BX30" s="713">
        <f t="shared" ca="1" si="55"/>
        <v>0</v>
      </c>
      <c r="BY30" s="713">
        <f t="shared" ca="1" si="55"/>
        <v>0</v>
      </c>
      <c r="BZ30" s="713">
        <f t="shared" ca="1" si="55"/>
        <v>0</v>
      </c>
      <c r="CA30" s="713">
        <f t="shared" ca="1" si="55"/>
        <v>0</v>
      </c>
      <c r="CB30" s="691"/>
    </row>
    <row r="31" spans="1:80" s="1" customFormat="1" x14ac:dyDescent="0.2">
      <c r="A31" s="670"/>
      <c r="B31" s="670"/>
      <c r="C31" s="670" t="str">
        <f t="shared" ref="C31:C38" si="56">$Q65</f>
        <v>Inter Mailand</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si="54"/>
        <v>Inter Mailand</v>
      </c>
      <c r="BS31" s="714">
        <f t="shared" ref="BS31:BS38" ca="1" si="57">SUMIFS($AH$64:$AH$135,$V$64:$V$135,$BR31,$W$64:$W$135,BS$29)+SUMIFS($AI$64:$AI$135,$W$64:$W$135,$BR31,$V$64:$V$135,BS$29)</f>
        <v>24</v>
      </c>
      <c r="BT31" s="712"/>
      <c r="BU31" s="713">
        <f t="shared" ref="BU31:CA31" ca="1" si="58">SUMIFS($AH$64:$AH$135,$V$64:$V$135,$BR31,$W$64:$W$135,BU$29)+SUMIFS($AI$64:$AI$135,$W$64:$W$135,$BR31,$V$64:$V$135,BU$29)</f>
        <v>44</v>
      </c>
      <c r="BV31" s="713">
        <f t="shared" ca="1" si="58"/>
        <v>39</v>
      </c>
      <c r="BW31" s="713">
        <f t="shared" ca="1" si="58"/>
        <v>45</v>
      </c>
      <c r="BX31" s="713">
        <f t="shared" ca="1" si="58"/>
        <v>0</v>
      </c>
      <c r="BY31" s="713">
        <f t="shared" ca="1" si="58"/>
        <v>0</v>
      </c>
      <c r="BZ31" s="713">
        <f t="shared" ca="1" si="58"/>
        <v>0</v>
      </c>
      <c r="CA31" s="713">
        <f t="shared" ca="1" si="58"/>
        <v>0</v>
      </c>
      <c r="CB31" s="691"/>
    </row>
    <row r="32" spans="1:80" s="1" customFormat="1" x14ac:dyDescent="0.2">
      <c r="A32" s="670"/>
      <c r="B32" s="670"/>
      <c r="C32" s="670" t="str">
        <f t="shared" si="56"/>
        <v>SSV Wildbach</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si="54"/>
        <v>SSV Wildbach</v>
      </c>
      <c r="BS32" s="714">
        <f t="shared" ca="1" si="57"/>
        <v>38</v>
      </c>
      <c r="BT32" s="714">
        <f t="shared" ref="BT32:BT38" ca="1" si="59">SUMIFS($AH$64:$AH$135,$V$64:$V$135,$BR32,$W$64:$W$135,BT$29)+SUMIFS($AI$64:$AI$135,$W$64:$W$135,$BR32,$V$64:$V$135,BT$29)</f>
        <v>37</v>
      </c>
      <c r="BU32" s="712"/>
      <c r="BV32" s="713">
        <f t="shared" ref="BV32:CA32" ca="1" si="60">SUMIFS($AH$64:$AH$135,$V$64:$V$135,$BR32,$W$64:$W$135,BV$29)+SUMIFS($AI$64:$AI$135,$W$64:$W$135,$BR32,$V$64:$V$135,BV$29)</f>
        <v>50</v>
      </c>
      <c r="BW32" s="713">
        <f t="shared" ca="1" si="60"/>
        <v>44</v>
      </c>
      <c r="BX32" s="713">
        <f t="shared" ca="1" si="60"/>
        <v>0</v>
      </c>
      <c r="BY32" s="713">
        <f t="shared" ca="1" si="60"/>
        <v>0</v>
      </c>
      <c r="BZ32" s="713">
        <f t="shared" ca="1" si="60"/>
        <v>0</v>
      </c>
      <c r="CA32" s="713">
        <f t="shared" ca="1" si="60"/>
        <v>0</v>
      </c>
      <c r="CB32" s="691"/>
    </row>
    <row r="33" spans="1:80" s="1" customFormat="1" x14ac:dyDescent="0.2">
      <c r="A33" s="670"/>
      <c r="B33" s="670"/>
      <c r="C33" s="670" t="str">
        <f t="shared" si="56"/>
        <v>Manchester City</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si="54"/>
        <v>Manchester City</v>
      </c>
      <c r="BS33" s="714">
        <f t="shared" ca="1" si="57"/>
        <v>44</v>
      </c>
      <c r="BT33" s="714">
        <f t="shared" ca="1" si="59"/>
        <v>48</v>
      </c>
      <c r="BU33" s="714">
        <f t="shared" ref="BU33:BU38" ca="1" si="61">SUMIFS($AH$64:$AH$135,$V$64:$V$135,$BR33,$W$64:$W$135,BU$29)+SUMIFS($AI$64:$AI$135,$W$64:$W$135,$BR33,$V$64:$V$135,BU$29)</f>
        <v>42</v>
      </c>
      <c r="BV33" s="712"/>
      <c r="BW33" s="713">
        <f ca="1">SUMIFS($AH$64:$AH$135,$V$64:$V$135,$BR33,$W$64:$W$135,BW$29)+SUMIFS($AI$64:$AI$135,$W$64:$W$135,$BR33,$V$64:$V$135,BW$29)</f>
        <v>50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56"/>
        <v>FC Grönlingen</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54"/>
        <v>FC Grönlingen</v>
      </c>
      <c r="BS34" s="714">
        <f t="shared" ca="1" si="57"/>
        <v>50</v>
      </c>
      <c r="BT34" s="714">
        <f t="shared" ca="1" si="59"/>
        <v>48</v>
      </c>
      <c r="BU34" s="714">
        <f t="shared" ca="1" si="61"/>
        <v>44</v>
      </c>
      <c r="BV34" s="714">
        <f ca="1">SUMIFS($AH$64:$AH$135,$V$64:$V$135,$BR34,$W$64:$W$135,BV$29)+SUMIFS($AI$64:$AI$135,$W$64:$W$135,$BR34,$V$64:$V$135,BV$29)</f>
        <v>32</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56"/>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54"/>
        <v/>
      </c>
      <c r="BS35" s="714">
        <f t="shared" ca="1" si="57"/>
        <v>0</v>
      </c>
      <c r="BT35" s="714">
        <f t="shared" ca="1" si="59"/>
        <v>0</v>
      </c>
      <c r="BU35" s="714">
        <f t="shared" ca="1" si="61"/>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56"/>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54"/>
        <v/>
      </c>
      <c r="BS36" s="714">
        <f t="shared" ca="1" si="57"/>
        <v>0</v>
      </c>
      <c r="BT36" s="714">
        <f t="shared" ca="1" si="59"/>
        <v>0</v>
      </c>
      <c r="BU36" s="714">
        <f t="shared" ca="1" si="61"/>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56"/>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54"/>
        <v/>
      </c>
      <c r="BS37" s="714">
        <f t="shared" ca="1" si="57"/>
        <v>0</v>
      </c>
      <c r="BT37" s="714">
        <f t="shared" ca="1" si="59"/>
        <v>0</v>
      </c>
      <c r="BU37" s="714">
        <f t="shared" ca="1" si="61"/>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56"/>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54"/>
        <v/>
      </c>
      <c r="BS38" s="714">
        <f t="shared" ca="1" si="57"/>
        <v>0</v>
      </c>
      <c r="BT38" s="714">
        <f t="shared" ca="1" si="59"/>
        <v>0</v>
      </c>
      <c r="BU38" s="714">
        <f t="shared" ca="1" si="61"/>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$F$4</f>
        <v>Mainz 05</v>
      </c>
      <c r="BT40" s="670" t="str">
        <f>$F$5</f>
        <v>Inter Mailand</v>
      </c>
      <c r="BU40" s="670" t="str">
        <f>$F$6</f>
        <v>SSV Wildbach</v>
      </c>
      <c r="BV40" s="670" t="str">
        <f>$F$7</f>
        <v>Manchester City</v>
      </c>
      <c r="BW40" s="670" t="str">
        <f>$F$8</f>
        <v>FC Grönlingen</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si="62">F4</f>
        <v>Mainz 05</v>
      </c>
      <c r="BS41" s="712"/>
      <c r="BT41" s="713">
        <f ca="1">BT30-BS31</f>
        <v>26</v>
      </c>
      <c r="BU41" s="713">
        <f ca="1">BU30-BS32</f>
        <v>12</v>
      </c>
      <c r="BV41" s="713">
        <f ca="1">BV30-BS33</f>
        <v>-5</v>
      </c>
      <c r="BW41" s="713">
        <f ca="1">BW30-BS34</f>
        <v>-11</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si="62"/>
        <v>Inter Mailand</v>
      </c>
      <c r="BS42" s="714">
        <f ca="1">IF(BT41="","",-1*BT41)</f>
        <v>-26</v>
      </c>
      <c r="BT42" s="712"/>
      <c r="BU42" s="713">
        <f ca="1">BU31-BT32</f>
        <v>7</v>
      </c>
      <c r="BV42" s="713">
        <f ca="1">BV31-BT33</f>
        <v>-9</v>
      </c>
      <c r="BW42" s="713">
        <f ca="1">BW31-BT34</f>
        <v>-3</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si="62"/>
        <v>SSV Wildbach</v>
      </c>
      <c r="BS43" s="714">
        <f ca="1">IF(BU41="","",-1*BU41)</f>
        <v>-12</v>
      </c>
      <c r="BT43" s="714">
        <f ca="1">IF(BU42="","",-1*BU42)</f>
        <v>-7</v>
      </c>
      <c r="BU43" s="712"/>
      <c r="BV43" s="713">
        <f ca="1">BV32-BU33</f>
        <v>8</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si="62"/>
        <v>Manchester City</v>
      </c>
      <c r="BS44" s="714">
        <f ca="1">IF(BV41="","",-1*BV41)</f>
        <v>5</v>
      </c>
      <c r="BT44" s="714">
        <f ca="1">IF(BV42="","",-1*BV42)</f>
        <v>9</v>
      </c>
      <c r="BU44" s="714">
        <f ca="1">IF(BV43="","",-1*BV43)</f>
        <v>-8</v>
      </c>
      <c r="BV44" s="712"/>
      <c r="BW44" s="713">
        <f ca="1">BW33-BV34</f>
        <v>18</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62"/>
        <v>FC Grönlingen</v>
      </c>
      <c r="BS45" s="714">
        <f ca="1">IF(BW41="","",-1*BW41)</f>
        <v>11</v>
      </c>
      <c r="BT45" s="714">
        <f ca="1">IF(BW42="","",-1*BW42)</f>
        <v>3</v>
      </c>
      <c r="BU45" s="714">
        <f ca="1">IF(BW43="","",-1*BW43)</f>
        <v>0</v>
      </c>
      <c r="BV45" s="714">
        <f ca="1">IF(BW44="","",-1*BW44)</f>
        <v>-18</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62"/>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62"/>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62"/>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62"/>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63">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$F$4</f>
        <v>Mainz 05</v>
      </c>
      <c r="BT51" s="670" t="str">
        <f>$F$5</f>
        <v>Inter Mailand</v>
      </c>
      <c r="BU51" s="670" t="str">
        <f>$F$6</f>
        <v>SSV Wildbach</v>
      </c>
      <c r="BV51" s="670" t="str">
        <f>$F$7</f>
        <v>Manchester City</v>
      </c>
      <c r="BW51" s="670" t="str">
        <f>$F$8</f>
        <v>FC Grönlingen</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si="64">F4</f>
        <v>Mainz 05</v>
      </c>
      <c r="BS52" s="712"/>
      <c r="BT52" s="713">
        <f t="shared" ref="BT52:CA54" ca="1" si="65">SUMIFS($AJ$64:$AJ$135,$V$64:$V$135,$BR52,$W$64:$W$135,BT$51)+SUMIFS($AK$64:$AK$135,$W$64:$W$135,$BR52,$V$64:$V$135,BT$51)</f>
        <v>2</v>
      </c>
      <c r="BU52" s="713">
        <f t="shared" ca="1" si="65"/>
        <v>2</v>
      </c>
      <c r="BV52" s="713">
        <f t="shared" ca="1" si="65"/>
        <v>1</v>
      </c>
      <c r="BW52" s="713">
        <f t="shared" ca="1" si="65"/>
        <v>0</v>
      </c>
      <c r="BX52" s="713">
        <f t="shared" ca="1" si="65"/>
        <v>0</v>
      </c>
      <c r="BY52" s="713">
        <f t="shared" ca="1" si="65"/>
        <v>0</v>
      </c>
      <c r="BZ52" s="713">
        <f t="shared" ca="1" si="65"/>
        <v>0</v>
      </c>
      <c r="CA52" s="713">
        <f t="shared" ca="1" si="65"/>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si="64"/>
        <v>Inter Mailand</v>
      </c>
      <c r="BS53" s="714">
        <f t="shared" ref="BS53:BU60" ca="1" si="66">SUMIFS($AJ$64:$AJ$135,$V$64:$V$135,$BR53,$W$64:$W$135,BS$51)+SUMIFS($AK$64:$AK$135,$W$64:$W$135,$BR53,$V$64:$V$135,BS$51)</f>
        <v>0</v>
      </c>
      <c r="BT53" s="712"/>
      <c r="BU53" s="713">
        <f t="shared" ca="1" si="65"/>
        <v>1</v>
      </c>
      <c r="BV53" s="713">
        <f t="shared" ca="1" si="65"/>
        <v>1</v>
      </c>
      <c r="BW53" s="713">
        <f t="shared" ca="1" si="65"/>
        <v>1</v>
      </c>
      <c r="BX53" s="713">
        <f t="shared" ca="1" si="65"/>
        <v>0</v>
      </c>
      <c r="BY53" s="713">
        <f t="shared" ca="1" si="65"/>
        <v>0</v>
      </c>
      <c r="BZ53" s="713">
        <f t="shared" ca="1" si="65"/>
        <v>0</v>
      </c>
      <c r="CA53" s="713">
        <f t="shared" ca="1" si="65"/>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si="64"/>
        <v>SSV Wildbach</v>
      </c>
      <c r="BS54" s="714">
        <f t="shared" ca="1" si="66"/>
        <v>0</v>
      </c>
      <c r="BT54" s="714">
        <f t="shared" ca="1" si="66"/>
        <v>1</v>
      </c>
      <c r="BU54" s="712"/>
      <c r="BV54" s="713">
        <f t="shared" ca="1" si="65"/>
        <v>2</v>
      </c>
      <c r="BW54" s="713">
        <f t="shared" ca="1" si="65"/>
        <v>1</v>
      </c>
      <c r="BX54" s="713">
        <f t="shared" ca="1" si="65"/>
        <v>0</v>
      </c>
      <c r="BY54" s="713">
        <f t="shared" ca="1" si="65"/>
        <v>0</v>
      </c>
      <c r="BZ54" s="713">
        <f t="shared" ca="1" si="65"/>
        <v>0</v>
      </c>
      <c r="CA54" s="713">
        <f t="shared" ca="1" si="65"/>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si="64"/>
        <v>Manchester City</v>
      </c>
      <c r="BS55" s="714">
        <f t="shared" ca="1" si="66"/>
        <v>1</v>
      </c>
      <c r="BT55" s="714">
        <f t="shared" ca="1" si="66"/>
        <v>1</v>
      </c>
      <c r="BU55" s="714">
        <f t="shared" ca="1" si="66"/>
        <v>0</v>
      </c>
      <c r="BV55" s="712"/>
      <c r="BW55" s="713">
        <f ca="1">SUMIFS($AJ$64:$AJ$135,$V$64:$V$135,$BR55,$W$64:$W$135,BW$51)+SUMIFS($AK$64:$AK$135,$W$64:$W$135,$BR55,$V$64:$V$135,BW$51)</f>
        <v>2</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64"/>
        <v>FC Grönlingen</v>
      </c>
      <c r="BS56" s="714">
        <f t="shared" ca="1" si="66"/>
        <v>2</v>
      </c>
      <c r="BT56" s="714">
        <f t="shared" ca="1" si="66"/>
        <v>1</v>
      </c>
      <c r="BU56" s="714">
        <f t="shared" ca="1" si="66"/>
        <v>1</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64"/>
        <v/>
      </c>
      <c r="BS57" s="714">
        <f t="shared" ca="1" si="66"/>
        <v>0</v>
      </c>
      <c r="BT57" s="714">
        <f t="shared" ca="1" si="66"/>
        <v>0</v>
      </c>
      <c r="BU57" s="714">
        <f t="shared" ca="1" si="66"/>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64"/>
        <v/>
      </c>
      <c r="BS58" s="714">
        <f t="shared" ca="1" si="66"/>
        <v>0</v>
      </c>
      <c r="BT58" s="714">
        <f t="shared" ca="1" si="66"/>
        <v>0</v>
      </c>
      <c r="BU58" s="714">
        <f t="shared" ca="1" si="66"/>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64"/>
        <v/>
      </c>
      <c r="BS59" s="714">
        <f t="shared" ca="1" si="66"/>
        <v>0</v>
      </c>
      <c r="BT59" s="714">
        <f t="shared" ca="1" si="66"/>
        <v>0</v>
      </c>
      <c r="BU59" s="714">
        <f t="shared" ca="1" si="66"/>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64"/>
        <v/>
      </c>
      <c r="BS60" s="714">
        <f t="shared" ca="1" si="66"/>
        <v>0</v>
      </c>
      <c r="BT60" s="714">
        <f t="shared" ca="1" si="66"/>
        <v>0</v>
      </c>
      <c r="BU60" s="714">
        <f t="shared" ca="1" si="66"/>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8" t="s">
        <v>312</v>
      </c>
      <c r="Y63" s="1018"/>
      <c r="Z63" s="674" t="s">
        <v>150</v>
      </c>
      <c r="AA63" s="674" t="s">
        <v>15</v>
      </c>
      <c r="AB63" s="674" t="s">
        <v>400</v>
      </c>
      <c r="AC63" s="721" t="s">
        <v>399</v>
      </c>
      <c r="AD63" s="1019" t="s">
        <v>314</v>
      </c>
      <c r="AE63" s="1019"/>
      <c r="AF63" s="1019" t="s">
        <v>318</v>
      </c>
      <c r="AG63" s="1019"/>
      <c r="AH63" s="1019" t="s">
        <v>400</v>
      </c>
      <c r="AI63" s="1019"/>
      <c r="AJ63" s="1020" t="s">
        <v>399</v>
      </c>
      <c r="AK63" s="1020"/>
      <c r="AL63" s="1019" t="s">
        <v>108</v>
      </c>
      <c r="AM63" s="1019"/>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IF(Planung!$C$24="","",Planung!$C$24)</f>
        <v>Mainz 05</v>
      </c>
      <c r="R64" s="670"/>
      <c r="S64" s="670"/>
      <c r="T64" s="670"/>
      <c r="U64" s="728" t="s">
        <v>6</v>
      </c>
      <c r="V64" s="729" t="str">
        <f ca="1">Planung!$L6</f>
        <v>VFB Essenheim</v>
      </c>
      <c r="W64" s="730" t="str">
        <f ca="1">Planung!$N6</f>
        <v>FC Barcelona</v>
      </c>
      <c r="X64" s="730">
        <f ca="1">IF(AND($AA64=1,Vorrunde!$I12&lt;&gt;"",Vorrunde!$K12&lt;&gt;"",ABS(Vorrunde!$I12-Vorrunde!$K12)&gt;1),Vorrunde!$I12,"")</f>
        <v>13</v>
      </c>
      <c r="Y64" s="731">
        <f ca="1">IF(AND($AA64=1,Vorrunde!$I12&lt;&gt;"",Vorrunde!$K12&lt;&gt;"",ABS(Vorrunde!$I12-Vorrunde!$K12)&gt;1),Vorrunde!$K12,"")</f>
        <v>25</v>
      </c>
      <c r="Z64" s="732" t="str">
        <f ca="1">V64&amp;W64</f>
        <v>VFB EssenheimFC Barcelona</v>
      </c>
      <c r="AA64" s="730">
        <f ca="1">IF(AND(V64&lt;&gt;"",W64&lt;&gt;"",V64&lt;&gt;W64,Vorrunde!$R12&lt;&gt;"",Vorrunde!$T12&lt;&gt;""),1,0)</f>
        <v>1</v>
      </c>
      <c r="AB64" s="733" t="str">
        <f ca="1">IF(AA64&gt;0,AH64&amp;Sprache!$E$99&amp;AI64,"")</f>
        <v>57 : 71</v>
      </c>
      <c r="AC64" s="734" t="str">
        <f ca="1">IF(AA64&gt;0,AJ64&amp;Sprache!$E$99&amp;AK64,"")</f>
        <v>1 : 2</v>
      </c>
      <c r="AD64" s="735">
        <f ca="1">IF(AND($AA64=1,Vorrunde!$L12&lt;&gt;"",Vorrunde!$N12&lt;&gt;"",ABS(Vorrunde!$L12-Vorrunde!$N12)&gt;1),Vorrunde!$L12,"")</f>
        <v>19</v>
      </c>
      <c r="AE64" s="734">
        <f ca="1">IF(AND($AA64=1,Vorrunde!$L12&lt;&gt;"",Vorrunde!$N12&lt;&gt;"",ABS(Vorrunde!$L12-Vorrunde!$N12)&gt;1),Vorrunde!$N12,"")</f>
        <v>25</v>
      </c>
      <c r="AF64" s="735">
        <f ca="1">IF(AND($AA64=1,Vorrunde!$O12&lt;&gt;"",Vorrunde!$Q12&lt;&gt;"",ABS(Vorrunde!$O12-Vorrunde!$Q12)&gt;1),Vorrunde!$O12,"")</f>
        <v>25</v>
      </c>
      <c r="AG64" s="734">
        <f ca="1">IF(AND($AA64=1,Vorrunde!$O12&lt;&gt;"",Vorrunde!$Q12&lt;&gt;"",ABS(Vorrunde!$O12-Vorrunde!$Q12)&gt;1),Vorrunde!$Q12,"")</f>
        <v>21</v>
      </c>
      <c r="AH64" s="735">
        <f ca="1">IF(AA64&gt;0,SUM(X64,AD64,AF64),"")</f>
        <v>57</v>
      </c>
      <c r="AI64" s="734">
        <f ca="1">IF(AA64&gt;0,SUM(Y64,AE64,AG64),"")</f>
        <v>71</v>
      </c>
      <c r="AJ64" s="735">
        <f ca="1">IF(Vorrunde!$R12="",0,Vorrunde!$R12)</f>
        <v>1</v>
      </c>
      <c r="AK64" s="734">
        <f ca="1">IF(Vorrunde!$T12="",0,Vorrunde!$T12)</f>
        <v>2</v>
      </c>
      <c r="AL64" s="735">
        <f ca="1">IF($AA64=0,"",IF($AJ64&gt;$AK64,Einstellungen!$C$4,IF($AJ64=$AK64,1,0)))</f>
        <v>0</v>
      </c>
      <c r="AM64" s="734">
        <f ca="1">IF($AA64=0,"",IF($AJ64&lt;$AK64,Einstellungen!$C$4,IF($AJ64=$AK64,1,0)))</f>
        <v>2</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IF(Planung!$C$26="","",Planung!$C$26)</f>
        <v>Inter Mailand</v>
      </c>
      <c r="R65" s="670"/>
      <c r="S65" s="670"/>
      <c r="T65" s="670"/>
      <c r="U65" s="742" t="s">
        <v>7</v>
      </c>
      <c r="V65" s="743" t="str">
        <f ca="1">Planung!$L7</f>
        <v>FC Grönlingen</v>
      </c>
      <c r="W65" s="671" t="str">
        <f ca="1">Planung!$N7</f>
        <v>Inter Mailand</v>
      </c>
      <c r="X65" s="671">
        <f ca="1">IF(AND($AA65=1,Vorrunde!$I13&lt;&gt;"",Vorrunde!$K13&lt;&gt;"",ABS(Vorrunde!$I13-Vorrunde!$K13)&gt;1),Vorrunde!$I13,"")</f>
        <v>25</v>
      </c>
      <c r="Y65" s="744">
        <f ca="1">IF(AND($AA65=1,Vorrunde!$I13&lt;&gt;"",Vorrunde!$K13&lt;&gt;"",ABS(Vorrunde!$I13-Vorrunde!$K13)&gt;1),Vorrunde!$K13,"")</f>
        <v>20</v>
      </c>
      <c r="Z65" s="745" t="str">
        <f t="shared" ref="Z65:Z73" ca="1" si="67">V65&amp;W65</f>
        <v>FC GrönlingenInter Mailand</v>
      </c>
      <c r="AA65" s="671">
        <f ca="1">IF(AND(V65&lt;&gt;"",W65&lt;&gt;"",V65&lt;&gt;W65,Vorrunde!$R13&lt;&gt;"",Vorrunde!$T13&lt;&gt;""),1,0)</f>
        <v>1</v>
      </c>
      <c r="AB65" s="671" t="str">
        <f ca="1">IF(AA65&gt;0,AH65&amp;Sprache!$E$99&amp;AI65,"")</f>
        <v>48 : 45</v>
      </c>
      <c r="AC65" s="746" t="str">
        <f ca="1">IF(AA65&gt;0,AJ65&amp;Sprache!$E$99&amp;AK65,"")</f>
        <v>1 : 1</v>
      </c>
      <c r="AD65" s="747">
        <f ca="1">IF(AND($AA65=1,Vorrunde!$L13&lt;&gt;"",Vorrunde!$N13&lt;&gt;"",ABS(Vorrunde!$L13-Vorrunde!$N13)&gt;1),Vorrunde!$L13,"")</f>
        <v>23</v>
      </c>
      <c r="AE65" s="746">
        <f ca="1">IF(AND($AA65=1,Vorrunde!$L13&lt;&gt;"",Vorrunde!$N13&lt;&gt;"",ABS(Vorrunde!$L13-Vorrunde!$N13)&gt;1),Vorrunde!$N13,"")</f>
        <v>25</v>
      </c>
      <c r="AF65" s="747" t="str">
        <f ca="1">IF(AND($AA65=1,Vorrunde!$O13&lt;&gt;"",Vorrunde!$Q13&lt;&gt;"",ABS(Vorrunde!$O13-Vorrunde!$Q13)&gt;1),Vorrunde!$O13,"")</f>
        <v/>
      </c>
      <c r="AG65" s="746" t="str">
        <f ca="1">IF(AND($AA65=1,Vorrunde!$O13&lt;&gt;"",Vorrunde!$Q13&lt;&gt;"",ABS(Vorrunde!$O13-Vorrunde!$Q13)&gt;1),Vorrunde!$Q13,"")</f>
        <v/>
      </c>
      <c r="AH65" s="747">
        <f t="shared" ref="AH65:AH93" ca="1" si="68">IF(AA65&gt;0,SUM(X65,AD65,AF65),"")</f>
        <v>48</v>
      </c>
      <c r="AI65" s="746">
        <f t="shared" ref="AI65:AI93" ca="1" si="69">IF(AA65&gt;0,SUM(Y65,AE65,AG65),"")</f>
        <v>45</v>
      </c>
      <c r="AJ65" s="747">
        <f ca="1">IF(Vorrunde!$R13="",0,Vorrunde!$R13)</f>
        <v>1</v>
      </c>
      <c r="AK65" s="746">
        <f ca="1">IF(Vorrunde!$T13="",0,Vorrunde!$T13)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IF(Planung!$C$28="","",Planung!$C$28)</f>
        <v>SSV Wildbach</v>
      </c>
      <c r="R66" s="670"/>
      <c r="S66" s="670"/>
      <c r="T66" s="670"/>
      <c r="U66" s="742" t="s">
        <v>8</v>
      </c>
      <c r="V66" s="743" t="str">
        <f ca="1">Planung!$L8</f>
        <v>Eintracht Frankfurt</v>
      </c>
      <c r="W66" s="671" t="str">
        <f ca="1">Planung!$N8</f>
        <v>Maibach 1822 eV</v>
      </c>
      <c r="X66" s="671">
        <f ca="1">IF(AND($AA66=1,Vorrunde!$I14&lt;&gt;"",Vorrunde!$K14&lt;&gt;"",ABS(Vorrunde!$I14-Vorrunde!$K14)&gt;1),Vorrunde!$I14,"")</f>
        <v>25</v>
      </c>
      <c r="Y66" s="744">
        <f ca="1">IF(AND($AA66=1,Vorrunde!$I14&lt;&gt;"",Vorrunde!$K14&lt;&gt;"",ABS(Vorrunde!$I14-Vorrunde!$K14)&gt;1),Vorrunde!$K14,"")</f>
        <v>17</v>
      </c>
      <c r="Z66" s="745" t="str">
        <f t="shared" ca="1" si="67"/>
        <v>Eintracht FrankfurtMaibach 1822 eV</v>
      </c>
      <c r="AA66" s="671">
        <f ca="1">IF(AND(V66&lt;&gt;"",W66&lt;&gt;"",V66&lt;&gt;W66,Vorrunde!$R14&lt;&gt;"",Vorrunde!$T14&lt;&gt;""),1,0)</f>
        <v>1</v>
      </c>
      <c r="AB66" s="671" t="str">
        <f ca="1">IF(AA66&gt;0,AH66&amp;Sprache!$E$99&amp;AI66,"")</f>
        <v>50 : 36</v>
      </c>
      <c r="AC66" s="746" t="str">
        <f ca="1">IF(AA66&gt;0,AJ66&amp;Sprache!$E$99&amp;AK66,"")</f>
        <v>2 : 0</v>
      </c>
      <c r="AD66" s="747">
        <f ca="1">IF(AND($AA66=1,Vorrunde!$L14&lt;&gt;"",Vorrunde!$N14&lt;&gt;"",ABS(Vorrunde!$L14-Vorrunde!$N14)&gt;1),Vorrunde!$L14,"")</f>
        <v>25</v>
      </c>
      <c r="AE66" s="746">
        <f ca="1">IF(AND($AA66=1,Vorrunde!$L14&lt;&gt;"",Vorrunde!$N14&lt;&gt;"",ABS(Vorrunde!$L14-Vorrunde!$N14)&gt;1),Vorrunde!$N14,"")</f>
        <v>19</v>
      </c>
      <c r="AF66" s="747" t="str">
        <f ca="1">IF(AND($AA66=1,Vorrunde!$O14&lt;&gt;"",Vorrunde!$Q14&lt;&gt;"",ABS(Vorrunde!$O14-Vorrunde!$Q14)&gt;1),Vorrunde!$O14,"")</f>
        <v/>
      </c>
      <c r="AG66" s="746" t="str">
        <f ca="1">IF(AND($AA66=1,Vorrunde!$O14&lt;&gt;"",Vorrunde!$Q14&lt;&gt;"",ABS(Vorrunde!$O14-Vorrunde!$Q14)&gt;1),Vorrunde!$Q14,"")</f>
        <v/>
      </c>
      <c r="AH66" s="747">
        <f t="shared" ca="1" si="68"/>
        <v>50</v>
      </c>
      <c r="AI66" s="746">
        <f t="shared" ca="1" si="69"/>
        <v>36</v>
      </c>
      <c r="AJ66" s="747">
        <f ca="1">IF(Vorrunde!$R14="",0,Vorrunde!$R14)</f>
        <v>2</v>
      </c>
      <c r="AK66" s="746">
        <f ca="1">IF(Vorrunde!$T14="",0,Vorrunde!$T14)</f>
        <v>0</v>
      </c>
      <c r="AL66" s="747">
        <f ca="1">IF($AA66=0,"",IF($AJ66&gt;$AK66,Einstellungen!$C$4,IF($AJ66=$AK66,1,0)))</f>
        <v>2</v>
      </c>
      <c r="AM66" s="746">
        <f ca="1">IF($AA66=0,"",IF($AJ66&lt;$AK66,Einstellungen!$C$4,IF($AJ66=$AK66,1,0)))</f>
        <v>0</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IF(Planung!$C$30="","",Planung!$C$30)</f>
        <v>Manchester City</v>
      </c>
      <c r="R67" s="670"/>
      <c r="S67" s="670"/>
      <c r="T67" s="670"/>
      <c r="U67" s="742" t="s">
        <v>9</v>
      </c>
      <c r="V67" s="743" t="str">
        <f ca="1">Planung!$L9</f>
        <v>SSV Wildbach</v>
      </c>
      <c r="W67" s="671" t="str">
        <f ca="1">Planung!$N9</f>
        <v>Manchester City</v>
      </c>
      <c r="X67" s="671">
        <f ca="1">IF(AND($AA67=1,Vorrunde!$I15&lt;&gt;"",Vorrunde!$K15&lt;&gt;"",ABS(Vorrunde!$I15-Vorrunde!$K15)&gt;1),Vorrunde!$I15,"")</f>
        <v>25</v>
      </c>
      <c r="Y67" s="744">
        <f ca="1">IF(AND($AA67=1,Vorrunde!$I15&lt;&gt;"",Vorrunde!$K15&lt;&gt;"",ABS(Vorrunde!$I15-Vorrunde!$K15)&gt;1),Vorrunde!$K15,"")</f>
        <v>22</v>
      </c>
      <c r="Z67" s="745" t="str">
        <f t="shared" ca="1" si="67"/>
        <v>SSV WildbachManchester City</v>
      </c>
      <c r="AA67" s="671">
        <f ca="1">IF(AND(V67&lt;&gt;"",W67&lt;&gt;"",V67&lt;&gt;W67,Vorrunde!$R15&lt;&gt;"",Vorrunde!$T15&lt;&gt;""),1,0)</f>
        <v>1</v>
      </c>
      <c r="AB67" s="671" t="str">
        <f ca="1">IF(AA67&gt;0,AH67&amp;Sprache!$E$99&amp;AI67,"")</f>
        <v>50 : 42</v>
      </c>
      <c r="AC67" s="746" t="str">
        <f ca="1">IF(AA67&gt;0,AJ67&amp;Sprache!$E$99&amp;AK67,"")</f>
        <v>2 : 0</v>
      </c>
      <c r="AD67" s="747">
        <f ca="1">IF(AND($AA67=1,Vorrunde!$L15&lt;&gt;"",Vorrunde!$N15&lt;&gt;"",ABS(Vorrunde!$L15-Vorrunde!$N15)&gt;1),Vorrunde!$L15,"")</f>
        <v>25</v>
      </c>
      <c r="AE67" s="746">
        <f ca="1">IF(AND($AA67=1,Vorrunde!$L15&lt;&gt;"",Vorrunde!$N15&lt;&gt;"",ABS(Vorrunde!$L15-Vorrunde!$N15)&gt;1),Vorrunde!$N15,"")</f>
        <v>20</v>
      </c>
      <c r="AF67" s="747" t="str">
        <f ca="1">IF(AND($AA67=1,Vorrunde!$O15&lt;&gt;"",Vorrunde!$Q15&lt;&gt;"",ABS(Vorrunde!$O15-Vorrunde!$Q15)&gt;1),Vorrunde!$O15,"")</f>
        <v/>
      </c>
      <c r="AG67" s="746" t="str">
        <f ca="1">IF(AND($AA67=1,Vorrunde!$O15&lt;&gt;"",Vorrunde!$Q15&lt;&gt;"",ABS(Vorrunde!$O15-Vorrunde!$Q15)&gt;1),Vorrunde!$Q15,"")</f>
        <v/>
      </c>
      <c r="AH67" s="747">
        <f t="shared" ca="1" si="68"/>
        <v>50</v>
      </c>
      <c r="AI67" s="746">
        <f t="shared" ca="1" si="69"/>
        <v>42</v>
      </c>
      <c r="AJ67" s="747">
        <f ca="1">IF(Vorrunde!$R15="",0,Vorrunde!$R15)</f>
        <v>2</v>
      </c>
      <c r="AK67" s="746">
        <f ca="1">IF(Vorrunde!$T15="",0,Vorrunde!$T15)</f>
        <v>0</v>
      </c>
      <c r="AL67" s="747">
        <f ca="1">IF($AA67=0,"",IF($AJ67&gt;$AK67,Einstellungen!$C$4,IF($AJ67=$AK67,1,0)))</f>
        <v>2</v>
      </c>
      <c r="AM67" s="746">
        <f ca="1">IF($AA67=0,"",IF($AJ67&lt;$AK67,Einstellungen!$C$4,IF($AJ67=$AK67,1,0)))</f>
        <v>0</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t="s">
        <v>10</v>
      </c>
      <c r="Q68" s="741" t="str">
        <f>IF(Planung!$C$32="","",Planung!$C$32)</f>
        <v>FC Grönlingen</v>
      </c>
      <c r="R68" s="670"/>
      <c r="S68" s="670"/>
      <c r="T68" s="670"/>
      <c r="U68" s="742" t="s">
        <v>10</v>
      </c>
      <c r="V68" s="743" t="str">
        <f ca="1">Planung!$L10</f>
        <v>VFB Essenheim</v>
      </c>
      <c r="W68" s="671" t="str">
        <f ca="1">Planung!$N10</f>
        <v>1. FC Riedwald</v>
      </c>
      <c r="X68" s="671">
        <f ca="1">IF(AND($AA68=1,Vorrunde!$I16&lt;&gt;"",Vorrunde!$K16&lt;&gt;"",ABS(Vorrunde!$I16-Vorrunde!$K16)&gt;1),Vorrunde!$I16,"")</f>
        <v>25</v>
      </c>
      <c r="Y68" s="744">
        <f ca="1">IF(AND($AA68=1,Vorrunde!$I16&lt;&gt;"",Vorrunde!$K16&lt;&gt;"",ABS(Vorrunde!$I16-Vorrunde!$K16)&gt;1),Vorrunde!$K16,"")</f>
        <v>23</v>
      </c>
      <c r="Z68" s="745" t="str">
        <f t="shared" ca="1" si="67"/>
        <v>VFB Essenheim1. FC Riedwald</v>
      </c>
      <c r="AA68" s="671">
        <f ca="1">IF(AND(V68&lt;&gt;"",W68&lt;&gt;"",V68&lt;&gt;W68,Vorrunde!$R16&lt;&gt;"",Vorrunde!$T16&lt;&gt;""),1,0)</f>
        <v>1</v>
      </c>
      <c r="AB68" s="671" t="str">
        <f ca="1">IF(AA68&gt;0,AH68&amp;Sprache!$E$99&amp;AI68,"")</f>
        <v>50 : 44</v>
      </c>
      <c r="AC68" s="746" t="str">
        <f ca="1">IF(AA68&gt;0,AJ68&amp;Sprache!$E$99&amp;AK68,"")</f>
        <v>2 : 0</v>
      </c>
      <c r="AD68" s="747">
        <f ca="1">IF(AND($AA68=1,Vorrunde!$L16&lt;&gt;"",Vorrunde!$N16&lt;&gt;"",ABS(Vorrunde!$L16-Vorrunde!$N16)&gt;1),Vorrunde!$L16,"")</f>
        <v>25</v>
      </c>
      <c r="AE68" s="746">
        <f ca="1">IF(AND($AA68=1,Vorrunde!$L16&lt;&gt;"",Vorrunde!$N16&lt;&gt;"",ABS(Vorrunde!$L16-Vorrunde!$N16)&gt;1),Vorrunde!$N16,"")</f>
        <v>21</v>
      </c>
      <c r="AF68" s="747" t="str">
        <f ca="1">IF(AND($AA68=1,Vorrunde!$O16&lt;&gt;"",Vorrunde!$Q16&lt;&gt;"",ABS(Vorrunde!$O16-Vorrunde!$Q16)&gt;1),Vorrunde!$O16,"")</f>
        <v/>
      </c>
      <c r="AG68" s="746" t="str">
        <f ca="1">IF(AND($AA68=1,Vorrunde!$O16&lt;&gt;"",Vorrunde!$Q16&lt;&gt;"",ABS(Vorrunde!$O16-Vorrunde!$Q16)&gt;1),Vorrunde!$Q16,"")</f>
        <v/>
      </c>
      <c r="AH68" s="747">
        <f t="shared" ca="1" si="68"/>
        <v>50</v>
      </c>
      <c r="AI68" s="746">
        <f t="shared" ca="1" si="69"/>
        <v>44</v>
      </c>
      <c r="AJ68" s="747">
        <f ca="1">IF(Vorrunde!$R16="",0,Vorrunde!$R16)</f>
        <v>2</v>
      </c>
      <c r="AK68" s="746">
        <f ca="1">IF(Vorrunde!$T16="",0,Vorrunde!$T16)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t="s">
        <v>11</v>
      </c>
      <c r="Q69" s="741" t="str">
        <f>IF(Planung!$C$34="","",Planung!$C$34)</f>
        <v/>
      </c>
      <c r="R69" s="670"/>
      <c r="S69" s="670"/>
      <c r="T69" s="670"/>
      <c r="U69" s="742" t="s">
        <v>11</v>
      </c>
      <c r="V69" s="743" t="str">
        <f ca="1">Planung!$L11</f>
        <v>FC Grönlingen</v>
      </c>
      <c r="W69" s="671" t="str">
        <f ca="1">Planung!$N11</f>
        <v>Mainz 05</v>
      </c>
      <c r="X69" s="671">
        <f ca="1">IF(AND($AA69=1,Vorrunde!$I17&lt;&gt;"",Vorrunde!$K17&lt;&gt;"",ABS(Vorrunde!$I17-Vorrunde!$K17)&gt;1),Vorrunde!$I17,"")</f>
        <v>25</v>
      </c>
      <c r="Y69" s="744">
        <f ca="1">IF(AND($AA69=1,Vorrunde!$I17&lt;&gt;"",Vorrunde!$K17&lt;&gt;"",ABS(Vorrunde!$I17-Vorrunde!$K17)&gt;1),Vorrunde!$K17,"")</f>
        <v>17</v>
      </c>
      <c r="Z69" s="745" t="str">
        <f t="shared" ca="1" si="67"/>
        <v>FC GrönlingenMainz 05</v>
      </c>
      <c r="AA69" s="671">
        <f ca="1">IF(AND(V69&lt;&gt;"",W69&lt;&gt;"",V69&lt;&gt;W69,Vorrunde!$R17&lt;&gt;"",Vorrunde!$T17&lt;&gt;""),1,0)</f>
        <v>1</v>
      </c>
      <c r="AB69" s="671" t="str">
        <f ca="1">IF(AA69&gt;0,AH69&amp;Sprache!$E$99&amp;AI69,"")</f>
        <v>50 : 39</v>
      </c>
      <c r="AC69" s="746" t="str">
        <f ca="1">IF(AA69&gt;0,AJ69&amp;Sprache!$E$99&amp;AK69,"")</f>
        <v>2 : 0</v>
      </c>
      <c r="AD69" s="747">
        <f ca="1">IF(AND($AA69=1,Vorrunde!$L17&lt;&gt;"",Vorrunde!$N17&lt;&gt;"",ABS(Vorrunde!$L17-Vorrunde!$N17)&gt;1),Vorrunde!$L17,"")</f>
        <v>25</v>
      </c>
      <c r="AE69" s="746">
        <f ca="1">IF(AND($AA69=1,Vorrunde!$L17&lt;&gt;"",Vorrunde!$N17&lt;&gt;"",ABS(Vorrunde!$L17-Vorrunde!$N17)&gt;1),Vorrunde!$N17,"")</f>
        <v>22</v>
      </c>
      <c r="AF69" s="747" t="str">
        <f ca="1">IF(AND($AA69=1,Vorrunde!$O17&lt;&gt;"",Vorrunde!$Q17&lt;&gt;"",ABS(Vorrunde!$O17-Vorrunde!$Q17)&gt;1),Vorrunde!$O17,"")</f>
        <v/>
      </c>
      <c r="AG69" s="746" t="str">
        <f ca="1">IF(AND($AA69=1,Vorrunde!$O17&lt;&gt;"",Vorrunde!$Q17&lt;&gt;"",ABS(Vorrunde!$O17-Vorrunde!$Q17)&gt;1),Vorrunde!$Q17,"")</f>
        <v/>
      </c>
      <c r="AH69" s="747">
        <f t="shared" ca="1" si="68"/>
        <v>50</v>
      </c>
      <c r="AI69" s="746">
        <f t="shared" ca="1" si="69"/>
        <v>39</v>
      </c>
      <c r="AJ69" s="747">
        <f ca="1">IF(Vorrunde!$R17="",0,Vorrunde!$R17)</f>
        <v>2</v>
      </c>
      <c r="AK69" s="746">
        <f ca="1">IF(Vorrunde!$T17="",0,Vorrunde!$T17)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Planung!$L12</f>
        <v>FC Barcelona</v>
      </c>
      <c r="W70" s="671" t="str">
        <f ca="1">Planung!$N12</f>
        <v>Eintracht Frankfurt</v>
      </c>
      <c r="X70" s="671">
        <f ca="1">IF(AND($AA70=1,Vorrunde!$I18&lt;&gt;"",Vorrunde!$K18&lt;&gt;"",ABS(Vorrunde!$I18-Vorrunde!$K18)&gt;1),Vorrunde!$I18,"")</f>
        <v>23</v>
      </c>
      <c r="Y70" s="744">
        <f ca="1">IF(AND($AA70=1,Vorrunde!$I18&lt;&gt;"",Vorrunde!$K18&lt;&gt;"",ABS(Vorrunde!$I18-Vorrunde!$K18)&gt;1),Vorrunde!$K18,"")</f>
        <v>25</v>
      </c>
      <c r="Z70" s="745" t="str">
        <f t="shared" ca="1" si="67"/>
        <v>FC BarcelonaEintracht Frankfurt</v>
      </c>
      <c r="AA70" s="671">
        <f ca="1">IF(AND(V70&lt;&gt;"",W70&lt;&gt;"",V70&lt;&gt;W70,Vorrunde!$R18&lt;&gt;"",Vorrunde!$T18&lt;&gt;""),1,0)</f>
        <v>1</v>
      </c>
      <c r="AB70" s="671" t="str">
        <f ca="1">IF(AA70&gt;0,AH70&amp;Sprache!$E$99&amp;AI70,"")</f>
        <v>48 : 48</v>
      </c>
      <c r="AC70" s="746" t="str">
        <f ca="1">IF(AA70&gt;0,AJ70&amp;Sprache!$E$99&amp;AK70,"")</f>
        <v>1 : 1</v>
      </c>
      <c r="AD70" s="747">
        <f ca="1">IF(AND($AA70=1,Vorrunde!$L18&lt;&gt;"",Vorrunde!$N18&lt;&gt;"",ABS(Vorrunde!$L18-Vorrunde!$N18)&gt;1),Vorrunde!$L18,"")</f>
        <v>25</v>
      </c>
      <c r="AE70" s="746">
        <f ca="1">IF(AND($AA70=1,Vorrunde!$L18&lt;&gt;"",Vorrunde!$N18&lt;&gt;"",ABS(Vorrunde!$L18-Vorrunde!$N18)&gt;1),Vorrunde!$N18,"")</f>
        <v>23</v>
      </c>
      <c r="AF70" s="747" t="str">
        <f ca="1">IF(AND($AA70=1,Vorrunde!$O18&lt;&gt;"",Vorrunde!$Q18&lt;&gt;"",ABS(Vorrunde!$O18-Vorrunde!$Q18)&gt;1),Vorrunde!$O18,"")</f>
        <v/>
      </c>
      <c r="AG70" s="746" t="str">
        <f ca="1">IF(AND($AA70=1,Vorrunde!$O18&lt;&gt;"",Vorrunde!$Q18&lt;&gt;"",ABS(Vorrunde!$O18-Vorrunde!$Q18)&gt;1),Vorrunde!$Q18,"")</f>
        <v/>
      </c>
      <c r="AH70" s="747">
        <f t="shared" ca="1" si="68"/>
        <v>48</v>
      </c>
      <c r="AI70" s="746">
        <f t="shared" ca="1" si="69"/>
        <v>48</v>
      </c>
      <c r="AJ70" s="747">
        <f ca="1">IF(Vorrunde!$R18="",0,Vorrunde!$R18)</f>
        <v>1</v>
      </c>
      <c r="AK70" s="746">
        <f ca="1">IF(Vorrunde!$T18="",0,Vorrunde!$T18)</f>
        <v>1</v>
      </c>
      <c r="AL70" s="747">
        <f ca="1">IF($AA70=0,"",IF($AJ70&gt;$AK70,Einstellungen!$C$4,IF($AJ70=$AK70,1,0)))</f>
        <v>1</v>
      </c>
      <c r="AM70" s="746">
        <f ca="1">IF($AA70=0,"",IF($AJ70&lt;$AK70,Einstellungen!$C$4,IF($AJ70=$AK70,1,0)))</f>
        <v>1</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Planung!$L13</f>
        <v>Inter Mailand</v>
      </c>
      <c r="W71" s="671" t="str">
        <f ca="1">Planung!$N13</f>
        <v>SSV Wildbach</v>
      </c>
      <c r="X71" s="671">
        <f ca="1">IF(AND($AA71=1,Vorrunde!$I19&lt;&gt;"",Vorrunde!$K19&lt;&gt;"",ABS(Vorrunde!$I19-Vorrunde!$K19)&gt;1),Vorrunde!$I19,"")</f>
        <v>19</v>
      </c>
      <c r="Y71" s="744">
        <f ca="1">IF(AND($AA71=1,Vorrunde!$I19&lt;&gt;"",Vorrunde!$K19&lt;&gt;"",ABS(Vorrunde!$I19-Vorrunde!$K19)&gt;1),Vorrunde!$K19,"")</f>
        <v>25</v>
      </c>
      <c r="Z71" s="745" t="str">
        <f t="shared" ca="1" si="67"/>
        <v>Inter MailandSSV Wildbach</v>
      </c>
      <c r="AA71" s="671">
        <f ca="1">IF(AND(V71&lt;&gt;"",W71&lt;&gt;"",V71&lt;&gt;W71,Vorrunde!$R19&lt;&gt;"",Vorrunde!$T19&lt;&gt;""),1,0)</f>
        <v>1</v>
      </c>
      <c r="AB71" s="671" t="str">
        <f ca="1">IF(AA71&gt;0,AH71&amp;Sprache!$E$99&amp;AI71,"")</f>
        <v>44 : 37</v>
      </c>
      <c r="AC71" s="746" t="str">
        <f ca="1">IF(AA71&gt;0,AJ71&amp;Sprache!$E$99&amp;AK71,"")</f>
        <v>1 : 1</v>
      </c>
      <c r="AD71" s="747">
        <f ca="1">IF(AND($AA71=1,Vorrunde!$L19&lt;&gt;"",Vorrunde!$N19&lt;&gt;"",ABS(Vorrunde!$L19-Vorrunde!$N19)&gt;1),Vorrunde!$L19,"")</f>
        <v>25</v>
      </c>
      <c r="AE71" s="746">
        <f ca="1">IF(AND($AA71=1,Vorrunde!$L19&lt;&gt;"",Vorrunde!$N19&lt;&gt;"",ABS(Vorrunde!$L19-Vorrunde!$N19)&gt;1),Vorrunde!$N19,"")</f>
        <v>12</v>
      </c>
      <c r="AF71" s="747" t="str">
        <f ca="1">IF(AND($AA71=1,Vorrunde!$O19&lt;&gt;"",Vorrunde!$Q19&lt;&gt;"",ABS(Vorrunde!$O19-Vorrunde!$Q19)&gt;1),Vorrunde!$O19,"")</f>
        <v/>
      </c>
      <c r="AG71" s="746" t="str">
        <f ca="1">IF(AND($AA71=1,Vorrunde!$O19&lt;&gt;"",Vorrunde!$Q19&lt;&gt;"",ABS(Vorrunde!$O19-Vorrunde!$Q19)&gt;1),Vorrunde!$Q19,"")</f>
        <v/>
      </c>
      <c r="AH71" s="747">
        <f t="shared" ca="1" si="68"/>
        <v>44</v>
      </c>
      <c r="AI71" s="746">
        <f t="shared" ca="1" si="69"/>
        <v>37</v>
      </c>
      <c r="AJ71" s="747">
        <f ca="1">IF(Vorrunde!$R19="",0,Vorrunde!$R19)</f>
        <v>1</v>
      </c>
      <c r="AK71" s="746">
        <f ca="1">IF(Vorrunde!$T19="",0,Vorrunde!$T19)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Planung!$L14</f>
        <v>1. FC Riedwald</v>
      </c>
      <c r="W72" s="671" t="str">
        <f ca="1">Planung!$N14</f>
        <v>Maibach 1822 eV</v>
      </c>
      <c r="X72" s="671">
        <f ca="1">IF(AND($AA72=1,Vorrunde!$I20&lt;&gt;"",Vorrunde!$K20&lt;&gt;"",ABS(Vorrunde!$I20-Vorrunde!$K20)&gt;1),Vorrunde!$I20,"")</f>
        <v>16</v>
      </c>
      <c r="Y72" s="744">
        <f ca="1">IF(AND($AA72=1,Vorrunde!$I20&lt;&gt;"",Vorrunde!$K20&lt;&gt;"",ABS(Vorrunde!$I20-Vorrunde!$K20)&gt;1),Vorrunde!$K20,"")</f>
        <v>25</v>
      </c>
      <c r="Z72" s="745" t="str">
        <f t="shared" ca="1" si="67"/>
        <v>1. FC RiedwaldMaibach 1822 eV</v>
      </c>
      <c r="AA72" s="671">
        <f ca="1">IF(AND(V72&lt;&gt;"",W72&lt;&gt;"",V72&lt;&gt;W72,Vorrunde!$R20&lt;&gt;"",Vorrunde!$T20&lt;&gt;""),1,0)</f>
        <v>1</v>
      </c>
      <c r="AB72" s="671" t="str">
        <f ca="1">IF(AA72&gt;0,AH72&amp;Sprache!$E$99&amp;AI72,"")</f>
        <v>41 : 43</v>
      </c>
      <c r="AC72" s="746" t="str">
        <f ca="1">IF(AA72&gt;0,AJ72&amp;Sprache!$E$99&amp;AK72,"")</f>
        <v>1 : 1</v>
      </c>
      <c r="AD72" s="747">
        <f ca="1">IF(AND($AA72=1,Vorrunde!$L20&lt;&gt;"",Vorrunde!$N20&lt;&gt;"",ABS(Vorrunde!$L20-Vorrunde!$N20)&gt;1),Vorrunde!$L20,"")</f>
        <v>25</v>
      </c>
      <c r="AE72" s="746">
        <f ca="1">IF(AND($AA72=1,Vorrunde!$L20&lt;&gt;"",Vorrunde!$N20&lt;&gt;"",ABS(Vorrunde!$L20-Vorrunde!$N20)&gt;1),Vorrunde!$N20,"")</f>
        <v>18</v>
      </c>
      <c r="AF72" s="747" t="str">
        <f ca="1">IF(AND($AA72=1,Vorrunde!$O20&lt;&gt;"",Vorrunde!$Q20&lt;&gt;"",ABS(Vorrunde!$O20-Vorrunde!$Q20)&gt;1),Vorrunde!$O20,"")</f>
        <v/>
      </c>
      <c r="AG72" s="746" t="str">
        <f ca="1">IF(AND($AA72=1,Vorrunde!$O20&lt;&gt;"",Vorrunde!$Q20&lt;&gt;"",ABS(Vorrunde!$O20-Vorrunde!$Q20)&gt;1),Vorrunde!$Q20,"")</f>
        <v/>
      </c>
      <c r="AH72" s="747">
        <f t="shared" ca="1" si="68"/>
        <v>41</v>
      </c>
      <c r="AI72" s="746">
        <f t="shared" ca="1" si="69"/>
        <v>43</v>
      </c>
      <c r="AJ72" s="747">
        <f ca="1">IF(Vorrunde!$R20="",0,Vorrunde!$R20)</f>
        <v>1</v>
      </c>
      <c r="AK72" s="746">
        <f ca="1">IF(Vorrunde!$T20="",0,Vorrunde!$T20)</f>
        <v>1</v>
      </c>
      <c r="AL72" s="747">
        <f ca="1">IF($AA72=0,"",IF($AJ72&gt;$AK72,Einstellungen!$C$4,IF($AJ72=$AK72,1,0)))</f>
        <v>1</v>
      </c>
      <c r="AM72" s="746">
        <f ca="1">IF($AA72=0,"",IF($AJ72&lt;$AK72,Einstellungen!$C$4,IF($AJ72=$AK72,1,0)))</f>
        <v>1</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Planung!$L15</f>
        <v>Mainz 05</v>
      </c>
      <c r="W73" s="671" t="str">
        <f ca="1">Planung!$N15</f>
        <v>Manchester City</v>
      </c>
      <c r="X73" s="671">
        <f ca="1">IF(AND($AA73=1,Vorrunde!$I21&lt;&gt;"",Vorrunde!$K21&lt;&gt;"",ABS(Vorrunde!$I21-Vorrunde!$K21)&gt;1),Vorrunde!$I21,"")</f>
        <v>14</v>
      </c>
      <c r="Y73" s="744">
        <f ca="1">IF(AND($AA73=1,Vorrunde!$I21&lt;&gt;"",Vorrunde!$K21&lt;&gt;"",ABS(Vorrunde!$I21-Vorrunde!$K21)&gt;1),Vorrunde!$K21,"")</f>
        <v>25</v>
      </c>
      <c r="Z73" s="745" t="str">
        <f t="shared" ca="1" si="67"/>
        <v>Mainz 05Manchester City</v>
      </c>
      <c r="AA73" s="671">
        <f ca="1">IF(AND(V73&lt;&gt;"",W73&lt;&gt;"",V73&lt;&gt;W73,Vorrunde!$R21&lt;&gt;"",Vorrunde!$T21&lt;&gt;""),1,0)</f>
        <v>1</v>
      </c>
      <c r="AB73" s="671" t="str">
        <f ca="1">IF(AA73&gt;0,AH73&amp;Sprache!$E$99&amp;AI73,"")</f>
        <v>39 : 44</v>
      </c>
      <c r="AC73" s="746" t="str">
        <f ca="1">IF(AA73&gt;0,AJ73&amp;Sprache!$E$99&amp;AK73,"")</f>
        <v>1 : 1</v>
      </c>
      <c r="AD73" s="747">
        <f ca="1">IF(AND($AA73=1,Vorrunde!$L21&lt;&gt;"",Vorrunde!$N21&lt;&gt;"",ABS(Vorrunde!$L21-Vorrunde!$N21)&gt;1),Vorrunde!$L21,"")</f>
        <v>25</v>
      </c>
      <c r="AE73" s="746">
        <f ca="1">IF(AND($AA73=1,Vorrunde!$L21&lt;&gt;"",Vorrunde!$N21&lt;&gt;"",ABS(Vorrunde!$L21-Vorrunde!$N21)&gt;1),Vorrunde!$N21,"")</f>
        <v>19</v>
      </c>
      <c r="AF73" s="747" t="str">
        <f ca="1">IF(AND($AA73=1,Vorrunde!$O21&lt;&gt;"",Vorrunde!$Q21&lt;&gt;"",ABS(Vorrunde!$O21-Vorrunde!$Q21)&gt;1),Vorrunde!$O21,"")</f>
        <v/>
      </c>
      <c r="AG73" s="746" t="str">
        <f ca="1">IF(AND($AA73=1,Vorrunde!$O21&lt;&gt;"",Vorrunde!$Q21&lt;&gt;"",ABS(Vorrunde!$O21-Vorrunde!$Q21)&gt;1),Vorrunde!$Q21,"")</f>
        <v/>
      </c>
      <c r="AH73" s="747">
        <f t="shared" ca="1" si="68"/>
        <v>39</v>
      </c>
      <c r="AI73" s="746">
        <f t="shared" ca="1" si="69"/>
        <v>44</v>
      </c>
      <c r="AJ73" s="747">
        <f ca="1">IF(Vorrunde!$R21="",0,Vorrunde!$R21)</f>
        <v>1</v>
      </c>
      <c r="AK73" s="746">
        <f ca="1">IF(Vorrunde!$T21="",0,Vorrunde!$T21)</f>
        <v>1</v>
      </c>
      <c r="AL73" s="747">
        <f ca="1">IF($AA73=0,"",IF($AJ73&gt;$AK73,Einstellungen!$C$4,IF($AJ73=$AK73,1,0)))</f>
        <v>1</v>
      </c>
      <c r="AM73" s="746">
        <f ca="1">IF($AA73=0,"",IF($AJ73&lt;$AK73,Einstellungen!$C$4,IF($AJ73=$AK73,1,0)))</f>
        <v>1</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Planung!$L16</f>
        <v>Eintracht Frankfurt</v>
      </c>
      <c r="W74" s="671" t="str">
        <f ca="1">Planung!$N16</f>
        <v>VFB Essenheim</v>
      </c>
      <c r="X74" s="671">
        <f ca="1">IF(AND($AA74=1,Vorrunde!$I22&lt;&gt;"",Vorrunde!$K22&lt;&gt;"",ABS(Vorrunde!$I22-Vorrunde!$K22)&gt;1),Vorrunde!$I22,"")</f>
        <v>22</v>
      </c>
      <c r="Y74" s="744">
        <f ca="1">IF(AND($AA74=1,Vorrunde!$I22&lt;&gt;"",Vorrunde!$K22&lt;&gt;"",ABS(Vorrunde!$I22-Vorrunde!$K22)&gt;1),Vorrunde!$K22,"")</f>
        <v>25</v>
      </c>
      <c r="Z74" s="745" t="str">
        <f ca="1">V74&amp;W74</f>
        <v>Eintracht FrankfurtVFB Essenheim</v>
      </c>
      <c r="AA74" s="671">
        <f ca="1">IF(AND(V74&lt;&gt;"",W74&lt;&gt;"",V74&lt;&gt;W74,Vorrunde!$R22&lt;&gt;"",Vorrunde!$T22&lt;&gt;""),1,0)</f>
        <v>1</v>
      </c>
      <c r="AB74" s="671" t="str">
        <f ca="1">IF(AA74&gt;0,AH74&amp;Sprache!$E$99&amp;AI74,"")</f>
        <v>47 : 45</v>
      </c>
      <c r="AC74" s="746" t="str">
        <f ca="1">IF(AA74&gt;0,AJ74&amp;Sprache!$E$99&amp;AK74,"")</f>
        <v>1 : 1</v>
      </c>
      <c r="AD74" s="747">
        <f ca="1">IF(AND($AA74=1,Vorrunde!$L22&lt;&gt;"",Vorrunde!$N22&lt;&gt;"",ABS(Vorrunde!$L22-Vorrunde!$N22)&gt;1),Vorrunde!$L22,"")</f>
        <v>25</v>
      </c>
      <c r="AE74" s="746">
        <f ca="1">IF(AND($AA74=1,Vorrunde!$L22&lt;&gt;"",Vorrunde!$N22&lt;&gt;"",ABS(Vorrunde!$L22-Vorrunde!$N22)&gt;1),Vorrunde!$N22,"")</f>
        <v>20</v>
      </c>
      <c r="AF74" s="747" t="str">
        <f ca="1">IF(AND($AA74=1,Vorrunde!$O22&lt;&gt;"",Vorrunde!$Q22&lt;&gt;"",ABS(Vorrunde!$O22-Vorrunde!$Q22)&gt;1),Vorrunde!$O22,"")</f>
        <v/>
      </c>
      <c r="AG74" s="746" t="str">
        <f ca="1">IF(AND($AA74=1,Vorrunde!$O22&lt;&gt;"",Vorrunde!$Q22&lt;&gt;"",ABS(Vorrunde!$O22-Vorrunde!$Q22)&gt;1),Vorrunde!$Q22,"")</f>
        <v/>
      </c>
      <c r="AH74" s="747">
        <f t="shared" ca="1" si="68"/>
        <v>47</v>
      </c>
      <c r="AI74" s="746">
        <f t="shared" ca="1" si="69"/>
        <v>45</v>
      </c>
      <c r="AJ74" s="747">
        <f ca="1">IF(Vorrunde!$R22="",0,Vorrunde!$R22)</f>
        <v>1</v>
      </c>
      <c r="AK74" s="746">
        <f ca="1">IF(Vorrunde!$T22="",0,Vorrunde!$T22)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Planung!$L17</f>
        <v>SSV Wildbach</v>
      </c>
      <c r="W75" s="671" t="str">
        <f ca="1">Planung!$N17</f>
        <v>FC Grönlingen</v>
      </c>
      <c r="X75" s="671">
        <f ca="1">IF(AND($AA75=1,Vorrunde!$I23&lt;&gt;"",Vorrunde!$K23&lt;&gt;"",ABS(Vorrunde!$I23-Vorrunde!$K23)&gt;1),Vorrunde!$I23,"")</f>
        <v>19</v>
      </c>
      <c r="Y75" s="744">
        <f ca="1">IF(AND($AA75=1,Vorrunde!$I23&lt;&gt;"",Vorrunde!$K23&lt;&gt;"",ABS(Vorrunde!$I23-Vorrunde!$K23)&gt;1),Vorrunde!$K23,"")</f>
        <v>25</v>
      </c>
      <c r="Z75" s="745" t="str">
        <f t="shared" ref="Z75:Z93" ca="1" si="70">V75&amp;W75</f>
        <v>SSV WildbachFC Grönlingen</v>
      </c>
      <c r="AA75" s="671">
        <f ca="1">IF(AND(V75&lt;&gt;"",W75&lt;&gt;"",V75&lt;&gt;W75,Vorrunde!$R23&lt;&gt;"",Vorrunde!$T23&lt;&gt;""),1,0)</f>
        <v>1</v>
      </c>
      <c r="AB75" s="671" t="str">
        <f ca="1">IF(AA75&gt;0,AH75&amp;Sprache!$E$99&amp;AI75,"")</f>
        <v>44 : 44</v>
      </c>
      <c r="AC75" s="746" t="str">
        <f ca="1">IF(AA75&gt;0,AJ75&amp;Sprache!$E$99&amp;AK75,"")</f>
        <v>1 : 1</v>
      </c>
      <c r="AD75" s="747">
        <f ca="1">IF(AND($AA75=1,Vorrunde!$L23&lt;&gt;"",Vorrunde!$N23&lt;&gt;"",ABS(Vorrunde!$L23-Vorrunde!$N23)&gt;1),Vorrunde!$L23,"")</f>
        <v>25</v>
      </c>
      <c r="AE75" s="746">
        <f ca="1">IF(AND($AA75=1,Vorrunde!$L23&lt;&gt;"",Vorrunde!$N23&lt;&gt;"",ABS(Vorrunde!$L23-Vorrunde!$N23)&gt;1),Vorrunde!$N23,"")</f>
        <v>19</v>
      </c>
      <c r="AF75" s="747" t="str">
        <f ca="1">IF(AND($AA75=1,Vorrunde!$O23&lt;&gt;"",Vorrunde!$Q23&lt;&gt;"",ABS(Vorrunde!$O23-Vorrunde!$Q23)&gt;1),Vorrunde!$O23,"")</f>
        <v/>
      </c>
      <c r="AG75" s="746" t="str">
        <f ca="1">IF(AND($AA75=1,Vorrunde!$O23&lt;&gt;"",Vorrunde!$Q23&lt;&gt;"",ABS(Vorrunde!$O23-Vorrunde!$Q23)&gt;1),Vorrunde!$Q23,"")</f>
        <v/>
      </c>
      <c r="AH75" s="747">
        <f t="shared" ca="1" si="68"/>
        <v>44</v>
      </c>
      <c r="AI75" s="746">
        <f t="shared" ca="1" si="69"/>
        <v>44</v>
      </c>
      <c r="AJ75" s="747">
        <f ca="1">IF(Vorrunde!$R23="",0,Vorrunde!$R23)</f>
        <v>1</v>
      </c>
      <c r="AK75" s="746">
        <f ca="1">IF(Vorrunde!$T23="",0,Vorrunde!$T23)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Planung!$L18</f>
        <v>FC Barcelona</v>
      </c>
      <c r="W76" s="671" t="str">
        <f ca="1">Planung!$N18</f>
        <v>Maibach 1822 eV</v>
      </c>
      <c r="X76" s="671">
        <f ca="1">IF(AND($AA76=1,Vorrunde!$I24&lt;&gt;"",Vorrunde!$K24&lt;&gt;"",ABS(Vorrunde!$I24-Vorrunde!$K24)&gt;1),Vorrunde!$I24,"")</f>
        <v>17</v>
      </c>
      <c r="Y76" s="744">
        <f ca="1">IF(AND($AA76=1,Vorrunde!$I24&lt;&gt;"",Vorrunde!$K24&lt;&gt;"",ABS(Vorrunde!$I24-Vorrunde!$K24)&gt;1),Vorrunde!$K24,"")</f>
        <v>25</v>
      </c>
      <c r="Z76" s="745" t="str">
        <f t="shared" ca="1" si="70"/>
        <v>FC BarcelonaMaibach 1822 eV</v>
      </c>
      <c r="AA76" s="671">
        <f ca="1">IF(AND(V76&lt;&gt;"",W76&lt;&gt;"",V76&lt;&gt;W76,Vorrunde!$R24&lt;&gt;"",Vorrunde!$T24&lt;&gt;""),1,0)</f>
        <v>1</v>
      </c>
      <c r="AB76" s="671" t="str">
        <f ca="1">IF(AA76&gt;0,AH76&amp;Sprache!$E$99&amp;AI76,"")</f>
        <v>29 : 50</v>
      </c>
      <c r="AC76" s="746" t="str">
        <f ca="1">IF(AA76&gt;0,AJ76&amp;Sprache!$E$99&amp;AK76,"")</f>
        <v>0 : 2</v>
      </c>
      <c r="AD76" s="747">
        <f ca="1">IF(AND($AA76=1,Vorrunde!$L24&lt;&gt;"",Vorrunde!$N24&lt;&gt;"",ABS(Vorrunde!$L24-Vorrunde!$N24)&gt;1),Vorrunde!$L24,"")</f>
        <v>12</v>
      </c>
      <c r="AE76" s="746">
        <f ca="1">IF(AND($AA76=1,Vorrunde!$L24&lt;&gt;"",Vorrunde!$N24&lt;&gt;"",ABS(Vorrunde!$L24-Vorrunde!$N24)&gt;1),Vorrunde!$N24,"")</f>
        <v>25</v>
      </c>
      <c r="AF76" s="747" t="str">
        <f ca="1">IF(AND($AA76=1,Vorrunde!$O24&lt;&gt;"",Vorrunde!$Q24&lt;&gt;"",ABS(Vorrunde!$O24-Vorrunde!$Q24)&gt;1),Vorrunde!$O24,"")</f>
        <v/>
      </c>
      <c r="AG76" s="746" t="str">
        <f ca="1">IF(AND($AA76=1,Vorrunde!$O24&lt;&gt;"",Vorrunde!$Q24&lt;&gt;"",ABS(Vorrunde!$O24-Vorrunde!$Q24)&gt;1),Vorrunde!$Q24,"")</f>
        <v/>
      </c>
      <c r="AH76" s="747">
        <f t="shared" ca="1" si="68"/>
        <v>29</v>
      </c>
      <c r="AI76" s="746">
        <f t="shared" ca="1" si="69"/>
        <v>50</v>
      </c>
      <c r="AJ76" s="747">
        <f ca="1">IF(Vorrunde!$R24="",0,Vorrunde!$R24)</f>
        <v>0</v>
      </c>
      <c r="AK76" s="746">
        <f ca="1">IF(Vorrunde!$T24="",0,Vorrunde!$T24)</f>
        <v>2</v>
      </c>
      <c r="AL76" s="747">
        <f ca="1">IF($AA76=0,"",IF($AJ76&gt;$AK76,Einstellungen!$C$4,IF($AJ76=$AK76,1,0)))</f>
        <v>0</v>
      </c>
      <c r="AM76" s="746">
        <f ca="1">IF($AA76=0,"",IF($AJ76&lt;$AK76,Einstellungen!$C$4,IF($AJ76=$AK76,1,0)))</f>
        <v>2</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Planung!$L19</f>
        <v>Inter Mailand</v>
      </c>
      <c r="W77" s="671" t="str">
        <f ca="1">Planung!$N19</f>
        <v>Manchester City</v>
      </c>
      <c r="X77" s="671">
        <f ca="1">IF(AND($AA77=1,Vorrunde!$I25&lt;&gt;"",Vorrunde!$K25&lt;&gt;"",ABS(Vorrunde!$I25-Vorrunde!$K25)&gt;1),Vorrunde!$I25,"")</f>
        <v>14</v>
      </c>
      <c r="Y77" s="744">
        <f ca="1">IF(AND($AA77=1,Vorrunde!$I25&lt;&gt;"",Vorrunde!$K25&lt;&gt;"",ABS(Vorrunde!$I25-Vorrunde!$K25)&gt;1),Vorrunde!$K25,"")</f>
        <v>25</v>
      </c>
      <c r="Z77" s="745" t="str">
        <f t="shared" ca="1" si="70"/>
        <v>Inter MailandManchester City</v>
      </c>
      <c r="AA77" s="671">
        <f ca="1">IF(AND(V77&lt;&gt;"",W77&lt;&gt;"",V77&lt;&gt;W77,Vorrunde!$R25&lt;&gt;"",Vorrunde!$T25&lt;&gt;""),1,0)</f>
        <v>1</v>
      </c>
      <c r="AB77" s="671" t="str">
        <f ca="1">IF(AA77&gt;0,AH77&amp;Sprache!$E$99&amp;AI77,"")</f>
        <v>39 : 48</v>
      </c>
      <c r="AC77" s="746" t="str">
        <f ca="1">IF(AA77&gt;0,AJ77&amp;Sprache!$E$99&amp;AK77,"")</f>
        <v>1 : 1</v>
      </c>
      <c r="AD77" s="747">
        <f ca="1">IF(AND($AA77=1,Vorrunde!$L25&lt;&gt;"",Vorrunde!$N25&lt;&gt;"",ABS(Vorrunde!$L25-Vorrunde!$N25)&gt;1),Vorrunde!$L25,"")</f>
        <v>25</v>
      </c>
      <c r="AE77" s="746">
        <f ca="1">IF(AND($AA77=1,Vorrunde!$L25&lt;&gt;"",Vorrunde!$N25&lt;&gt;"",ABS(Vorrunde!$L25-Vorrunde!$N25)&gt;1),Vorrunde!$N25,"")</f>
        <v>23</v>
      </c>
      <c r="AF77" s="747" t="str">
        <f ca="1">IF(AND($AA77=1,Vorrunde!$O25&lt;&gt;"",Vorrunde!$Q25&lt;&gt;"",ABS(Vorrunde!$O25-Vorrunde!$Q25)&gt;1),Vorrunde!$O25,"")</f>
        <v/>
      </c>
      <c r="AG77" s="746" t="str">
        <f ca="1">IF(AND($AA77=1,Vorrunde!$O25&lt;&gt;"",Vorrunde!$Q25&lt;&gt;"",ABS(Vorrunde!$O25-Vorrunde!$Q25)&gt;1),Vorrunde!$Q25,"")</f>
        <v/>
      </c>
      <c r="AH77" s="747">
        <f t="shared" ca="1" si="68"/>
        <v>39</v>
      </c>
      <c r="AI77" s="746">
        <f t="shared" ca="1" si="69"/>
        <v>48</v>
      </c>
      <c r="AJ77" s="747">
        <f ca="1">IF(Vorrunde!$R25="",0,Vorrunde!$R25)</f>
        <v>1</v>
      </c>
      <c r="AK77" s="746">
        <f ca="1">IF(Vorrunde!$T25="",0,Vorrunde!$T25)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Planung!$L20</f>
        <v>Eintracht Frankfurt</v>
      </c>
      <c r="W78" s="671" t="str">
        <f ca="1">Planung!$N20</f>
        <v>1. FC Riedwald</v>
      </c>
      <c r="X78" s="671">
        <f ca="1">IF(AND($AA78=1,Vorrunde!$I26&lt;&gt;"",Vorrunde!$K26&lt;&gt;"",ABS(Vorrunde!$I26-Vorrunde!$K26)&gt;1),Vorrunde!$I26,"")</f>
        <v>21</v>
      </c>
      <c r="Y78" s="744">
        <f ca="1">IF(AND($AA78=1,Vorrunde!$I26&lt;&gt;"",Vorrunde!$K26&lt;&gt;"",ABS(Vorrunde!$I26-Vorrunde!$K26)&gt;1),Vorrunde!$K26,"")</f>
        <v>25</v>
      </c>
      <c r="Z78" s="745" t="str">
        <f t="shared" ca="1" si="70"/>
        <v>Eintracht Frankfurt1. FC Riedwald</v>
      </c>
      <c r="AA78" s="671">
        <f ca="1">IF(AND(V78&lt;&gt;"",W78&lt;&gt;"",V78&lt;&gt;W78,Vorrunde!$R26&lt;&gt;"",Vorrunde!$T26&lt;&gt;""),1,0)</f>
        <v>1</v>
      </c>
      <c r="AB78" s="671" t="str">
        <f ca="1">IF(AA78&gt;0,AH78&amp;Sprache!$E$99&amp;AI78,"")</f>
        <v>46 : 42</v>
      </c>
      <c r="AC78" s="746" t="str">
        <f ca="1">IF(AA78&gt;0,AJ78&amp;Sprache!$E$99&amp;AK78,"")</f>
        <v>1 : 1</v>
      </c>
      <c r="AD78" s="747">
        <f ca="1">IF(AND($AA78=1,Vorrunde!$L26&lt;&gt;"",Vorrunde!$N26&lt;&gt;"",ABS(Vorrunde!$L26-Vorrunde!$N26)&gt;1),Vorrunde!$L26,"")</f>
        <v>25</v>
      </c>
      <c r="AE78" s="746">
        <f ca="1">IF(AND($AA78=1,Vorrunde!$L26&lt;&gt;"",Vorrunde!$N26&lt;&gt;"",ABS(Vorrunde!$L26-Vorrunde!$N26)&gt;1),Vorrunde!$N26,"")</f>
        <v>17</v>
      </c>
      <c r="AF78" s="747" t="str">
        <f ca="1">IF(AND($AA78=1,Vorrunde!$O26&lt;&gt;"",Vorrunde!$Q26&lt;&gt;"",ABS(Vorrunde!$O26-Vorrunde!$Q26)&gt;1),Vorrunde!$O26,"")</f>
        <v/>
      </c>
      <c r="AG78" s="746" t="str">
        <f ca="1">IF(AND($AA78=1,Vorrunde!$O26&lt;&gt;"",Vorrunde!$Q26&lt;&gt;"",ABS(Vorrunde!$O26-Vorrunde!$Q26)&gt;1),Vorrunde!$Q26,"")</f>
        <v/>
      </c>
      <c r="AH78" s="747">
        <f t="shared" ca="1" si="68"/>
        <v>46</v>
      </c>
      <c r="AI78" s="746">
        <f t="shared" ca="1" si="69"/>
        <v>42</v>
      </c>
      <c r="AJ78" s="747">
        <f ca="1">IF(Vorrunde!$R26="",0,Vorrunde!$R26)</f>
        <v>1</v>
      </c>
      <c r="AK78" s="746">
        <f ca="1">IF(Vorrunde!$T26="",0,Vorrunde!$T26)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Planung!$L21</f>
        <v>SSV Wildbach</v>
      </c>
      <c r="W79" s="671" t="str">
        <f ca="1">Planung!$N21</f>
        <v>Mainz 05</v>
      </c>
      <c r="X79" s="671">
        <f ca="1">IF(AND($AA79=1,Vorrunde!$I27&lt;&gt;"",Vorrunde!$K27&lt;&gt;"",ABS(Vorrunde!$I27-Vorrunde!$K27)&gt;1),Vorrunde!$I27,"")</f>
        <v>20</v>
      </c>
      <c r="Y79" s="744">
        <f ca="1">IF(AND($AA79=1,Vorrunde!$I27&lt;&gt;"",Vorrunde!$K27&lt;&gt;"",ABS(Vorrunde!$I27-Vorrunde!$K27)&gt;1),Vorrunde!$K27,"")</f>
        <v>25</v>
      </c>
      <c r="Z79" s="745" t="str">
        <f t="shared" ca="1" si="70"/>
        <v>SSV WildbachMainz 05</v>
      </c>
      <c r="AA79" s="671">
        <f ca="1">IF(AND(V79&lt;&gt;"",W79&lt;&gt;"",V79&lt;&gt;W79,Vorrunde!$R27&lt;&gt;"",Vorrunde!$T27&lt;&gt;""),1,0)</f>
        <v>1</v>
      </c>
      <c r="AB79" s="671" t="str">
        <f ca="1">IF(AA79&gt;0,AH79&amp;Sprache!$E$99&amp;AI79,"")</f>
        <v>38 : 50</v>
      </c>
      <c r="AC79" s="746" t="str">
        <f ca="1">IF(AA79&gt;0,AJ79&amp;Sprache!$E$99&amp;AK79,"")</f>
        <v>0 : 2</v>
      </c>
      <c r="AD79" s="747">
        <f ca="1">IF(AND($AA79=1,Vorrunde!$L27&lt;&gt;"",Vorrunde!$N27&lt;&gt;"",ABS(Vorrunde!$L27-Vorrunde!$N27)&gt;1),Vorrunde!$L27,"")</f>
        <v>18</v>
      </c>
      <c r="AE79" s="746">
        <f ca="1">IF(AND($AA79=1,Vorrunde!$L27&lt;&gt;"",Vorrunde!$N27&lt;&gt;"",ABS(Vorrunde!$L27-Vorrunde!$N27)&gt;1),Vorrunde!$N27,"")</f>
        <v>25</v>
      </c>
      <c r="AF79" s="747" t="str">
        <f ca="1">IF(AND($AA79=1,Vorrunde!$O27&lt;&gt;"",Vorrunde!$Q27&lt;&gt;"",ABS(Vorrunde!$O27-Vorrunde!$Q27)&gt;1),Vorrunde!$O27,"")</f>
        <v/>
      </c>
      <c r="AG79" s="746" t="str">
        <f ca="1">IF(AND($AA79=1,Vorrunde!$O27&lt;&gt;"",Vorrunde!$Q27&lt;&gt;"",ABS(Vorrunde!$O27-Vorrunde!$Q27)&gt;1),Vorrunde!$Q27,"")</f>
        <v/>
      </c>
      <c r="AH79" s="747">
        <f t="shared" ca="1" si="68"/>
        <v>38</v>
      </c>
      <c r="AI79" s="746">
        <f t="shared" ca="1" si="69"/>
        <v>50</v>
      </c>
      <c r="AJ79" s="747">
        <f ca="1">IF(Vorrunde!$R27="",0,Vorrunde!$R27)</f>
        <v>0</v>
      </c>
      <c r="AK79" s="746">
        <f ca="1">IF(Vorrunde!$T27="",0,Vorrunde!$T27)</f>
        <v>2</v>
      </c>
      <c r="AL79" s="747">
        <f ca="1">IF($AA79=0,"",IF($AJ79&gt;$AK79,Einstellungen!$C$4,IF($AJ79=$AK79,1,0)))</f>
        <v>0</v>
      </c>
      <c r="AM79" s="746">
        <f ca="1">IF($AA79=0,"",IF($AJ79&lt;$AK79,Einstellungen!$C$4,IF($AJ79=$AK79,1,0)))</f>
        <v>2</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Planung!$L22</f>
        <v>Maibach 1822 eV</v>
      </c>
      <c r="W80" s="671" t="str">
        <f ca="1">Planung!$N22</f>
        <v>VFB Essenheim</v>
      </c>
      <c r="X80" s="671">
        <f ca="1">IF(AND($AA80=1,Vorrunde!$I28&lt;&gt;"",Vorrunde!$K28&lt;&gt;"",ABS(Vorrunde!$I28-Vorrunde!$K28)&gt;1),Vorrunde!$I28,"")</f>
        <v>25</v>
      </c>
      <c r="Y80" s="744">
        <f ca="1">IF(AND($AA80=1,Vorrunde!$I28&lt;&gt;"",Vorrunde!$K28&lt;&gt;"",ABS(Vorrunde!$I28-Vorrunde!$K28)&gt;1),Vorrunde!$K28,"")</f>
        <v>21</v>
      </c>
      <c r="Z80" s="745" t="str">
        <f t="shared" ca="1" si="70"/>
        <v>Maibach 1822 eVVFB Essenheim</v>
      </c>
      <c r="AA80" s="671">
        <f ca="1">IF(AND(V80&lt;&gt;"",W80&lt;&gt;"",V80&lt;&gt;W80,Vorrunde!$R28&lt;&gt;"",Vorrunde!$T28&lt;&gt;""),1,0)</f>
        <v>1</v>
      </c>
      <c r="AB80" s="671" t="str">
        <f ca="1">IF(AA80&gt;0,AH80&amp;Sprache!$E$99&amp;AI80,"")</f>
        <v>50 : 40</v>
      </c>
      <c r="AC80" s="746" t="str">
        <f ca="1">IF(AA80&gt;0,AJ80&amp;Sprache!$E$99&amp;AK80,"")</f>
        <v>2 : 0</v>
      </c>
      <c r="AD80" s="747">
        <f ca="1">IF(AND($AA80=1,Vorrunde!$L28&lt;&gt;"",Vorrunde!$N28&lt;&gt;"",ABS(Vorrunde!$L28-Vorrunde!$N28)&gt;1),Vorrunde!$L28,"")</f>
        <v>25</v>
      </c>
      <c r="AE80" s="746">
        <f ca="1">IF(AND($AA80=1,Vorrunde!$L28&lt;&gt;"",Vorrunde!$N28&lt;&gt;"",ABS(Vorrunde!$L28-Vorrunde!$N28)&gt;1),Vorrunde!$N28,"")</f>
        <v>19</v>
      </c>
      <c r="AF80" s="747" t="str">
        <f ca="1">IF(AND($AA80=1,Vorrunde!$O28&lt;&gt;"",Vorrunde!$Q28&lt;&gt;"",ABS(Vorrunde!$O28-Vorrunde!$Q28)&gt;1),Vorrunde!$O28,"")</f>
        <v/>
      </c>
      <c r="AG80" s="746" t="str">
        <f ca="1">IF(AND($AA80=1,Vorrunde!$O28&lt;&gt;"",Vorrunde!$Q28&lt;&gt;"",ABS(Vorrunde!$O28-Vorrunde!$Q28)&gt;1),Vorrunde!$Q28,"")</f>
        <v/>
      </c>
      <c r="AH80" s="747">
        <f t="shared" ca="1" si="68"/>
        <v>50</v>
      </c>
      <c r="AI80" s="746">
        <f t="shared" ca="1" si="69"/>
        <v>40</v>
      </c>
      <c r="AJ80" s="747">
        <f ca="1">IF(Vorrunde!$R28="",0,Vorrunde!$R28)</f>
        <v>2</v>
      </c>
      <c r="AK80" s="746">
        <f ca="1">IF(Vorrunde!$T28="",0,Vorrunde!$T28)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x14ac:dyDescent="0.2">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Planung!$L23</f>
        <v>Manchester City</v>
      </c>
      <c r="W81" s="671" t="str">
        <f ca="1">Planung!$N23</f>
        <v>FC Grönlingen</v>
      </c>
      <c r="X81" s="671">
        <f ca="1">IF(AND($AA81=1,Vorrunde!$I29&lt;&gt;"",Vorrunde!$K29&lt;&gt;"",ABS(Vorrunde!$I29-Vorrunde!$K29)&gt;1),Vorrunde!$I29,"")</f>
        <v>25</v>
      </c>
      <c r="Y81" s="744">
        <f ca="1">IF(AND($AA81=1,Vorrunde!$I29&lt;&gt;"",Vorrunde!$K29&lt;&gt;"",ABS(Vorrunde!$I29-Vorrunde!$K29)&gt;1),Vorrunde!$K29,"")</f>
        <v>12</v>
      </c>
      <c r="Z81" s="745" t="str">
        <f t="shared" ca="1" si="70"/>
        <v>Manchester CityFC Grönlingen</v>
      </c>
      <c r="AA81" s="671">
        <f ca="1">IF(AND(V81&lt;&gt;"",W81&lt;&gt;"",V81&lt;&gt;W81,Vorrunde!$R29&lt;&gt;"",Vorrunde!$T29&lt;&gt;""),1,0)</f>
        <v>1</v>
      </c>
      <c r="AB81" s="671" t="str">
        <f ca="1">IF(AA81&gt;0,AH81&amp;Sprache!$E$99&amp;AI81,"")</f>
        <v>50 : 32</v>
      </c>
      <c r="AC81" s="746" t="str">
        <f ca="1">IF(AA81&gt;0,AJ81&amp;Sprache!$E$99&amp;AK81,"")</f>
        <v>2 : 0</v>
      </c>
      <c r="AD81" s="747">
        <f ca="1">IF(AND($AA81=1,Vorrunde!$L29&lt;&gt;"",Vorrunde!$N29&lt;&gt;"",ABS(Vorrunde!$L29-Vorrunde!$N29)&gt;1),Vorrunde!$L29,"")</f>
        <v>25</v>
      </c>
      <c r="AE81" s="746">
        <f ca="1">IF(AND($AA81=1,Vorrunde!$L29&lt;&gt;"",Vorrunde!$N29&lt;&gt;"",ABS(Vorrunde!$L29-Vorrunde!$N29)&gt;1),Vorrunde!$N29,"")</f>
        <v>20</v>
      </c>
      <c r="AF81" s="747" t="str">
        <f ca="1">IF(AND($AA81=1,Vorrunde!$O29&lt;&gt;"",Vorrunde!$Q29&lt;&gt;"",ABS(Vorrunde!$O29-Vorrunde!$Q29)&gt;1),Vorrunde!$O29,"")</f>
        <v/>
      </c>
      <c r="AG81" s="746" t="str">
        <f ca="1">IF(AND($AA81=1,Vorrunde!$O29&lt;&gt;"",Vorrunde!$Q29&lt;&gt;"",ABS(Vorrunde!$O29-Vorrunde!$Q29)&gt;1),Vorrunde!$Q29,"")</f>
        <v/>
      </c>
      <c r="AH81" s="747">
        <f t="shared" ca="1" si="68"/>
        <v>50</v>
      </c>
      <c r="AI81" s="746">
        <f t="shared" ca="1" si="69"/>
        <v>32</v>
      </c>
      <c r="AJ81" s="747">
        <f ca="1">IF(Vorrunde!$R29="",0,Vorrunde!$R29)</f>
        <v>2</v>
      </c>
      <c r="AK81" s="746">
        <f ca="1">IF(Vorrunde!$T29="",0,Vorrunde!$T29)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x14ac:dyDescent="0.2">
      <c r="A82" s="670"/>
      <c r="B82" s="691"/>
      <c r="C82" s="691"/>
      <c r="D82" s="691"/>
      <c r="E82" s="691"/>
      <c r="F82" s="671"/>
      <c r="G82" s="671"/>
      <c r="H82" s="671"/>
      <c r="I82" s="671"/>
      <c r="J82" s="671"/>
      <c r="K82" s="671"/>
      <c r="L82" s="671"/>
      <c r="M82" s="671"/>
      <c r="N82" s="670"/>
      <c r="O82" s="670"/>
      <c r="P82" s="670"/>
      <c r="Q82" s="670"/>
      <c r="R82" s="670"/>
      <c r="S82" s="670"/>
      <c r="T82" s="670"/>
      <c r="U82" s="742" t="s">
        <v>33</v>
      </c>
      <c r="V82" s="743" t="str">
        <f ca="1">Planung!$L24</f>
        <v>1. FC Riedwald</v>
      </c>
      <c r="W82" s="671" t="str">
        <f ca="1">Planung!$N24</f>
        <v>FC Barcelona</v>
      </c>
      <c r="X82" s="671">
        <f ca="1">IF(AND($AA82=1,Vorrunde!$I30&lt;&gt;"",Vorrunde!$K30&lt;&gt;"",ABS(Vorrunde!$I30-Vorrunde!$K30)&gt;1),Vorrunde!$I30,"")</f>
        <v>25</v>
      </c>
      <c r="Y82" s="744">
        <f ca="1">IF(AND($AA82=1,Vorrunde!$I30&lt;&gt;"",Vorrunde!$K30&lt;&gt;"",ABS(Vorrunde!$I30-Vorrunde!$K30)&gt;1),Vorrunde!$K30,"")</f>
        <v>16</v>
      </c>
      <c r="Z82" s="745" t="str">
        <f t="shared" ca="1" si="70"/>
        <v>1. FC RiedwaldFC Barcelona</v>
      </c>
      <c r="AA82" s="671">
        <f ca="1">IF(AND(V82&lt;&gt;"",W82&lt;&gt;"",V82&lt;&gt;W82,Vorrunde!$R30&lt;&gt;"",Vorrunde!$T30&lt;&gt;""),1,0)</f>
        <v>1</v>
      </c>
      <c r="AB82" s="671" t="str">
        <f ca="1">IF(AA82&gt;0,AH82&amp;Sprache!$E$99&amp;AI82,"")</f>
        <v>50 : 37</v>
      </c>
      <c r="AC82" s="746" t="str">
        <f ca="1">IF(AA82&gt;0,AJ82&amp;Sprache!$E$99&amp;AK82,"")</f>
        <v>2 : 0</v>
      </c>
      <c r="AD82" s="747">
        <f ca="1">IF(AND($AA82=1,Vorrunde!$L30&lt;&gt;"",Vorrunde!$N30&lt;&gt;"",ABS(Vorrunde!$L30-Vorrunde!$N30)&gt;1),Vorrunde!$L30,"")</f>
        <v>25</v>
      </c>
      <c r="AE82" s="746">
        <f ca="1">IF(AND($AA82=1,Vorrunde!$L30&lt;&gt;"",Vorrunde!$N30&lt;&gt;"",ABS(Vorrunde!$L30-Vorrunde!$N30)&gt;1),Vorrunde!$N30,"")</f>
        <v>21</v>
      </c>
      <c r="AF82" s="747" t="str">
        <f ca="1">IF(AND($AA82=1,Vorrunde!$O30&lt;&gt;"",Vorrunde!$Q30&lt;&gt;"",ABS(Vorrunde!$O30-Vorrunde!$Q30)&gt;1),Vorrunde!$O30,"")</f>
        <v/>
      </c>
      <c r="AG82" s="746" t="str">
        <f ca="1">IF(AND($AA82=1,Vorrunde!$O30&lt;&gt;"",Vorrunde!$Q30&lt;&gt;"",ABS(Vorrunde!$O30-Vorrunde!$Q30)&gt;1),Vorrunde!$Q30,"")</f>
        <v/>
      </c>
      <c r="AH82" s="747">
        <f t="shared" ca="1" si="68"/>
        <v>50</v>
      </c>
      <c r="AI82" s="746">
        <f t="shared" ca="1" si="69"/>
        <v>37</v>
      </c>
      <c r="AJ82" s="747">
        <f ca="1">IF(Vorrunde!$R30="",0,Vorrunde!$R30)</f>
        <v>2</v>
      </c>
      <c r="AK82" s="746">
        <f ca="1">IF(Vorrunde!$T30="",0,Vorrunde!$T30)</f>
        <v>0</v>
      </c>
      <c r="AL82" s="747">
        <f ca="1">IF($AA82=0,"",IF($AJ82&gt;$AK82,Einstellungen!$C$4,IF($AJ82=$AK82,1,0)))</f>
        <v>2</v>
      </c>
      <c r="AM82" s="746">
        <f ca="1">IF($AA82=0,"",IF($AJ82&lt;$AK82,Einstellungen!$C$4,IF($AJ82=$AK82,1,0)))</f>
        <v>0</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 ca="1">Planung!$L25</f>
        <v>Mainz 05</v>
      </c>
      <c r="W83" s="671" t="str">
        <f ca="1">Planung!$N25</f>
        <v>Inter Mailand</v>
      </c>
      <c r="X83" s="671">
        <f ca="1">IF(AND($AA83=1,Vorrunde!$I31&lt;&gt;"",Vorrunde!$K31&lt;&gt;"",ABS(Vorrunde!$I31-Vorrunde!$K31)&gt;1),Vorrunde!$I31,"")</f>
        <v>25</v>
      </c>
      <c r="Y83" s="744">
        <f ca="1">IF(AND($AA83=1,Vorrunde!$I31&lt;&gt;"",Vorrunde!$K31&lt;&gt;"",ABS(Vorrunde!$I31-Vorrunde!$K31)&gt;1),Vorrunde!$K31,"")</f>
        <v>2</v>
      </c>
      <c r="Z83" s="745" t="str">
        <f t="shared" ca="1" si="70"/>
        <v>Mainz 05Inter Mailand</v>
      </c>
      <c r="AA83" s="671">
        <f ca="1">IF(AND(V83&lt;&gt;"",W83&lt;&gt;"",V83&lt;&gt;W83,Vorrunde!$R31&lt;&gt;"",Vorrunde!$T31&lt;&gt;""),1,0)</f>
        <v>1</v>
      </c>
      <c r="AB83" s="671" t="str">
        <f ca="1">IF(AA83&gt;0,AH83&amp;Sprache!$E$99&amp;AI83,"")</f>
        <v>50 : 24</v>
      </c>
      <c r="AC83" s="746" t="str">
        <f ca="1">IF(AA83&gt;0,AJ83&amp;Sprache!$E$99&amp;AK83,"")</f>
        <v>2 : 0</v>
      </c>
      <c r="AD83" s="747">
        <f ca="1">IF(AND($AA83=1,Vorrunde!$L31&lt;&gt;"",Vorrunde!$N31&lt;&gt;"",ABS(Vorrunde!$L31-Vorrunde!$N31)&gt;1),Vorrunde!$L31,"")</f>
        <v>25</v>
      </c>
      <c r="AE83" s="746">
        <f ca="1">IF(AND($AA83=1,Vorrunde!$L31&lt;&gt;"",Vorrunde!$N31&lt;&gt;"",ABS(Vorrunde!$L31-Vorrunde!$N31)&gt;1),Vorrunde!$N31,"")</f>
        <v>22</v>
      </c>
      <c r="AF83" s="747" t="str">
        <f ca="1">IF(AND($AA83=1,Vorrunde!$O31&lt;&gt;"",Vorrunde!$Q31&lt;&gt;"",ABS(Vorrunde!$O31-Vorrunde!$Q31)&gt;1),Vorrunde!$O31,"")</f>
        <v/>
      </c>
      <c r="AG83" s="746" t="str">
        <f ca="1">IF(AND($AA83=1,Vorrunde!$O31&lt;&gt;"",Vorrunde!$Q31&lt;&gt;"",ABS(Vorrunde!$O31-Vorrunde!$Q31)&gt;1),Vorrunde!$Q31,"")</f>
        <v/>
      </c>
      <c r="AH83" s="747">
        <f t="shared" ca="1" si="68"/>
        <v>50</v>
      </c>
      <c r="AI83" s="746">
        <f t="shared" ca="1" si="69"/>
        <v>24</v>
      </c>
      <c r="AJ83" s="747">
        <f ca="1">IF(Vorrunde!$R31="",0,Vorrunde!$R31)</f>
        <v>2</v>
      </c>
      <c r="AK83" s="746">
        <f ca="1">IF(Vorrunde!$T31="",0,Vorrunde!$T31)</f>
        <v>0</v>
      </c>
      <c r="AL83" s="747">
        <f ca="1">IF($AA83=0,"",IF($AJ83&gt;$AK83,Einstellungen!$C$4,IF($AJ83=$AK83,1,0)))</f>
        <v>2</v>
      </c>
      <c r="AM83" s="746">
        <f ca="1">IF($AA83=0,"",IF($AJ83&lt;$AK83,Einstellungen!$C$4,IF($AJ83=$AK83,1,0)))</f>
        <v>0</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 ca="1">Planung!$L26</f>
        <v/>
      </c>
      <c r="W84" s="671" t="str">
        <f ca="1">Planung!$N26</f>
        <v/>
      </c>
      <c r="X84" s="671" t="str">
        <f ca="1">IF(AND($AA84=1,Vorrunde!$I32&lt;&gt;"",Vorrunde!$K32&lt;&gt;"",ABS(Vorrunde!$I32-Vorrunde!$K32)&gt;1),Vorrunde!$I32,"")</f>
        <v/>
      </c>
      <c r="Y84" s="744" t="str">
        <f ca="1">IF(AND($AA84=1,Vorrunde!$I32&lt;&gt;"",Vorrunde!$K32&lt;&gt;"",ABS(Vorrunde!$I32-Vorrunde!$K32)&gt;1),Vorrunde!$K32,"")</f>
        <v/>
      </c>
      <c r="Z84" s="745" t="str">
        <f t="shared" ca="1" si="70"/>
        <v/>
      </c>
      <c r="AA84" s="671">
        <f ca="1">IF(AND(V84&lt;&gt;"",W84&lt;&gt;"",V84&lt;&gt;W84,Vorrunde!$R32&lt;&gt;"",Vorrunde!$T32&lt;&gt;""),1,0)</f>
        <v>0</v>
      </c>
      <c r="AB84" s="671" t="str">
        <f ca="1">IF(AA84&gt;0,AH84&amp;Sprache!$E$99&amp;AI84,"")</f>
        <v/>
      </c>
      <c r="AC84" s="746" t="str">
        <f ca="1">IF(AA84&gt;0,AJ84&amp;Sprache!$E$99&amp;AK84,"")</f>
        <v/>
      </c>
      <c r="AD84" s="747" t="str">
        <f ca="1">IF(AND($AA84=1,Vorrunde!$L32&lt;&gt;"",Vorrunde!$N32&lt;&gt;"",ABS(Vorrunde!$L32-Vorrunde!$N32)&gt;1),Vorrunde!$L32,"")</f>
        <v/>
      </c>
      <c r="AE84" s="746" t="str">
        <f ca="1">IF(AND($AA84=1,Vorrunde!$L32&lt;&gt;"",Vorrunde!$N32&lt;&gt;"",ABS(Vorrunde!$L32-Vorrunde!$N32)&gt;1),Vorrunde!$N32,"")</f>
        <v/>
      </c>
      <c r="AF84" s="747" t="str">
        <f ca="1">IF(AND($AA84=1,Vorrunde!$O32&lt;&gt;"",Vorrunde!$Q32&lt;&gt;"",ABS(Vorrunde!$O32-Vorrunde!$Q32)&gt;1),Vorrunde!$O32,"")</f>
        <v/>
      </c>
      <c r="AG84" s="746" t="str">
        <f ca="1">IF(AND($AA84=1,Vorrunde!$O32&lt;&gt;"",Vorrunde!$Q32&lt;&gt;"",ABS(Vorrunde!$O32-Vorrunde!$Q32)&gt;1),Vorrunde!$Q32,"")</f>
        <v/>
      </c>
      <c r="AH84" s="747" t="str">
        <f t="shared" ca="1" si="68"/>
        <v/>
      </c>
      <c r="AI84" s="746" t="str">
        <f t="shared" ca="1" si="69"/>
        <v/>
      </c>
      <c r="AJ84" s="747">
        <f ca="1">IF(Vorrunde!$R32="",0,Vorrunde!$R32)</f>
        <v>0</v>
      </c>
      <c r="AK84" s="746">
        <f ca="1">IF(Vorrunde!$T32="",0,Vorrunde!$T32)</f>
        <v>0</v>
      </c>
      <c r="AL84" s="747" t="str">
        <f ca="1">IF($AA84=0,"",IF($AJ84&gt;$AK84,Einstellungen!$C$4,IF($AJ84=$AK84,1,0)))</f>
        <v/>
      </c>
      <c r="AM84" s="746" t="str">
        <f ca="1">IF($AA84=0,"",IF($AJ84&lt;$AK84,Einstellungen!$C$4,IF($AJ84=$AK84,1,0)))</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 ca="1">Planung!$L27</f>
        <v/>
      </c>
      <c r="W85" s="671" t="str">
        <f ca="1">Planung!$N27</f>
        <v/>
      </c>
      <c r="X85" s="671" t="str">
        <f ca="1">IF(AND($AA85=1,Vorrunde!$I33&lt;&gt;"",Vorrunde!$K33&lt;&gt;"",ABS(Vorrunde!$I33-Vorrunde!$K33)&gt;1),Vorrunde!$I33,"")</f>
        <v/>
      </c>
      <c r="Y85" s="744" t="str">
        <f ca="1">IF(AND($AA85=1,Vorrunde!$I33&lt;&gt;"",Vorrunde!$K33&lt;&gt;"",ABS(Vorrunde!$I33-Vorrunde!$K33)&gt;1),Vorrunde!$K33,"")</f>
        <v/>
      </c>
      <c r="Z85" s="745" t="str">
        <f t="shared" ca="1" si="70"/>
        <v/>
      </c>
      <c r="AA85" s="671">
        <f ca="1">IF(AND(V85&lt;&gt;"",W85&lt;&gt;"",V85&lt;&gt;W85,Vorrunde!$R33&lt;&gt;"",Vorrunde!$T33&lt;&gt;""),1,0)</f>
        <v>0</v>
      </c>
      <c r="AB85" s="671" t="str">
        <f ca="1">IF(AA85&gt;0,AH85&amp;Sprache!$E$99&amp;AI85,"")</f>
        <v/>
      </c>
      <c r="AC85" s="746" t="str">
        <f ca="1">IF(AA85&gt;0,AJ85&amp;Sprache!$E$99&amp;AK85,"")</f>
        <v/>
      </c>
      <c r="AD85" s="747" t="str">
        <f ca="1">IF(AND($AA85=1,Vorrunde!$L33&lt;&gt;"",Vorrunde!$N33&lt;&gt;"",ABS(Vorrunde!$L33-Vorrunde!$N33)&gt;1),Vorrunde!$L33,"")</f>
        <v/>
      </c>
      <c r="AE85" s="746" t="str">
        <f ca="1">IF(AND($AA85=1,Vorrunde!$L33&lt;&gt;"",Vorrunde!$N33&lt;&gt;"",ABS(Vorrunde!$L33-Vorrunde!$N33)&gt;1),Vorrunde!$N33,"")</f>
        <v/>
      </c>
      <c r="AF85" s="747" t="str">
        <f ca="1">IF(AND($AA85=1,Vorrunde!$O33&lt;&gt;"",Vorrunde!$Q33&lt;&gt;"",ABS(Vorrunde!$O33-Vorrunde!$Q33)&gt;1),Vorrunde!$O33,"")</f>
        <v/>
      </c>
      <c r="AG85" s="746" t="str">
        <f ca="1">IF(AND($AA85=1,Vorrunde!$O33&lt;&gt;"",Vorrunde!$Q33&lt;&gt;"",ABS(Vorrunde!$O33-Vorrunde!$Q33)&gt;1),Vorrunde!$Q33,"")</f>
        <v/>
      </c>
      <c r="AH85" s="747" t="str">
        <f t="shared" ca="1" si="68"/>
        <v/>
      </c>
      <c r="AI85" s="746" t="str">
        <f t="shared" ca="1" si="69"/>
        <v/>
      </c>
      <c r="AJ85" s="747">
        <f ca="1">IF(Vorrunde!$R33="",0,Vorrunde!$R33)</f>
        <v>0</v>
      </c>
      <c r="AK85" s="746">
        <f ca="1">IF(Vorrunde!$T33="",0,Vorrunde!$T33)</f>
        <v>0</v>
      </c>
      <c r="AL85" s="747" t="str">
        <f ca="1">IF($AA85=0,"",IF($AJ85&gt;$AK85,Einstellungen!$C$4,IF($AJ85=$AK85,1,0)))</f>
        <v/>
      </c>
      <c r="AM85" s="746" t="str">
        <f ca="1">IF($AA85=0,"",IF($AJ85&lt;$AK85,Einstellungen!$C$4,IF($AJ85=$AK85,1,0)))</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 ca="1">Planung!$L28</f>
        <v/>
      </c>
      <c r="W86" s="671" t="str">
        <f ca="1">Planung!$N28</f>
        <v/>
      </c>
      <c r="X86" s="671" t="str">
        <f ca="1">IF(AND($AA86=1,Vorrunde!$I34&lt;&gt;"",Vorrunde!$K34&lt;&gt;"",ABS(Vorrunde!$I34-Vorrunde!$K34)&gt;1),Vorrunde!$I34,"")</f>
        <v/>
      </c>
      <c r="Y86" s="744" t="str">
        <f ca="1">IF(AND($AA86=1,Vorrunde!$I34&lt;&gt;"",Vorrunde!$K34&lt;&gt;"",ABS(Vorrunde!$I34-Vorrunde!$K34)&gt;1),Vorrunde!$K34,"")</f>
        <v/>
      </c>
      <c r="Z86" s="745" t="str">
        <f t="shared" ca="1" si="70"/>
        <v/>
      </c>
      <c r="AA86" s="671">
        <f ca="1">IF(AND(V86&lt;&gt;"",W86&lt;&gt;"",V86&lt;&gt;W86,Vorrunde!$R34&lt;&gt;"",Vorrunde!$T34&lt;&gt;""),1,0)</f>
        <v>0</v>
      </c>
      <c r="AB86" s="671" t="str">
        <f ca="1">IF(AA86&gt;0,AH86&amp;Sprache!$E$99&amp;AI86,"")</f>
        <v/>
      </c>
      <c r="AC86" s="746" t="str">
        <f ca="1">IF(AA86&gt;0,AJ86&amp;Sprache!$E$99&amp;AK86,"")</f>
        <v/>
      </c>
      <c r="AD86" s="747" t="str">
        <f ca="1">IF(AND($AA86=1,Vorrunde!$L34&lt;&gt;"",Vorrunde!$N34&lt;&gt;"",ABS(Vorrunde!$L34-Vorrunde!$N34)&gt;1),Vorrunde!$L34,"")</f>
        <v/>
      </c>
      <c r="AE86" s="746" t="str">
        <f ca="1">IF(AND($AA86=1,Vorrunde!$L34&lt;&gt;"",Vorrunde!$N34&lt;&gt;"",ABS(Vorrunde!$L34-Vorrunde!$N34)&gt;1),Vorrunde!$N34,"")</f>
        <v/>
      </c>
      <c r="AF86" s="747" t="str">
        <f ca="1">IF(AND($AA86=1,Vorrunde!$O34&lt;&gt;"",Vorrunde!$Q34&lt;&gt;"",ABS(Vorrunde!$O34-Vorrunde!$Q34)&gt;1),Vorrunde!$O34,"")</f>
        <v/>
      </c>
      <c r="AG86" s="746" t="str">
        <f ca="1">IF(AND($AA86=1,Vorrunde!$O34&lt;&gt;"",Vorrunde!$Q34&lt;&gt;"",ABS(Vorrunde!$O34-Vorrunde!$Q34)&gt;1),Vorrunde!$Q34,"")</f>
        <v/>
      </c>
      <c r="AH86" s="747" t="str">
        <f t="shared" ca="1" si="68"/>
        <v/>
      </c>
      <c r="AI86" s="746" t="str">
        <f t="shared" ca="1" si="69"/>
        <v/>
      </c>
      <c r="AJ86" s="747">
        <f ca="1">IF(Vorrunde!$R34="",0,Vorrunde!$R34)</f>
        <v>0</v>
      </c>
      <c r="AK86" s="746">
        <f ca="1">IF(Vorrunde!$T34="",0,Vorrunde!$T34)</f>
        <v>0</v>
      </c>
      <c r="AL86" s="747" t="str">
        <f ca="1">IF($AA86=0,"",IF($AJ86&gt;$AK86,Einstellungen!$C$4,IF($AJ86=$AK86,1,0)))</f>
        <v/>
      </c>
      <c r="AM86" s="746" t="str">
        <f ca="1">IF($AA86=0,"",IF($AJ86&lt;$AK86,Einstellungen!$C$4,IF($AJ86=$AK86,1,0)))</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 ca="1">Planung!$L29</f>
        <v/>
      </c>
      <c r="W87" s="671" t="str">
        <f ca="1">Planung!$N29</f>
        <v/>
      </c>
      <c r="X87" s="671" t="str">
        <f ca="1">IF(AND($AA87=1,Vorrunde!$I35&lt;&gt;"",Vorrunde!$K35&lt;&gt;"",ABS(Vorrunde!$I35-Vorrunde!$K35)&gt;1),Vorrunde!$I35,"")</f>
        <v/>
      </c>
      <c r="Y87" s="744" t="str">
        <f ca="1">IF(AND($AA87=1,Vorrunde!$I35&lt;&gt;"",Vorrunde!$K35&lt;&gt;"",ABS(Vorrunde!$I35-Vorrunde!$K35)&gt;1),Vorrunde!$K35,"")</f>
        <v/>
      </c>
      <c r="Z87" s="745" t="str">
        <f t="shared" ca="1" si="70"/>
        <v/>
      </c>
      <c r="AA87" s="671">
        <f ca="1">IF(AND(V87&lt;&gt;"",W87&lt;&gt;"",V87&lt;&gt;W87,Vorrunde!$R35&lt;&gt;"",Vorrunde!$T35&lt;&gt;""),1,0)</f>
        <v>0</v>
      </c>
      <c r="AB87" s="671" t="str">
        <f ca="1">IF(AA87&gt;0,AH87&amp;Sprache!$E$99&amp;AI87,"")</f>
        <v/>
      </c>
      <c r="AC87" s="746" t="str">
        <f ca="1">IF(AA87&gt;0,AJ87&amp;Sprache!$E$99&amp;AK87,"")</f>
        <v/>
      </c>
      <c r="AD87" s="747" t="str">
        <f ca="1">IF(AND($AA87=1,Vorrunde!$L35&lt;&gt;"",Vorrunde!$N35&lt;&gt;"",ABS(Vorrunde!$L35-Vorrunde!$N35)&gt;1),Vorrunde!$L35,"")</f>
        <v/>
      </c>
      <c r="AE87" s="746" t="str">
        <f ca="1">IF(AND($AA87=1,Vorrunde!$L35&lt;&gt;"",Vorrunde!$N35&lt;&gt;"",ABS(Vorrunde!$L35-Vorrunde!$N35)&gt;1),Vorrunde!$N35,"")</f>
        <v/>
      </c>
      <c r="AF87" s="747" t="str">
        <f ca="1">IF(AND($AA87=1,Vorrunde!$O35&lt;&gt;"",Vorrunde!$Q35&lt;&gt;"",ABS(Vorrunde!$O35-Vorrunde!$Q35)&gt;1),Vorrunde!$O35,"")</f>
        <v/>
      </c>
      <c r="AG87" s="746" t="str">
        <f ca="1">IF(AND($AA87=1,Vorrunde!$O35&lt;&gt;"",Vorrunde!$Q35&lt;&gt;"",ABS(Vorrunde!$O35-Vorrunde!$Q35)&gt;1),Vorrunde!$Q35,"")</f>
        <v/>
      </c>
      <c r="AH87" s="747" t="str">
        <f t="shared" ca="1" si="68"/>
        <v/>
      </c>
      <c r="AI87" s="746" t="str">
        <f t="shared" ca="1" si="69"/>
        <v/>
      </c>
      <c r="AJ87" s="747">
        <f ca="1">IF(Vorrunde!$R35="",0,Vorrunde!$R35)</f>
        <v>0</v>
      </c>
      <c r="AK87" s="746">
        <f ca="1">IF(Vorrunde!$T35="",0,Vorrunde!$T35)</f>
        <v>0</v>
      </c>
      <c r="AL87" s="747" t="str">
        <f ca="1">IF($AA87=0,"",IF($AJ87&gt;$AK87,Einstellungen!$C$4,IF($AJ87=$AK87,1,0)))</f>
        <v/>
      </c>
      <c r="AM87" s="746" t="str">
        <f ca="1">IF($AA87=0,"",IF($AJ87&lt;$AK87,Einstellungen!$C$4,IF($AJ87=$AK87,1,0)))</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 ca="1">Planung!$L30</f>
        <v/>
      </c>
      <c r="W88" s="671" t="str">
        <f ca="1">Planung!$N30</f>
        <v/>
      </c>
      <c r="X88" s="671" t="str">
        <f ca="1">IF(AND($AA88=1,Vorrunde!$I36&lt;&gt;"",Vorrunde!$K36&lt;&gt;"",ABS(Vorrunde!$I36-Vorrunde!$K36)&gt;1),Vorrunde!$I36,"")</f>
        <v/>
      </c>
      <c r="Y88" s="744" t="str">
        <f ca="1">IF(AND($AA88=1,Vorrunde!$I36&lt;&gt;"",Vorrunde!$K36&lt;&gt;"",ABS(Vorrunde!$I36-Vorrunde!$K36)&gt;1),Vorrunde!$K36,"")</f>
        <v/>
      </c>
      <c r="Z88" s="745" t="str">
        <f t="shared" ca="1" si="70"/>
        <v/>
      </c>
      <c r="AA88" s="671">
        <f ca="1">IF(AND(V88&lt;&gt;"",W88&lt;&gt;"",V88&lt;&gt;W88,Vorrunde!$R36&lt;&gt;"",Vorrunde!$T36&lt;&gt;""),1,0)</f>
        <v>0</v>
      </c>
      <c r="AB88" s="671" t="str">
        <f ca="1">IF(AA88&gt;0,AH88&amp;Sprache!$E$99&amp;AI88,"")</f>
        <v/>
      </c>
      <c r="AC88" s="746" t="str">
        <f ca="1">IF(AA88&gt;0,AJ88&amp;Sprache!$E$99&amp;AK88,"")</f>
        <v/>
      </c>
      <c r="AD88" s="747" t="str">
        <f ca="1">IF(AND($AA88=1,Vorrunde!$L36&lt;&gt;"",Vorrunde!$N36&lt;&gt;"",ABS(Vorrunde!$L36-Vorrunde!$N36)&gt;1),Vorrunde!$L36,"")</f>
        <v/>
      </c>
      <c r="AE88" s="746" t="str">
        <f ca="1">IF(AND($AA88=1,Vorrunde!$L36&lt;&gt;"",Vorrunde!$N36&lt;&gt;"",ABS(Vorrunde!$L36-Vorrunde!$N36)&gt;1),Vorrunde!$N36,"")</f>
        <v/>
      </c>
      <c r="AF88" s="747" t="str">
        <f ca="1">IF(AND($AA88=1,Vorrunde!$O36&lt;&gt;"",Vorrunde!$Q36&lt;&gt;"",ABS(Vorrunde!$O36-Vorrunde!$Q36)&gt;1),Vorrunde!$O36,"")</f>
        <v/>
      </c>
      <c r="AG88" s="746" t="str">
        <f ca="1">IF(AND($AA88=1,Vorrunde!$O36&lt;&gt;"",Vorrunde!$Q36&lt;&gt;"",ABS(Vorrunde!$O36-Vorrunde!$Q36)&gt;1),Vorrunde!$Q36,"")</f>
        <v/>
      </c>
      <c r="AH88" s="747" t="str">
        <f t="shared" ca="1" si="68"/>
        <v/>
      </c>
      <c r="AI88" s="746" t="str">
        <f t="shared" ca="1" si="69"/>
        <v/>
      </c>
      <c r="AJ88" s="747">
        <f ca="1">IF(Vorrunde!$R36="",0,Vorrunde!$R36)</f>
        <v>0</v>
      </c>
      <c r="AK88" s="746">
        <f ca="1">IF(Vorrunde!$T36="",0,Vorrunde!$T36)</f>
        <v>0</v>
      </c>
      <c r="AL88" s="747" t="str">
        <f ca="1">IF($AA88=0,"",IF($AJ88&gt;$AK88,Einstellungen!$C$4,IF($AJ88=$AK88,1,0)))</f>
        <v/>
      </c>
      <c r="AM88" s="746" t="str">
        <f ca="1">IF($AA88=0,"",IF($AJ88&lt;$AK88,Einstellungen!$C$4,IF($AJ88=$AK88,1,0)))</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 ca="1">Planung!$L31</f>
        <v/>
      </c>
      <c r="W89" s="671" t="str">
        <f ca="1">Planung!$N31</f>
        <v/>
      </c>
      <c r="X89" s="671" t="str">
        <f ca="1">IF(AND($AA89=1,Vorrunde!$I37&lt;&gt;"",Vorrunde!$K37&lt;&gt;"",ABS(Vorrunde!$I37-Vorrunde!$K37)&gt;1),Vorrunde!$I37,"")</f>
        <v/>
      </c>
      <c r="Y89" s="744" t="str">
        <f ca="1">IF(AND($AA89=1,Vorrunde!$I37&lt;&gt;"",Vorrunde!$K37&lt;&gt;"",ABS(Vorrunde!$I37-Vorrunde!$K37)&gt;1),Vorrunde!$K37,"")</f>
        <v/>
      </c>
      <c r="Z89" s="745" t="str">
        <f t="shared" ca="1" si="70"/>
        <v/>
      </c>
      <c r="AA89" s="671">
        <f ca="1">IF(AND(V89&lt;&gt;"",W89&lt;&gt;"",V89&lt;&gt;W89,Vorrunde!$R37&lt;&gt;"",Vorrunde!$T37&lt;&gt;""),1,0)</f>
        <v>0</v>
      </c>
      <c r="AB89" s="671" t="str">
        <f ca="1">IF(AA89&gt;0,AH89&amp;Sprache!$E$99&amp;AI89,"")</f>
        <v/>
      </c>
      <c r="AC89" s="746" t="str">
        <f ca="1">IF(AA89&gt;0,AJ89&amp;Sprache!$E$99&amp;AK89,"")</f>
        <v/>
      </c>
      <c r="AD89" s="747" t="str">
        <f ca="1">IF(AND($AA89=1,Vorrunde!$L37&lt;&gt;"",Vorrunde!$N37&lt;&gt;"",ABS(Vorrunde!$L37-Vorrunde!$N37)&gt;1),Vorrunde!$L37,"")</f>
        <v/>
      </c>
      <c r="AE89" s="746" t="str">
        <f ca="1">IF(AND($AA89=1,Vorrunde!$L37&lt;&gt;"",Vorrunde!$N37&lt;&gt;"",ABS(Vorrunde!$L37-Vorrunde!$N37)&gt;1),Vorrunde!$N37,"")</f>
        <v/>
      </c>
      <c r="AF89" s="747" t="str">
        <f ca="1">IF(AND($AA89=1,Vorrunde!$O37&lt;&gt;"",Vorrunde!$Q37&lt;&gt;"",ABS(Vorrunde!$O37-Vorrunde!$Q37)&gt;1),Vorrunde!$O37,"")</f>
        <v/>
      </c>
      <c r="AG89" s="746" t="str">
        <f ca="1">IF(AND($AA89=1,Vorrunde!$O37&lt;&gt;"",Vorrunde!$Q37&lt;&gt;"",ABS(Vorrunde!$O37-Vorrunde!$Q37)&gt;1),Vorrunde!$Q37,"")</f>
        <v/>
      </c>
      <c r="AH89" s="747" t="str">
        <f t="shared" ca="1" si="68"/>
        <v/>
      </c>
      <c r="AI89" s="746" t="str">
        <f t="shared" ca="1" si="69"/>
        <v/>
      </c>
      <c r="AJ89" s="747">
        <f ca="1">IF(Vorrunde!$R37="",0,Vorrunde!$R37)</f>
        <v>0</v>
      </c>
      <c r="AK89" s="746">
        <f ca="1">IF(Vorrunde!$T37="",0,Vorrunde!$T37)</f>
        <v>0</v>
      </c>
      <c r="AL89" s="747" t="str">
        <f ca="1">IF($AA89=0,"",IF($AJ89&gt;$AK89,Einstellungen!$C$4,IF($AJ89=$AK89,1,0)))</f>
        <v/>
      </c>
      <c r="AM89" s="746" t="str">
        <f ca="1">IF($AA89=0,"",IF($AJ89&lt;$AK89,Einstellungen!$C$4,IF($AJ89=$AK89,1,0)))</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 ca="1">Planung!$L32</f>
        <v/>
      </c>
      <c r="W90" s="671" t="str">
        <f ca="1">Planung!$N32</f>
        <v/>
      </c>
      <c r="X90" s="671" t="str">
        <f ca="1">IF(AND($AA90=1,Vorrunde!$I38&lt;&gt;"",Vorrunde!$K38&lt;&gt;"",ABS(Vorrunde!$I38-Vorrunde!$K38)&gt;1),Vorrunde!$I38,"")</f>
        <v/>
      </c>
      <c r="Y90" s="744" t="str">
        <f ca="1">IF(AND($AA90=1,Vorrunde!$I38&lt;&gt;"",Vorrunde!$K38&lt;&gt;"",ABS(Vorrunde!$I38-Vorrunde!$K38)&gt;1),Vorrunde!$K38,"")</f>
        <v/>
      </c>
      <c r="Z90" s="745" t="str">
        <f t="shared" ca="1" si="70"/>
        <v/>
      </c>
      <c r="AA90" s="671">
        <f ca="1">IF(AND(V90&lt;&gt;"",W90&lt;&gt;"",V90&lt;&gt;W90,Vorrunde!$R38&lt;&gt;"",Vorrunde!$T38&lt;&gt;""),1,0)</f>
        <v>0</v>
      </c>
      <c r="AB90" s="671" t="str">
        <f ca="1">IF(AA90&gt;0,AH90&amp;Sprache!$E$99&amp;AI90,"")</f>
        <v/>
      </c>
      <c r="AC90" s="746" t="str">
        <f ca="1">IF(AA90&gt;0,AJ90&amp;Sprache!$E$99&amp;AK90,"")</f>
        <v/>
      </c>
      <c r="AD90" s="747" t="str">
        <f ca="1">IF(AND($AA90=1,Vorrunde!$L38&lt;&gt;"",Vorrunde!$N38&lt;&gt;"",ABS(Vorrunde!$L38-Vorrunde!$N38)&gt;1),Vorrunde!$L38,"")</f>
        <v/>
      </c>
      <c r="AE90" s="746" t="str">
        <f ca="1">IF(AND($AA90=1,Vorrunde!$L38&lt;&gt;"",Vorrunde!$N38&lt;&gt;"",ABS(Vorrunde!$L38-Vorrunde!$N38)&gt;1),Vorrunde!$N38,"")</f>
        <v/>
      </c>
      <c r="AF90" s="747" t="str">
        <f ca="1">IF(AND($AA90=1,Vorrunde!$O38&lt;&gt;"",Vorrunde!$Q38&lt;&gt;"",ABS(Vorrunde!$O38-Vorrunde!$Q38)&gt;1),Vorrunde!$O38,"")</f>
        <v/>
      </c>
      <c r="AG90" s="746" t="str">
        <f ca="1">IF(AND($AA90=1,Vorrunde!$O38&lt;&gt;"",Vorrunde!$Q38&lt;&gt;"",ABS(Vorrunde!$O38-Vorrunde!$Q38)&gt;1),Vorrunde!$Q38,"")</f>
        <v/>
      </c>
      <c r="AH90" s="747" t="str">
        <f t="shared" ca="1" si="68"/>
        <v/>
      </c>
      <c r="AI90" s="746" t="str">
        <f t="shared" ca="1" si="69"/>
        <v/>
      </c>
      <c r="AJ90" s="747">
        <f ca="1">IF(Vorrunde!$R38="",0,Vorrunde!$R38)</f>
        <v>0</v>
      </c>
      <c r="AK90" s="746">
        <f ca="1">IF(Vorrunde!$T38="",0,Vorrunde!$T38)</f>
        <v>0</v>
      </c>
      <c r="AL90" s="747" t="str">
        <f ca="1">IF($AA90=0,"",IF($AJ90&gt;$AK90,Einstellungen!$C$4,IF($AJ90=$AK90,1,0)))</f>
        <v/>
      </c>
      <c r="AM90" s="746" t="str">
        <f ca="1">IF($AA90=0,"",IF($AJ90&lt;$AK90,Einstellungen!$C$4,IF($AJ90=$AK90,1,0)))</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 ca="1">Planung!$L33</f>
        <v/>
      </c>
      <c r="W91" s="671" t="str">
        <f ca="1">Planung!$N33</f>
        <v/>
      </c>
      <c r="X91" s="671" t="str">
        <f ca="1">IF(AND($AA91=1,Vorrunde!$I39&lt;&gt;"",Vorrunde!$K39&lt;&gt;"",ABS(Vorrunde!$I39-Vorrunde!$K39)&gt;1),Vorrunde!$I39,"")</f>
        <v/>
      </c>
      <c r="Y91" s="744" t="str">
        <f ca="1">IF(AND($AA91=1,Vorrunde!$I39&lt;&gt;"",Vorrunde!$K39&lt;&gt;"",ABS(Vorrunde!$I39-Vorrunde!$K39)&gt;1),Vorrunde!$K39,"")</f>
        <v/>
      </c>
      <c r="Z91" s="745" t="str">
        <f t="shared" ca="1" si="70"/>
        <v/>
      </c>
      <c r="AA91" s="671">
        <f ca="1">IF(AND(V91&lt;&gt;"",W91&lt;&gt;"",V91&lt;&gt;W91,Vorrunde!$R39&lt;&gt;"",Vorrunde!$T39&lt;&gt;""),1,0)</f>
        <v>0</v>
      </c>
      <c r="AB91" s="671" t="str">
        <f ca="1">IF(AA91&gt;0,AH91&amp;Sprache!$E$99&amp;AI91,"")</f>
        <v/>
      </c>
      <c r="AC91" s="746" t="str">
        <f ca="1">IF(AA91&gt;0,AJ91&amp;Sprache!$E$99&amp;AK91,"")</f>
        <v/>
      </c>
      <c r="AD91" s="747" t="str">
        <f ca="1">IF(AND($AA91=1,Vorrunde!$L39&lt;&gt;"",Vorrunde!$N39&lt;&gt;"",ABS(Vorrunde!$L39-Vorrunde!$N39)&gt;1),Vorrunde!$L39,"")</f>
        <v/>
      </c>
      <c r="AE91" s="746" t="str">
        <f ca="1">IF(AND($AA91=1,Vorrunde!$L39&lt;&gt;"",Vorrunde!$N39&lt;&gt;"",ABS(Vorrunde!$L39-Vorrunde!$N39)&gt;1),Vorrunde!$N39,"")</f>
        <v/>
      </c>
      <c r="AF91" s="747" t="str">
        <f ca="1">IF(AND($AA91=1,Vorrunde!$O39&lt;&gt;"",Vorrunde!$Q39&lt;&gt;"",ABS(Vorrunde!$O39-Vorrunde!$Q39)&gt;1),Vorrunde!$O39,"")</f>
        <v/>
      </c>
      <c r="AG91" s="746" t="str">
        <f ca="1">IF(AND($AA91=1,Vorrunde!$O39&lt;&gt;"",Vorrunde!$Q39&lt;&gt;"",ABS(Vorrunde!$O39-Vorrunde!$Q39)&gt;1),Vorrunde!$Q39,"")</f>
        <v/>
      </c>
      <c r="AH91" s="747" t="str">
        <f t="shared" ca="1" si="68"/>
        <v/>
      </c>
      <c r="AI91" s="746" t="str">
        <f t="shared" ca="1" si="69"/>
        <v/>
      </c>
      <c r="AJ91" s="747">
        <f ca="1">IF(Vorrunde!$R39="",0,Vorrunde!$R39)</f>
        <v>0</v>
      </c>
      <c r="AK91" s="746">
        <f ca="1">IF(Vorrunde!$T39="",0,Vorrunde!$T39)</f>
        <v>0</v>
      </c>
      <c r="AL91" s="747" t="str">
        <f ca="1">IF($AA91=0,"",IF($AJ91&gt;$AK91,Einstellungen!$C$4,IF($AJ91=$AK91,1,0)))</f>
        <v/>
      </c>
      <c r="AM91" s="746" t="str">
        <f ca="1">IF($AA91=0,"",IF($AJ91&lt;$AK91,Einstellungen!$C$4,IF($AJ91=$AK91,1,0)))</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 ca="1">Planung!$L34</f>
        <v/>
      </c>
      <c r="W92" s="671" t="str">
        <f ca="1">Planung!$N34</f>
        <v/>
      </c>
      <c r="X92" s="671" t="str">
        <f ca="1">IF(AND($AA92=1,Vorrunde!$I40&lt;&gt;"",Vorrunde!$K40&lt;&gt;"",ABS(Vorrunde!$I40-Vorrunde!$K40)&gt;1),Vorrunde!$I40,"")</f>
        <v/>
      </c>
      <c r="Y92" s="744" t="str">
        <f ca="1">IF(AND($AA92=1,Vorrunde!$I40&lt;&gt;"",Vorrunde!$K40&lt;&gt;"",ABS(Vorrunde!$I40-Vorrunde!$K40)&gt;1),Vorrunde!$K40,"")</f>
        <v/>
      </c>
      <c r="Z92" s="745" t="str">
        <f t="shared" ca="1" si="70"/>
        <v/>
      </c>
      <c r="AA92" s="671">
        <f ca="1">IF(AND(V92&lt;&gt;"",W92&lt;&gt;"",V92&lt;&gt;W92,Vorrunde!$R40&lt;&gt;"",Vorrunde!$T40&lt;&gt;""),1,0)</f>
        <v>0</v>
      </c>
      <c r="AB92" s="671" t="str">
        <f ca="1">IF(AA92&gt;0,AH92&amp;Sprache!$E$99&amp;AI92,"")</f>
        <v/>
      </c>
      <c r="AC92" s="746" t="str">
        <f ca="1">IF(AA92&gt;0,AJ92&amp;Sprache!$E$99&amp;AK92,"")</f>
        <v/>
      </c>
      <c r="AD92" s="747" t="str">
        <f ca="1">IF(AND($AA92=1,Vorrunde!$L40&lt;&gt;"",Vorrunde!$N40&lt;&gt;"",ABS(Vorrunde!$L40-Vorrunde!$N40)&gt;1),Vorrunde!$L40,"")</f>
        <v/>
      </c>
      <c r="AE92" s="746" t="str">
        <f ca="1">IF(AND($AA92=1,Vorrunde!$L40&lt;&gt;"",Vorrunde!$N40&lt;&gt;"",ABS(Vorrunde!$L40-Vorrunde!$N40)&gt;1),Vorrunde!$N40,"")</f>
        <v/>
      </c>
      <c r="AF92" s="747" t="str">
        <f ca="1">IF(AND($AA92=1,Vorrunde!$O40&lt;&gt;"",Vorrunde!$Q40&lt;&gt;"",ABS(Vorrunde!$O40-Vorrunde!$Q40)&gt;1),Vorrunde!$O40,"")</f>
        <v/>
      </c>
      <c r="AG92" s="746" t="str">
        <f ca="1">IF(AND($AA92=1,Vorrunde!$O40&lt;&gt;"",Vorrunde!$Q40&lt;&gt;"",ABS(Vorrunde!$O40-Vorrunde!$Q40)&gt;1),Vorrunde!$Q40,"")</f>
        <v/>
      </c>
      <c r="AH92" s="747" t="str">
        <f t="shared" ca="1" si="68"/>
        <v/>
      </c>
      <c r="AI92" s="746" t="str">
        <f t="shared" ca="1" si="69"/>
        <v/>
      </c>
      <c r="AJ92" s="747">
        <f ca="1">IF(Vorrunde!$R40="",0,Vorrunde!$R40)</f>
        <v>0</v>
      </c>
      <c r="AK92" s="746">
        <f ca="1">IF(Vorrunde!$T40="",0,Vorrunde!$T40)</f>
        <v>0</v>
      </c>
      <c r="AL92" s="747" t="str">
        <f ca="1">IF($AA92=0,"",IF($AJ92&gt;$AK92,Einstellungen!$C$4,IF($AJ92=$AK92,1,0)))</f>
        <v/>
      </c>
      <c r="AM92" s="746" t="str">
        <f ca="1">IF($AA92=0,"",IF($AJ92&lt;$AK92,Einstellungen!$C$4,IF($AJ92=$AK92,1,0)))</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ht="12.75" thickBot="1" x14ac:dyDescent="0.25">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 ca="1">Planung!$L35</f>
        <v/>
      </c>
      <c r="W93" s="671" t="str">
        <f ca="1">Planung!$N35</f>
        <v/>
      </c>
      <c r="X93" s="671" t="str">
        <f ca="1">IF(AND($AA93=1,Vorrunde!$I41&lt;&gt;"",Vorrunde!$K41&lt;&gt;"",ABS(Vorrunde!$I41-Vorrunde!$K41)&gt;1),Vorrunde!$I41,"")</f>
        <v/>
      </c>
      <c r="Y93" s="744" t="str">
        <f ca="1">IF(AND($AA93=1,Vorrunde!$I41&lt;&gt;"",Vorrunde!$K41&lt;&gt;"",ABS(Vorrunde!$I41-Vorrunde!$K41)&gt;1),Vorrunde!$K41,"")</f>
        <v/>
      </c>
      <c r="Z93" s="745" t="str">
        <f t="shared" ca="1" si="70"/>
        <v/>
      </c>
      <c r="AA93" s="671">
        <f ca="1">IF(AND(V93&lt;&gt;"",W93&lt;&gt;"",V93&lt;&gt;W93,Vorrunde!$R41&lt;&gt;"",Vorrunde!$T41&lt;&gt;""),1,0)</f>
        <v>0</v>
      </c>
      <c r="AB93" s="671" t="str">
        <f ca="1">IF(AA93&gt;0,AH93&amp;Sprache!$E$99&amp;AI93,"")</f>
        <v/>
      </c>
      <c r="AC93" s="746" t="str">
        <f ca="1">IF(AA93&gt;0,AJ93&amp;Sprache!$E$99&amp;AK93,"")</f>
        <v/>
      </c>
      <c r="AD93" s="747" t="str">
        <f ca="1">IF(AND($AA93=1,Vorrunde!$L41&lt;&gt;"",Vorrunde!$N41&lt;&gt;"",ABS(Vorrunde!$L41-Vorrunde!$N41)&gt;1),Vorrunde!$L41,"")</f>
        <v/>
      </c>
      <c r="AE93" s="746" t="str">
        <f ca="1">IF(AND($AA93=1,Vorrunde!$L41&lt;&gt;"",Vorrunde!$N41&lt;&gt;"",ABS(Vorrunde!$L41-Vorrunde!$N41)&gt;1),Vorrunde!$N41,"")</f>
        <v/>
      </c>
      <c r="AF93" s="747" t="str">
        <f ca="1">IF(AND($AA93=1,Vorrunde!$O41&lt;&gt;"",Vorrunde!$Q41&lt;&gt;"",ABS(Vorrunde!$O41-Vorrunde!$Q41)&gt;1),Vorrunde!$O41,"")</f>
        <v/>
      </c>
      <c r="AG93" s="746" t="str">
        <f ca="1">IF(AND($AA93=1,Vorrunde!$O41&lt;&gt;"",Vorrunde!$Q41&lt;&gt;"",ABS(Vorrunde!$O41-Vorrunde!$Q41)&gt;1),Vorrunde!$Q41,"")</f>
        <v/>
      </c>
      <c r="AH93" s="747" t="str">
        <f t="shared" ca="1" si="68"/>
        <v/>
      </c>
      <c r="AI93" s="746" t="str">
        <f t="shared" ca="1" si="69"/>
        <v/>
      </c>
      <c r="AJ93" s="747">
        <f ca="1">IF(Vorrunde!$R41="",0,Vorrunde!$R41)</f>
        <v>0</v>
      </c>
      <c r="AK93" s="746">
        <f ca="1">IF(Vorrunde!$T41="",0,Vorrunde!$T41)</f>
        <v>0</v>
      </c>
      <c r="AL93" s="747" t="str">
        <f ca="1">IF($AA93=0,"",IF($AJ93&gt;$AK93,Einstellungen!$C$4,IF($AJ93=$AK93,1,0)))</f>
        <v/>
      </c>
      <c r="AM93" s="746" t="str">
        <f ca="1">IF($AA93=0,"",IF($AJ93&lt;$AK93,Einstellungen!$C$4,IF($AJ93=$AK93,1,0)))</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ht="12.75" thickTop="1" x14ac:dyDescent="0.2">
      <c r="A94" s="670"/>
      <c r="B94" s="691"/>
      <c r="C94" s="691"/>
      <c r="D94" s="691"/>
      <c r="E94" s="691"/>
      <c r="F94" s="671"/>
      <c r="G94" s="671"/>
      <c r="H94" s="671"/>
      <c r="I94" s="671"/>
      <c r="J94" s="671"/>
      <c r="K94" s="671"/>
      <c r="L94" s="671"/>
      <c r="M94" s="671"/>
      <c r="N94" s="670"/>
      <c r="O94" s="670"/>
      <c r="P94" s="670"/>
      <c r="Q94" s="670"/>
      <c r="R94" s="670"/>
      <c r="S94" s="670"/>
      <c r="T94" s="670"/>
      <c r="U94" s="752" t="s">
        <v>45</v>
      </c>
      <c r="V94" s="753" t="str">
        <f>""</f>
        <v/>
      </c>
      <c r="W94" s="754" t="str">
        <f>""</f>
        <v/>
      </c>
      <c r="X94" s="754" t="str">
        <f>""</f>
        <v/>
      </c>
      <c r="Y94" s="755" t="str">
        <f>""</f>
        <v/>
      </c>
      <c r="Z94" s="756" t="str">
        <f>""</f>
        <v/>
      </c>
      <c r="AA94" s="754">
        <v>0</v>
      </c>
      <c r="AB94" s="754" t="str">
        <f>""</f>
        <v/>
      </c>
      <c r="AC94" s="757"/>
      <c r="AD94" s="758" t="str">
        <f>""</f>
        <v/>
      </c>
      <c r="AE94" s="757" t="str">
        <f>""</f>
        <v/>
      </c>
      <c r="AF94" s="758" t="str">
        <f>""</f>
        <v/>
      </c>
      <c r="AG94" s="757" t="str">
        <f>""</f>
        <v/>
      </c>
      <c r="AH94" s="758" t="str">
        <f>""</f>
        <v/>
      </c>
      <c r="AI94" s="757" t="str">
        <f>""</f>
        <v/>
      </c>
      <c r="AJ94" s="758"/>
      <c r="AK94" s="757"/>
      <c r="AL94" s="758" t="str">
        <f>""</f>
        <v/>
      </c>
      <c r="AM94" s="757"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FC BarcelonaVFB Essenheim</v>
      </c>
      <c r="AA136" s="730">
        <f ca="1">AA64</f>
        <v>1</v>
      </c>
      <c r="AB136" s="671" t="str">
        <f ca="1">IF(AA64&gt;0,AI64&amp;Sprache!$E$99&amp;AH64,"")</f>
        <v>71 : 57</v>
      </c>
      <c r="AC136" s="770" t="str">
        <f ca="1">IF(AA64&gt;0,AK64&amp;Sprache!$E$99&amp;AJ64,"")</f>
        <v>2 : 1</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Inter MailandFC Grönlingen</v>
      </c>
      <c r="AA137" s="671">
        <f t="shared" ref="AA137:AA165" ca="1" si="71">AA65</f>
        <v>1</v>
      </c>
      <c r="AB137" s="671" t="str">
        <f ca="1">IF(AA65&gt;0,AI65&amp;Sprache!$E$99&amp;AH65,"")</f>
        <v>45 : 48</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65" ca="1" si="72">W66&amp;V66</f>
        <v>Maibach 1822 eVEintracht Frankfurt</v>
      </c>
      <c r="AA138" s="671">
        <f t="shared" ca="1" si="71"/>
        <v>1</v>
      </c>
      <c r="AB138" s="671" t="str">
        <f ca="1">IF(AA66&gt;0,AI66&amp;Sprache!$E$99&amp;AH66,"")</f>
        <v>36 : 50</v>
      </c>
      <c r="AC138" s="773" t="str">
        <f ca="1">IF(AA66&gt;0,AK66&amp;Sprache!$E$99&amp;AJ66,"")</f>
        <v>0 : 2</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72"/>
        <v>Manchester CitySSV Wildbach</v>
      </c>
      <c r="AA139" s="671">
        <f t="shared" ca="1" si="71"/>
        <v>1</v>
      </c>
      <c r="AB139" s="671" t="str">
        <f ca="1">IF(AA67&gt;0,AI67&amp;Sprache!$E$99&amp;AH67,"")</f>
        <v>42 : 50</v>
      </c>
      <c r="AC139" s="773" t="str">
        <f ca="1">IF(AA67&gt;0,AK67&amp;Sprache!$E$99&amp;AJ67,"")</f>
        <v>0 : 2</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72"/>
        <v>1. FC RiedwaldVFB Essenheim</v>
      </c>
      <c r="AA140" s="671">
        <f t="shared" ca="1" si="71"/>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72"/>
        <v>Mainz 05FC Grönlingen</v>
      </c>
      <c r="AA141" s="671">
        <f t="shared" ca="1" si="71"/>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72"/>
        <v>Eintracht FrankfurtFC Barcelona</v>
      </c>
      <c r="AA142" s="671">
        <f t="shared" ca="1" si="71"/>
        <v>1</v>
      </c>
      <c r="AB142" s="671" t="str">
        <f ca="1">IF(AA70&gt;0,AI70&amp;Sprache!$E$99&amp;AH70,"")</f>
        <v>48 : 48</v>
      </c>
      <c r="AC142" s="773" t="str">
        <f ca="1">IF(AA70&gt;0,AK70&amp;Sprache!$E$99&amp;AJ70,"")</f>
        <v>1 : 1</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72"/>
        <v>SSV WildbachInter Mailand</v>
      </c>
      <c r="AA143" s="671">
        <f t="shared" ca="1" si="71"/>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72"/>
        <v>Maibach 1822 eV1. FC Riedwald</v>
      </c>
      <c r="AA144" s="671">
        <f t="shared" ca="1" si="71"/>
        <v>1</v>
      </c>
      <c r="AB144" s="671" t="str">
        <f ca="1">IF(AA72&gt;0,AI72&amp;Sprache!$E$99&amp;AH72,"")</f>
        <v>43 : 41</v>
      </c>
      <c r="AC144" s="773" t="str">
        <f ca="1">IF(AA72&gt;0,AK72&amp;Sprache!$E$99&amp;AJ72,"")</f>
        <v>1 : 1</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72"/>
        <v>Manchester CityMainz 05</v>
      </c>
      <c r="AA145" s="671">
        <f t="shared" ca="1" si="71"/>
        <v>1</v>
      </c>
      <c r="AB145" s="671" t="str">
        <f ca="1">IF(AA73&gt;0,AI73&amp;Sprache!$E$99&amp;AH73,"")</f>
        <v>44 : 39</v>
      </c>
      <c r="AC145" s="773" t="str">
        <f ca="1">IF(AA73&gt;0,AK73&amp;Sprache!$E$99&amp;AJ73,"")</f>
        <v>1 : 1</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72"/>
        <v>VFB EssenheimEintracht Frankfurt</v>
      </c>
      <c r="AA146" s="671">
        <f t="shared" ca="1" si="71"/>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72"/>
        <v>FC GrönlingenSSV Wildbach</v>
      </c>
      <c r="AA147" s="671">
        <f t="shared" ca="1" si="71"/>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72"/>
        <v>Maibach 1822 eVFC Barcelona</v>
      </c>
      <c r="AA148" s="671">
        <f t="shared" ca="1" si="71"/>
        <v>1</v>
      </c>
      <c r="AB148" s="671" t="str">
        <f ca="1">IF(AA76&gt;0,AI76&amp;Sprache!$E$99&amp;AH76,"")</f>
        <v>50 : 29</v>
      </c>
      <c r="AC148" s="773" t="str">
        <f ca="1">IF(AA76&gt;0,AK76&amp;Sprache!$E$99&amp;AJ76,"")</f>
        <v>2 : 0</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72"/>
        <v>Manchester CityInter Mailand</v>
      </c>
      <c r="AA149" s="671">
        <f t="shared" ca="1" si="71"/>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72"/>
        <v>1. FC RiedwaldEintracht Frankfurt</v>
      </c>
      <c r="AA150" s="671">
        <f t="shared" ca="1" si="71"/>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72"/>
        <v>Mainz 05SSV Wildbach</v>
      </c>
      <c r="AA151" s="671">
        <f t="shared" ca="1" si="71"/>
        <v>1</v>
      </c>
      <c r="AB151" s="671" t="str">
        <f ca="1">IF(AA79&gt;0,AI79&amp;Sprache!$E$99&amp;AH79,"")</f>
        <v>50 : 38</v>
      </c>
      <c r="AC151" s="773" t="str">
        <f ca="1">IF(AA79&gt;0,AK79&amp;Sprache!$E$99&amp;AJ79,"")</f>
        <v>2 : 0</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72"/>
        <v>VFB EssenheimMaibach 1822 eV</v>
      </c>
      <c r="AA152" s="671">
        <f t="shared" ca="1" si="71"/>
        <v>1</v>
      </c>
      <c r="AB152" s="671" t="str">
        <f ca="1">IF(AA80&gt;0,AI80&amp;Sprache!$E$99&amp;AH80,"")</f>
        <v>40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x14ac:dyDescent="0.2">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72"/>
        <v>FC GrönlingenManchester City</v>
      </c>
      <c r="AA153" s="671">
        <f t="shared" ca="1" si="71"/>
        <v>1</v>
      </c>
      <c r="AB153" s="671" t="str">
        <f ca="1">IF(AA81&gt;0,AI81&amp;Sprache!$E$99&amp;AH81,"")</f>
        <v>32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42" t="s">
        <v>33</v>
      </c>
      <c r="Z154" s="745" t="str">
        <f t="shared" ca="1" si="72"/>
        <v>FC Barcelona1. FC Riedwald</v>
      </c>
      <c r="AA154" s="671">
        <f t="shared" ca="1" si="71"/>
        <v>1</v>
      </c>
      <c r="AB154" s="671" t="str">
        <f ca="1">IF(AA82&gt;0,AI82&amp;Sprache!$E$99&amp;AH82,"")</f>
        <v>37 : 50</v>
      </c>
      <c r="AC154" s="773" t="str">
        <f ca="1">IF(AA82&gt;0,AK82&amp;Sprache!$E$99&amp;AJ82,"")</f>
        <v>0 : 2</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 t="shared" ca="1" si="72"/>
        <v>Inter MailandMainz 05</v>
      </c>
      <c r="AA155" s="671">
        <f t="shared" ca="1" si="71"/>
        <v>1</v>
      </c>
      <c r="AB155" s="671" t="str">
        <f ca="1">IF(AA83&gt;0,AI83&amp;Sprache!$E$99&amp;AH83,"")</f>
        <v>24 : 50</v>
      </c>
      <c r="AC155" s="773" t="str">
        <f ca="1">IF(AA83&gt;0,AK83&amp;Sprache!$E$99&amp;AJ83,"")</f>
        <v>0 : 2</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 t="shared" ca="1" si="72"/>
        <v/>
      </c>
      <c r="AA156" s="671">
        <f t="shared" ca="1" si="71"/>
        <v>0</v>
      </c>
      <c r="AB156" s="671" t="str">
        <f ca="1">IF(AA84&gt;0,AI84&amp;Sprache!$E$99&amp;AH84,"")</f>
        <v/>
      </c>
      <c r="AC156" s="773" t="str">
        <f ca="1">IF(AA84&gt;0,AK84&amp;Sprache!$E$99&amp;AJ84,"")</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 t="shared" ca="1" si="72"/>
        <v/>
      </c>
      <c r="AA157" s="671">
        <f t="shared" ca="1" si="71"/>
        <v>0</v>
      </c>
      <c r="AB157" s="671" t="str">
        <f ca="1">IF(AA85&gt;0,AI85&amp;Sprache!$E$99&amp;AH85,"")</f>
        <v/>
      </c>
      <c r="AC157" s="773" t="str">
        <f ca="1">IF(AA85&gt;0,AK85&amp;Sprache!$E$99&amp;AJ85,"")</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 t="shared" ca="1" si="72"/>
        <v/>
      </c>
      <c r="AA158" s="671">
        <f t="shared" ca="1" si="71"/>
        <v>0</v>
      </c>
      <c r="AB158" s="671" t="str">
        <f ca="1">IF(AA86&gt;0,AI86&amp;Sprache!$E$99&amp;AH86,"")</f>
        <v/>
      </c>
      <c r="AC158" s="773" t="str">
        <f ca="1">IF(AA86&gt;0,AK86&amp;Sprache!$E$99&amp;AJ86,"")</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 t="shared" ca="1" si="72"/>
        <v/>
      </c>
      <c r="AA159" s="671">
        <f t="shared" ca="1" si="71"/>
        <v>0</v>
      </c>
      <c r="AB159" s="671" t="str">
        <f ca="1">IF(AA87&gt;0,AI87&amp;Sprache!$E$99&amp;AH87,"")</f>
        <v/>
      </c>
      <c r="AC159" s="773" t="str">
        <f ca="1">IF(AA87&gt;0,AK87&amp;Sprache!$E$99&amp;AJ87,"")</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 t="shared" ca="1" si="72"/>
        <v/>
      </c>
      <c r="AA160" s="671">
        <f t="shared" ca="1" si="71"/>
        <v>0</v>
      </c>
      <c r="AB160" s="671" t="str">
        <f ca="1">IF(AA88&gt;0,AI88&amp;Sprache!$E$99&amp;AH88,"")</f>
        <v/>
      </c>
      <c r="AC160" s="773" t="str">
        <f ca="1">IF(AA88&gt;0,AK88&amp;Sprache!$E$99&amp;AJ88,"")</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 t="shared" ca="1" si="72"/>
        <v/>
      </c>
      <c r="AA161" s="671">
        <f t="shared" ca="1" si="71"/>
        <v>0</v>
      </c>
      <c r="AB161" s="671" t="str">
        <f ca="1">IF(AA89&gt;0,AI89&amp;Sprache!$E$99&amp;AH89,"")</f>
        <v/>
      </c>
      <c r="AC161" s="773" t="str">
        <f ca="1">IF(AA89&gt;0,AK89&amp;Sprache!$E$99&amp;AJ89,"")</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 t="shared" ca="1" si="72"/>
        <v/>
      </c>
      <c r="AA162" s="671">
        <f t="shared" ca="1" si="71"/>
        <v>0</v>
      </c>
      <c r="AB162" s="671" t="str">
        <f ca="1">IF(AA90&gt;0,AI90&amp;Sprache!$E$99&amp;AH90,"")</f>
        <v/>
      </c>
      <c r="AC162" s="773" t="str">
        <f ca="1">IF(AA90&gt;0,AK90&amp;Sprache!$E$99&amp;AJ90,"")</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 t="shared" ca="1" si="72"/>
        <v/>
      </c>
      <c r="AA163" s="671">
        <f t="shared" ca="1" si="71"/>
        <v>0</v>
      </c>
      <c r="AB163" s="671" t="str">
        <f ca="1">IF(AA91&gt;0,AI91&amp;Sprache!$E$99&amp;AH91,"")</f>
        <v/>
      </c>
      <c r="AC163" s="773" t="str">
        <f ca="1">IF(AA91&gt;0,AK91&amp;Sprache!$E$99&amp;AJ91,"")</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 t="shared" ca="1" si="72"/>
        <v/>
      </c>
      <c r="AA164" s="671">
        <f t="shared" ca="1" si="71"/>
        <v>0</v>
      </c>
      <c r="AB164" s="671" t="str">
        <f ca="1">IF(AA92&gt;0,AI92&amp;Sprache!$E$99&amp;AH92,"")</f>
        <v/>
      </c>
      <c r="AC164" s="773" t="str">
        <f ca="1">IF(AA92&gt;0,AK92&amp;Sprache!$E$99&amp;AJ92,"")</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ht="12.75" thickBot="1" x14ac:dyDescent="0.25">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 t="shared" ca="1" si="72"/>
        <v/>
      </c>
      <c r="AA165" s="671">
        <f t="shared" ca="1" si="71"/>
        <v>0</v>
      </c>
      <c r="AB165" s="671" t="str">
        <f ca="1">IF(AA93&gt;0,AI93&amp;Sprache!$E$99&amp;AH93,"")</f>
        <v/>
      </c>
      <c r="AC165" s="773" t="str">
        <f ca="1">IF(AA93&gt;0,AK93&amp;Sprache!$E$99&amp;AJ93,"")</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ht="12.75" thickTop="1"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52" t="s">
        <v>45</v>
      </c>
      <c r="Z166" s="756" t="str">
        <f>""</f>
        <v/>
      </c>
      <c r="AA166" s="754">
        <v>0</v>
      </c>
      <c r="AB166" s="754" t="str">
        <f>""</f>
        <v/>
      </c>
      <c r="AC166" s="775"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8.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8.140625" style="2" customWidth="1"/>
    <col min="47" max="47" width="9.42578125" style="2" customWidth="1"/>
    <col min="48" max="48" width="8.42578125" style="2" customWidth="1"/>
    <col min="49" max="49" width="8"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391</v>
      </c>
      <c r="J3" s="676" t="s">
        <v>108</v>
      </c>
      <c r="K3" s="781" t="s">
        <v>101</v>
      </c>
      <c r="L3" s="676" t="s">
        <v>102</v>
      </c>
      <c r="M3" s="676" t="s">
        <v>103</v>
      </c>
      <c r="N3" s="676" t="s">
        <v>104</v>
      </c>
      <c r="O3" s="677"/>
      <c r="P3" s="678"/>
      <c r="Q3" s="678"/>
      <c r="R3" s="678"/>
      <c r="S3" s="678"/>
      <c r="T3" s="678"/>
      <c r="U3" s="678"/>
      <c r="V3" s="678"/>
      <c r="W3" s="1011"/>
      <c r="X3" s="1012"/>
      <c r="Y3" s="1012"/>
      <c r="Z3" s="1012"/>
      <c r="AA3" s="1012"/>
      <c r="AB3" s="1011"/>
      <c r="AC3" s="1012"/>
      <c r="AD3" s="1012"/>
      <c r="AE3" s="1012"/>
      <c r="AF3" s="1012"/>
      <c r="AG3" s="1011"/>
      <c r="AH3" s="1012"/>
      <c r="AI3" s="1012"/>
      <c r="AJ3" s="1012"/>
      <c r="AK3" s="1012"/>
      <c r="AL3" s="1011"/>
      <c r="AM3" s="1012"/>
      <c r="AN3" s="1012"/>
      <c r="AO3" s="1012"/>
      <c r="AP3" s="1012"/>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4</v>
      </c>
      <c r="D4" s="671">
        <f ca="1">E4+ROW()/1000+(F4="")*10</f>
        <v>4.0039999999999996</v>
      </c>
      <c r="E4" s="681">
        <f ca="1">IF($AI$15,RANK(AH17,AH$17:AH$25,1),RANK(X17,X$17:X$25,1))</f>
        <v>4</v>
      </c>
      <c r="F4" s="672" t="str">
        <f ca="1">$Q64</f>
        <v>Eintracht Frankfurt</v>
      </c>
      <c r="G4" s="672">
        <f ca="1">SUMIFS($AH$64:$AH$135,$V$64:$V$135,$F4)+SUMIFS($AI$64:$AI$135,$W$64:$W$135,$F4)</f>
        <v>116</v>
      </c>
      <c r="H4" s="672">
        <f ca="1">SUMIFS($AI$64:$AI$135,$V$64:$V$135,$F4)+SUMIFS($AH$64:$AH$135,$W$64:$W$135,$F4)</f>
        <v>133</v>
      </c>
      <c r="I4" s="671">
        <f ca="1">IF(Einstellungen!$G$24,G4-H4,IF(H4=0,IF(G4=0,0,Einstellungen!$F$24),G4/H4))</f>
        <v>-17</v>
      </c>
      <c r="J4" s="672">
        <f ca="1">$L4*Einstellungen!$C$4+$M4</f>
        <v>2</v>
      </c>
      <c r="K4" s="672">
        <f ca="1">SUMPRODUCT(($V$64:$V$135=F4)*($AJ$64:$AJ$135&lt;&gt;"")*$AA$64:$AA$135)+SUMPRODUCT(($W$64:$W$135=F4)*($AK$64:$AK$135&lt;&gt;"")*$AA$64:$AA$135)</f>
        <v>3</v>
      </c>
      <c r="L4" s="672">
        <f ca="1">SUMPRODUCT(($V$64:$V$135=F4)*($AJ$64:$AJ$135&gt;$AK$64:$AK$135)*$AA$64:$AA$135)+SUMPRODUCT(($W$64:$W$135=F4)*($AJ$64:$AJ$135&lt;$AK$64:$AK$135)*$AA$64:$AA$135)</f>
        <v>1</v>
      </c>
      <c r="M4" s="672">
        <f t="shared" ref="M4:M12" ca="1" si="0">SUMPRODUCT(($V$64:$W$135=F4)*($AJ$64:$AJ$135=$AK$64:$AK$135)*$AA$64:$AA$135)</f>
        <v>0</v>
      </c>
      <c r="N4" s="672">
        <f ca="1">K4-L4-M4</f>
        <v>2</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4</v>
      </c>
      <c r="AT4" s="672">
        <f ca="1">SUMPRODUCT(($V$64:$V$135=F4)*$AJ$64:$AJ$135)+SUMPRODUCT(($W$64:$W$135=F4)*$AK$64:$AK$135)</f>
        <v>2</v>
      </c>
      <c r="AU4" s="672">
        <f ca="1">AT4-AS4</f>
        <v>-2</v>
      </c>
      <c r="AV4" s="672">
        <f ca="1">IF(Einstellungen!$G$24,$I4,ROUND($I4,Einstellungen!$H$24))</f>
        <v>-17</v>
      </c>
      <c r="AW4" s="672">
        <f ca="1">I4-(F4="")*10000</f>
        <v>-17</v>
      </c>
      <c r="AX4" s="672">
        <f ca="1" xml:space="preserve"> RANK(AW4,$AW$4:$AW$12,1)</f>
        <v>6</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3</v>
      </c>
      <c r="D5" s="671">
        <f t="shared" ref="D5:D12" ca="1" si="2">E5+ROW()/1000+(F5="")*10</f>
        <v>3.0049999999999999</v>
      </c>
      <c r="E5" s="681">
        <f t="shared" ref="E5:E12" ca="1" si="3">IF($AI$15,RANK(AH18,AH$17:AH$25,1),RANK(X18,X$17:X$25,1))</f>
        <v>3</v>
      </c>
      <c r="F5" s="672" t="str">
        <f t="shared" ref="F5:F12" ca="1" si="4">$Q65</f>
        <v>Mainz 05</v>
      </c>
      <c r="G5" s="672">
        <f t="shared" ref="G5:G12" ca="1" si="5">SUMIFS($AH$64:$AH$135,$V$64:$V$135,$F5)+SUMIFS($AI$64:$AI$135,$W$64:$W$135,$F5)</f>
        <v>127</v>
      </c>
      <c r="H5" s="672">
        <f t="shared" ref="H5:H12" ca="1" si="6">SUMIFS($AI$64:$AI$135,$V$64:$V$135,$F5)+SUMIFS($AH$64:$AH$135,$W$64:$W$135,$F5)</f>
        <v>133</v>
      </c>
      <c r="I5" s="671">
        <f ca="1">IF(Einstellungen!$G$24,G5-H5,IF(H5=0,IF(G5=0,0,Einstellungen!$F$24),G5/H5))</f>
        <v>-6</v>
      </c>
      <c r="J5" s="672">
        <f ca="1">$L5*Einstellungen!$C$4+$M5</f>
        <v>3</v>
      </c>
      <c r="K5" s="672">
        <f t="shared" ref="K5:K12" ca="1" si="7">SUMPRODUCT(($V$64:$V$135=F5)*($AJ$64:$AJ$135&lt;&gt;"")*$AA$64:$AA$135)+SUMPRODUCT(($W$64:$W$135=F5)*($AK$64:$AK$135&lt;&gt;"")*$AA$64:$AA$135)</f>
        <v>3</v>
      </c>
      <c r="L5" s="672">
        <f t="shared" ref="L5:L12" ca="1" si="8">SUMPRODUCT(($V$64:$V$135=F5)*($AJ$64:$AJ$135&gt;$AK$64:$AK$135)*$AA$64:$AA$135)+SUMPRODUCT(($W$64:$W$135=F5)*($AJ$64:$AJ$135&lt;$AK$64:$AK$135)*$AA$64:$AA$135)</f>
        <v>1</v>
      </c>
      <c r="M5" s="672">
        <f t="shared" ca="1" si="0"/>
        <v>1</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3</v>
      </c>
      <c r="AT5" s="672">
        <f t="shared" ref="AT5:AT12" ca="1" si="11">SUMPRODUCT(($V$64:$V$135=F5)*$AJ$64:$AJ$135)+SUMPRODUCT(($W$64:$W$135=F5)*$AK$64:$AK$135)</f>
        <v>3</v>
      </c>
      <c r="AU5" s="672">
        <f t="shared" ref="AU5:AU12" ca="1" si="12">AT5-AS5</f>
        <v>0</v>
      </c>
      <c r="AV5" s="672">
        <f ca="1">IF(Einstellungen!$G$24,$I5,ROUND($I5,Einstellungen!$H$24))</f>
        <v>-6</v>
      </c>
      <c r="AW5" s="672">
        <f t="shared" ref="AW5:AW12" ca="1" si="13">I5-(F5="")*10000</f>
        <v>-6</v>
      </c>
      <c r="AX5" s="672">
        <f t="shared" ref="AX5:AX12" ca="1" si="14" xml:space="preserve"> RANK(AW5,$AW$4:$AW$12,1)</f>
        <v>7</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2</v>
      </c>
      <c r="D6" s="671">
        <f t="shared" ca="1" si="2"/>
        <v>2.0059999999999998</v>
      </c>
      <c r="E6" s="681">
        <f t="shared" ca="1" si="3"/>
        <v>2</v>
      </c>
      <c r="F6" s="672" t="str">
        <f t="shared" ca="1" si="4"/>
        <v>Maibach 1822 eV</v>
      </c>
      <c r="G6" s="672">
        <f t="shared" ca="1" si="5"/>
        <v>135</v>
      </c>
      <c r="H6" s="672">
        <f t="shared" ca="1" si="6"/>
        <v>123</v>
      </c>
      <c r="I6" s="671">
        <f ca="1">IF(Einstellungen!$G$24,G6-H6,IF(H6=0,IF(G6=0,0,Einstellungen!$F$24),G6/H6))</f>
        <v>12</v>
      </c>
      <c r="J6" s="672">
        <f ca="1">$L6*Einstellungen!$C$4+$M6</f>
        <v>3</v>
      </c>
      <c r="K6" s="672">
        <f t="shared" ca="1" si="7"/>
        <v>3</v>
      </c>
      <c r="L6" s="672">
        <f t="shared" ca="1" si="8"/>
        <v>1</v>
      </c>
      <c r="M6" s="672">
        <f t="shared" ca="1" si="0"/>
        <v>1</v>
      </c>
      <c r="N6" s="672">
        <f t="shared" ca="1" si="9"/>
        <v>1</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3</v>
      </c>
      <c r="AT6" s="672">
        <f t="shared" ca="1" si="11"/>
        <v>3</v>
      </c>
      <c r="AU6" s="672">
        <f t="shared" ca="1" si="12"/>
        <v>0</v>
      </c>
      <c r="AV6" s="672">
        <f ca="1">IF(Einstellungen!$G$24,$I6,ROUND($I6,Einstellungen!$H$24))</f>
        <v>12</v>
      </c>
      <c r="AW6" s="672">
        <f t="shared" ca="1" si="13"/>
        <v>12</v>
      </c>
      <c r="AX6" s="672">
        <f t="shared" ca="1" si="14"/>
        <v>9</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1</v>
      </c>
      <c r="D7" s="671">
        <f t="shared" ca="1" si="2"/>
        <v>1.0069999999999999</v>
      </c>
      <c r="E7" s="681">
        <f t="shared" ca="1" si="3"/>
        <v>1</v>
      </c>
      <c r="F7" s="672" t="str">
        <f t="shared" ca="1" si="4"/>
        <v>Manchester City</v>
      </c>
      <c r="G7" s="672">
        <f t="shared" ca="1" si="5"/>
        <v>136</v>
      </c>
      <c r="H7" s="672">
        <f t="shared" ca="1" si="6"/>
        <v>125</v>
      </c>
      <c r="I7" s="671">
        <f ca="1">IF(Einstellungen!$G$24,G7-H7,IF(H7=0,IF(G7=0,0,Einstellungen!$F$24),G7/H7))</f>
        <v>11</v>
      </c>
      <c r="J7" s="672">
        <f ca="1">$L7*Einstellungen!$C$4+$M7</f>
        <v>4</v>
      </c>
      <c r="K7" s="672">
        <f t="shared" ca="1" si="7"/>
        <v>3</v>
      </c>
      <c r="L7" s="672">
        <f t="shared" ca="1" si="8"/>
        <v>1</v>
      </c>
      <c r="M7" s="672">
        <f t="shared" ca="1" si="0"/>
        <v>2</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2</v>
      </c>
      <c r="AT7" s="672">
        <f t="shared" ca="1" si="11"/>
        <v>4</v>
      </c>
      <c r="AU7" s="672">
        <f t="shared" ca="1" si="12"/>
        <v>2</v>
      </c>
      <c r="AV7" s="672">
        <f ca="1">IF(Einstellungen!$G$24,$I7,ROUND($I7,Einstellungen!$H$24))</f>
        <v>11</v>
      </c>
      <c r="AW7" s="672">
        <f t="shared" ca="1" si="13"/>
        <v>11</v>
      </c>
      <c r="AX7" s="672">
        <f t="shared" ca="1" si="14"/>
        <v>8</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15.007999999999999</v>
      </c>
      <c r="E8" s="681">
        <f t="shared" ca="1" si="3"/>
        <v>5</v>
      </c>
      <c r="F8" s="672" t="str">
        <f t="shared" si="4"/>
        <v/>
      </c>
      <c r="G8" s="672">
        <f t="shared" ca="1" si="5"/>
        <v>0</v>
      </c>
      <c r="H8" s="672">
        <f t="shared" ca="1" si="6"/>
        <v>0</v>
      </c>
      <c r="I8" s="671">
        <f ca="1">IF(Einstellungen!$G$24,G8-H8,IF(H8=0,IF(G8=0,0,Einstellungen!$F$24),G8/H8))</f>
        <v>0</v>
      </c>
      <c r="J8" s="672">
        <f ca="1">$L8*Einstellungen!$C$4+$M8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IF(Einstellungen!$G$24,$I8,ROUND($I8,Einstellungen!$H$24))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15.009</v>
      </c>
      <c r="E9" s="681">
        <f t="shared" ca="1" si="3"/>
        <v>5</v>
      </c>
      <c r="F9" s="672" t="str">
        <f t="shared" si="4"/>
        <v/>
      </c>
      <c r="G9" s="672">
        <f t="shared" ca="1" si="5"/>
        <v>0</v>
      </c>
      <c r="H9" s="672">
        <f t="shared" ca="1" si="6"/>
        <v>0</v>
      </c>
      <c r="I9" s="671">
        <f ca="1">IF(Einstellungen!$G$24,G9-H9,IF(H9=0,IF(G9=0,0,Einstellungen!$F$24),G9/H9))</f>
        <v>0</v>
      </c>
      <c r="J9" s="672">
        <f ca="1">$L9*Einstellungen!$C$4+$M9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IF(Einstellungen!$G$24,$I9,ROUND($I9,Einstellungen!$H$24))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15.01</v>
      </c>
      <c r="E10" s="681">
        <f t="shared" ca="1" si="3"/>
        <v>5</v>
      </c>
      <c r="F10" s="672" t="str">
        <f t="shared" si="4"/>
        <v/>
      </c>
      <c r="G10" s="672">
        <f t="shared" ca="1" si="5"/>
        <v>0</v>
      </c>
      <c r="H10" s="672">
        <f t="shared" ca="1" si="6"/>
        <v>0</v>
      </c>
      <c r="I10" s="671">
        <f ca="1">IF(Einstellungen!$G$24,G10-H10,IF(H10=0,IF(G10=0,0,Einstellungen!$F$24),G10/H10))</f>
        <v>0</v>
      </c>
      <c r="J10" s="672">
        <f ca="1">$L10*Einstellungen!$C$4+$M10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IF(Einstellungen!$G$24,$I10,ROUND($I10,Einstellungen!$H$24))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15.010999999999999</v>
      </c>
      <c r="E11" s="681">
        <f t="shared" ca="1" si="3"/>
        <v>5</v>
      </c>
      <c r="F11" s="672" t="str">
        <f t="shared" si="4"/>
        <v/>
      </c>
      <c r="G11" s="672">
        <f t="shared" ca="1" si="5"/>
        <v>0</v>
      </c>
      <c r="H11" s="672">
        <f t="shared" ca="1" si="6"/>
        <v>0</v>
      </c>
      <c r="I11" s="671">
        <f ca="1">IF(Einstellungen!$G$24,G11-H11,IF(H11=0,IF(G11=0,0,Einstellungen!$F$24),G11/H11))</f>
        <v>0</v>
      </c>
      <c r="J11" s="672">
        <f ca="1">$L11*Einstellungen!$C$4+$M11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IF(Einstellungen!$G$24,$I11,ROUND($I11,Einstellungen!$H$24))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15.012</v>
      </c>
      <c r="E12" s="681">
        <f t="shared" ca="1" si="3"/>
        <v>5</v>
      </c>
      <c r="F12" s="672" t="str">
        <f t="shared" si="4"/>
        <v/>
      </c>
      <c r="G12" s="672">
        <f t="shared" ca="1" si="5"/>
        <v>0</v>
      </c>
      <c r="H12" s="672">
        <f t="shared" ca="1" si="6"/>
        <v>0</v>
      </c>
      <c r="I12" s="671">
        <f ca="1">IF(Einstellungen!$G$24,G12-H12,IF(H12=0,IF(G12=0,0,Einstellungen!$F$24),G12/H12))</f>
        <v>0</v>
      </c>
      <c r="J12" s="672">
        <f ca="1">$L12*Einstellungen!$C$4+$M12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IF(Einstellungen!$G$24,$I12,ROUND($I12,Einstellungen!$H$24))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12</v>
      </c>
      <c r="C13" s="671"/>
      <c r="D13" s="671"/>
      <c r="E13" s="671"/>
      <c r="F13" s="671">
        <f ca="1">9-COUNTBLANK($F$4:$F$12)</f>
        <v>4</v>
      </c>
      <c r="G13" s="671"/>
      <c r="H13" s="671"/>
      <c r="I13" s="671"/>
      <c r="J13" s="671"/>
      <c r="K13" s="676">
        <f ca="1">QUOTIENT(SUM(K4:K12),2)</f>
        <v>6</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394</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Eintracht Frankfurt</v>
      </c>
      <c r="D17" s="672">
        <f t="shared" ref="D17:G25" ca="1" si="15">K4</f>
        <v>3</v>
      </c>
      <c r="E17" s="672">
        <f t="shared" ca="1" si="15"/>
        <v>1</v>
      </c>
      <c r="F17" s="672">
        <f t="shared" ca="1" si="15"/>
        <v>0</v>
      </c>
      <c r="G17" s="672">
        <f t="shared" ca="1" si="15"/>
        <v>2</v>
      </c>
      <c r="H17" s="672">
        <f t="shared" ref="H17:J25" ca="1" si="16">G4</f>
        <v>116</v>
      </c>
      <c r="I17" s="672">
        <f t="shared" ca="1" si="16"/>
        <v>133</v>
      </c>
      <c r="J17" s="671">
        <f t="shared" ca="1" si="16"/>
        <v>-17</v>
      </c>
      <c r="K17" s="672">
        <f ca="1">IF(Einstellungen!$G$9,J4,$AT4)</f>
        <v>2</v>
      </c>
      <c r="L17" s="696">
        <f ca="1">K17*$F$64+(AU4+$H$65)*$F$65*Einstellungen!$G$14+AT4*$F$66*Einstellungen!$G$19+AX4*$F$67</f>
        <v>2000000.0060000001</v>
      </c>
      <c r="M17" s="688">
        <f ca="1">IF($AI$15,COUNTIF($K$17:$K$25,K17),COUNTIF($L$17:$L$25,L17))</f>
        <v>1</v>
      </c>
      <c r="N17" s="688">
        <f t="array" aca="1" ref="N17" ca="1">IF($AI$15,SUM(($K$17:$K$25&gt;=K17)/COUNTIF($K$17:$K$25,$K$17:$K$25)),SUM(($L$17:$L$25&gt;=L17)/COUNTIF($L$17:$L$25,$L$17:$L$25)))</f>
        <v>4</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4.0108999999999995</v>
      </c>
      <c r="Y17" s="671">
        <f ca="1">'Endrunde 4'!$AU12+$AD17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Mainz 05</v>
      </c>
      <c r="D18" s="672">
        <f t="shared" ca="1" si="15"/>
        <v>3</v>
      </c>
      <c r="E18" s="672">
        <f t="shared" ca="1" si="15"/>
        <v>1</v>
      </c>
      <c r="F18" s="672">
        <f t="shared" ca="1" si="15"/>
        <v>1</v>
      </c>
      <c r="G18" s="672">
        <f t="shared" ca="1" si="15"/>
        <v>1</v>
      </c>
      <c r="H18" s="672">
        <f t="shared" ca="1" si="16"/>
        <v>127</v>
      </c>
      <c r="I18" s="672">
        <f t="shared" ca="1" si="16"/>
        <v>133</v>
      </c>
      <c r="J18" s="671">
        <f t="shared" ca="1" si="16"/>
        <v>-6</v>
      </c>
      <c r="K18" s="672">
        <f ca="1">IF(Einstellungen!$G$9,J5,$AT5)</f>
        <v>3</v>
      </c>
      <c r="L18" s="696">
        <f ca="1">K18*$F$64+(AU5+$H$65)*$F$65*Einstellungen!$G$14+AT5*$F$66*Einstellungen!$G$19+AX5*$F$67</f>
        <v>3000000.0070000002</v>
      </c>
      <c r="M18" s="688">
        <f t="shared" ref="M18:M25" ca="1" si="26">IF($AI$15,COUNTIF($K$17:$K$25,K18),COUNTIF($L$17:$L$25,L18))</f>
        <v>1</v>
      </c>
      <c r="N18" s="688">
        <f t="array" aca="1" ref="N18" ca="1">IF($AI$15,SUM(($K$17:$K$25&gt;=K18)/COUNTIF($K$17:$K$25,$K$17:$K$25)),SUM(($L$17:$L$25&gt;=L18)/COUNTIF($L$17:$L$25,$L$17:$L$25)))</f>
        <v>3</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3.0108999999999999</v>
      </c>
      <c r="Y18" s="671">
        <f ca="1">'Endrunde 4'!$AU13+$AD18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Maibach 1822 eV</v>
      </c>
      <c r="D19" s="672">
        <f t="shared" ca="1" si="15"/>
        <v>3</v>
      </c>
      <c r="E19" s="672">
        <f t="shared" ca="1" si="15"/>
        <v>1</v>
      </c>
      <c r="F19" s="672">
        <f t="shared" ca="1" si="15"/>
        <v>1</v>
      </c>
      <c r="G19" s="672">
        <f t="shared" ca="1" si="15"/>
        <v>1</v>
      </c>
      <c r="H19" s="672">
        <f t="shared" ca="1" si="16"/>
        <v>135</v>
      </c>
      <c r="I19" s="672">
        <f t="shared" ca="1" si="16"/>
        <v>123</v>
      </c>
      <c r="J19" s="671">
        <f t="shared" ca="1" si="16"/>
        <v>12</v>
      </c>
      <c r="K19" s="672">
        <f ca="1">IF(Einstellungen!$G$9,J6,$AT6)</f>
        <v>3</v>
      </c>
      <c r="L19" s="696">
        <f ca="1">K19*$F$64+(AU6+$H$65)*$F$65*Einstellungen!$G$14+AT6*$F$66*Einstellungen!$G$19+AX6*$F$67</f>
        <v>3000000.0090000001</v>
      </c>
      <c r="M19" s="688">
        <f t="shared" ca="1" si="26"/>
        <v>1</v>
      </c>
      <c r="N19" s="688">
        <f t="array" aca="1" ref="N19" ca="1">IF($AI$15,SUM(($K$17:$K$25&gt;=K19)/COUNTIF($K$17:$K$25,$K$17:$K$25)),SUM(($L$17:$L$25&gt;=L19)/COUNTIF($L$17:$L$25,$L$17:$L$25)))</f>
        <v>2</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2.0108999999999999</v>
      </c>
      <c r="Y19" s="671">
        <f ca="1">'Endrunde 4'!$AU14+$AD19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Manchester City</v>
      </c>
      <c r="D20" s="672">
        <f t="shared" ca="1" si="15"/>
        <v>3</v>
      </c>
      <c r="E20" s="672">
        <f t="shared" ca="1" si="15"/>
        <v>1</v>
      </c>
      <c r="F20" s="672">
        <f t="shared" ca="1" si="15"/>
        <v>2</v>
      </c>
      <c r="G20" s="672">
        <f t="shared" ca="1" si="15"/>
        <v>0</v>
      </c>
      <c r="H20" s="672">
        <f t="shared" ca="1" si="16"/>
        <v>136</v>
      </c>
      <c r="I20" s="672">
        <f t="shared" ca="1" si="16"/>
        <v>125</v>
      </c>
      <c r="J20" s="671">
        <f t="shared" ca="1" si="16"/>
        <v>11</v>
      </c>
      <c r="K20" s="672">
        <f ca="1">IF(Einstellungen!$G$9,J7,$AT7)</f>
        <v>4</v>
      </c>
      <c r="L20" s="696">
        <f ca="1">K20*$F$64+(AU7+$H$65)*$F$65*Einstellungen!$G$14+AT7*$F$66*Einstellungen!$G$19+AX7*$F$67</f>
        <v>4000000.0079999999</v>
      </c>
      <c r="M20" s="688">
        <f t="shared" ca="1" si="26"/>
        <v>1</v>
      </c>
      <c r="N20" s="688">
        <f t="array" aca="1" ref="N20" ca="1">IF($AI$15,SUM(($K$17:$K$25&gt;=K20)/COUNTIF($K$17:$K$25,$K$17:$K$25)),SUM(($L$17:$L$25&gt;=L20)/COUNTIF($L$17:$L$25,$L$17:$L$25)))</f>
        <v>1</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1.0108999999999999</v>
      </c>
      <c r="Y20" s="671">
        <f ca="1">'Endrunde 4'!$AU15+$AD20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IF(Einstellungen!$G$9,J8,$AT8)</f>
        <v>0</v>
      </c>
      <c r="L21" s="696">
        <f ca="1">K21*$F$64+(AU8+$H$65)*$F$65*Einstellungen!$G$14+AT8*$F$66*Einstellungen!$G$19+AX8*$F$67</f>
        <v>1E-3</v>
      </c>
      <c r="M21" s="688">
        <f t="shared" ca="1" si="26"/>
        <v>5</v>
      </c>
      <c r="N21" s="688">
        <f t="array" aca="1" ref="N21" ca="1">IF($AI$15,SUM(($K$17:$K$25&gt;=K21)/COUNTIF($K$17:$K$25,$K$17:$K$25)),SUM(($L$17:$L$25&gt;=L21)/COUNTIF($L$17:$L$25,$L$17:$L$25)))</f>
        <v>5.0000000000000009</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105.01089999999999</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IF(Einstellungen!$G$9,J9,$AT9)</f>
        <v>0</v>
      </c>
      <c r="L22" s="696">
        <f ca="1">K22*$F$64+(AU9+$H$65)*$F$65*Einstellungen!$G$14+AT9*$F$66*Einstellungen!$G$19+AX9*$F$67</f>
        <v>1E-3</v>
      </c>
      <c r="M22" s="688">
        <f t="shared" ca="1" si="26"/>
        <v>5</v>
      </c>
      <c r="N22" s="688">
        <f t="array" aca="1" ref="N22" ca="1">IF($AI$15,SUM(($K$17:$K$25&gt;=K22)/COUNTIF($K$17:$K$25,$K$17:$K$25)),SUM(($L$17:$L$25&gt;=L22)/COUNTIF($L$17:$L$25,$L$17:$L$25)))</f>
        <v>5.0000000000000009</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105.01089999999999</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IF(Einstellungen!$G$9,J10,$AT10)</f>
        <v>0</v>
      </c>
      <c r="L23" s="696">
        <f ca="1">K23*$F$64+(AU10+$H$65)*$F$65*Einstellungen!$G$14+AT10*$F$66*Einstellungen!$G$19+AX10*$F$67</f>
        <v>1E-3</v>
      </c>
      <c r="M23" s="688">
        <f t="shared" ca="1" si="26"/>
        <v>5</v>
      </c>
      <c r="N23" s="688">
        <f t="array" aca="1" ref="N23" ca="1">IF($AI$15,SUM(($K$17:$K$25&gt;=K23)/COUNTIF($K$17:$K$25,$K$17:$K$25)),SUM(($L$17:$L$25&gt;=L23)/COUNTIF($L$17:$L$25,$L$17:$L$25)))</f>
        <v>5.0000000000000009</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105.01089999999999</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IF(Einstellungen!$G$9,J11,$AT11)</f>
        <v>0</v>
      </c>
      <c r="L24" s="696">
        <f ca="1">K24*$F$64+(AU11+$H$65)*$F$65*Einstellungen!$G$14+AT11*$F$66*Einstellungen!$G$19+AX11*$F$67</f>
        <v>1E-3</v>
      </c>
      <c r="M24" s="688">
        <f t="shared" ca="1" si="26"/>
        <v>5</v>
      </c>
      <c r="N24" s="688">
        <f t="array" aca="1" ref="N24" ca="1">IF($AI$15,SUM(($K$17:$K$25&gt;=K24)/COUNTIF($K$17:$K$25,$K$17:$K$25)),SUM(($L$17:$L$25&gt;=L24)/COUNTIF($L$17:$L$25,$L$17:$L$25)))</f>
        <v>5.0000000000000009</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105.01089999999999</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IF(Einstellungen!$G$9,J12,$AT12)</f>
        <v>0</v>
      </c>
      <c r="L25" s="696">
        <f ca="1">K25*$F$64+(AU12+$H$65)*$F$65*Einstellungen!$G$14+AT12*$F$66*Einstellungen!$G$19+AX12*$F$67</f>
        <v>1E-3</v>
      </c>
      <c r="M25" s="688">
        <f t="shared" ca="1" si="26"/>
        <v>5</v>
      </c>
      <c r="N25" s="688">
        <f t="array" aca="1" ref="N25" ca="1">IF($AI$15,SUM(($K$17:$K$25&gt;=K25)/COUNTIF($K$17:$K$25,$K$17:$K$25)),SUM(($L$17:$L$25&gt;=L25)/COUNTIF($L$17:$L$25,$L$17:$L$25)))</f>
        <v>5.0000000000000009</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105.01089999999999</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13">
        <v>1</v>
      </c>
      <c r="F29" s="1014"/>
      <c r="G29" s="1014"/>
      <c r="H29" s="1014"/>
      <c r="I29" s="1014"/>
      <c r="J29" s="1014"/>
      <c r="K29" s="1014"/>
      <c r="L29" s="1015"/>
      <c r="M29" s="1016">
        <v>2</v>
      </c>
      <c r="N29" s="1014"/>
      <c r="O29" s="1014"/>
      <c r="P29" s="1014"/>
      <c r="Q29" s="1014"/>
      <c r="R29" s="1014"/>
      <c r="S29" s="1014"/>
      <c r="T29" s="1015"/>
      <c r="U29" s="1016">
        <v>3</v>
      </c>
      <c r="V29" s="1014"/>
      <c r="W29" s="1014"/>
      <c r="X29" s="1014"/>
      <c r="Y29" s="1014"/>
      <c r="Z29" s="1014"/>
      <c r="AA29" s="1014"/>
      <c r="AB29" s="1015"/>
      <c r="AC29" s="1016">
        <v>4</v>
      </c>
      <c r="AD29" s="1014"/>
      <c r="AE29" s="1014"/>
      <c r="AF29" s="1014"/>
      <c r="AG29" s="1014"/>
      <c r="AH29" s="1014"/>
      <c r="AI29" s="1014"/>
      <c r="AJ29" s="1015"/>
      <c r="AK29" s="1016">
        <v>5</v>
      </c>
      <c r="AL29" s="1014"/>
      <c r="AM29" s="1014"/>
      <c r="AN29" s="1014"/>
      <c r="AO29" s="1014"/>
      <c r="AP29" s="1014"/>
      <c r="AQ29" s="1014"/>
      <c r="AR29" s="1015"/>
      <c r="AS29" s="1016">
        <v>6</v>
      </c>
      <c r="AT29" s="1014"/>
      <c r="AU29" s="1014"/>
      <c r="AV29" s="1014"/>
      <c r="AW29" s="1014"/>
      <c r="AX29" s="1014"/>
      <c r="AY29" s="1014"/>
      <c r="AZ29" s="1015"/>
      <c r="BA29" s="1016">
        <v>7</v>
      </c>
      <c r="BB29" s="1014"/>
      <c r="BC29" s="1014"/>
      <c r="BD29" s="1014"/>
      <c r="BE29" s="1014"/>
      <c r="BF29" s="1014"/>
      <c r="BG29" s="1014"/>
      <c r="BH29" s="1015"/>
      <c r="BI29" s="1016">
        <v>8</v>
      </c>
      <c r="BJ29" s="1014"/>
      <c r="BK29" s="1014"/>
      <c r="BL29" s="1014"/>
      <c r="BM29" s="1014"/>
      <c r="BN29" s="1014"/>
      <c r="BO29" s="1014"/>
      <c r="BP29" s="1017"/>
      <c r="BQ29" s="671"/>
      <c r="BR29" s="707" t="s">
        <v>94</v>
      </c>
      <c r="BS29" s="670" t="str">
        <f ca="1">$F$4</f>
        <v>Eintracht Frankfurt</v>
      </c>
      <c r="BT29" s="670" t="str">
        <f ca="1">$F$5</f>
        <v>Mainz 05</v>
      </c>
      <c r="BU29" s="670" t="str">
        <f ca="1">$F$6</f>
        <v>Maibach 1822 eV</v>
      </c>
      <c r="BV29" s="670" t="str">
        <f ca="1">$F$7</f>
        <v>Manchester City</v>
      </c>
      <c r="BW29" s="670" t="str">
        <f>$F$8</f>
        <v/>
      </c>
      <c r="BX29" s="670" t="str">
        <f>$F$9</f>
        <v/>
      </c>
      <c r="BY29" s="670" t="str">
        <f>$F$10</f>
        <v/>
      </c>
      <c r="BZ29" s="670" t="str">
        <f>$F$11</f>
        <v/>
      </c>
      <c r="CA29" s="670" t="str">
        <f>$F$12</f>
        <v/>
      </c>
      <c r="CB29" s="709"/>
    </row>
    <row r="30" spans="1:80" s="1" customFormat="1" x14ac:dyDescent="0.2">
      <c r="A30" s="670"/>
      <c r="B30" s="670"/>
      <c r="C30" s="670" t="str">
        <f ca="1">$Q64</f>
        <v>Eintracht Frankfurt</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Eintracht Frankfurt</v>
      </c>
      <c r="BS30" s="712"/>
      <c r="BT30" s="713">
        <f t="shared" ref="BT30:CA30" ca="1" si="34">SUMIFS($AH$64:$AH$135,$V$64:$V$135,$BR30,$W$64:$W$135,BT$29)+SUMIFS($AI$64:$AI$135,$W$64:$W$135,$BR30,$V$64:$V$135,BT$29)</f>
        <v>50</v>
      </c>
      <c r="BU30" s="713">
        <f t="shared" ca="1" si="34"/>
        <v>31</v>
      </c>
      <c r="BV30" s="713">
        <f t="shared" ca="1" si="34"/>
        <v>35</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Mainz 05</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Mainz 05</v>
      </c>
      <c r="BS31" s="714">
        <f t="shared" ref="BS31:BS38" ca="1" si="36">SUMIFS($AH$64:$AH$135,$V$64:$V$135,$BR31,$W$64:$W$135,BS$29)+SUMIFS($AI$64:$AI$135,$W$64:$W$135,$BR31,$V$64:$V$135,BS$29)</f>
        <v>33</v>
      </c>
      <c r="BT31" s="712"/>
      <c r="BU31" s="713">
        <f t="shared" ref="BU31:CA31" ca="1" si="37">SUMIFS($AH$64:$AH$135,$V$64:$V$135,$BR31,$W$64:$W$135,BU$29)+SUMIFS($AI$64:$AI$135,$W$64:$W$135,$BR31,$V$64:$V$135,BU$29)</f>
        <v>50</v>
      </c>
      <c r="BV31" s="713">
        <f t="shared" ca="1" si="37"/>
        <v>44</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Maibach 1822 eV</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Maibach 1822 eV</v>
      </c>
      <c r="BS32" s="714">
        <f t="shared" ca="1" si="36"/>
        <v>50</v>
      </c>
      <c r="BT32" s="714">
        <f t="shared" ref="BT32:BT38" ca="1" si="38">SUMIFS($AH$64:$AH$135,$V$64:$V$135,$BR32,$W$64:$W$135,BT$29)+SUMIFS($AI$64:$AI$135,$W$64:$W$135,$BR32,$V$64:$V$135,BT$29)</f>
        <v>39</v>
      </c>
      <c r="BU32" s="712"/>
      <c r="BV32" s="713">
        <f t="shared" ref="BV32:CA32" ca="1" si="39">SUMIFS($AH$64:$AH$135,$V$64:$V$135,$BR32,$W$64:$W$135,BV$29)+SUMIFS($AI$64:$AI$135,$W$64:$W$135,$BR32,$V$64:$V$135,BV$29)</f>
        <v>46</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Manchester City</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Manchester City</v>
      </c>
      <c r="BS33" s="714">
        <f t="shared" ca="1" si="36"/>
        <v>50</v>
      </c>
      <c r="BT33" s="714">
        <f t="shared" ca="1" si="38"/>
        <v>44</v>
      </c>
      <c r="BU33" s="714">
        <f t="shared" ref="BU33:BU38" ca="1" si="40">SUMIFS($AH$64:$AH$135,$V$64:$V$135,$BR33,$W$64:$W$135,BU$29)+SUMIFS($AI$64:$AI$135,$W$64:$W$135,$BR33,$V$64:$V$135,BU$29)</f>
        <v>42</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Eintracht Frankfurt</v>
      </c>
      <c r="BT40" s="670" t="str">
        <f ca="1">$F$5</f>
        <v>Mainz 05</v>
      </c>
      <c r="BU40" s="670" t="str">
        <f ca="1">$F$6</f>
        <v>Maibach 1822 eV</v>
      </c>
      <c r="BV40" s="670" t="str">
        <f ca="1">$F$7</f>
        <v>Manchester City</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Eintracht Frankfurt</v>
      </c>
      <c r="BS41" s="712"/>
      <c r="BT41" s="713">
        <f ca="1">BT30-BS31</f>
        <v>17</v>
      </c>
      <c r="BU41" s="713">
        <f ca="1">BU30-BS32</f>
        <v>-19</v>
      </c>
      <c r="BV41" s="713">
        <f ca="1">BV30-BS33</f>
        <v>-15</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Mainz 05</v>
      </c>
      <c r="BS42" s="714">
        <f ca="1">IF(BT41="","",-1*BT41)</f>
        <v>-17</v>
      </c>
      <c r="BT42" s="712"/>
      <c r="BU42" s="713">
        <f ca="1">BU31-BT32</f>
        <v>11</v>
      </c>
      <c r="BV42" s="713">
        <f ca="1">BV31-BT33</f>
        <v>0</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Maibach 1822 eV</v>
      </c>
      <c r="BS43" s="714">
        <f ca="1">IF(BU41="","",-1*BU41)</f>
        <v>19</v>
      </c>
      <c r="BT43" s="714">
        <f ca="1">IF(BU42="","",-1*BU42)</f>
        <v>-11</v>
      </c>
      <c r="BU43" s="712"/>
      <c r="BV43" s="713">
        <f ca="1">BV32-BU33</f>
        <v>4</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Manchester City</v>
      </c>
      <c r="BS44" s="714">
        <f ca="1">IF(BV41="","",-1*BV41)</f>
        <v>15</v>
      </c>
      <c r="BT44" s="714">
        <f ca="1">IF(BV42="","",-1*BV42)</f>
        <v>0</v>
      </c>
      <c r="BU44" s="714">
        <f ca="1">IF(BV43="","",-1*BV43)</f>
        <v>-4</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 ca="1">$F$4</f>
        <v>Eintracht Frankfurt</v>
      </c>
      <c r="BT51" s="670" t="str">
        <f ca="1">$F$5</f>
        <v>Mainz 05</v>
      </c>
      <c r="BU51" s="670" t="str">
        <f ca="1">$F$6</f>
        <v>Maibach 1822 eV</v>
      </c>
      <c r="BV51" s="670" t="str">
        <f ca="1">$F$7</f>
        <v>Manchester City</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Eintracht Frankfurt</v>
      </c>
      <c r="BS52" s="712"/>
      <c r="BT52" s="713">
        <f t="shared" ref="BT52:CA54" ca="1" si="44">SUMIFS($AJ$64:$AJ$135,$V$64:$V$135,$BR52,$W$64:$W$135,BT$51)+SUMIFS($AK$64:$AK$135,$W$64:$W$135,$BR52,$V$64:$V$135,BT$51)</f>
        <v>2</v>
      </c>
      <c r="BU52" s="713">
        <f t="shared" ca="1" si="44"/>
        <v>0</v>
      </c>
      <c r="BV52" s="713">
        <f t="shared" ca="1" si="44"/>
        <v>0</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Mainz 05</v>
      </c>
      <c r="BS53" s="714">
        <f t="shared" ref="BS53:BU60" ca="1" si="45">SUMIFS($AJ$64:$AJ$135,$V$64:$V$135,$BR53,$W$64:$W$135,BS$51)+SUMIFS($AK$64:$AK$135,$W$64:$W$135,$BR53,$V$64:$V$135,BS$51)</f>
        <v>0</v>
      </c>
      <c r="BT53" s="712"/>
      <c r="BU53" s="713">
        <f t="shared" ca="1" si="44"/>
        <v>2</v>
      </c>
      <c r="BV53" s="713">
        <f t="shared" ca="1" si="44"/>
        <v>1</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Maibach 1822 eV</v>
      </c>
      <c r="BS54" s="714">
        <f t="shared" ca="1" si="45"/>
        <v>2</v>
      </c>
      <c r="BT54" s="714">
        <f t="shared" ca="1" si="45"/>
        <v>0</v>
      </c>
      <c r="BU54" s="712"/>
      <c r="BV54" s="713">
        <f t="shared" ca="1" si="44"/>
        <v>1</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Manchester City</v>
      </c>
      <c r="BS55" s="714">
        <f t="shared" ca="1" si="45"/>
        <v>2</v>
      </c>
      <c r="BT55" s="714">
        <f t="shared" ca="1" si="45"/>
        <v>1</v>
      </c>
      <c r="BU55" s="714">
        <f t="shared" ca="1" si="45"/>
        <v>1</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8" t="s">
        <v>312</v>
      </c>
      <c r="Y63" s="1018"/>
      <c r="Z63" s="674" t="s">
        <v>150</v>
      </c>
      <c r="AA63" s="674" t="s">
        <v>15</v>
      </c>
      <c r="AB63" s="674" t="s">
        <v>400</v>
      </c>
      <c r="AC63" s="782" t="s">
        <v>399</v>
      </c>
      <c r="AD63" s="1019" t="s">
        <v>314</v>
      </c>
      <c r="AE63" s="1019"/>
      <c r="AF63" s="1019" t="s">
        <v>318</v>
      </c>
      <c r="AG63" s="1019"/>
      <c r="AH63" s="1019" t="s">
        <v>400</v>
      </c>
      <c r="AI63" s="1019"/>
      <c r="AJ63" s="1020" t="s">
        <v>399</v>
      </c>
      <c r="AK63" s="1020"/>
      <c r="AL63" s="1019" t="s">
        <v>108</v>
      </c>
      <c r="AM63" s="1019"/>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 ca="1">IF('Endrunde 4'!$AS12="","",'Endrunde 4'!$AS12)</f>
        <v>Eintracht Frankfurt</v>
      </c>
      <c r="R64" s="670"/>
      <c r="S64" s="670"/>
      <c r="T64" s="670"/>
      <c r="U64" s="728" t="s">
        <v>6</v>
      </c>
      <c r="V64" s="6" t="str">
        <f ca="1">'Endrunde 4'!$I12</f>
        <v>VFB Essenheim</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32" t="str">
        <f ca="1">V64&amp;W64</f>
        <v>VFB Essenheim</v>
      </c>
      <c r="AA64" s="730">
        <f ca="1">IF(AND(V64&lt;&gt;"",W64&lt;&gt;"",V64&lt;&gt;W64,'Endrunde 4'!$U12&lt;&gt;"",'Endrunde 4'!$W12&lt;&gt;""),1,0)</f>
        <v>0</v>
      </c>
      <c r="AB64" s="733" t="str">
        <f ca="1">IF(AA64&gt;0,AH64&amp;Sprache!$E$99&amp;AI64,"")</f>
        <v/>
      </c>
      <c r="AC64" s="73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35" t="str">
        <f ca="1">IF(AA64&gt;0,SUM(X64,AD64,AF64),"")</f>
        <v/>
      </c>
      <c r="AI64" s="734" t="str">
        <f ca="1">IF(AA64&gt;0,SUM(Y64,AE64,AG64),"")</f>
        <v/>
      </c>
      <c r="AJ64" s="735">
        <f ca="1">IF('Endrunde 4'!$U12="",0,'Endrunde 4'!$U12)</f>
        <v>0</v>
      </c>
      <c r="AK64" s="734">
        <f ca="1">IF('Endrunde 4'!$W12="",0,'Endrunde 4'!$W12)</f>
        <v>0</v>
      </c>
      <c r="AL64" s="735" t="str">
        <f ca="1">IF($AA64=0,"",IF($AJ64&gt;$AK64,Einstellungen!$C$4,IF($AJ64=$AK64,1,0)))</f>
        <v/>
      </c>
      <c r="AM64" s="734" t="str">
        <f ca="1">IF($AA64=0,"",IF($AJ64&lt;$AK64,Einstellungen!$C$4,IF($AJ64=$AK64,1,0)))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 ca="1">IF('Endrunde 4'!$AS13="","",'Endrunde 4'!$AS13)</f>
        <v>Mainz 05</v>
      </c>
      <c r="R65" s="670"/>
      <c r="S65" s="670"/>
      <c r="T65" s="670"/>
      <c r="U65" s="742" t="s">
        <v>7</v>
      </c>
      <c r="V65" s="743" t="str">
        <f ca="1">'Endrunde 4'!$I13</f>
        <v>1. FC Riedwald</v>
      </c>
      <c r="W65" s="671" t="str">
        <f ca="1">'Endrunde 4'!$K13</f>
        <v>SSV Wildbach</v>
      </c>
      <c r="X65" s="671">
        <f ca="1">IF(AND($AA65=1,'Endrunde 4'!$L13&lt;&gt;"",'Endrunde 4'!$N13&lt;&gt;"",ABS('Endrunde 4'!$L13-'Endrunde 4'!$N13)&gt;1),'Endrunde 4'!$L13,"")</f>
        <v>25</v>
      </c>
      <c r="Y65" s="744">
        <f ca="1">IF(AND($AA65=1,'Endrunde 4'!$L13&lt;&gt;"",'Endrunde 4'!$N13&lt;&gt;"",ABS('Endrunde 4'!$L13-'Endrunde 4'!$N13)&gt;1),'Endrunde 4'!$N13,"")</f>
        <v>20</v>
      </c>
      <c r="Z65" s="745" t="str">
        <f t="shared" ref="Z65:Z73" ca="1" si="46">V65&amp;W65</f>
        <v>1. FC RiedwaldSSV Wildbach</v>
      </c>
      <c r="AA65" s="671">
        <f ca="1">IF(AND(V65&lt;&gt;"",W65&lt;&gt;"",V65&lt;&gt;W65,'Endrunde 4'!$U13&lt;&gt;"",'Endrunde 4'!$W13&lt;&gt;""),1,0)</f>
        <v>1</v>
      </c>
      <c r="AB65" s="671" t="str">
        <f ca="1">IF(AA65&gt;0,AH65&amp;Sprache!$E$99&amp;AI65,"")</f>
        <v>42 : 45</v>
      </c>
      <c r="AC65" s="746" t="str">
        <f ca="1">IF(AA65&gt;0,AJ65&amp;Sprache!$E$99&amp;AK65,"")</f>
        <v>1 : 1</v>
      </c>
      <c r="AD65" s="747">
        <f ca="1">IF(AND($AA65=1,'Endrunde 4'!$O13&lt;&gt;"",'Endrunde 4'!$Q13&lt;&gt;"",ABS('Endrunde 4'!$O13-'Endrunde 4'!$Q13)&gt;1),'Endrunde 4'!$O13,"")</f>
        <v>17</v>
      </c>
      <c r="AE65" s="746">
        <f ca="1">IF(AND($AA65=1,'Endrunde 4'!$O13&lt;&gt;"",'Endrunde 4'!$Q13&lt;&gt;"",ABS('Endrunde 4'!$O13-'Endrunde 4'!$Q13)&gt;1),'Endrunde 4'!$Q13,"")</f>
        <v>25</v>
      </c>
      <c r="AF65" s="747" t="str">
        <f ca="1">IF(AND($AA65=1,'Endrunde 4'!$R13&lt;&gt;"",'Endrunde 4'!$T13&lt;&gt;"",ABS('Endrunde 4'!$R13-'Endrunde 4'!$T13)&gt;1),'Endrunde 4'!$R13,"")</f>
        <v/>
      </c>
      <c r="AG65" s="746" t="str">
        <f ca="1">IF(AND($AA65=1,'Endrunde 4'!$R13&lt;&gt;"",'Endrunde 4'!$T13&lt;&gt;"",ABS('Endrunde 4'!$R13-'Endrunde 4'!$T13)&gt;1),'Endrunde 4'!$T13,"")</f>
        <v/>
      </c>
      <c r="AH65" s="747">
        <f t="shared" ref="AH65:AH81" ca="1" si="47">IF(AA65&gt;0,SUM(X65,AD65,AF65),"")</f>
        <v>42</v>
      </c>
      <c r="AI65" s="746">
        <f t="shared" ref="AI65:AI81" ca="1" si="48">IF(AA65&gt;0,SUM(Y65,AE65,AG65),"")</f>
        <v>45</v>
      </c>
      <c r="AJ65" s="747">
        <f ca="1">IF('Endrunde 4'!$U13="",0,'Endrunde 4'!$U13)</f>
        <v>1</v>
      </c>
      <c r="AK65" s="746">
        <f ca="1">IF('Endrunde 4'!$W13="",0,'Endrunde 4'!$W13)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 ca="1">IF('Endrunde 4'!$AS14="","",'Endrunde 4'!$AS14)</f>
        <v>Maibach 1822 eV</v>
      </c>
      <c r="R66" s="670"/>
      <c r="S66" s="670"/>
      <c r="T66" s="670"/>
      <c r="U66" s="742" t="s">
        <v>8</v>
      </c>
      <c r="V66" s="743" t="str">
        <f ca="1">'Endrunde 4'!$I14</f>
        <v>Eintracht Frankfurt</v>
      </c>
      <c r="W66" s="671" t="str">
        <f ca="1">'Endrunde 4'!$K14</f>
        <v>Manchester City</v>
      </c>
      <c r="X66" s="671">
        <f ca="1">IF(AND($AA66=1,'Endrunde 4'!$L14&lt;&gt;"",'Endrunde 4'!$N14&lt;&gt;"",ABS('Endrunde 4'!$L14-'Endrunde 4'!$N14)&gt;1),'Endrunde 4'!$L14,"")</f>
        <v>19</v>
      </c>
      <c r="Y66" s="744">
        <f ca="1">IF(AND($AA66=1,'Endrunde 4'!$L14&lt;&gt;"",'Endrunde 4'!$N14&lt;&gt;"",ABS('Endrunde 4'!$L14-'Endrunde 4'!$N14)&gt;1),'Endrunde 4'!$N14,"")</f>
        <v>25</v>
      </c>
      <c r="Z66" s="745" t="str">
        <f t="shared" ca="1" si="46"/>
        <v>Eintracht FrankfurtManchester City</v>
      </c>
      <c r="AA66" s="671">
        <f ca="1">IF(AND(V66&lt;&gt;"",W66&lt;&gt;"",V66&lt;&gt;W66,'Endrunde 4'!$U14&lt;&gt;"",'Endrunde 4'!$W14&lt;&gt;""),1,0)</f>
        <v>1</v>
      </c>
      <c r="AB66" s="671" t="str">
        <f ca="1">IF(AA66&gt;0,AH66&amp;Sprache!$E$99&amp;AI66,"")</f>
        <v>35 : 50</v>
      </c>
      <c r="AC66" s="746" t="str">
        <f ca="1">IF(AA66&gt;0,AJ66&amp;Sprache!$E$99&amp;AK66,"")</f>
        <v>0 : 2</v>
      </c>
      <c r="AD66" s="747">
        <f ca="1">IF(AND($AA66=1,'Endrunde 4'!$O14&lt;&gt;"",'Endrunde 4'!$Q14&lt;&gt;"",ABS('Endrunde 4'!$O14-'Endrunde 4'!$Q14)&gt;1),'Endrunde 4'!$O14,"")</f>
        <v>16</v>
      </c>
      <c r="AE66" s="746">
        <f ca="1">IF(AND($AA66=1,'Endrunde 4'!$O14&lt;&gt;"",'Endrunde 4'!$Q14&lt;&gt;"",ABS('Endrunde 4'!$O14-'Endrunde 4'!$Q14)&gt;1),'Endrunde 4'!$Q14,"")</f>
        <v>25</v>
      </c>
      <c r="AF66" s="747" t="str">
        <f ca="1">IF(AND($AA66=1,'Endrunde 4'!$R14&lt;&gt;"",'Endrunde 4'!$T14&lt;&gt;"",ABS('Endrunde 4'!$R14-'Endrunde 4'!$T14)&gt;1),'Endrunde 4'!$R14,"")</f>
        <v/>
      </c>
      <c r="AG66" s="746" t="str">
        <f ca="1">IF(AND($AA66=1,'Endrunde 4'!$R14&lt;&gt;"",'Endrunde 4'!$T14&lt;&gt;"",ABS('Endrunde 4'!$R14-'Endrunde 4'!$T14)&gt;1),'Endrunde 4'!$T14,"")</f>
        <v/>
      </c>
      <c r="AH66" s="747">
        <f t="shared" ca="1" si="47"/>
        <v>35</v>
      </c>
      <c r="AI66" s="746">
        <f t="shared" ca="1" si="48"/>
        <v>50</v>
      </c>
      <c r="AJ66" s="747">
        <f ca="1">IF('Endrunde 4'!$U14="",0,'Endrunde 4'!$U14)</f>
        <v>0</v>
      </c>
      <c r="AK66" s="746">
        <f ca="1">IF('Endrunde 4'!$W14="",0,'Endrunde 4'!$W14)</f>
        <v>2</v>
      </c>
      <c r="AL66" s="747">
        <f ca="1">IF($AA66=0,"",IF($AJ66&gt;$AK66,Einstellungen!$C$4,IF($AJ66=$AK66,1,0)))</f>
        <v>0</v>
      </c>
      <c r="AM66" s="746">
        <f ca="1">IF($AA66=0,"",IF($AJ66&lt;$AK66,Einstellungen!$C$4,IF($AJ66=$AK66,1,0)))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 ca="1">IF('Endrunde 4'!$AS15="","",'Endrunde 4'!$AS15)</f>
        <v>Manchester City</v>
      </c>
      <c r="R67" s="670"/>
      <c r="S67" s="670"/>
      <c r="T67" s="670"/>
      <c r="U67" s="742" t="s">
        <v>9</v>
      </c>
      <c r="V67" s="743" t="str">
        <f ca="1">'Endrunde 4'!$I15</f>
        <v>Inter Mailand</v>
      </c>
      <c r="W67" s="671" t="str">
        <f ca="1">'Endrunde 4'!$K15</f>
        <v/>
      </c>
      <c r="X67" s="671" t="str">
        <f ca="1">IF(AND($AA67=1,'Endrunde 4'!$L15&lt;&gt;"",'Endrunde 4'!$N15&lt;&gt;"",ABS('Endrunde 4'!$L15-'Endrunde 4'!$N15)&gt;1),'Endrunde 4'!$L15,"")</f>
        <v/>
      </c>
      <c r="Y67" s="744" t="str">
        <f ca="1">IF(AND($AA67=1,'Endrunde 4'!$L15&lt;&gt;"",'Endrunde 4'!$N15&lt;&gt;"",ABS('Endrunde 4'!$L15-'Endrunde 4'!$N15)&gt;1),'Endrunde 4'!$N15,"")</f>
        <v/>
      </c>
      <c r="Z67" s="745" t="str">
        <f t="shared" ca="1" si="46"/>
        <v>Inter Mailand</v>
      </c>
      <c r="AA67" s="671">
        <f ca="1">IF(AND(V67&lt;&gt;"",W67&lt;&gt;"",V67&lt;&gt;W67,'Endrunde 4'!$U15&lt;&gt;"",'Endrunde 4'!$W15&lt;&gt;""),1,0)</f>
        <v>0</v>
      </c>
      <c r="AB67" s="671" t="str">
        <f ca="1">IF(AA67&gt;0,AH67&amp;Sprache!$E$99&amp;AI67,"")</f>
        <v/>
      </c>
      <c r="AC67" s="746" t="str">
        <f ca="1">IF(AA67&gt;0,AJ67&amp;Sprache!$E$99&amp;AK67,"")</f>
        <v/>
      </c>
      <c r="AD67" s="747" t="str">
        <f ca="1">IF(AND($AA67=1,'Endrunde 4'!$O15&lt;&gt;"",'Endrunde 4'!$Q15&lt;&gt;"",ABS('Endrunde 4'!$O15-'Endrunde 4'!$Q15)&gt;1),'Endrunde 4'!$O15,"")</f>
        <v/>
      </c>
      <c r="AE67" s="746" t="str">
        <f ca="1">IF(AND($AA67=1,'Endrunde 4'!$O15&lt;&gt;"",'Endrunde 4'!$Q15&lt;&gt;"",ABS('Endrunde 4'!$O15-'Endrunde 4'!$Q15)&gt;1),'Endrunde 4'!$Q15,"")</f>
        <v/>
      </c>
      <c r="AF67" s="747" t="str">
        <f ca="1">IF(AND($AA67=1,'Endrunde 4'!$R15&lt;&gt;"",'Endrunde 4'!$T15&lt;&gt;"",ABS('Endrunde 4'!$R15-'Endrunde 4'!$T15)&gt;1),'Endrunde 4'!$R15,"")</f>
        <v/>
      </c>
      <c r="AG67" s="746" t="str">
        <f ca="1">IF(AND($AA67=1,'Endrunde 4'!$R15&lt;&gt;"",'Endrunde 4'!$T15&lt;&gt;"",ABS('Endrunde 4'!$R15-'Endrunde 4'!$T15)&gt;1),'Endrunde 4'!$T15,"")</f>
        <v/>
      </c>
      <c r="AH67" s="747" t="str">
        <f t="shared" ca="1" si="47"/>
        <v/>
      </c>
      <c r="AI67" s="746" t="str">
        <f t="shared" ca="1" si="48"/>
        <v/>
      </c>
      <c r="AJ67" s="747">
        <f ca="1">IF('Endrunde 4'!$U15="",0,'Endrunde 4'!$U15)</f>
        <v>0</v>
      </c>
      <c r="AK67" s="746">
        <f ca="1">IF('Endrunde 4'!$W15="",0,'Endrunde 4'!$W15)</f>
        <v>0</v>
      </c>
      <c r="AL67" s="747" t="str">
        <f ca="1">IF($AA67=0,"",IF($AJ67&gt;$AK67,Einstellungen!$C$4,IF($AJ67=$AK67,1,0)))</f>
        <v/>
      </c>
      <c r="AM67" s="746" t="str">
        <f ca="1">IF($AA67=0,"",IF($AJ67&lt;$AK67,Einstellungen!$C$4,IF($AJ67=$AK67,1,0)))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'Endrunde 4'!$I16</f>
        <v>FC Grönlingen</v>
      </c>
      <c r="W68" s="671" t="str">
        <f ca="1">'Endrunde 4'!$K16</f>
        <v>FC Barcelona</v>
      </c>
      <c r="X68" s="671">
        <f ca="1">IF(AND($AA68=1,'Endrunde 4'!$L16&lt;&gt;"",'Endrunde 4'!$N16&lt;&gt;"",ABS('Endrunde 4'!$L16-'Endrunde 4'!$N16)&gt;1),'Endrunde 4'!$L16,"")</f>
        <v>25</v>
      </c>
      <c r="Y68" s="744">
        <f ca="1">IF(AND($AA68=1,'Endrunde 4'!$L16&lt;&gt;"",'Endrunde 4'!$N16&lt;&gt;"",ABS('Endrunde 4'!$L16-'Endrunde 4'!$N16)&gt;1),'Endrunde 4'!$N16,"")</f>
        <v>23</v>
      </c>
      <c r="Z68" s="745" t="str">
        <f t="shared" ca="1" si="46"/>
        <v>FC GrönlingenFC Barcelona</v>
      </c>
      <c r="AA68" s="671">
        <f ca="1">IF(AND(V68&lt;&gt;"",W68&lt;&gt;"",V68&lt;&gt;W68,'Endrunde 4'!$U16&lt;&gt;"",'Endrunde 4'!$W16&lt;&gt;""),1,0)</f>
        <v>1</v>
      </c>
      <c r="AB68" s="671" t="str">
        <f ca="1">IF(AA68&gt;0,AH68&amp;Sprache!$E$99&amp;AI68,"")</f>
        <v>50 : 44</v>
      </c>
      <c r="AC68" s="746" t="str">
        <f ca="1">IF(AA68&gt;0,AJ68&amp;Sprache!$E$99&amp;AK68,"")</f>
        <v>2 : 0</v>
      </c>
      <c r="AD68" s="747">
        <f ca="1">IF(AND($AA68=1,'Endrunde 4'!$O16&lt;&gt;"",'Endrunde 4'!$Q16&lt;&gt;"",ABS('Endrunde 4'!$O16-'Endrunde 4'!$Q16)&gt;1),'Endrunde 4'!$O16,"")</f>
        <v>25</v>
      </c>
      <c r="AE68" s="746">
        <f ca="1">IF(AND($AA68=1,'Endrunde 4'!$O16&lt;&gt;"",'Endrunde 4'!$Q16&lt;&gt;"",ABS('Endrunde 4'!$O16-'Endrunde 4'!$Q16)&gt;1),'Endrunde 4'!$Q16,"")</f>
        <v>21</v>
      </c>
      <c r="AF68" s="747" t="str">
        <f ca="1">IF(AND($AA68=1,'Endrunde 4'!$R16&lt;&gt;"",'Endrunde 4'!$T16&lt;&gt;"",ABS('Endrunde 4'!$R16-'Endrunde 4'!$T16)&gt;1),'Endrunde 4'!$R16,"")</f>
        <v/>
      </c>
      <c r="AG68" s="746" t="str">
        <f ca="1">IF(AND($AA68=1,'Endrunde 4'!$R16&lt;&gt;"",'Endrunde 4'!$T16&lt;&gt;"",ABS('Endrunde 4'!$R16-'Endrunde 4'!$T16)&gt;1),'Endrunde 4'!$T16,"")</f>
        <v/>
      </c>
      <c r="AH68" s="747">
        <f t="shared" ca="1" si="47"/>
        <v>50</v>
      </c>
      <c r="AI68" s="746">
        <f t="shared" ca="1" si="48"/>
        <v>44</v>
      </c>
      <c r="AJ68" s="747">
        <f ca="1">IF('Endrunde 4'!$U16="",0,'Endrunde 4'!$U16)</f>
        <v>2</v>
      </c>
      <c r="AK68" s="746">
        <f ca="1">IF('Endrunde 4'!$W16="",0,'Endrunde 4'!$W16)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'Endrunde 4'!$I17</f>
        <v>Mainz 05</v>
      </c>
      <c r="W69" s="671" t="str">
        <f ca="1">'Endrunde 4'!$K17</f>
        <v>Maibach 1822 eV</v>
      </c>
      <c r="X69" s="671">
        <f ca="1">IF(AND($AA69=1,'Endrunde 4'!$L17&lt;&gt;"",'Endrunde 4'!$N17&lt;&gt;"",ABS('Endrunde 4'!$L17-'Endrunde 4'!$N17)&gt;1),'Endrunde 4'!$L17,"")</f>
        <v>25</v>
      </c>
      <c r="Y69" s="744">
        <f ca="1">IF(AND($AA69=1,'Endrunde 4'!$L17&lt;&gt;"",'Endrunde 4'!$N17&lt;&gt;"",ABS('Endrunde 4'!$L17-'Endrunde 4'!$N17)&gt;1),'Endrunde 4'!$N17,"")</f>
        <v>17</v>
      </c>
      <c r="Z69" s="745" t="str">
        <f t="shared" ca="1" si="46"/>
        <v>Mainz 05Maibach 1822 eV</v>
      </c>
      <c r="AA69" s="671">
        <f ca="1">IF(AND(V69&lt;&gt;"",W69&lt;&gt;"",V69&lt;&gt;W69,'Endrunde 4'!$U17&lt;&gt;"",'Endrunde 4'!$W17&lt;&gt;""),1,0)</f>
        <v>1</v>
      </c>
      <c r="AB69" s="671" t="str">
        <f ca="1">IF(AA69&gt;0,AH69&amp;Sprache!$E$99&amp;AI69,"")</f>
        <v>50 : 39</v>
      </c>
      <c r="AC69" s="746" t="str">
        <f ca="1">IF(AA69&gt;0,AJ69&amp;Sprache!$E$99&amp;AK69,"")</f>
        <v>2 : 0</v>
      </c>
      <c r="AD69" s="747">
        <f ca="1">IF(AND($AA69=1,'Endrunde 4'!$O17&lt;&gt;"",'Endrunde 4'!$Q17&lt;&gt;"",ABS('Endrunde 4'!$O17-'Endrunde 4'!$Q17)&gt;1),'Endrunde 4'!$O17,"")</f>
        <v>25</v>
      </c>
      <c r="AE69" s="746">
        <f ca="1">IF(AND($AA69=1,'Endrunde 4'!$O17&lt;&gt;"",'Endrunde 4'!$Q17&lt;&gt;"",ABS('Endrunde 4'!$O17-'Endrunde 4'!$Q17)&gt;1),'Endrunde 4'!$Q17,"")</f>
        <v>22</v>
      </c>
      <c r="AF69" s="747" t="str">
        <f ca="1">IF(AND($AA69=1,'Endrunde 4'!$R17&lt;&gt;"",'Endrunde 4'!$T17&lt;&gt;"",ABS('Endrunde 4'!$R17-'Endrunde 4'!$T17)&gt;1),'Endrunde 4'!$R17,"")</f>
        <v/>
      </c>
      <c r="AG69" s="746" t="str">
        <f ca="1">IF(AND($AA69=1,'Endrunde 4'!$R17&lt;&gt;"",'Endrunde 4'!$T17&lt;&gt;"",ABS('Endrunde 4'!$R17-'Endrunde 4'!$T17)&gt;1),'Endrunde 4'!$T17,"")</f>
        <v/>
      </c>
      <c r="AH69" s="747">
        <f t="shared" ca="1" si="47"/>
        <v>50</v>
      </c>
      <c r="AI69" s="746">
        <f t="shared" ca="1" si="48"/>
        <v>39</v>
      </c>
      <c r="AJ69" s="747">
        <f ca="1">IF('Endrunde 4'!$U17="",0,'Endrunde 4'!$U17)</f>
        <v>2</v>
      </c>
      <c r="AK69" s="746">
        <f ca="1">IF('Endrunde 4'!$W17="",0,'Endrunde 4'!$W17)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'Endrunde 4'!$I18</f>
        <v>VFB Essenheim</v>
      </c>
      <c r="W70" s="671" t="str">
        <f ca="1">'Endrunde 4'!$K18</f>
        <v/>
      </c>
      <c r="X70" s="671" t="str">
        <f ca="1">IF(AND($AA70=1,'Endrunde 4'!$L18&lt;&gt;"",'Endrunde 4'!$N18&lt;&gt;"",ABS('Endrunde 4'!$L18-'Endrunde 4'!$N18)&gt;1),'Endrunde 4'!$L18,"")</f>
        <v/>
      </c>
      <c r="Y70" s="744" t="str">
        <f ca="1">IF(AND($AA70=1,'Endrunde 4'!$L18&lt;&gt;"",'Endrunde 4'!$N18&lt;&gt;"",ABS('Endrunde 4'!$L18-'Endrunde 4'!$N18)&gt;1),'Endrunde 4'!$N18,"")</f>
        <v/>
      </c>
      <c r="Z70" s="745" t="str">
        <f t="shared" ca="1" si="46"/>
        <v>VFB Essenheim</v>
      </c>
      <c r="AA70" s="671">
        <f ca="1">IF(AND(V70&lt;&gt;"",W70&lt;&gt;"",V70&lt;&gt;W70,'Endrunde 4'!$U18&lt;&gt;"",'Endrunde 4'!$W18&lt;&gt;""),1,0)</f>
        <v>0</v>
      </c>
      <c r="AB70" s="671" t="str">
        <f ca="1">IF(AA70&gt;0,AH70&amp;Sprache!$E$99&amp;AI70,"")</f>
        <v/>
      </c>
      <c r="AC70" s="746" t="str">
        <f ca="1">IF(AA70&gt;0,AJ70&amp;Sprache!$E$99&amp;AK70,"")</f>
        <v/>
      </c>
      <c r="AD70" s="747" t="str">
        <f ca="1">IF(AND($AA70=1,'Endrunde 4'!$O18&lt;&gt;"",'Endrunde 4'!$Q18&lt;&gt;"",ABS('Endrunde 4'!$O18-'Endrunde 4'!$Q18)&gt;1),'Endrunde 4'!$O18,"")</f>
        <v/>
      </c>
      <c r="AE70" s="746" t="str">
        <f ca="1">IF(AND($AA70=1,'Endrunde 4'!$O18&lt;&gt;"",'Endrunde 4'!$Q18&lt;&gt;"",ABS('Endrunde 4'!$O18-'Endrunde 4'!$Q18)&gt;1),'Endrunde 4'!$Q18,"")</f>
        <v/>
      </c>
      <c r="AF70" s="747" t="str">
        <f ca="1">IF(AND($AA70=1,'Endrunde 4'!$R18&lt;&gt;"",'Endrunde 4'!$T18&lt;&gt;"",ABS('Endrunde 4'!$R18-'Endrunde 4'!$T18)&gt;1),'Endrunde 4'!$R18,"")</f>
        <v/>
      </c>
      <c r="AG70" s="746" t="str">
        <f ca="1">IF(AND($AA70=1,'Endrunde 4'!$R18&lt;&gt;"",'Endrunde 4'!$T18&lt;&gt;"",ABS('Endrunde 4'!$R18-'Endrunde 4'!$T18)&gt;1),'Endrunde 4'!$T18,"")</f>
        <v/>
      </c>
      <c r="AH70" s="747" t="str">
        <f t="shared" ca="1" si="47"/>
        <v/>
      </c>
      <c r="AI70" s="746" t="str">
        <f t="shared" ca="1" si="48"/>
        <v/>
      </c>
      <c r="AJ70" s="747">
        <f ca="1">IF('Endrunde 4'!$U18="",0,'Endrunde 4'!$U18)</f>
        <v>0</v>
      </c>
      <c r="AK70" s="746">
        <f ca="1">IF('Endrunde 4'!$W18="",0,'Endrunde 4'!$W18)</f>
        <v>0</v>
      </c>
      <c r="AL70" s="747" t="str">
        <f ca="1">IF($AA70=0,"",IF($AJ70&gt;$AK70,Einstellungen!$C$4,IF($AJ70=$AK70,1,0)))</f>
        <v/>
      </c>
      <c r="AM70" s="746" t="str">
        <f ca="1">IF($AA70=0,"",IF($AJ70&lt;$AK70,Einstellungen!$C$4,IF($AJ70=$AK70,1,0)))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'Endrunde 4'!$I19</f>
        <v>1. FC Riedwald</v>
      </c>
      <c r="W71" s="671" t="str">
        <f ca="1">'Endrunde 4'!$K19</f>
        <v>FC Barcelona</v>
      </c>
      <c r="X71" s="671">
        <f ca="1">IF(AND($AA71=1,'Endrunde 4'!$L19&lt;&gt;"",'Endrunde 4'!$N19&lt;&gt;"",ABS('Endrunde 4'!$L19-'Endrunde 4'!$N19)&gt;1),'Endrunde 4'!$L19,"")</f>
        <v>19</v>
      </c>
      <c r="Y71" s="744">
        <f ca="1">IF(AND($AA71=1,'Endrunde 4'!$L19&lt;&gt;"",'Endrunde 4'!$N19&lt;&gt;"",ABS('Endrunde 4'!$L19-'Endrunde 4'!$N19)&gt;1),'Endrunde 4'!$N19,"")</f>
        <v>25</v>
      </c>
      <c r="Z71" s="745" t="str">
        <f t="shared" ca="1" si="46"/>
        <v>1. FC RiedwaldFC Barcelona</v>
      </c>
      <c r="AA71" s="671">
        <f ca="1">IF(AND(V71&lt;&gt;"",W71&lt;&gt;"",V71&lt;&gt;W71,'Endrunde 4'!$U19&lt;&gt;"",'Endrunde 4'!$W19&lt;&gt;""),1,0)</f>
        <v>1</v>
      </c>
      <c r="AB71" s="671" t="str">
        <f ca="1">IF(AA71&gt;0,AH71&amp;Sprache!$E$99&amp;AI71,"")</f>
        <v>44 : 37</v>
      </c>
      <c r="AC71" s="746" t="str">
        <f ca="1">IF(AA71&gt;0,AJ71&amp;Sprache!$E$99&amp;AK71,"")</f>
        <v>1 : 1</v>
      </c>
      <c r="AD71" s="747">
        <f ca="1">IF(AND($AA71=1,'Endrunde 4'!$O19&lt;&gt;"",'Endrunde 4'!$Q19&lt;&gt;"",ABS('Endrunde 4'!$O19-'Endrunde 4'!$Q19)&gt;1),'Endrunde 4'!$O19,"")</f>
        <v>25</v>
      </c>
      <c r="AE71" s="746">
        <f ca="1">IF(AND($AA71=1,'Endrunde 4'!$O19&lt;&gt;"",'Endrunde 4'!$Q19&lt;&gt;"",ABS('Endrunde 4'!$O19-'Endrunde 4'!$Q19)&gt;1),'Endrunde 4'!$Q19,"")</f>
        <v>12</v>
      </c>
      <c r="AF71" s="747" t="str">
        <f ca="1">IF(AND($AA71=1,'Endrunde 4'!$R19&lt;&gt;"",'Endrunde 4'!$T19&lt;&gt;"",ABS('Endrunde 4'!$R19-'Endrunde 4'!$T19)&gt;1),'Endrunde 4'!$R19,"")</f>
        <v/>
      </c>
      <c r="AG71" s="746" t="str">
        <f ca="1">IF(AND($AA71=1,'Endrunde 4'!$R19&lt;&gt;"",'Endrunde 4'!$T19&lt;&gt;"",ABS('Endrunde 4'!$R19-'Endrunde 4'!$T19)&gt;1),'Endrunde 4'!$T19,"")</f>
        <v/>
      </c>
      <c r="AH71" s="747">
        <f t="shared" ca="1" si="47"/>
        <v>44</v>
      </c>
      <c r="AI71" s="746">
        <f t="shared" ca="1" si="48"/>
        <v>37</v>
      </c>
      <c r="AJ71" s="747">
        <f ca="1">IF('Endrunde 4'!$U19="",0,'Endrunde 4'!$U19)</f>
        <v>1</v>
      </c>
      <c r="AK71" s="746">
        <f ca="1">IF('Endrunde 4'!$W19="",0,'Endrunde 4'!$W19)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'Endrunde 4'!$I20</f>
        <v>Eintracht Frankfurt</v>
      </c>
      <c r="W72" s="671" t="str">
        <f ca="1">'Endrunde 4'!$K20</f>
        <v>Maibach 1822 eV</v>
      </c>
      <c r="X72" s="671">
        <f ca="1">IF(AND($AA72=1,'Endrunde 4'!$L20&lt;&gt;"",'Endrunde 4'!$N20&lt;&gt;"",ABS('Endrunde 4'!$L20-'Endrunde 4'!$N20)&gt;1),'Endrunde 4'!$L20,"")</f>
        <v>13</v>
      </c>
      <c r="Y72" s="744">
        <f ca="1">IF(AND($AA72=1,'Endrunde 4'!$L20&lt;&gt;"",'Endrunde 4'!$N20&lt;&gt;"",ABS('Endrunde 4'!$L20-'Endrunde 4'!$N20)&gt;1),'Endrunde 4'!$N20,"")</f>
        <v>25</v>
      </c>
      <c r="Z72" s="745" t="str">
        <f t="shared" ca="1" si="46"/>
        <v>Eintracht FrankfurtMaibach 1822 eV</v>
      </c>
      <c r="AA72" s="671">
        <f ca="1">IF(AND(V72&lt;&gt;"",W72&lt;&gt;"",V72&lt;&gt;W72,'Endrunde 4'!$U20&lt;&gt;"",'Endrunde 4'!$W20&lt;&gt;""),1,0)</f>
        <v>1</v>
      </c>
      <c r="AB72" s="671" t="str">
        <f ca="1">IF(AA72&gt;0,AH72&amp;Sprache!$E$99&amp;AI72,"")</f>
        <v>31 : 50</v>
      </c>
      <c r="AC72" s="746" t="str">
        <f ca="1">IF(AA72&gt;0,AJ72&amp;Sprache!$E$99&amp;AK72,"")</f>
        <v>0 : 2</v>
      </c>
      <c r="AD72" s="747">
        <f ca="1">IF(AND($AA72=1,'Endrunde 4'!$O20&lt;&gt;"",'Endrunde 4'!$Q20&lt;&gt;"",ABS('Endrunde 4'!$O20-'Endrunde 4'!$Q20)&gt;1),'Endrunde 4'!$O20,"")</f>
        <v>18</v>
      </c>
      <c r="AE72" s="746">
        <f ca="1">IF(AND($AA72=1,'Endrunde 4'!$O20&lt;&gt;"",'Endrunde 4'!$Q20&lt;&gt;"",ABS('Endrunde 4'!$O20-'Endrunde 4'!$Q20)&gt;1),'Endrunde 4'!$Q20,"")</f>
        <v>25</v>
      </c>
      <c r="AF72" s="747" t="str">
        <f ca="1">IF(AND($AA72=1,'Endrunde 4'!$R20&lt;&gt;"",'Endrunde 4'!$T20&lt;&gt;"",ABS('Endrunde 4'!$R20-'Endrunde 4'!$T20)&gt;1),'Endrunde 4'!$R20,"")</f>
        <v/>
      </c>
      <c r="AG72" s="746" t="str">
        <f ca="1">IF(AND($AA72=1,'Endrunde 4'!$R20&lt;&gt;"",'Endrunde 4'!$T20&lt;&gt;"",ABS('Endrunde 4'!$R20-'Endrunde 4'!$T20)&gt;1),'Endrunde 4'!$T20,"")</f>
        <v/>
      </c>
      <c r="AH72" s="747">
        <f t="shared" ca="1" si="47"/>
        <v>31</v>
      </c>
      <c r="AI72" s="746">
        <f t="shared" ca="1" si="48"/>
        <v>50</v>
      </c>
      <c r="AJ72" s="747">
        <f ca="1">IF('Endrunde 4'!$U20="",0,'Endrunde 4'!$U20)</f>
        <v>0</v>
      </c>
      <c r="AK72" s="746">
        <f ca="1">IF('Endrunde 4'!$W20="",0,'Endrunde 4'!$W20)</f>
        <v>2</v>
      </c>
      <c r="AL72" s="747">
        <f ca="1">IF($AA72=0,"",IF($AJ72&gt;$AK72,Einstellungen!$C$4,IF($AJ72=$AK72,1,0)))</f>
        <v>0</v>
      </c>
      <c r="AM72" s="746">
        <f ca="1">IF($AA72=0,"",IF($AJ72&lt;$AK72,Einstellungen!$C$4,IF($AJ72=$AK72,1,0)))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'Endrunde 4'!$I21</f>
        <v>Inter Mailand</v>
      </c>
      <c r="W73" s="671" t="str">
        <f ca="1">'Endrunde 4'!$K21</f>
        <v/>
      </c>
      <c r="X73" s="671" t="str">
        <f ca="1">IF(AND($AA73=1,'Endrunde 4'!$L21&lt;&gt;"",'Endrunde 4'!$N21&lt;&gt;"",ABS('Endrunde 4'!$L21-'Endrunde 4'!$N21)&gt;1),'Endrunde 4'!$L21,"")</f>
        <v/>
      </c>
      <c r="Y73" s="744" t="str">
        <f ca="1">IF(AND($AA73=1,'Endrunde 4'!$L21&lt;&gt;"",'Endrunde 4'!$N21&lt;&gt;"",ABS('Endrunde 4'!$L21-'Endrunde 4'!$N21)&gt;1),'Endrunde 4'!$N21,"")</f>
        <v/>
      </c>
      <c r="Z73" s="745" t="str">
        <f t="shared" ca="1" si="46"/>
        <v>Inter Mailand</v>
      </c>
      <c r="AA73" s="671">
        <f ca="1">IF(AND(V73&lt;&gt;"",W73&lt;&gt;"",V73&lt;&gt;W73,'Endrunde 4'!$U21&lt;&gt;"",'Endrunde 4'!$W21&lt;&gt;""),1,0)</f>
        <v>0</v>
      </c>
      <c r="AB73" s="671" t="str">
        <f ca="1">IF(AA73&gt;0,AH73&amp;Sprache!$E$99&amp;AI73,"")</f>
        <v/>
      </c>
      <c r="AC73" s="746" t="str">
        <f ca="1">IF(AA73&gt;0,AJ73&amp;Sprache!$E$99&amp;AK73,"")</f>
        <v/>
      </c>
      <c r="AD73" s="747" t="str">
        <f ca="1">IF(AND($AA73=1,'Endrunde 4'!$O21&lt;&gt;"",'Endrunde 4'!$Q21&lt;&gt;"",ABS('Endrunde 4'!$O21-'Endrunde 4'!$Q21)&gt;1),'Endrunde 4'!$O21,"")</f>
        <v/>
      </c>
      <c r="AE73" s="746" t="str">
        <f ca="1">IF(AND($AA73=1,'Endrunde 4'!$O21&lt;&gt;"",'Endrunde 4'!$Q21&lt;&gt;"",ABS('Endrunde 4'!$O21-'Endrunde 4'!$Q21)&gt;1),'Endrunde 4'!$Q21,"")</f>
        <v/>
      </c>
      <c r="AF73" s="747" t="str">
        <f ca="1">IF(AND($AA73=1,'Endrunde 4'!$R21&lt;&gt;"",'Endrunde 4'!$T21&lt;&gt;"",ABS('Endrunde 4'!$R21-'Endrunde 4'!$T21)&gt;1),'Endrunde 4'!$R21,"")</f>
        <v/>
      </c>
      <c r="AG73" s="746" t="str">
        <f ca="1">IF(AND($AA73=1,'Endrunde 4'!$R21&lt;&gt;"",'Endrunde 4'!$T21&lt;&gt;"",ABS('Endrunde 4'!$R21-'Endrunde 4'!$T21)&gt;1),'Endrunde 4'!$T21,"")</f>
        <v/>
      </c>
      <c r="AH73" s="747" t="str">
        <f t="shared" ca="1" si="47"/>
        <v/>
      </c>
      <c r="AI73" s="746" t="str">
        <f t="shared" ca="1" si="48"/>
        <v/>
      </c>
      <c r="AJ73" s="747">
        <f ca="1">IF('Endrunde 4'!$U21="",0,'Endrunde 4'!$U21)</f>
        <v>0</v>
      </c>
      <c r="AK73" s="746">
        <f ca="1">IF('Endrunde 4'!$W21="",0,'Endrunde 4'!$W21)</f>
        <v>0</v>
      </c>
      <c r="AL73" s="747" t="str">
        <f ca="1">IF($AA73=0,"",IF($AJ73&gt;$AK73,Einstellungen!$C$4,IF($AJ73=$AK73,1,0)))</f>
        <v/>
      </c>
      <c r="AM73" s="746" t="str">
        <f ca="1">IF($AA73=0,"",IF($AJ73&lt;$AK73,Einstellungen!$C$4,IF($AJ73=$AK73,1,0)))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'Endrunde 4'!$I22</f>
        <v>FC Grönlingen</v>
      </c>
      <c r="W74" s="671" t="str">
        <f ca="1">'Endrunde 4'!$K22</f>
        <v>SSV Wildbach</v>
      </c>
      <c r="X74" s="671">
        <f ca="1">IF(AND($AA74=1,'Endrunde 4'!$L22&lt;&gt;"",'Endrunde 4'!$N22&lt;&gt;"",ABS('Endrunde 4'!$L22-'Endrunde 4'!$N22)&gt;1),'Endrunde 4'!$L22,"")</f>
        <v>22</v>
      </c>
      <c r="Y74" s="744">
        <f ca="1">IF(AND($AA74=1,'Endrunde 4'!$L22&lt;&gt;"",'Endrunde 4'!$N22&lt;&gt;"",ABS('Endrunde 4'!$L22-'Endrunde 4'!$N22)&gt;1),'Endrunde 4'!$N22,"")</f>
        <v>25</v>
      </c>
      <c r="Z74" s="745" t="str">
        <f ca="1">V74&amp;W74</f>
        <v>FC GrönlingenSSV Wildbach</v>
      </c>
      <c r="AA74" s="671">
        <f ca="1">IF(AND(V74&lt;&gt;"",W74&lt;&gt;"",V74&lt;&gt;W74,'Endrunde 4'!$U22&lt;&gt;"",'Endrunde 4'!$W22&lt;&gt;""),1,0)</f>
        <v>1</v>
      </c>
      <c r="AB74" s="671" t="str">
        <f ca="1">IF(AA74&gt;0,AH74&amp;Sprache!$E$99&amp;AI74,"")</f>
        <v>47 : 45</v>
      </c>
      <c r="AC74" s="746" t="str">
        <f ca="1">IF(AA74&gt;0,AJ74&amp;Sprache!$E$99&amp;AK74,"")</f>
        <v>1 : 1</v>
      </c>
      <c r="AD74" s="747">
        <f ca="1">IF(AND($AA74=1,'Endrunde 4'!$O22&lt;&gt;"",'Endrunde 4'!$Q22&lt;&gt;"",ABS('Endrunde 4'!$O22-'Endrunde 4'!$Q22)&gt;1),'Endrunde 4'!$O22,"")</f>
        <v>25</v>
      </c>
      <c r="AE74" s="746">
        <f ca="1">IF(AND($AA74=1,'Endrunde 4'!$O22&lt;&gt;"",'Endrunde 4'!$Q22&lt;&gt;"",ABS('Endrunde 4'!$O22-'Endrunde 4'!$Q22)&gt;1),'Endrunde 4'!$Q22,"")</f>
        <v>20</v>
      </c>
      <c r="AF74" s="747" t="str">
        <f ca="1">IF(AND($AA74=1,'Endrunde 4'!$R22&lt;&gt;"",'Endrunde 4'!$T22&lt;&gt;"",ABS('Endrunde 4'!$R22-'Endrunde 4'!$T22)&gt;1),'Endrunde 4'!$R22,"")</f>
        <v/>
      </c>
      <c r="AG74" s="746" t="str">
        <f ca="1">IF(AND($AA74=1,'Endrunde 4'!$R22&lt;&gt;"",'Endrunde 4'!$T22&lt;&gt;"",ABS('Endrunde 4'!$R22-'Endrunde 4'!$T22)&gt;1),'Endrunde 4'!$T22,"")</f>
        <v/>
      </c>
      <c r="AH74" s="747">
        <f t="shared" ca="1" si="47"/>
        <v>47</v>
      </c>
      <c r="AI74" s="746">
        <f t="shared" ca="1" si="48"/>
        <v>45</v>
      </c>
      <c r="AJ74" s="747">
        <f ca="1">IF('Endrunde 4'!$U22="",0,'Endrunde 4'!$U22)</f>
        <v>1</v>
      </c>
      <c r="AK74" s="746">
        <f ca="1">IF('Endrunde 4'!$W22="",0,'Endrunde 4'!$W22)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'Endrunde 4'!$I23</f>
        <v>Mainz 05</v>
      </c>
      <c r="W75" s="671" t="str">
        <f ca="1">'Endrunde 4'!$K23</f>
        <v>Manchester City</v>
      </c>
      <c r="X75" s="671">
        <f ca="1">IF(AND($AA75=1,'Endrunde 4'!$L23&lt;&gt;"",'Endrunde 4'!$N23&lt;&gt;"",ABS('Endrunde 4'!$L23-'Endrunde 4'!$N23)&gt;1),'Endrunde 4'!$L23,"")</f>
        <v>19</v>
      </c>
      <c r="Y75" s="744">
        <f ca="1">IF(AND($AA75=1,'Endrunde 4'!$L23&lt;&gt;"",'Endrunde 4'!$N23&lt;&gt;"",ABS('Endrunde 4'!$L23-'Endrunde 4'!$N23)&gt;1),'Endrunde 4'!$N23,"")</f>
        <v>25</v>
      </c>
      <c r="Z75" s="745" t="str">
        <f t="shared" ref="Z75:Z81" ca="1" si="49">V75&amp;W75</f>
        <v>Mainz 05Manchester City</v>
      </c>
      <c r="AA75" s="671">
        <f ca="1">IF(AND(V75&lt;&gt;"",W75&lt;&gt;"",V75&lt;&gt;W75,'Endrunde 4'!$U23&lt;&gt;"",'Endrunde 4'!$W23&lt;&gt;""),1,0)</f>
        <v>1</v>
      </c>
      <c r="AB75" s="671" t="str">
        <f ca="1">IF(AA75&gt;0,AH75&amp;Sprache!$E$99&amp;AI75,"")</f>
        <v>44 : 44</v>
      </c>
      <c r="AC75" s="746" t="str">
        <f ca="1">IF(AA75&gt;0,AJ75&amp;Sprache!$E$99&amp;AK75,"")</f>
        <v>1 : 1</v>
      </c>
      <c r="AD75" s="747">
        <f ca="1">IF(AND($AA75=1,'Endrunde 4'!$O23&lt;&gt;"",'Endrunde 4'!$Q23&lt;&gt;"",ABS('Endrunde 4'!$O23-'Endrunde 4'!$Q23)&gt;1),'Endrunde 4'!$O23,"")</f>
        <v>25</v>
      </c>
      <c r="AE75" s="746">
        <f ca="1">IF(AND($AA75=1,'Endrunde 4'!$O23&lt;&gt;"",'Endrunde 4'!$Q23&lt;&gt;"",ABS('Endrunde 4'!$O23-'Endrunde 4'!$Q23)&gt;1),'Endrunde 4'!$Q23,"")</f>
        <v>19</v>
      </c>
      <c r="AF75" s="747" t="str">
        <f ca="1">IF(AND($AA75=1,'Endrunde 4'!$R23&lt;&gt;"",'Endrunde 4'!$T23&lt;&gt;"",ABS('Endrunde 4'!$R23-'Endrunde 4'!$T23)&gt;1),'Endrunde 4'!$R23,"")</f>
        <v/>
      </c>
      <c r="AG75" s="746" t="str">
        <f ca="1">IF(AND($AA75=1,'Endrunde 4'!$R23&lt;&gt;"",'Endrunde 4'!$T23&lt;&gt;"",ABS('Endrunde 4'!$R23-'Endrunde 4'!$T23)&gt;1),'Endrunde 4'!$T23,"")</f>
        <v/>
      </c>
      <c r="AH75" s="747">
        <f t="shared" ca="1" si="47"/>
        <v>44</v>
      </c>
      <c r="AI75" s="746">
        <f t="shared" ca="1" si="48"/>
        <v>44</v>
      </c>
      <c r="AJ75" s="747">
        <f ca="1">IF('Endrunde 4'!$U23="",0,'Endrunde 4'!$U23)</f>
        <v>1</v>
      </c>
      <c r="AK75" s="746">
        <f ca="1">IF('Endrunde 4'!$W23="",0,'Endrunde 4'!$W23)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'Endrunde 4'!$I24</f>
        <v/>
      </c>
      <c r="W76" s="671" t="str">
        <f ca="1">'Endrunde 4'!$K24</f>
        <v/>
      </c>
      <c r="X76" s="671" t="str">
        <f ca="1">IF(AND($AA76=1,'Endrunde 4'!$L24&lt;&gt;"",'Endrunde 4'!$N24&lt;&gt;"",ABS('Endrunde 4'!$L24-'Endrunde 4'!$N24)&gt;1),'Endrunde 4'!$L24,"")</f>
        <v/>
      </c>
      <c r="Y76" s="744" t="str">
        <f ca="1">IF(AND($AA76=1,'Endrunde 4'!$L24&lt;&gt;"",'Endrunde 4'!$N24&lt;&gt;"",ABS('Endrunde 4'!$L24-'Endrunde 4'!$N24)&gt;1),'Endrunde 4'!$N24,"")</f>
        <v/>
      </c>
      <c r="Z76" s="745" t="str">
        <f t="shared" ca="1" si="49"/>
        <v/>
      </c>
      <c r="AA76" s="671">
        <f ca="1">IF(AND(V76&lt;&gt;"",W76&lt;&gt;"",V76&lt;&gt;W76,'Endrunde 4'!$U24&lt;&gt;"",'Endrunde 4'!$W24&lt;&gt;""),1,0)</f>
        <v>0</v>
      </c>
      <c r="AB76" s="671" t="str">
        <f ca="1">IF(AA76&gt;0,AH76&amp;Sprache!$E$99&amp;AI76,"")</f>
        <v/>
      </c>
      <c r="AC76" s="746" t="str">
        <f ca="1">IF(AA76&gt;0,AJ76&amp;Sprache!$E$99&amp;AK76,"")</f>
        <v/>
      </c>
      <c r="AD76" s="747" t="str">
        <f ca="1">IF(AND($AA76=1,'Endrunde 4'!$O24&lt;&gt;"",'Endrunde 4'!$Q24&lt;&gt;"",ABS('Endrunde 4'!$O24-'Endrunde 4'!$Q24)&gt;1),'Endrunde 4'!$O24,"")</f>
        <v/>
      </c>
      <c r="AE76" s="746" t="str">
        <f ca="1">IF(AND($AA76=1,'Endrunde 4'!$O24&lt;&gt;"",'Endrunde 4'!$Q24&lt;&gt;"",ABS('Endrunde 4'!$O24-'Endrunde 4'!$Q24)&gt;1),'Endrunde 4'!$Q24,"")</f>
        <v/>
      </c>
      <c r="AF76" s="747" t="str">
        <f ca="1">IF(AND($AA76=1,'Endrunde 4'!$R24&lt;&gt;"",'Endrunde 4'!$T24&lt;&gt;"",ABS('Endrunde 4'!$R24-'Endrunde 4'!$T24)&gt;1),'Endrunde 4'!$R24,"")</f>
        <v/>
      </c>
      <c r="AG76" s="746" t="str">
        <f ca="1">IF(AND($AA76=1,'Endrunde 4'!$R24&lt;&gt;"",'Endrunde 4'!$T24&lt;&gt;"",ABS('Endrunde 4'!$R24-'Endrunde 4'!$T24)&gt;1),'Endrunde 4'!$T24,"")</f>
        <v/>
      </c>
      <c r="AH76" s="747" t="str">
        <f t="shared" ca="1" si="47"/>
        <v/>
      </c>
      <c r="AI76" s="746" t="str">
        <f t="shared" ca="1" si="48"/>
        <v/>
      </c>
      <c r="AJ76" s="747">
        <f ca="1">IF('Endrunde 4'!$U24="",0,'Endrunde 4'!$U24)</f>
        <v>0</v>
      </c>
      <c r="AK76" s="746">
        <f ca="1">IF('Endrunde 4'!$W24="",0,'Endrunde 4'!$W24)</f>
        <v>0</v>
      </c>
      <c r="AL76" s="747" t="str">
        <f ca="1">IF($AA76=0,"",IF($AJ76&gt;$AK76,Einstellungen!$C$4,IF($AJ76=$AK76,1,0)))</f>
        <v/>
      </c>
      <c r="AM76" s="746" t="str">
        <f ca="1">IF($AA76=0,"",IF($AJ76&lt;$AK76,Einstellungen!$C$4,IF($AJ76=$AK76,1,0)))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'Endrunde 4'!$I25</f>
        <v>FC Barcelona</v>
      </c>
      <c r="W77" s="671" t="str">
        <f ca="1">'Endrunde 4'!$K25</f>
        <v>SSV Wildbach</v>
      </c>
      <c r="X77" s="671">
        <f ca="1">IF(AND($AA77=1,'Endrunde 4'!$L25&lt;&gt;"",'Endrunde 4'!$N25&lt;&gt;"",ABS('Endrunde 4'!$L25-'Endrunde 4'!$N25)&gt;1),'Endrunde 4'!$L25,"")</f>
        <v>14</v>
      </c>
      <c r="Y77" s="744">
        <f ca="1">IF(AND($AA77=1,'Endrunde 4'!$L25&lt;&gt;"",'Endrunde 4'!$N25&lt;&gt;"",ABS('Endrunde 4'!$L25-'Endrunde 4'!$N25)&gt;1),'Endrunde 4'!$N25,"")</f>
        <v>25</v>
      </c>
      <c r="Z77" s="745" t="str">
        <f t="shared" ca="1" si="49"/>
        <v>FC BarcelonaSSV Wildbach</v>
      </c>
      <c r="AA77" s="671">
        <f ca="1">IF(AND(V77&lt;&gt;"",W77&lt;&gt;"",V77&lt;&gt;W77,'Endrunde 4'!$U25&lt;&gt;"",'Endrunde 4'!$W25&lt;&gt;""),1,0)</f>
        <v>1</v>
      </c>
      <c r="AB77" s="671" t="str">
        <f ca="1">IF(AA77&gt;0,AH77&amp;Sprache!$E$99&amp;AI77,"")</f>
        <v>39 : 48</v>
      </c>
      <c r="AC77" s="746" t="str">
        <f ca="1">IF(AA77&gt;0,AJ77&amp;Sprache!$E$99&amp;AK77,"")</f>
        <v>1 : 1</v>
      </c>
      <c r="AD77" s="747">
        <f ca="1">IF(AND($AA77=1,'Endrunde 4'!$O25&lt;&gt;"",'Endrunde 4'!$Q25&lt;&gt;"",ABS('Endrunde 4'!$O25-'Endrunde 4'!$Q25)&gt;1),'Endrunde 4'!$O25,"")</f>
        <v>25</v>
      </c>
      <c r="AE77" s="746">
        <f ca="1">IF(AND($AA77=1,'Endrunde 4'!$O25&lt;&gt;"",'Endrunde 4'!$Q25&lt;&gt;"",ABS('Endrunde 4'!$O25-'Endrunde 4'!$Q25)&gt;1),'Endrunde 4'!$Q25,"")</f>
        <v>23</v>
      </c>
      <c r="AF77" s="747" t="str">
        <f ca="1">IF(AND($AA77=1,'Endrunde 4'!$R25&lt;&gt;"",'Endrunde 4'!$T25&lt;&gt;"",ABS('Endrunde 4'!$R25-'Endrunde 4'!$T25)&gt;1),'Endrunde 4'!$R25,"")</f>
        <v/>
      </c>
      <c r="AG77" s="746" t="str">
        <f ca="1">IF(AND($AA77=1,'Endrunde 4'!$R25&lt;&gt;"",'Endrunde 4'!$T25&lt;&gt;"",ABS('Endrunde 4'!$R25-'Endrunde 4'!$T25)&gt;1),'Endrunde 4'!$T25,"")</f>
        <v/>
      </c>
      <c r="AH77" s="747">
        <f t="shared" ca="1" si="47"/>
        <v>39</v>
      </c>
      <c r="AI77" s="746">
        <f t="shared" ca="1" si="48"/>
        <v>48</v>
      </c>
      <c r="AJ77" s="747">
        <f ca="1">IF('Endrunde 4'!$U25="",0,'Endrunde 4'!$U25)</f>
        <v>1</v>
      </c>
      <c r="AK77" s="746">
        <f ca="1">IF('Endrunde 4'!$W25="",0,'Endrunde 4'!$W25)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'Endrunde 4'!$I26</f>
        <v>Maibach 1822 eV</v>
      </c>
      <c r="W78" s="671" t="str">
        <f ca="1">'Endrunde 4'!$K26</f>
        <v>Manchester City</v>
      </c>
      <c r="X78" s="671">
        <f ca="1">IF(AND($AA78=1,'Endrunde 4'!$L26&lt;&gt;"",'Endrunde 4'!$N26&lt;&gt;"",ABS('Endrunde 4'!$L26-'Endrunde 4'!$N26)&gt;1),'Endrunde 4'!$L26,"")</f>
        <v>21</v>
      </c>
      <c r="Y78" s="744">
        <f ca="1">IF(AND($AA78=1,'Endrunde 4'!$L26&lt;&gt;"",'Endrunde 4'!$N26&lt;&gt;"",ABS('Endrunde 4'!$L26-'Endrunde 4'!$N26)&gt;1),'Endrunde 4'!$N26,"")</f>
        <v>25</v>
      </c>
      <c r="Z78" s="745" t="str">
        <f t="shared" ca="1" si="49"/>
        <v>Maibach 1822 eVManchester City</v>
      </c>
      <c r="AA78" s="671">
        <f ca="1">IF(AND(V78&lt;&gt;"",W78&lt;&gt;"",V78&lt;&gt;W78,'Endrunde 4'!$U26&lt;&gt;"",'Endrunde 4'!$W26&lt;&gt;""),1,0)</f>
        <v>1</v>
      </c>
      <c r="AB78" s="671" t="str">
        <f ca="1">IF(AA78&gt;0,AH78&amp;Sprache!$E$99&amp;AI78,"")</f>
        <v>46 : 42</v>
      </c>
      <c r="AC78" s="746" t="str">
        <f ca="1">IF(AA78&gt;0,AJ78&amp;Sprache!$E$99&amp;AK78,"")</f>
        <v>1 : 1</v>
      </c>
      <c r="AD78" s="747">
        <f ca="1">IF(AND($AA78=1,'Endrunde 4'!$O26&lt;&gt;"",'Endrunde 4'!$Q26&lt;&gt;"",ABS('Endrunde 4'!$O26-'Endrunde 4'!$Q26)&gt;1),'Endrunde 4'!$O26,"")</f>
        <v>25</v>
      </c>
      <c r="AE78" s="746">
        <f ca="1">IF(AND($AA78=1,'Endrunde 4'!$O26&lt;&gt;"",'Endrunde 4'!$Q26&lt;&gt;"",ABS('Endrunde 4'!$O26-'Endrunde 4'!$Q26)&gt;1),'Endrunde 4'!$Q26,"")</f>
        <v>17</v>
      </c>
      <c r="AF78" s="747" t="str">
        <f ca="1">IF(AND($AA78=1,'Endrunde 4'!$R26&lt;&gt;"",'Endrunde 4'!$T26&lt;&gt;"",ABS('Endrunde 4'!$R26-'Endrunde 4'!$T26)&gt;1),'Endrunde 4'!$R26,"")</f>
        <v/>
      </c>
      <c r="AG78" s="746" t="str">
        <f ca="1">IF(AND($AA78=1,'Endrunde 4'!$R26&lt;&gt;"",'Endrunde 4'!$T26&lt;&gt;"",ABS('Endrunde 4'!$R26-'Endrunde 4'!$T26)&gt;1),'Endrunde 4'!$T26,"")</f>
        <v/>
      </c>
      <c r="AH78" s="747">
        <f t="shared" ca="1" si="47"/>
        <v>46</v>
      </c>
      <c r="AI78" s="746">
        <f t="shared" ca="1" si="48"/>
        <v>42</v>
      </c>
      <c r="AJ78" s="747">
        <f ca="1">IF('Endrunde 4'!$U26="",0,'Endrunde 4'!$U26)</f>
        <v>1</v>
      </c>
      <c r="AK78" s="746">
        <f ca="1">IF('Endrunde 4'!$W26="",0,'Endrunde 4'!$W26)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'Endrunde 4'!$I27</f>
        <v>VFB Essenheim</v>
      </c>
      <c r="W79" s="671" t="str">
        <f ca="1">'Endrunde 4'!$K27</f>
        <v>Inter Mailand</v>
      </c>
      <c r="X79" s="671">
        <f ca="1">IF(AND($AA79=1,'Endrunde 4'!$L27&lt;&gt;"",'Endrunde 4'!$N27&lt;&gt;"",ABS('Endrunde 4'!$L27-'Endrunde 4'!$N27)&gt;1),'Endrunde 4'!$L27,"")</f>
        <v>20</v>
      </c>
      <c r="Y79" s="744">
        <f ca="1">IF(AND($AA79=1,'Endrunde 4'!$L27&lt;&gt;"",'Endrunde 4'!$N27&lt;&gt;"",ABS('Endrunde 4'!$L27-'Endrunde 4'!$N27)&gt;1),'Endrunde 4'!$N27,"")</f>
        <v>25</v>
      </c>
      <c r="Z79" s="745" t="str">
        <f t="shared" ca="1" si="49"/>
        <v>VFB EssenheimInter Mailand</v>
      </c>
      <c r="AA79" s="671">
        <f ca="1">IF(AND(V79&lt;&gt;"",W79&lt;&gt;"",V79&lt;&gt;W79,'Endrunde 4'!$U27&lt;&gt;"",'Endrunde 4'!$W27&lt;&gt;""),1,0)</f>
        <v>1</v>
      </c>
      <c r="AB79" s="671" t="str">
        <f ca="1">IF(AA79&gt;0,AH79&amp;Sprache!$E$99&amp;AI79,"")</f>
        <v>70 : 65</v>
      </c>
      <c r="AC79" s="746" t="str">
        <f ca="1">IF(AA79&gt;0,AJ79&amp;Sprache!$E$99&amp;AK79,"")</f>
        <v>2 : 1</v>
      </c>
      <c r="AD79" s="747">
        <f ca="1">IF(AND($AA79=1,'Endrunde 4'!$O27&lt;&gt;"",'Endrunde 4'!$Q27&lt;&gt;"",ABS('Endrunde 4'!$O27-'Endrunde 4'!$Q27)&gt;1),'Endrunde 4'!$O27,"")</f>
        <v>25</v>
      </c>
      <c r="AE79" s="746">
        <f ca="1">IF(AND($AA79=1,'Endrunde 4'!$O27&lt;&gt;"",'Endrunde 4'!$Q27&lt;&gt;"",ABS('Endrunde 4'!$O27-'Endrunde 4'!$Q27)&gt;1),'Endrunde 4'!$Q27,"")</f>
        <v>18</v>
      </c>
      <c r="AF79" s="747">
        <f ca="1">IF(AND($AA79=1,'Endrunde 4'!$R27&lt;&gt;"",'Endrunde 4'!$T27&lt;&gt;"",ABS('Endrunde 4'!$R27-'Endrunde 4'!$T27)&gt;1),'Endrunde 4'!$R27,"")</f>
        <v>25</v>
      </c>
      <c r="AG79" s="746">
        <f ca="1">IF(AND($AA79=1,'Endrunde 4'!$R27&lt;&gt;"",'Endrunde 4'!$T27&lt;&gt;"",ABS('Endrunde 4'!$R27-'Endrunde 4'!$T27)&gt;1),'Endrunde 4'!$T27,"")</f>
        <v>22</v>
      </c>
      <c r="AH79" s="747">
        <f t="shared" ca="1" si="47"/>
        <v>70</v>
      </c>
      <c r="AI79" s="746">
        <f t="shared" ca="1" si="48"/>
        <v>65</v>
      </c>
      <c r="AJ79" s="747">
        <f ca="1">IF('Endrunde 4'!$U27="",0,'Endrunde 4'!$U27)</f>
        <v>2</v>
      </c>
      <c r="AK79" s="746">
        <f ca="1">IF('Endrunde 4'!$W27="",0,'Endrunde 4'!$W27)</f>
        <v>1</v>
      </c>
      <c r="AL79" s="747">
        <f ca="1">IF($AA79=0,"",IF($AJ79&gt;$AK79,Einstellungen!$C$4,IF($AJ79=$AK79,1,0)))</f>
        <v>2</v>
      </c>
      <c r="AM79" s="746">
        <f ca="1">IF($AA79=0,"",IF($AJ79&lt;$AK79,Einstellungen!$C$4,IF($AJ79=$AK79,1,0)))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'Endrunde 4'!$I28</f>
        <v>1. FC Riedwald</v>
      </c>
      <c r="W80" s="671" t="str">
        <f ca="1">'Endrunde 4'!$K28</f>
        <v>FC Grönlingen</v>
      </c>
      <c r="X80" s="671">
        <f ca="1">IF(AND($AA80=1,'Endrunde 4'!$L28&lt;&gt;"",'Endrunde 4'!$N28&lt;&gt;"",ABS('Endrunde 4'!$L28-'Endrunde 4'!$N28)&gt;1),'Endrunde 4'!$L28,"")</f>
        <v>25</v>
      </c>
      <c r="Y80" s="744">
        <f ca="1">IF(AND($AA80=1,'Endrunde 4'!$L28&lt;&gt;"",'Endrunde 4'!$N28&lt;&gt;"",ABS('Endrunde 4'!$L28-'Endrunde 4'!$N28)&gt;1),'Endrunde 4'!$N28,"")</f>
        <v>20</v>
      </c>
      <c r="Z80" s="745" t="str">
        <f t="shared" ca="1" si="49"/>
        <v>1. FC RiedwaldFC Grönlingen</v>
      </c>
      <c r="AA80" s="671">
        <f ca="1">IF(AND(V80&lt;&gt;"",W80&lt;&gt;"",V80&lt;&gt;W80,'Endrunde 4'!$U28&lt;&gt;"",'Endrunde 4'!$W28&lt;&gt;""),1,0)</f>
        <v>1</v>
      </c>
      <c r="AB80" s="671" t="str">
        <f ca="1">IF(AA80&gt;0,AH80&amp;Sprache!$E$99&amp;AI80,"")</f>
        <v>50 : 39</v>
      </c>
      <c r="AC80" s="746" t="str">
        <f ca="1">IF(AA80&gt;0,AJ80&amp;Sprache!$E$99&amp;AK80,"")</f>
        <v>2 : 0</v>
      </c>
      <c r="AD80" s="747">
        <f ca="1">IF(AND($AA80=1,'Endrunde 4'!$O28&lt;&gt;"",'Endrunde 4'!$Q28&lt;&gt;"",ABS('Endrunde 4'!$O28-'Endrunde 4'!$Q28)&gt;1),'Endrunde 4'!$O28,"")</f>
        <v>25</v>
      </c>
      <c r="AE80" s="746">
        <f ca="1">IF(AND($AA80=1,'Endrunde 4'!$O28&lt;&gt;"",'Endrunde 4'!$Q28&lt;&gt;"",ABS('Endrunde 4'!$O28-'Endrunde 4'!$Q28)&gt;1),'Endrunde 4'!$Q28,"")</f>
        <v>19</v>
      </c>
      <c r="AF80" s="747" t="str">
        <f ca="1">IF(AND($AA80=1,'Endrunde 4'!$R28&lt;&gt;"",'Endrunde 4'!$T28&lt;&gt;"",ABS('Endrunde 4'!$R28-'Endrunde 4'!$T28)&gt;1),'Endrunde 4'!$R28,"")</f>
        <v/>
      </c>
      <c r="AG80" s="746" t="str">
        <f ca="1">IF(AND($AA80=1,'Endrunde 4'!$R28&lt;&gt;"",'Endrunde 4'!$T28&lt;&gt;"",ABS('Endrunde 4'!$R28-'Endrunde 4'!$T28)&gt;1),'Endrunde 4'!$T28,"")</f>
        <v/>
      </c>
      <c r="AH80" s="747">
        <f t="shared" ca="1" si="47"/>
        <v>50</v>
      </c>
      <c r="AI80" s="746">
        <f t="shared" ca="1" si="48"/>
        <v>39</v>
      </c>
      <c r="AJ80" s="747">
        <f ca="1">IF('Endrunde 4'!$U28="",0,'Endrunde 4'!$U28)</f>
        <v>2</v>
      </c>
      <c r="AK80" s="746">
        <f ca="1">IF('Endrunde 4'!$W28="",0,'Endrunde 4'!$W28)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'Endrunde 4'!$I29</f>
        <v>Eintracht Frankfurt</v>
      </c>
      <c r="W81" s="671" t="str">
        <f ca="1">'Endrunde 4'!$K29</f>
        <v>Mainz 05</v>
      </c>
      <c r="X81" s="671">
        <f ca="1">IF(AND($AA81=1,'Endrunde 4'!$L29&lt;&gt;"",'Endrunde 4'!$N29&lt;&gt;"",ABS('Endrunde 4'!$L29-'Endrunde 4'!$N29)&gt;1),'Endrunde 4'!$L29,"")</f>
        <v>25</v>
      </c>
      <c r="Y81" s="744">
        <f ca="1">IF(AND($AA81=1,'Endrunde 4'!$L29&lt;&gt;"",'Endrunde 4'!$N29&lt;&gt;"",ABS('Endrunde 4'!$L29-'Endrunde 4'!$N29)&gt;1),'Endrunde 4'!$N29,"")</f>
        <v>13</v>
      </c>
      <c r="Z81" s="745" t="str">
        <f t="shared" ca="1" si="49"/>
        <v>Eintracht FrankfurtMainz 05</v>
      </c>
      <c r="AA81" s="671">
        <f ca="1">IF(AND(V81&lt;&gt;"",W81&lt;&gt;"",V81&lt;&gt;W81,'Endrunde 4'!$U29&lt;&gt;"",'Endrunde 4'!$W29&lt;&gt;""),1,0)</f>
        <v>1</v>
      </c>
      <c r="AB81" s="671" t="str">
        <f ca="1">IF(AA81&gt;0,AH81&amp;Sprache!$E$99&amp;AI81,"")</f>
        <v>50 : 33</v>
      </c>
      <c r="AC81" s="746" t="str">
        <f ca="1">IF(AA81&gt;0,AJ81&amp;Sprache!$E$99&amp;AK81,"")</f>
        <v>2 : 0</v>
      </c>
      <c r="AD81" s="747">
        <f ca="1">IF(AND($AA81=1,'Endrunde 4'!$O29&lt;&gt;"",'Endrunde 4'!$Q29&lt;&gt;"",ABS('Endrunde 4'!$O29-'Endrunde 4'!$Q29)&gt;1),'Endrunde 4'!$O29,"")</f>
        <v>25</v>
      </c>
      <c r="AE81" s="746">
        <f ca="1">IF(AND($AA81=1,'Endrunde 4'!$O29&lt;&gt;"",'Endrunde 4'!$Q29&lt;&gt;"",ABS('Endrunde 4'!$O29-'Endrunde 4'!$Q29)&gt;1),'Endrunde 4'!$Q29,"")</f>
        <v>20</v>
      </c>
      <c r="AF81" s="747" t="str">
        <f ca="1">IF(AND($AA81=1,'Endrunde 4'!$R29&lt;&gt;"",'Endrunde 4'!$T29&lt;&gt;"",ABS('Endrunde 4'!$R29-'Endrunde 4'!$T29)&gt;1),'Endrunde 4'!$R29,"")</f>
        <v/>
      </c>
      <c r="AG81" s="746" t="str">
        <f ca="1">IF(AND($AA81=1,'Endrunde 4'!$R29&lt;&gt;"",'Endrunde 4'!$T29&lt;&gt;"",ABS('Endrunde 4'!$R29-'Endrunde 4'!$T29)&gt;1),'Endrunde 4'!$T29,"")</f>
        <v/>
      </c>
      <c r="AH81" s="747">
        <f t="shared" ca="1" si="47"/>
        <v>50</v>
      </c>
      <c r="AI81" s="746">
        <f t="shared" ca="1" si="48"/>
        <v>33</v>
      </c>
      <c r="AJ81" s="747">
        <f ca="1">IF('Endrunde 4'!$U29="",0,'Endrunde 4'!$U29)</f>
        <v>2</v>
      </c>
      <c r="AK81" s="746">
        <f ca="1">IF('Endrunde 4'!$W29="",0,'Endrunde 4'!$W29)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IF(AA64&gt;0,AI64&amp;Sprache!$E$99&amp;AH64,"")</f>
        <v/>
      </c>
      <c r="AC136" s="770" t="str">
        <f ca="1">IF(AA64&gt;0,AK64&amp;Sprache!$E$99&amp;AJ64,"")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IF(AA65&gt;0,AI65&amp;Sprache!$E$99&amp;AH65,"")</f>
        <v>45 : 42</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IF(AA66&gt;0,AI66&amp;Sprache!$E$99&amp;AH66,"")</f>
        <v>50 : 35</v>
      </c>
      <c r="AC138" s="773" t="str">
        <f ca="1">IF(AA66&gt;0,AK66&amp;Sprache!$E$99&amp;AJ66,"")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IF(AA67&gt;0,AI67&amp;Sprache!$E$99&amp;AH67,"")</f>
        <v/>
      </c>
      <c r="AC139" s="773" t="str">
        <f ca="1">IF(AA67&gt;0,AK67&amp;Sprache!$E$99&amp;AJ67,"")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IF(AA70&gt;0,AI70&amp;Sprache!$E$99&amp;AH70,"")</f>
        <v/>
      </c>
      <c r="AC142" s="773" t="str">
        <f ca="1">IF(AA70&gt;0,AK70&amp;Sprache!$E$99&amp;AJ70,"")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IF(AA72&gt;0,AI72&amp;Sprache!$E$99&amp;AH72,"")</f>
        <v>50 : 31</v>
      </c>
      <c r="AC144" s="773" t="str">
        <f ca="1">IF(AA72&gt;0,AK72&amp;Sprache!$E$99&amp;AJ72,"")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IF(AA73&gt;0,AI73&amp;Sprache!$E$99&amp;AH73,"")</f>
        <v/>
      </c>
      <c r="AC145" s="773" t="str">
        <f ca="1">IF(AA73&gt;0,AK73&amp;Sprache!$E$99&amp;AJ73,"")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IF(AA76&gt;0,AI76&amp;Sprache!$E$99&amp;AH76,"")</f>
        <v/>
      </c>
      <c r="AC148" s="773" t="str">
        <f ca="1">IF(AA76&gt;0,AK76&amp;Sprache!$E$99&amp;AJ76,"")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IF(AA79&gt;0,AI79&amp;Sprache!$E$99&amp;AH79,"")</f>
        <v>65 : 70</v>
      </c>
      <c r="AC151" s="773" t="str">
        <f ca="1">IF(AA79&gt;0,AK79&amp;Sprache!$E$99&amp;AJ79,"")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IF(AA80&gt;0,AI80&amp;Sprache!$E$99&amp;AH80,"")</f>
        <v>39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IF(AA81&gt;0,AI81&amp;Sprache!$E$99&amp;AH81,"")</f>
        <v>33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140625" style="2" customWidth="1"/>
    <col min="8" max="9" width="6.42578125" style="2" customWidth="1"/>
    <col min="10" max="10" width="8.28515625" style="2" customWidth="1"/>
    <col min="11" max="11" width="13.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6" width="8.42578125" style="2" customWidth="1"/>
    <col min="47" max="47" width="9.28515625" style="2" customWidth="1"/>
    <col min="48" max="48" width="8.140625" style="2" customWidth="1"/>
    <col min="49" max="49" width="10"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391</v>
      </c>
      <c r="J3" s="676" t="s">
        <v>108</v>
      </c>
      <c r="K3" s="781" t="s">
        <v>101</v>
      </c>
      <c r="L3" s="676" t="s">
        <v>102</v>
      </c>
      <c r="M3" s="676" t="s">
        <v>103</v>
      </c>
      <c r="N3" s="676" t="s">
        <v>104</v>
      </c>
      <c r="O3" s="677"/>
      <c r="P3" s="678"/>
      <c r="Q3" s="678"/>
      <c r="R3" s="678"/>
      <c r="S3" s="678"/>
      <c r="T3" s="678"/>
      <c r="U3" s="678"/>
      <c r="V3" s="678"/>
      <c r="W3" s="1011"/>
      <c r="X3" s="1012"/>
      <c r="Y3" s="1012"/>
      <c r="Z3" s="1012"/>
      <c r="AA3" s="1012"/>
      <c r="AB3" s="1011"/>
      <c r="AC3" s="1012"/>
      <c r="AD3" s="1012"/>
      <c r="AE3" s="1012"/>
      <c r="AF3" s="1012"/>
      <c r="AG3" s="1011"/>
      <c r="AH3" s="1012"/>
      <c r="AI3" s="1012"/>
      <c r="AJ3" s="1012"/>
      <c r="AK3" s="1012"/>
      <c r="AL3" s="1011"/>
      <c r="AM3" s="1012"/>
      <c r="AN3" s="1012"/>
      <c r="AO3" s="1012"/>
      <c r="AP3" s="1012"/>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 ca="1">$Q64</f>
        <v>1. FC Riedwald</v>
      </c>
      <c r="G4" s="672">
        <f ca="1">SUMIFS($AH$64:$AH$135,$V$64:$V$135,$F4)+SUMIFS($AI$64:$AI$135,$W$64:$W$135,$F4)</f>
        <v>136</v>
      </c>
      <c r="H4" s="672">
        <f ca="1">SUMIFS($AI$64:$AI$135,$V$64:$V$135,$F4)+SUMIFS($AH$64:$AH$135,$W$64:$W$135,$F4)</f>
        <v>121</v>
      </c>
      <c r="I4" s="671">
        <f ca="1">IF(Einstellungen!$G$24,G4-H4,IF(H4=0,IF(G4=0,0,Einstellungen!$F$24),G4/H4))</f>
        <v>15</v>
      </c>
      <c r="J4" s="672">
        <f ca="1">$L4*Einstellungen!$C$4+$M4</f>
        <v>4</v>
      </c>
      <c r="K4" s="672">
        <f ca="1">SUMPRODUCT(($V$64:$V$135=F4)*($AJ$64:$AJ$135&lt;&gt;"")*$AA$64:$AA$135)+SUMPRODUCT(($W$64:$W$135=F4)*($AK$64:$AK$135&lt;&gt;"")*$AA$64:$AA$135)</f>
        <v>3</v>
      </c>
      <c r="L4" s="672">
        <f ca="1">SUMPRODUCT(($V$64:$V$135=F4)*($AJ$64:$AJ$135&gt;$AK$64:$AK$135)*$AA$64:$AA$135)+SUMPRODUCT(($W$64:$W$135=F4)*($AJ$64:$AJ$135&lt;$AK$64:$AK$135)*$AA$64:$AA$135)</f>
        <v>1</v>
      </c>
      <c r="M4" s="672">
        <f t="shared" ref="M4:M12" ca="1" si="0">SUMPRODUCT(($V$64:$W$135=F4)*($AJ$64:$AJ$135=$AK$64:$AK$135)*$AA$64:$AA$135)</f>
        <v>2</v>
      </c>
      <c r="N4" s="672">
        <f ca="1">K4-L4-M4</f>
        <v>0</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2</v>
      </c>
      <c r="AT4" s="672">
        <f ca="1">SUMPRODUCT(($V$64:$V$135=F4)*$AJ$64:$AJ$135)+SUMPRODUCT(($W$64:$W$135=F4)*$AK$64:$AK$135)</f>
        <v>4</v>
      </c>
      <c r="AU4" s="672">
        <f ca="1">AT4-AS4</f>
        <v>2</v>
      </c>
      <c r="AV4" s="672">
        <f ca="1">IF(Einstellungen!$G$24,$I4,ROUND($I4,Einstellungen!$H$24))</f>
        <v>15</v>
      </c>
      <c r="AW4" s="672">
        <f ca="1">I4-(F4="")*10000</f>
        <v>15</v>
      </c>
      <c r="AX4" s="672">
        <f ca="1" xml:space="preserve"> RANK(AW4,$AW$4:$AW$12,1)</f>
        <v>9</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3</v>
      </c>
      <c r="D5" s="671">
        <f t="shared" ref="D5:D12" ca="1" si="2">E5+ROW()/1000+(F5="")*10</f>
        <v>3.0049999999999999</v>
      </c>
      <c r="E5" s="681">
        <f t="shared" ref="E5:E12" ca="1" si="3">IF($AI$15,RANK(AH18,AH$17:AH$25,1),RANK(X18,X$17:X$25,1))</f>
        <v>3</v>
      </c>
      <c r="F5" s="672" t="str">
        <f t="shared" ref="F5:F12" ca="1" si="4">$Q65</f>
        <v>FC Grönlingen</v>
      </c>
      <c r="G5" s="672">
        <f t="shared" ref="G5:G12" ca="1" si="5">SUMIFS($AH$64:$AH$135,$V$64:$V$135,$F5)+SUMIFS($AI$64:$AI$135,$W$64:$W$135,$F5)</f>
        <v>136</v>
      </c>
      <c r="H5" s="672">
        <f t="shared" ref="H5:H12" ca="1" si="6">SUMIFS($AI$64:$AI$135,$V$64:$V$135,$F5)+SUMIFS($AH$64:$AH$135,$W$64:$W$135,$F5)</f>
        <v>139</v>
      </c>
      <c r="I5" s="671">
        <f ca="1">IF(Einstellungen!$G$24,G5-H5,IF(H5=0,IF(G5=0,0,Einstellungen!$F$24),G5/H5))</f>
        <v>-3</v>
      </c>
      <c r="J5" s="672">
        <f ca="1">$L5*Einstellungen!$C$4+$M5</f>
        <v>3</v>
      </c>
      <c r="K5" s="672">
        <f t="shared" ref="K5:K12" ca="1" si="7">SUMPRODUCT(($V$64:$V$135=F5)*($AJ$64:$AJ$135&lt;&gt;"")*$AA$64:$AA$135)+SUMPRODUCT(($W$64:$W$135=F5)*($AK$64:$AK$135&lt;&gt;"")*$AA$64:$AA$135)</f>
        <v>3</v>
      </c>
      <c r="L5" s="672">
        <f t="shared" ref="L5:L12" ca="1" si="8">SUMPRODUCT(($V$64:$V$135=F5)*($AJ$64:$AJ$135&gt;$AK$64:$AK$135)*$AA$64:$AA$135)+SUMPRODUCT(($W$64:$W$135=F5)*($AJ$64:$AJ$135&lt;$AK$64:$AK$135)*$AA$64:$AA$135)</f>
        <v>1</v>
      </c>
      <c r="M5" s="672">
        <f t="shared" ca="1" si="0"/>
        <v>1</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3</v>
      </c>
      <c r="AT5" s="672">
        <f t="shared" ref="AT5:AT12" ca="1" si="11">SUMPRODUCT(($V$64:$V$135=F5)*$AJ$64:$AJ$135)+SUMPRODUCT(($W$64:$W$135=F5)*$AK$64:$AK$135)</f>
        <v>3</v>
      </c>
      <c r="AU5" s="672">
        <f t="shared" ref="AU5:AU12" ca="1" si="12">AT5-AS5</f>
        <v>0</v>
      </c>
      <c r="AV5" s="672">
        <f ca="1">IF(Einstellungen!$G$24,$I5,ROUND($I5,Einstellungen!$H$24))</f>
        <v>-3</v>
      </c>
      <c r="AW5" s="672">
        <f t="shared" ref="AW5:AW12" ca="1" si="13">I5-(F5="")*10000</f>
        <v>-3</v>
      </c>
      <c r="AX5" s="672">
        <f t="shared" ref="AX5:AX12" ca="1" si="14" xml:space="preserve"> RANK(AW5,$AW$4:$AW$12,1)</f>
        <v>7</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4</v>
      </c>
      <c r="D6" s="671">
        <f t="shared" ca="1" si="2"/>
        <v>4.0060000000000002</v>
      </c>
      <c r="E6" s="681">
        <f t="shared" ca="1" si="3"/>
        <v>4</v>
      </c>
      <c r="F6" s="672" t="str">
        <f t="shared" ca="1" si="4"/>
        <v>FC Barcelona</v>
      </c>
      <c r="G6" s="672">
        <f t="shared" ca="1" si="5"/>
        <v>120</v>
      </c>
      <c r="H6" s="672">
        <f t="shared" ca="1" si="6"/>
        <v>142</v>
      </c>
      <c r="I6" s="671">
        <f ca="1">IF(Einstellungen!$G$24,G6-H6,IF(H6=0,IF(G6=0,0,Einstellungen!$F$24),G6/H6))</f>
        <v>-22</v>
      </c>
      <c r="J6" s="672">
        <f ca="1">$L6*Einstellungen!$C$4+$M6</f>
        <v>2</v>
      </c>
      <c r="K6" s="672">
        <f t="shared" ca="1" si="7"/>
        <v>3</v>
      </c>
      <c r="L6" s="672">
        <f t="shared" ca="1" si="8"/>
        <v>0</v>
      </c>
      <c r="M6" s="672">
        <f t="shared" ca="1" si="0"/>
        <v>2</v>
      </c>
      <c r="N6" s="672">
        <f t="shared" ca="1" si="9"/>
        <v>1</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4</v>
      </c>
      <c r="AT6" s="672">
        <f t="shared" ca="1" si="11"/>
        <v>2</v>
      </c>
      <c r="AU6" s="672">
        <f t="shared" ca="1" si="12"/>
        <v>-2</v>
      </c>
      <c r="AV6" s="672">
        <f ca="1">IF(Einstellungen!$G$24,$I6,ROUND($I6,Einstellungen!$H$24))</f>
        <v>-22</v>
      </c>
      <c r="AW6" s="672">
        <f t="shared" ca="1" si="13"/>
        <v>-22</v>
      </c>
      <c r="AX6" s="672">
        <f t="shared" ca="1" si="14"/>
        <v>6</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2</v>
      </c>
      <c r="D7" s="671">
        <f t="shared" ca="1" si="2"/>
        <v>2.0070000000000001</v>
      </c>
      <c r="E7" s="681">
        <f t="shared" ca="1" si="3"/>
        <v>2</v>
      </c>
      <c r="F7" s="672" t="str">
        <f t="shared" ca="1" si="4"/>
        <v>SSV Wildbach</v>
      </c>
      <c r="G7" s="672">
        <f t="shared" ca="1" si="5"/>
        <v>138</v>
      </c>
      <c r="H7" s="672">
        <f t="shared" ca="1" si="6"/>
        <v>128</v>
      </c>
      <c r="I7" s="671">
        <f ca="1">IF(Einstellungen!$G$24,G7-H7,IF(H7=0,IF(G7=0,0,Einstellungen!$F$24),G7/H7))</f>
        <v>10</v>
      </c>
      <c r="J7" s="672">
        <f ca="1">$L7*Einstellungen!$C$4+$M7</f>
        <v>3</v>
      </c>
      <c r="K7" s="672">
        <f t="shared" ca="1" si="7"/>
        <v>3</v>
      </c>
      <c r="L7" s="672">
        <f t="shared" ca="1" si="8"/>
        <v>0</v>
      </c>
      <c r="M7" s="672">
        <f t="shared" ca="1" si="0"/>
        <v>3</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3</v>
      </c>
      <c r="AT7" s="672">
        <f t="shared" ca="1" si="11"/>
        <v>3</v>
      </c>
      <c r="AU7" s="672">
        <f t="shared" ca="1" si="12"/>
        <v>0</v>
      </c>
      <c r="AV7" s="672">
        <f ca="1">IF(Einstellungen!$G$24,$I7,ROUND($I7,Einstellungen!$H$24))</f>
        <v>10</v>
      </c>
      <c r="AW7" s="672">
        <f t="shared" ca="1" si="13"/>
        <v>10</v>
      </c>
      <c r="AX7" s="672">
        <f t="shared" ca="1" si="14"/>
        <v>8</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15.007999999999999</v>
      </c>
      <c r="E8" s="681">
        <f t="shared" ca="1" si="3"/>
        <v>5</v>
      </c>
      <c r="F8" s="672" t="str">
        <f t="shared" si="4"/>
        <v/>
      </c>
      <c r="G8" s="672">
        <f t="shared" ca="1" si="5"/>
        <v>0</v>
      </c>
      <c r="H8" s="672">
        <f t="shared" ca="1" si="6"/>
        <v>0</v>
      </c>
      <c r="I8" s="671">
        <f ca="1">IF(Einstellungen!$G$24,G8-H8,IF(H8=0,IF(G8=0,0,Einstellungen!$F$24),G8/H8))</f>
        <v>0</v>
      </c>
      <c r="J8" s="672">
        <f ca="1">$L8*Einstellungen!$C$4+$M8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IF(Einstellungen!$G$24,$I8,ROUND($I8,Einstellungen!$H$24))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15.009</v>
      </c>
      <c r="E9" s="681">
        <f t="shared" ca="1" si="3"/>
        <v>5</v>
      </c>
      <c r="F9" s="672" t="str">
        <f t="shared" si="4"/>
        <v/>
      </c>
      <c r="G9" s="672">
        <f t="shared" ca="1" si="5"/>
        <v>0</v>
      </c>
      <c r="H9" s="672">
        <f t="shared" ca="1" si="6"/>
        <v>0</v>
      </c>
      <c r="I9" s="671">
        <f ca="1">IF(Einstellungen!$G$24,G9-H9,IF(H9=0,IF(G9=0,0,Einstellungen!$F$24),G9/H9))</f>
        <v>0</v>
      </c>
      <c r="J9" s="672">
        <f ca="1">$L9*Einstellungen!$C$4+$M9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IF(Einstellungen!$G$24,$I9,ROUND($I9,Einstellungen!$H$24))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15.01</v>
      </c>
      <c r="E10" s="681">
        <f t="shared" ca="1" si="3"/>
        <v>5</v>
      </c>
      <c r="F10" s="672" t="str">
        <f t="shared" si="4"/>
        <v/>
      </c>
      <c r="G10" s="672">
        <f t="shared" ca="1" si="5"/>
        <v>0</v>
      </c>
      <c r="H10" s="672">
        <f t="shared" ca="1" si="6"/>
        <v>0</v>
      </c>
      <c r="I10" s="671">
        <f ca="1">IF(Einstellungen!$G$24,G10-H10,IF(H10=0,IF(G10=0,0,Einstellungen!$F$24),G10/H10))</f>
        <v>0</v>
      </c>
      <c r="J10" s="672">
        <f ca="1">$L10*Einstellungen!$C$4+$M10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IF(Einstellungen!$G$24,$I10,ROUND($I10,Einstellungen!$H$24))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15.010999999999999</v>
      </c>
      <c r="E11" s="681">
        <f t="shared" ca="1" si="3"/>
        <v>5</v>
      </c>
      <c r="F11" s="672" t="str">
        <f t="shared" si="4"/>
        <v/>
      </c>
      <c r="G11" s="672">
        <f t="shared" ca="1" si="5"/>
        <v>0</v>
      </c>
      <c r="H11" s="672">
        <f t="shared" ca="1" si="6"/>
        <v>0</v>
      </c>
      <c r="I11" s="671">
        <f ca="1">IF(Einstellungen!$G$24,G11-H11,IF(H11=0,IF(G11=0,0,Einstellungen!$F$24),G11/H11))</f>
        <v>0</v>
      </c>
      <c r="J11" s="672">
        <f ca="1">$L11*Einstellungen!$C$4+$M11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IF(Einstellungen!$G$24,$I11,ROUND($I11,Einstellungen!$H$24))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15.012</v>
      </c>
      <c r="E12" s="681">
        <f t="shared" ca="1" si="3"/>
        <v>5</v>
      </c>
      <c r="F12" s="672" t="str">
        <f t="shared" si="4"/>
        <v/>
      </c>
      <c r="G12" s="672">
        <f t="shared" ca="1" si="5"/>
        <v>0</v>
      </c>
      <c r="H12" s="672">
        <f t="shared" ca="1" si="6"/>
        <v>0</v>
      </c>
      <c r="I12" s="671">
        <f ca="1">IF(Einstellungen!$G$24,G12-H12,IF(H12=0,IF(G12=0,0,Einstellungen!$F$24),G12/H12))</f>
        <v>0</v>
      </c>
      <c r="J12" s="672">
        <f ca="1">$L12*Einstellungen!$C$4+$M12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IF(Einstellungen!$G$24,$I12,ROUND($I12,Einstellungen!$H$24))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12</v>
      </c>
      <c r="C13" s="671"/>
      <c r="D13" s="671"/>
      <c r="E13" s="671"/>
      <c r="F13" s="671">
        <f ca="1">9-COUNTBLANK($F$4:$F$12)</f>
        <v>4</v>
      </c>
      <c r="G13" s="671"/>
      <c r="H13" s="671"/>
      <c r="I13" s="671"/>
      <c r="J13" s="671"/>
      <c r="K13" s="676">
        <f ca="1">QUOTIENT(SUM(K4:K12),2)</f>
        <v>6</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394</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1. FC Riedwald</v>
      </c>
      <c r="D17" s="672">
        <f t="shared" ref="D17:G25" ca="1" si="15">K4</f>
        <v>3</v>
      </c>
      <c r="E17" s="672">
        <f t="shared" ca="1" si="15"/>
        <v>1</v>
      </c>
      <c r="F17" s="672">
        <f t="shared" ca="1" si="15"/>
        <v>2</v>
      </c>
      <c r="G17" s="672">
        <f t="shared" ca="1" si="15"/>
        <v>0</v>
      </c>
      <c r="H17" s="672">
        <f t="shared" ref="H17:J25" ca="1" si="16">G4</f>
        <v>136</v>
      </c>
      <c r="I17" s="672">
        <f t="shared" ca="1" si="16"/>
        <v>121</v>
      </c>
      <c r="J17" s="671">
        <f t="shared" ca="1" si="16"/>
        <v>15</v>
      </c>
      <c r="K17" s="672">
        <f ca="1">IF(Einstellungen!$G$9,J4,$AT4)</f>
        <v>4</v>
      </c>
      <c r="L17" s="696">
        <f ca="1">K17*$F$64+(AU4+$H$65)*$F$65*Einstellungen!$G$14+AT4*$F$66*Einstellungen!$G$19+AX4*$F$67</f>
        <v>4000000.0090000001</v>
      </c>
      <c r="M17" s="688">
        <f ca="1">IF($AI$15,COUNTIF($K$17:$K$25,K17),COUNTIF($L$17:$L$25,L17))</f>
        <v>1</v>
      </c>
      <c r="N17" s="688">
        <f t="array" aca="1" ref="N17" ca="1">IF($AI$15,SUM(($K$17:$K$25&gt;=K17)/COUNTIF($K$17:$K$25,$K$17:$K$25)),SUM(($L$17:$L$25&gt;=L17)/COUNTIF($L$17:$L$25,$L$17:$L$25)))</f>
        <v>1</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1.0108999999999999</v>
      </c>
      <c r="Y17" s="671">
        <f ca="1">'Endrunde 4'!$AU19+$AD17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FC Grönlingen</v>
      </c>
      <c r="D18" s="672">
        <f t="shared" ca="1" si="15"/>
        <v>3</v>
      </c>
      <c r="E18" s="672">
        <f t="shared" ca="1" si="15"/>
        <v>1</v>
      </c>
      <c r="F18" s="672">
        <f t="shared" ca="1" si="15"/>
        <v>1</v>
      </c>
      <c r="G18" s="672">
        <f t="shared" ca="1" si="15"/>
        <v>1</v>
      </c>
      <c r="H18" s="672">
        <f t="shared" ca="1" si="16"/>
        <v>136</v>
      </c>
      <c r="I18" s="672">
        <f t="shared" ca="1" si="16"/>
        <v>139</v>
      </c>
      <c r="J18" s="671">
        <f t="shared" ca="1" si="16"/>
        <v>-3</v>
      </c>
      <c r="K18" s="672">
        <f ca="1">IF(Einstellungen!$G$9,J5,$AT5)</f>
        <v>3</v>
      </c>
      <c r="L18" s="696">
        <f ca="1">K18*$F$64+(AU5+$H$65)*$F$65*Einstellungen!$G$14+AT5*$F$66*Einstellungen!$G$19+AX5*$F$67</f>
        <v>3000000.0070000002</v>
      </c>
      <c r="M18" s="688">
        <f t="shared" ref="M18:M25" ca="1" si="26">IF($AI$15,COUNTIF($K$17:$K$25,K18),COUNTIF($L$17:$L$25,L18))</f>
        <v>1</v>
      </c>
      <c r="N18" s="688">
        <f t="array" aca="1" ref="N18" ca="1">IF($AI$15,SUM(($K$17:$K$25&gt;=K18)/COUNTIF($K$17:$K$25,$K$17:$K$25)),SUM(($L$17:$L$25&gt;=L18)/COUNTIF($L$17:$L$25,$L$17:$L$25)))</f>
        <v>3</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3.0108999999999999</v>
      </c>
      <c r="Y18" s="671">
        <f ca="1">'Endrunde 4'!$AU20+$AD18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FC Barcelona</v>
      </c>
      <c r="D19" s="672">
        <f t="shared" ca="1" si="15"/>
        <v>3</v>
      </c>
      <c r="E19" s="672">
        <f t="shared" ca="1" si="15"/>
        <v>0</v>
      </c>
      <c r="F19" s="672">
        <f t="shared" ca="1" si="15"/>
        <v>2</v>
      </c>
      <c r="G19" s="672">
        <f t="shared" ca="1" si="15"/>
        <v>1</v>
      </c>
      <c r="H19" s="672">
        <f t="shared" ca="1" si="16"/>
        <v>120</v>
      </c>
      <c r="I19" s="672">
        <f t="shared" ca="1" si="16"/>
        <v>142</v>
      </c>
      <c r="J19" s="671">
        <f t="shared" ca="1" si="16"/>
        <v>-22</v>
      </c>
      <c r="K19" s="672">
        <f ca="1">IF(Einstellungen!$G$9,J6,$AT6)</f>
        <v>2</v>
      </c>
      <c r="L19" s="696">
        <f ca="1">K19*$F$64+(AU6+$H$65)*$F$65*Einstellungen!$G$14+AT6*$F$66*Einstellungen!$G$19+AX6*$F$67</f>
        <v>2000000.0060000001</v>
      </c>
      <c r="M19" s="688">
        <f t="shared" ca="1" si="26"/>
        <v>1</v>
      </c>
      <c r="N19" s="688">
        <f t="array" aca="1" ref="N19" ca="1">IF($AI$15,SUM(($K$17:$K$25&gt;=K19)/COUNTIF($K$17:$K$25,$K$17:$K$25)),SUM(($L$17:$L$25&gt;=L19)/COUNTIF($L$17:$L$25,$L$17:$L$25)))</f>
        <v>4</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4.0108999999999995</v>
      </c>
      <c r="Y19" s="671">
        <f ca="1">'Endrunde 4'!$AU21+$AD19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SSV Wildbach</v>
      </c>
      <c r="D20" s="672">
        <f t="shared" ca="1" si="15"/>
        <v>3</v>
      </c>
      <c r="E20" s="672">
        <f t="shared" ca="1" si="15"/>
        <v>0</v>
      </c>
      <c r="F20" s="672">
        <f t="shared" ca="1" si="15"/>
        <v>3</v>
      </c>
      <c r="G20" s="672">
        <f t="shared" ca="1" si="15"/>
        <v>0</v>
      </c>
      <c r="H20" s="672">
        <f t="shared" ca="1" si="16"/>
        <v>138</v>
      </c>
      <c r="I20" s="672">
        <f t="shared" ca="1" si="16"/>
        <v>128</v>
      </c>
      <c r="J20" s="671">
        <f t="shared" ca="1" si="16"/>
        <v>10</v>
      </c>
      <c r="K20" s="672">
        <f ca="1">IF(Einstellungen!$G$9,J7,$AT7)</f>
        <v>3</v>
      </c>
      <c r="L20" s="696">
        <f ca="1">K20*$F$64+(AU7+$H$65)*$F$65*Einstellungen!$G$14+AT7*$F$66*Einstellungen!$G$19+AX7*$F$67</f>
        <v>3000000.0079999999</v>
      </c>
      <c r="M20" s="688">
        <f t="shared" ca="1" si="26"/>
        <v>1</v>
      </c>
      <c r="N20" s="688">
        <f t="array" aca="1" ref="N20" ca="1">IF($AI$15,SUM(($K$17:$K$25&gt;=K20)/COUNTIF($K$17:$K$25,$K$17:$K$25)),SUM(($L$17:$L$25&gt;=L20)/COUNTIF($L$17:$L$25,$L$17:$L$25)))</f>
        <v>2</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2.0108999999999999</v>
      </c>
      <c r="Y20" s="671">
        <f ca="1">'Endrunde 4'!$AU22+$AD20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IF(Einstellungen!$G$9,J8,$AT8)</f>
        <v>0</v>
      </c>
      <c r="L21" s="696">
        <f ca="1">K21*$F$64+(AU8+$H$65)*$F$65*Einstellungen!$G$14+AT8*$F$66*Einstellungen!$G$19+AX8*$F$67</f>
        <v>1E-3</v>
      </c>
      <c r="M21" s="688">
        <f t="shared" ca="1" si="26"/>
        <v>5</v>
      </c>
      <c r="N21" s="688">
        <f t="array" aca="1" ref="N21" ca="1">IF($AI$15,SUM(($K$17:$K$25&gt;=K21)/COUNTIF($K$17:$K$25,$K$17:$K$25)),SUM(($L$17:$L$25&gt;=L21)/COUNTIF($L$17:$L$25,$L$17:$L$25)))</f>
        <v>5.0000000000000009</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105.01089999999999</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IF(Einstellungen!$G$9,J9,$AT9)</f>
        <v>0</v>
      </c>
      <c r="L22" s="696">
        <f ca="1">K22*$F$64+(AU9+$H$65)*$F$65*Einstellungen!$G$14+AT9*$F$66*Einstellungen!$G$19+AX9*$F$67</f>
        <v>1E-3</v>
      </c>
      <c r="M22" s="688">
        <f t="shared" ca="1" si="26"/>
        <v>5</v>
      </c>
      <c r="N22" s="688">
        <f t="array" aca="1" ref="N22" ca="1">IF($AI$15,SUM(($K$17:$K$25&gt;=K22)/COUNTIF($K$17:$K$25,$K$17:$K$25)),SUM(($L$17:$L$25&gt;=L22)/COUNTIF($L$17:$L$25,$L$17:$L$25)))</f>
        <v>5.0000000000000009</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105.01089999999999</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IF(Einstellungen!$G$9,J10,$AT10)</f>
        <v>0</v>
      </c>
      <c r="L23" s="696">
        <f ca="1">K23*$F$64+(AU10+$H$65)*$F$65*Einstellungen!$G$14+AT10*$F$66*Einstellungen!$G$19+AX10*$F$67</f>
        <v>1E-3</v>
      </c>
      <c r="M23" s="688">
        <f t="shared" ca="1" si="26"/>
        <v>5</v>
      </c>
      <c r="N23" s="688">
        <f t="array" aca="1" ref="N23" ca="1">IF($AI$15,SUM(($K$17:$K$25&gt;=K23)/COUNTIF($K$17:$K$25,$K$17:$K$25)),SUM(($L$17:$L$25&gt;=L23)/COUNTIF($L$17:$L$25,$L$17:$L$25)))</f>
        <v>5.0000000000000009</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105.01089999999999</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IF(Einstellungen!$G$9,J11,$AT11)</f>
        <v>0</v>
      </c>
      <c r="L24" s="696">
        <f ca="1">K24*$F$64+(AU11+$H$65)*$F$65*Einstellungen!$G$14+AT11*$F$66*Einstellungen!$G$19+AX11*$F$67</f>
        <v>1E-3</v>
      </c>
      <c r="M24" s="688">
        <f t="shared" ca="1" si="26"/>
        <v>5</v>
      </c>
      <c r="N24" s="688">
        <f t="array" aca="1" ref="N24" ca="1">IF($AI$15,SUM(($K$17:$K$25&gt;=K24)/COUNTIF($K$17:$K$25,$K$17:$K$25)),SUM(($L$17:$L$25&gt;=L24)/COUNTIF($L$17:$L$25,$L$17:$L$25)))</f>
        <v>5.0000000000000009</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105.01089999999999</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IF(Einstellungen!$G$9,J12,$AT12)</f>
        <v>0</v>
      </c>
      <c r="L25" s="696">
        <f ca="1">K25*$F$64+(AU12+$H$65)*$F$65*Einstellungen!$G$14+AT12*$F$66*Einstellungen!$G$19+AX12*$F$67</f>
        <v>1E-3</v>
      </c>
      <c r="M25" s="688">
        <f t="shared" ca="1" si="26"/>
        <v>5</v>
      </c>
      <c r="N25" s="688">
        <f t="array" aca="1" ref="N25" ca="1">IF($AI$15,SUM(($K$17:$K$25&gt;=K25)/COUNTIF($K$17:$K$25,$K$17:$K$25)),SUM(($L$17:$L$25&gt;=L25)/COUNTIF($L$17:$L$25,$L$17:$L$25)))</f>
        <v>5.0000000000000009</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105.01089999999999</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13">
        <v>1</v>
      </c>
      <c r="F29" s="1014"/>
      <c r="G29" s="1014"/>
      <c r="H29" s="1014"/>
      <c r="I29" s="1014"/>
      <c r="J29" s="1014"/>
      <c r="K29" s="1014"/>
      <c r="L29" s="1015"/>
      <c r="M29" s="1016">
        <v>2</v>
      </c>
      <c r="N29" s="1014"/>
      <c r="O29" s="1014"/>
      <c r="P29" s="1014"/>
      <c r="Q29" s="1014"/>
      <c r="R29" s="1014"/>
      <c r="S29" s="1014"/>
      <c r="T29" s="1015"/>
      <c r="U29" s="1016">
        <v>3</v>
      </c>
      <c r="V29" s="1014"/>
      <c r="W29" s="1014"/>
      <c r="X29" s="1014"/>
      <c r="Y29" s="1014"/>
      <c r="Z29" s="1014"/>
      <c r="AA29" s="1014"/>
      <c r="AB29" s="1015"/>
      <c r="AC29" s="1016">
        <v>4</v>
      </c>
      <c r="AD29" s="1014"/>
      <c r="AE29" s="1014"/>
      <c r="AF29" s="1014"/>
      <c r="AG29" s="1014"/>
      <c r="AH29" s="1014"/>
      <c r="AI29" s="1014"/>
      <c r="AJ29" s="1015"/>
      <c r="AK29" s="1016">
        <v>5</v>
      </c>
      <c r="AL29" s="1014"/>
      <c r="AM29" s="1014"/>
      <c r="AN29" s="1014"/>
      <c r="AO29" s="1014"/>
      <c r="AP29" s="1014"/>
      <c r="AQ29" s="1014"/>
      <c r="AR29" s="1015"/>
      <c r="AS29" s="1016">
        <v>6</v>
      </c>
      <c r="AT29" s="1014"/>
      <c r="AU29" s="1014"/>
      <c r="AV29" s="1014"/>
      <c r="AW29" s="1014"/>
      <c r="AX29" s="1014"/>
      <c r="AY29" s="1014"/>
      <c r="AZ29" s="1015"/>
      <c r="BA29" s="1016">
        <v>7</v>
      </c>
      <c r="BB29" s="1014"/>
      <c r="BC29" s="1014"/>
      <c r="BD29" s="1014"/>
      <c r="BE29" s="1014"/>
      <c r="BF29" s="1014"/>
      <c r="BG29" s="1014"/>
      <c r="BH29" s="1015"/>
      <c r="BI29" s="1016">
        <v>8</v>
      </c>
      <c r="BJ29" s="1014"/>
      <c r="BK29" s="1014"/>
      <c r="BL29" s="1014"/>
      <c r="BM29" s="1014"/>
      <c r="BN29" s="1014"/>
      <c r="BO29" s="1014"/>
      <c r="BP29" s="1017"/>
      <c r="BQ29" s="671"/>
      <c r="BR29" s="707" t="s">
        <v>94</v>
      </c>
      <c r="BS29" s="670" t="str">
        <f ca="1">$F$4</f>
        <v>1. FC Riedwald</v>
      </c>
      <c r="BT29" s="670" t="str">
        <f ca="1">$F$5</f>
        <v>FC Grönlingen</v>
      </c>
      <c r="BU29" s="670" t="str">
        <f ca="1">$F$6</f>
        <v>FC Barcelona</v>
      </c>
      <c r="BV29" s="670" t="str">
        <f ca="1">$F$7</f>
        <v>SSV Wildbach</v>
      </c>
      <c r="BW29" s="670" t="str">
        <f>$F$8</f>
        <v/>
      </c>
      <c r="BX29" s="670" t="str">
        <f>$F$9</f>
        <v/>
      </c>
      <c r="BY29" s="670" t="str">
        <f>$F$10</f>
        <v/>
      </c>
      <c r="BZ29" s="670" t="str">
        <f>$F$11</f>
        <v/>
      </c>
      <c r="CA29" s="670" t="str">
        <f>$F$12</f>
        <v/>
      </c>
      <c r="CB29" s="709"/>
    </row>
    <row r="30" spans="1:80" s="1" customFormat="1" x14ac:dyDescent="0.2">
      <c r="A30" s="670"/>
      <c r="B30" s="670"/>
      <c r="C30" s="670" t="str">
        <f ca="1">$Q64</f>
        <v>1. FC Riedwald</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1. FC Riedwald</v>
      </c>
      <c r="BS30" s="712"/>
      <c r="BT30" s="713">
        <f t="shared" ref="BT30:CA30" ca="1" si="34">SUMIFS($AH$64:$AH$135,$V$64:$V$135,$BR30,$W$64:$W$135,BT$29)+SUMIFS($AI$64:$AI$135,$W$64:$W$135,$BR30,$V$64:$V$135,BT$29)</f>
        <v>50</v>
      </c>
      <c r="BU30" s="713">
        <f t="shared" ca="1" si="34"/>
        <v>44</v>
      </c>
      <c r="BV30" s="713">
        <f t="shared" ca="1" si="34"/>
        <v>42</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FC Grönlingen</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FC Grönlingen</v>
      </c>
      <c r="BS31" s="714">
        <f t="shared" ref="BS31:BS38" ca="1" si="36">SUMIFS($AH$64:$AH$135,$V$64:$V$135,$BR31,$W$64:$W$135,BS$29)+SUMIFS($AI$64:$AI$135,$W$64:$W$135,$BR31,$V$64:$V$135,BS$29)</f>
        <v>39</v>
      </c>
      <c r="BT31" s="712"/>
      <c r="BU31" s="713">
        <f t="shared" ref="BU31:CA31" ca="1" si="37">SUMIFS($AH$64:$AH$135,$V$64:$V$135,$BR31,$W$64:$W$135,BU$29)+SUMIFS($AI$64:$AI$135,$W$64:$W$135,$BR31,$V$64:$V$135,BU$29)</f>
        <v>50</v>
      </c>
      <c r="BV31" s="713">
        <f t="shared" ca="1" si="37"/>
        <v>47</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FC Barcelona</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FC Barcelona</v>
      </c>
      <c r="BS32" s="714">
        <f t="shared" ca="1" si="36"/>
        <v>37</v>
      </c>
      <c r="BT32" s="714">
        <f t="shared" ref="BT32:BT38" ca="1" si="38">SUMIFS($AH$64:$AH$135,$V$64:$V$135,$BR32,$W$64:$W$135,BT$29)+SUMIFS($AI$64:$AI$135,$W$64:$W$135,$BR32,$V$64:$V$135,BT$29)</f>
        <v>44</v>
      </c>
      <c r="BU32" s="712"/>
      <c r="BV32" s="713">
        <f t="shared" ref="BV32:CA32" ca="1" si="39">SUMIFS($AH$64:$AH$135,$V$64:$V$135,$BR32,$W$64:$W$135,BV$29)+SUMIFS($AI$64:$AI$135,$W$64:$W$135,$BR32,$V$64:$V$135,BV$29)</f>
        <v>39</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SSV Wildbach</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SSV Wildbach</v>
      </c>
      <c r="BS33" s="714">
        <f t="shared" ca="1" si="36"/>
        <v>45</v>
      </c>
      <c r="BT33" s="714">
        <f t="shared" ca="1" si="38"/>
        <v>45</v>
      </c>
      <c r="BU33" s="714">
        <f t="shared" ref="BU33:BU38" ca="1" si="40">SUMIFS($AH$64:$AH$135,$V$64:$V$135,$BR33,$W$64:$W$135,BU$29)+SUMIFS($AI$64:$AI$135,$W$64:$W$135,$BR33,$V$64:$V$135,BU$29)</f>
        <v>48</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1. FC Riedwald</v>
      </c>
      <c r="BT40" s="670" t="str">
        <f ca="1">$F$5</f>
        <v>FC Grönlingen</v>
      </c>
      <c r="BU40" s="670" t="str">
        <f ca="1">$F$6</f>
        <v>FC Barcelona</v>
      </c>
      <c r="BV40" s="670" t="str">
        <f ca="1">$F$7</f>
        <v>SSV Wildbach</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1. FC Riedwald</v>
      </c>
      <c r="BS41" s="712"/>
      <c r="BT41" s="713">
        <f ca="1">BT30-BS31</f>
        <v>11</v>
      </c>
      <c r="BU41" s="713">
        <f ca="1">BU30-BS32</f>
        <v>7</v>
      </c>
      <c r="BV41" s="713">
        <f ca="1">BV30-BS33</f>
        <v>-3</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FC Grönlingen</v>
      </c>
      <c r="BS42" s="714">
        <f ca="1">IF(BT41="","",-1*BT41)</f>
        <v>-11</v>
      </c>
      <c r="BT42" s="712"/>
      <c r="BU42" s="713">
        <f ca="1">BU31-BT32</f>
        <v>6</v>
      </c>
      <c r="BV42" s="713">
        <f ca="1">BV31-BT33</f>
        <v>2</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FC Barcelona</v>
      </c>
      <c r="BS43" s="714">
        <f ca="1">IF(BU41="","",-1*BU41)</f>
        <v>-7</v>
      </c>
      <c r="BT43" s="714">
        <f ca="1">IF(BU42="","",-1*BU42)</f>
        <v>-6</v>
      </c>
      <c r="BU43" s="712"/>
      <c r="BV43" s="713">
        <f ca="1">BV32-BU33</f>
        <v>-9</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SSV Wildbach</v>
      </c>
      <c r="BS44" s="714">
        <f ca="1">IF(BV41="","",-1*BV41)</f>
        <v>3</v>
      </c>
      <c r="BT44" s="714">
        <f ca="1">IF(BV42="","",-1*BV42)</f>
        <v>-2</v>
      </c>
      <c r="BU44" s="714">
        <f ca="1">IF(BV43="","",-1*BV43)</f>
        <v>9</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 ca="1">$F$4</f>
        <v>1. FC Riedwald</v>
      </c>
      <c r="BT51" s="670" t="str">
        <f ca="1">$F$5</f>
        <v>FC Grönlingen</v>
      </c>
      <c r="BU51" s="670" t="str">
        <f ca="1">$F$6</f>
        <v>FC Barcelona</v>
      </c>
      <c r="BV51" s="670" t="str">
        <f ca="1">$F$7</f>
        <v>SSV Wildbach</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1. FC Riedwald</v>
      </c>
      <c r="BS52" s="712"/>
      <c r="BT52" s="713">
        <f t="shared" ref="BT52:CA54" ca="1" si="44">SUMIFS($AJ$64:$AJ$135,$V$64:$V$135,$BR52,$W$64:$W$135,BT$51)+SUMIFS($AK$64:$AK$135,$W$64:$W$135,$BR52,$V$64:$V$135,BT$51)</f>
        <v>2</v>
      </c>
      <c r="BU52" s="713">
        <f t="shared" ca="1" si="44"/>
        <v>1</v>
      </c>
      <c r="BV52" s="713">
        <f t="shared" ca="1" si="44"/>
        <v>1</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FC Grönlingen</v>
      </c>
      <c r="BS53" s="714">
        <f t="shared" ref="BS53:BU60" ca="1" si="45">SUMIFS($AJ$64:$AJ$135,$V$64:$V$135,$BR53,$W$64:$W$135,BS$51)+SUMIFS($AK$64:$AK$135,$W$64:$W$135,$BR53,$V$64:$V$135,BS$51)</f>
        <v>0</v>
      </c>
      <c r="BT53" s="712"/>
      <c r="BU53" s="713">
        <f t="shared" ca="1" si="44"/>
        <v>2</v>
      </c>
      <c r="BV53" s="713">
        <f t="shared" ca="1" si="44"/>
        <v>1</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FC Barcelona</v>
      </c>
      <c r="BS54" s="714">
        <f t="shared" ca="1" si="45"/>
        <v>1</v>
      </c>
      <c r="BT54" s="714">
        <f t="shared" ca="1" si="45"/>
        <v>0</v>
      </c>
      <c r="BU54" s="712"/>
      <c r="BV54" s="713">
        <f t="shared" ca="1" si="44"/>
        <v>1</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SSV Wildbach</v>
      </c>
      <c r="BS55" s="714">
        <f t="shared" ca="1" si="45"/>
        <v>1</v>
      </c>
      <c r="BT55" s="714">
        <f t="shared" ca="1" si="45"/>
        <v>1</v>
      </c>
      <c r="BU55" s="714">
        <f t="shared" ca="1" si="45"/>
        <v>1</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8" t="s">
        <v>312</v>
      </c>
      <c r="Y63" s="1018"/>
      <c r="Z63" s="674" t="s">
        <v>150</v>
      </c>
      <c r="AA63" s="674" t="s">
        <v>15</v>
      </c>
      <c r="AB63" s="674" t="s">
        <v>400</v>
      </c>
      <c r="AC63" s="782" t="s">
        <v>399</v>
      </c>
      <c r="AD63" s="1019" t="s">
        <v>314</v>
      </c>
      <c r="AE63" s="1019"/>
      <c r="AF63" s="1019" t="s">
        <v>318</v>
      </c>
      <c r="AG63" s="1019"/>
      <c r="AH63" s="1019" t="s">
        <v>400</v>
      </c>
      <c r="AI63" s="1019"/>
      <c r="AJ63" s="1020" t="s">
        <v>399</v>
      </c>
      <c r="AK63" s="1020"/>
      <c r="AL63" s="1019" t="s">
        <v>108</v>
      </c>
      <c r="AM63" s="1019"/>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 ca="1">IF('Endrunde 4'!$AS19="","",'Endrunde 4'!$AS19)</f>
        <v>1. FC Riedwald</v>
      </c>
      <c r="R64" s="670"/>
      <c r="S64" s="670"/>
      <c r="T64" s="670"/>
      <c r="U64" s="728" t="s">
        <v>6</v>
      </c>
      <c r="V64" s="6" t="str">
        <f ca="1">'Endrunde 4'!$I12</f>
        <v>VFB Essenheim</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32" t="str">
        <f ca="1">V64&amp;W64</f>
        <v>VFB Essenheim</v>
      </c>
      <c r="AA64" s="730">
        <f ca="1">IF(AND(V64&lt;&gt;"",W64&lt;&gt;"",V64&lt;&gt;W64,'Endrunde 4'!$U12&lt;&gt;"",'Endrunde 4'!$W12&lt;&gt;""),1,0)</f>
        <v>0</v>
      </c>
      <c r="AB64" s="733" t="str">
        <f ca="1">IF(AA64&gt;0,AH64&amp;Sprache!$E$99&amp;AI64,"")</f>
        <v/>
      </c>
      <c r="AC64" s="73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35" t="str">
        <f ca="1">IF(AA64&gt;0,SUM(X64,AD64,AF64),"")</f>
        <v/>
      </c>
      <c r="AI64" s="734" t="str">
        <f ca="1">IF(AA64&gt;0,SUM(Y64,AE64,AG64),"")</f>
        <v/>
      </c>
      <c r="AJ64" s="735">
        <f ca="1">IF('Endrunde 4'!$U12="",0,'Endrunde 4'!$U12)</f>
        <v>0</v>
      </c>
      <c r="AK64" s="734">
        <f ca="1">IF('Endrunde 4'!$W12="",0,'Endrunde 4'!$W12)</f>
        <v>0</v>
      </c>
      <c r="AL64" s="735" t="str">
        <f ca="1">IF($AA64=0,"",IF($AJ64&gt;$AK64,Einstellungen!$C$4,IF($AJ64=$AK64,1,0)))</f>
        <v/>
      </c>
      <c r="AM64" s="734" t="str">
        <f ca="1">IF($AA64=0,"",IF($AJ64&lt;$AK64,Einstellungen!$C$4,IF($AJ64=$AK64,1,0)))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 ca="1">IF('Endrunde 4'!$AS20="","",'Endrunde 4'!$AS20)</f>
        <v>FC Grönlingen</v>
      </c>
      <c r="R65" s="670"/>
      <c r="S65" s="670"/>
      <c r="T65" s="670"/>
      <c r="U65" s="742" t="s">
        <v>7</v>
      </c>
      <c r="V65" s="743" t="str">
        <f ca="1">'Endrunde 4'!$I13</f>
        <v>1. FC Riedwald</v>
      </c>
      <c r="W65" s="671" t="str">
        <f ca="1">'Endrunde 4'!$K13</f>
        <v>SSV Wildbach</v>
      </c>
      <c r="X65" s="671">
        <f ca="1">IF(AND($AA65=1,'Endrunde 4'!$L13&lt;&gt;"",'Endrunde 4'!$N13&lt;&gt;"",ABS('Endrunde 4'!$L13-'Endrunde 4'!$N13)&gt;1),'Endrunde 4'!$L13,"")</f>
        <v>25</v>
      </c>
      <c r="Y65" s="744">
        <f ca="1">IF(AND($AA65=1,'Endrunde 4'!$L13&lt;&gt;"",'Endrunde 4'!$N13&lt;&gt;"",ABS('Endrunde 4'!$L13-'Endrunde 4'!$N13)&gt;1),'Endrunde 4'!$N13,"")</f>
        <v>20</v>
      </c>
      <c r="Z65" s="745" t="str">
        <f t="shared" ref="Z65:Z73" ca="1" si="46">V65&amp;W65</f>
        <v>1. FC RiedwaldSSV Wildbach</v>
      </c>
      <c r="AA65" s="671">
        <f ca="1">IF(AND(V65&lt;&gt;"",W65&lt;&gt;"",V65&lt;&gt;W65,'Endrunde 4'!$U13&lt;&gt;"",'Endrunde 4'!$W13&lt;&gt;""),1,0)</f>
        <v>1</v>
      </c>
      <c r="AB65" s="671" t="str">
        <f ca="1">IF(AA65&gt;0,AH65&amp;Sprache!$E$99&amp;AI65,"")</f>
        <v>42 : 45</v>
      </c>
      <c r="AC65" s="746" t="str">
        <f ca="1">IF(AA65&gt;0,AJ65&amp;Sprache!$E$99&amp;AK65,"")</f>
        <v>1 : 1</v>
      </c>
      <c r="AD65" s="747">
        <f ca="1">IF(AND($AA65=1,'Endrunde 4'!$O13&lt;&gt;"",'Endrunde 4'!$Q13&lt;&gt;"",ABS('Endrunde 4'!$O13-'Endrunde 4'!$Q13)&gt;1),'Endrunde 4'!$O13,"")</f>
        <v>17</v>
      </c>
      <c r="AE65" s="746">
        <f ca="1">IF(AND($AA65=1,'Endrunde 4'!$O13&lt;&gt;"",'Endrunde 4'!$Q13&lt;&gt;"",ABS('Endrunde 4'!$O13-'Endrunde 4'!$Q13)&gt;1),'Endrunde 4'!$Q13,"")</f>
        <v>25</v>
      </c>
      <c r="AF65" s="747" t="str">
        <f ca="1">IF(AND($AA65=1,'Endrunde 4'!$R13&lt;&gt;"",'Endrunde 4'!$T13&lt;&gt;"",ABS('Endrunde 4'!$R13-'Endrunde 4'!$T13)&gt;1),'Endrunde 4'!$R13,"")</f>
        <v/>
      </c>
      <c r="AG65" s="746" t="str">
        <f ca="1">IF(AND($AA65=1,'Endrunde 4'!$R13&lt;&gt;"",'Endrunde 4'!$T13&lt;&gt;"",ABS('Endrunde 4'!$R13-'Endrunde 4'!$T13)&gt;1),'Endrunde 4'!$T13,"")</f>
        <v/>
      </c>
      <c r="AH65" s="747">
        <f t="shared" ref="AH65:AH81" ca="1" si="47">IF(AA65&gt;0,SUM(X65,AD65,AF65),"")</f>
        <v>42</v>
      </c>
      <c r="AI65" s="746">
        <f t="shared" ref="AI65:AI81" ca="1" si="48">IF(AA65&gt;0,SUM(Y65,AE65,AG65),"")</f>
        <v>45</v>
      </c>
      <c r="AJ65" s="747">
        <f ca="1">IF('Endrunde 4'!$U13="",0,'Endrunde 4'!$U13)</f>
        <v>1</v>
      </c>
      <c r="AK65" s="746">
        <f ca="1">IF('Endrunde 4'!$W13="",0,'Endrunde 4'!$W13)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 ca="1">IF('Endrunde 4'!$AS21="","",'Endrunde 4'!$AS21)</f>
        <v>FC Barcelona</v>
      </c>
      <c r="R66" s="670"/>
      <c r="S66" s="670"/>
      <c r="T66" s="670"/>
      <c r="U66" s="742" t="s">
        <v>8</v>
      </c>
      <c r="V66" s="743" t="str">
        <f ca="1">'Endrunde 4'!$I14</f>
        <v>Eintracht Frankfurt</v>
      </c>
      <c r="W66" s="671" t="str">
        <f ca="1">'Endrunde 4'!$K14</f>
        <v>Manchester City</v>
      </c>
      <c r="X66" s="671">
        <f ca="1">IF(AND($AA66=1,'Endrunde 4'!$L14&lt;&gt;"",'Endrunde 4'!$N14&lt;&gt;"",ABS('Endrunde 4'!$L14-'Endrunde 4'!$N14)&gt;1),'Endrunde 4'!$L14,"")</f>
        <v>19</v>
      </c>
      <c r="Y66" s="744">
        <f ca="1">IF(AND($AA66=1,'Endrunde 4'!$L14&lt;&gt;"",'Endrunde 4'!$N14&lt;&gt;"",ABS('Endrunde 4'!$L14-'Endrunde 4'!$N14)&gt;1),'Endrunde 4'!$N14,"")</f>
        <v>25</v>
      </c>
      <c r="Z66" s="745" t="str">
        <f t="shared" ca="1" si="46"/>
        <v>Eintracht FrankfurtManchester City</v>
      </c>
      <c r="AA66" s="671">
        <f ca="1">IF(AND(V66&lt;&gt;"",W66&lt;&gt;"",V66&lt;&gt;W66,'Endrunde 4'!$U14&lt;&gt;"",'Endrunde 4'!$W14&lt;&gt;""),1,0)</f>
        <v>1</v>
      </c>
      <c r="AB66" s="671" t="str">
        <f ca="1">IF(AA66&gt;0,AH66&amp;Sprache!$E$99&amp;AI66,"")</f>
        <v>35 : 50</v>
      </c>
      <c r="AC66" s="746" t="str">
        <f ca="1">IF(AA66&gt;0,AJ66&amp;Sprache!$E$99&amp;AK66,"")</f>
        <v>0 : 2</v>
      </c>
      <c r="AD66" s="747">
        <f ca="1">IF(AND($AA66=1,'Endrunde 4'!$O14&lt;&gt;"",'Endrunde 4'!$Q14&lt;&gt;"",ABS('Endrunde 4'!$O14-'Endrunde 4'!$Q14)&gt;1),'Endrunde 4'!$O14,"")</f>
        <v>16</v>
      </c>
      <c r="AE66" s="746">
        <f ca="1">IF(AND($AA66=1,'Endrunde 4'!$O14&lt;&gt;"",'Endrunde 4'!$Q14&lt;&gt;"",ABS('Endrunde 4'!$O14-'Endrunde 4'!$Q14)&gt;1),'Endrunde 4'!$Q14,"")</f>
        <v>25</v>
      </c>
      <c r="AF66" s="747" t="str">
        <f ca="1">IF(AND($AA66=1,'Endrunde 4'!$R14&lt;&gt;"",'Endrunde 4'!$T14&lt;&gt;"",ABS('Endrunde 4'!$R14-'Endrunde 4'!$T14)&gt;1),'Endrunde 4'!$R14,"")</f>
        <v/>
      </c>
      <c r="AG66" s="746" t="str">
        <f ca="1">IF(AND($AA66=1,'Endrunde 4'!$R14&lt;&gt;"",'Endrunde 4'!$T14&lt;&gt;"",ABS('Endrunde 4'!$R14-'Endrunde 4'!$T14)&gt;1),'Endrunde 4'!$T14,"")</f>
        <v/>
      </c>
      <c r="AH66" s="747">
        <f t="shared" ca="1" si="47"/>
        <v>35</v>
      </c>
      <c r="AI66" s="746">
        <f t="shared" ca="1" si="48"/>
        <v>50</v>
      </c>
      <c r="AJ66" s="747">
        <f ca="1">IF('Endrunde 4'!$U14="",0,'Endrunde 4'!$U14)</f>
        <v>0</v>
      </c>
      <c r="AK66" s="746">
        <f ca="1">IF('Endrunde 4'!$W14="",0,'Endrunde 4'!$W14)</f>
        <v>2</v>
      </c>
      <c r="AL66" s="747">
        <f ca="1">IF($AA66=0,"",IF($AJ66&gt;$AK66,Einstellungen!$C$4,IF($AJ66=$AK66,1,0)))</f>
        <v>0</v>
      </c>
      <c r="AM66" s="746">
        <f ca="1">IF($AA66=0,"",IF($AJ66&lt;$AK66,Einstellungen!$C$4,IF($AJ66=$AK66,1,0)))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 ca="1">IF('Endrunde 4'!$AS22="","",'Endrunde 4'!$AS22)</f>
        <v>SSV Wildbach</v>
      </c>
      <c r="R67" s="670"/>
      <c r="S67" s="670"/>
      <c r="T67" s="670"/>
      <c r="U67" s="742" t="s">
        <v>9</v>
      </c>
      <c r="V67" s="743" t="str">
        <f ca="1">'Endrunde 4'!$I15</f>
        <v>Inter Mailand</v>
      </c>
      <c r="W67" s="671" t="str">
        <f ca="1">'Endrunde 4'!$K15</f>
        <v/>
      </c>
      <c r="X67" s="671" t="str">
        <f ca="1">IF(AND($AA67=1,'Endrunde 4'!$L15&lt;&gt;"",'Endrunde 4'!$N15&lt;&gt;"",ABS('Endrunde 4'!$L15-'Endrunde 4'!$N15)&gt;1),'Endrunde 4'!$L15,"")</f>
        <v/>
      </c>
      <c r="Y67" s="744" t="str">
        <f ca="1">IF(AND($AA67=1,'Endrunde 4'!$L15&lt;&gt;"",'Endrunde 4'!$N15&lt;&gt;"",ABS('Endrunde 4'!$L15-'Endrunde 4'!$N15)&gt;1),'Endrunde 4'!$N15,"")</f>
        <v/>
      </c>
      <c r="Z67" s="745" t="str">
        <f t="shared" ca="1" si="46"/>
        <v>Inter Mailand</v>
      </c>
      <c r="AA67" s="671">
        <f ca="1">IF(AND(V67&lt;&gt;"",W67&lt;&gt;"",V67&lt;&gt;W67,'Endrunde 4'!$U15&lt;&gt;"",'Endrunde 4'!$W15&lt;&gt;""),1,0)</f>
        <v>0</v>
      </c>
      <c r="AB67" s="671" t="str">
        <f ca="1">IF(AA67&gt;0,AH67&amp;Sprache!$E$99&amp;AI67,"")</f>
        <v/>
      </c>
      <c r="AC67" s="746" t="str">
        <f ca="1">IF(AA67&gt;0,AJ67&amp;Sprache!$E$99&amp;AK67,"")</f>
        <v/>
      </c>
      <c r="AD67" s="747" t="str">
        <f ca="1">IF(AND($AA67=1,'Endrunde 4'!$O15&lt;&gt;"",'Endrunde 4'!$Q15&lt;&gt;"",ABS('Endrunde 4'!$O15-'Endrunde 4'!$Q15)&gt;1),'Endrunde 4'!$O15,"")</f>
        <v/>
      </c>
      <c r="AE67" s="746" t="str">
        <f ca="1">IF(AND($AA67=1,'Endrunde 4'!$O15&lt;&gt;"",'Endrunde 4'!$Q15&lt;&gt;"",ABS('Endrunde 4'!$O15-'Endrunde 4'!$Q15)&gt;1),'Endrunde 4'!$Q15,"")</f>
        <v/>
      </c>
      <c r="AF67" s="747" t="str">
        <f ca="1">IF(AND($AA67=1,'Endrunde 4'!$R15&lt;&gt;"",'Endrunde 4'!$T15&lt;&gt;"",ABS('Endrunde 4'!$R15-'Endrunde 4'!$T15)&gt;1),'Endrunde 4'!$R15,"")</f>
        <v/>
      </c>
      <c r="AG67" s="746" t="str">
        <f ca="1">IF(AND($AA67=1,'Endrunde 4'!$R15&lt;&gt;"",'Endrunde 4'!$T15&lt;&gt;"",ABS('Endrunde 4'!$R15-'Endrunde 4'!$T15)&gt;1),'Endrunde 4'!$T15,"")</f>
        <v/>
      </c>
      <c r="AH67" s="747" t="str">
        <f t="shared" ca="1" si="47"/>
        <v/>
      </c>
      <c r="AI67" s="746" t="str">
        <f t="shared" ca="1" si="48"/>
        <v/>
      </c>
      <c r="AJ67" s="747">
        <f ca="1">IF('Endrunde 4'!$U15="",0,'Endrunde 4'!$U15)</f>
        <v>0</v>
      </c>
      <c r="AK67" s="746">
        <f ca="1">IF('Endrunde 4'!$W15="",0,'Endrunde 4'!$W15)</f>
        <v>0</v>
      </c>
      <c r="AL67" s="747" t="str">
        <f ca="1">IF($AA67=0,"",IF($AJ67&gt;$AK67,Einstellungen!$C$4,IF($AJ67=$AK67,1,0)))</f>
        <v/>
      </c>
      <c r="AM67" s="746" t="str">
        <f ca="1">IF($AA67=0,"",IF($AJ67&lt;$AK67,Einstellungen!$C$4,IF($AJ67=$AK67,1,0)))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'Endrunde 4'!$I16</f>
        <v>FC Grönlingen</v>
      </c>
      <c r="W68" s="671" t="str">
        <f ca="1">'Endrunde 4'!$K16</f>
        <v>FC Barcelona</v>
      </c>
      <c r="X68" s="671">
        <f ca="1">IF(AND($AA68=1,'Endrunde 4'!$L16&lt;&gt;"",'Endrunde 4'!$N16&lt;&gt;"",ABS('Endrunde 4'!$L16-'Endrunde 4'!$N16)&gt;1),'Endrunde 4'!$L16,"")</f>
        <v>25</v>
      </c>
      <c r="Y68" s="744">
        <f ca="1">IF(AND($AA68=1,'Endrunde 4'!$L16&lt;&gt;"",'Endrunde 4'!$N16&lt;&gt;"",ABS('Endrunde 4'!$L16-'Endrunde 4'!$N16)&gt;1),'Endrunde 4'!$N16,"")</f>
        <v>23</v>
      </c>
      <c r="Z68" s="745" t="str">
        <f t="shared" ca="1" si="46"/>
        <v>FC GrönlingenFC Barcelona</v>
      </c>
      <c r="AA68" s="671">
        <f ca="1">IF(AND(V68&lt;&gt;"",W68&lt;&gt;"",V68&lt;&gt;W68,'Endrunde 4'!$U16&lt;&gt;"",'Endrunde 4'!$W16&lt;&gt;""),1,0)</f>
        <v>1</v>
      </c>
      <c r="AB68" s="671" t="str">
        <f ca="1">IF(AA68&gt;0,AH68&amp;Sprache!$E$99&amp;AI68,"")</f>
        <v>50 : 44</v>
      </c>
      <c r="AC68" s="746" t="str">
        <f ca="1">IF(AA68&gt;0,AJ68&amp;Sprache!$E$99&amp;AK68,"")</f>
        <v>2 : 0</v>
      </c>
      <c r="AD68" s="747">
        <f ca="1">IF(AND($AA68=1,'Endrunde 4'!$O16&lt;&gt;"",'Endrunde 4'!$Q16&lt;&gt;"",ABS('Endrunde 4'!$O16-'Endrunde 4'!$Q16)&gt;1),'Endrunde 4'!$O16,"")</f>
        <v>25</v>
      </c>
      <c r="AE68" s="746">
        <f ca="1">IF(AND($AA68=1,'Endrunde 4'!$O16&lt;&gt;"",'Endrunde 4'!$Q16&lt;&gt;"",ABS('Endrunde 4'!$O16-'Endrunde 4'!$Q16)&gt;1),'Endrunde 4'!$Q16,"")</f>
        <v>21</v>
      </c>
      <c r="AF68" s="747" t="str">
        <f ca="1">IF(AND($AA68=1,'Endrunde 4'!$R16&lt;&gt;"",'Endrunde 4'!$T16&lt;&gt;"",ABS('Endrunde 4'!$R16-'Endrunde 4'!$T16)&gt;1),'Endrunde 4'!$R16,"")</f>
        <v/>
      </c>
      <c r="AG68" s="746" t="str">
        <f ca="1">IF(AND($AA68=1,'Endrunde 4'!$R16&lt;&gt;"",'Endrunde 4'!$T16&lt;&gt;"",ABS('Endrunde 4'!$R16-'Endrunde 4'!$T16)&gt;1),'Endrunde 4'!$T16,"")</f>
        <v/>
      </c>
      <c r="AH68" s="747">
        <f t="shared" ca="1" si="47"/>
        <v>50</v>
      </c>
      <c r="AI68" s="746">
        <f t="shared" ca="1" si="48"/>
        <v>44</v>
      </c>
      <c r="AJ68" s="747">
        <f ca="1">IF('Endrunde 4'!$U16="",0,'Endrunde 4'!$U16)</f>
        <v>2</v>
      </c>
      <c r="AK68" s="746">
        <f ca="1">IF('Endrunde 4'!$W16="",0,'Endrunde 4'!$W16)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'Endrunde 4'!$I17</f>
        <v>Mainz 05</v>
      </c>
      <c r="W69" s="671" t="str">
        <f ca="1">'Endrunde 4'!$K17</f>
        <v>Maibach 1822 eV</v>
      </c>
      <c r="X69" s="671">
        <f ca="1">IF(AND($AA69=1,'Endrunde 4'!$L17&lt;&gt;"",'Endrunde 4'!$N17&lt;&gt;"",ABS('Endrunde 4'!$L17-'Endrunde 4'!$N17)&gt;1),'Endrunde 4'!$L17,"")</f>
        <v>25</v>
      </c>
      <c r="Y69" s="744">
        <f ca="1">IF(AND($AA69=1,'Endrunde 4'!$L17&lt;&gt;"",'Endrunde 4'!$N17&lt;&gt;"",ABS('Endrunde 4'!$L17-'Endrunde 4'!$N17)&gt;1),'Endrunde 4'!$N17,"")</f>
        <v>17</v>
      </c>
      <c r="Z69" s="745" t="str">
        <f t="shared" ca="1" si="46"/>
        <v>Mainz 05Maibach 1822 eV</v>
      </c>
      <c r="AA69" s="671">
        <f ca="1">IF(AND(V69&lt;&gt;"",W69&lt;&gt;"",V69&lt;&gt;W69,'Endrunde 4'!$U17&lt;&gt;"",'Endrunde 4'!$W17&lt;&gt;""),1,0)</f>
        <v>1</v>
      </c>
      <c r="AB69" s="671" t="str">
        <f ca="1">IF(AA69&gt;0,AH69&amp;Sprache!$E$99&amp;AI69,"")</f>
        <v>50 : 39</v>
      </c>
      <c r="AC69" s="746" t="str">
        <f ca="1">IF(AA69&gt;0,AJ69&amp;Sprache!$E$99&amp;AK69,"")</f>
        <v>2 : 0</v>
      </c>
      <c r="AD69" s="747">
        <f ca="1">IF(AND($AA69=1,'Endrunde 4'!$O17&lt;&gt;"",'Endrunde 4'!$Q17&lt;&gt;"",ABS('Endrunde 4'!$O17-'Endrunde 4'!$Q17)&gt;1),'Endrunde 4'!$O17,"")</f>
        <v>25</v>
      </c>
      <c r="AE69" s="746">
        <f ca="1">IF(AND($AA69=1,'Endrunde 4'!$O17&lt;&gt;"",'Endrunde 4'!$Q17&lt;&gt;"",ABS('Endrunde 4'!$O17-'Endrunde 4'!$Q17)&gt;1),'Endrunde 4'!$Q17,"")</f>
        <v>22</v>
      </c>
      <c r="AF69" s="747" t="str">
        <f ca="1">IF(AND($AA69=1,'Endrunde 4'!$R17&lt;&gt;"",'Endrunde 4'!$T17&lt;&gt;"",ABS('Endrunde 4'!$R17-'Endrunde 4'!$T17)&gt;1),'Endrunde 4'!$R17,"")</f>
        <v/>
      </c>
      <c r="AG69" s="746" t="str">
        <f ca="1">IF(AND($AA69=1,'Endrunde 4'!$R17&lt;&gt;"",'Endrunde 4'!$T17&lt;&gt;"",ABS('Endrunde 4'!$R17-'Endrunde 4'!$T17)&gt;1),'Endrunde 4'!$T17,"")</f>
        <v/>
      </c>
      <c r="AH69" s="747">
        <f t="shared" ca="1" si="47"/>
        <v>50</v>
      </c>
      <c r="AI69" s="746">
        <f t="shared" ca="1" si="48"/>
        <v>39</v>
      </c>
      <c r="AJ69" s="747">
        <f ca="1">IF('Endrunde 4'!$U17="",0,'Endrunde 4'!$U17)</f>
        <v>2</v>
      </c>
      <c r="AK69" s="746">
        <f ca="1">IF('Endrunde 4'!$W17="",0,'Endrunde 4'!$W17)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'Endrunde 4'!$I18</f>
        <v>VFB Essenheim</v>
      </c>
      <c r="W70" s="671" t="str">
        <f ca="1">'Endrunde 4'!$K18</f>
        <v/>
      </c>
      <c r="X70" s="671" t="str">
        <f ca="1">IF(AND($AA70=1,'Endrunde 4'!$L18&lt;&gt;"",'Endrunde 4'!$N18&lt;&gt;"",ABS('Endrunde 4'!$L18-'Endrunde 4'!$N18)&gt;1),'Endrunde 4'!$L18,"")</f>
        <v/>
      </c>
      <c r="Y70" s="744" t="str">
        <f ca="1">IF(AND($AA70=1,'Endrunde 4'!$L18&lt;&gt;"",'Endrunde 4'!$N18&lt;&gt;"",ABS('Endrunde 4'!$L18-'Endrunde 4'!$N18)&gt;1),'Endrunde 4'!$N18,"")</f>
        <v/>
      </c>
      <c r="Z70" s="745" t="str">
        <f t="shared" ca="1" si="46"/>
        <v>VFB Essenheim</v>
      </c>
      <c r="AA70" s="671">
        <f ca="1">IF(AND(V70&lt;&gt;"",W70&lt;&gt;"",V70&lt;&gt;W70,'Endrunde 4'!$U18&lt;&gt;"",'Endrunde 4'!$W18&lt;&gt;""),1,0)</f>
        <v>0</v>
      </c>
      <c r="AB70" s="671" t="str">
        <f ca="1">IF(AA70&gt;0,AH70&amp;Sprache!$E$99&amp;AI70,"")</f>
        <v/>
      </c>
      <c r="AC70" s="746" t="str">
        <f ca="1">IF(AA70&gt;0,AJ70&amp;Sprache!$E$99&amp;AK70,"")</f>
        <v/>
      </c>
      <c r="AD70" s="747" t="str">
        <f ca="1">IF(AND($AA70=1,'Endrunde 4'!$O18&lt;&gt;"",'Endrunde 4'!$Q18&lt;&gt;"",ABS('Endrunde 4'!$O18-'Endrunde 4'!$Q18)&gt;1),'Endrunde 4'!$O18,"")</f>
        <v/>
      </c>
      <c r="AE70" s="746" t="str">
        <f ca="1">IF(AND($AA70=1,'Endrunde 4'!$O18&lt;&gt;"",'Endrunde 4'!$Q18&lt;&gt;"",ABS('Endrunde 4'!$O18-'Endrunde 4'!$Q18)&gt;1),'Endrunde 4'!$Q18,"")</f>
        <v/>
      </c>
      <c r="AF70" s="747" t="str">
        <f ca="1">IF(AND($AA70=1,'Endrunde 4'!$R18&lt;&gt;"",'Endrunde 4'!$T18&lt;&gt;"",ABS('Endrunde 4'!$R18-'Endrunde 4'!$T18)&gt;1),'Endrunde 4'!$R18,"")</f>
        <v/>
      </c>
      <c r="AG70" s="746" t="str">
        <f ca="1">IF(AND($AA70=1,'Endrunde 4'!$R18&lt;&gt;"",'Endrunde 4'!$T18&lt;&gt;"",ABS('Endrunde 4'!$R18-'Endrunde 4'!$T18)&gt;1),'Endrunde 4'!$T18,"")</f>
        <v/>
      </c>
      <c r="AH70" s="747" t="str">
        <f t="shared" ca="1" si="47"/>
        <v/>
      </c>
      <c r="AI70" s="746" t="str">
        <f t="shared" ca="1" si="48"/>
        <v/>
      </c>
      <c r="AJ70" s="747">
        <f ca="1">IF('Endrunde 4'!$U18="",0,'Endrunde 4'!$U18)</f>
        <v>0</v>
      </c>
      <c r="AK70" s="746">
        <f ca="1">IF('Endrunde 4'!$W18="",0,'Endrunde 4'!$W18)</f>
        <v>0</v>
      </c>
      <c r="AL70" s="747" t="str">
        <f ca="1">IF($AA70=0,"",IF($AJ70&gt;$AK70,Einstellungen!$C$4,IF($AJ70=$AK70,1,0)))</f>
        <v/>
      </c>
      <c r="AM70" s="746" t="str">
        <f ca="1">IF($AA70=0,"",IF($AJ70&lt;$AK70,Einstellungen!$C$4,IF($AJ70=$AK70,1,0)))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'Endrunde 4'!$I19</f>
        <v>1. FC Riedwald</v>
      </c>
      <c r="W71" s="671" t="str">
        <f ca="1">'Endrunde 4'!$K19</f>
        <v>FC Barcelona</v>
      </c>
      <c r="X71" s="671">
        <f ca="1">IF(AND($AA71=1,'Endrunde 4'!$L19&lt;&gt;"",'Endrunde 4'!$N19&lt;&gt;"",ABS('Endrunde 4'!$L19-'Endrunde 4'!$N19)&gt;1),'Endrunde 4'!$L19,"")</f>
        <v>19</v>
      </c>
      <c r="Y71" s="744">
        <f ca="1">IF(AND($AA71=1,'Endrunde 4'!$L19&lt;&gt;"",'Endrunde 4'!$N19&lt;&gt;"",ABS('Endrunde 4'!$L19-'Endrunde 4'!$N19)&gt;1),'Endrunde 4'!$N19,"")</f>
        <v>25</v>
      </c>
      <c r="Z71" s="745" t="str">
        <f t="shared" ca="1" si="46"/>
        <v>1. FC RiedwaldFC Barcelona</v>
      </c>
      <c r="AA71" s="671">
        <f ca="1">IF(AND(V71&lt;&gt;"",W71&lt;&gt;"",V71&lt;&gt;W71,'Endrunde 4'!$U19&lt;&gt;"",'Endrunde 4'!$W19&lt;&gt;""),1,0)</f>
        <v>1</v>
      </c>
      <c r="AB71" s="671" t="str">
        <f ca="1">IF(AA71&gt;0,AH71&amp;Sprache!$E$99&amp;AI71,"")</f>
        <v>44 : 37</v>
      </c>
      <c r="AC71" s="746" t="str">
        <f ca="1">IF(AA71&gt;0,AJ71&amp;Sprache!$E$99&amp;AK71,"")</f>
        <v>1 : 1</v>
      </c>
      <c r="AD71" s="747">
        <f ca="1">IF(AND($AA71=1,'Endrunde 4'!$O19&lt;&gt;"",'Endrunde 4'!$Q19&lt;&gt;"",ABS('Endrunde 4'!$O19-'Endrunde 4'!$Q19)&gt;1),'Endrunde 4'!$O19,"")</f>
        <v>25</v>
      </c>
      <c r="AE71" s="746">
        <f ca="1">IF(AND($AA71=1,'Endrunde 4'!$O19&lt;&gt;"",'Endrunde 4'!$Q19&lt;&gt;"",ABS('Endrunde 4'!$O19-'Endrunde 4'!$Q19)&gt;1),'Endrunde 4'!$Q19,"")</f>
        <v>12</v>
      </c>
      <c r="AF71" s="747" t="str">
        <f ca="1">IF(AND($AA71=1,'Endrunde 4'!$R19&lt;&gt;"",'Endrunde 4'!$T19&lt;&gt;"",ABS('Endrunde 4'!$R19-'Endrunde 4'!$T19)&gt;1),'Endrunde 4'!$R19,"")</f>
        <v/>
      </c>
      <c r="AG71" s="746" t="str">
        <f ca="1">IF(AND($AA71=1,'Endrunde 4'!$R19&lt;&gt;"",'Endrunde 4'!$T19&lt;&gt;"",ABS('Endrunde 4'!$R19-'Endrunde 4'!$T19)&gt;1),'Endrunde 4'!$T19,"")</f>
        <v/>
      </c>
      <c r="AH71" s="747">
        <f t="shared" ca="1" si="47"/>
        <v>44</v>
      </c>
      <c r="AI71" s="746">
        <f t="shared" ca="1" si="48"/>
        <v>37</v>
      </c>
      <c r="AJ71" s="747">
        <f ca="1">IF('Endrunde 4'!$U19="",0,'Endrunde 4'!$U19)</f>
        <v>1</v>
      </c>
      <c r="AK71" s="746">
        <f ca="1">IF('Endrunde 4'!$W19="",0,'Endrunde 4'!$W19)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'Endrunde 4'!$I20</f>
        <v>Eintracht Frankfurt</v>
      </c>
      <c r="W72" s="671" t="str">
        <f ca="1">'Endrunde 4'!$K20</f>
        <v>Maibach 1822 eV</v>
      </c>
      <c r="X72" s="671">
        <f ca="1">IF(AND($AA72=1,'Endrunde 4'!$L20&lt;&gt;"",'Endrunde 4'!$N20&lt;&gt;"",ABS('Endrunde 4'!$L20-'Endrunde 4'!$N20)&gt;1),'Endrunde 4'!$L20,"")</f>
        <v>13</v>
      </c>
      <c r="Y72" s="744">
        <f ca="1">IF(AND($AA72=1,'Endrunde 4'!$L20&lt;&gt;"",'Endrunde 4'!$N20&lt;&gt;"",ABS('Endrunde 4'!$L20-'Endrunde 4'!$N20)&gt;1),'Endrunde 4'!$N20,"")</f>
        <v>25</v>
      </c>
      <c r="Z72" s="745" t="str">
        <f t="shared" ca="1" si="46"/>
        <v>Eintracht FrankfurtMaibach 1822 eV</v>
      </c>
      <c r="AA72" s="671">
        <f ca="1">IF(AND(V72&lt;&gt;"",W72&lt;&gt;"",V72&lt;&gt;W72,'Endrunde 4'!$U20&lt;&gt;"",'Endrunde 4'!$W20&lt;&gt;""),1,0)</f>
        <v>1</v>
      </c>
      <c r="AB72" s="671" t="str">
        <f ca="1">IF(AA72&gt;0,AH72&amp;Sprache!$E$99&amp;AI72,"")</f>
        <v>31 : 50</v>
      </c>
      <c r="AC72" s="746" t="str">
        <f ca="1">IF(AA72&gt;0,AJ72&amp;Sprache!$E$99&amp;AK72,"")</f>
        <v>0 : 2</v>
      </c>
      <c r="AD72" s="747">
        <f ca="1">IF(AND($AA72=1,'Endrunde 4'!$O20&lt;&gt;"",'Endrunde 4'!$Q20&lt;&gt;"",ABS('Endrunde 4'!$O20-'Endrunde 4'!$Q20)&gt;1),'Endrunde 4'!$O20,"")</f>
        <v>18</v>
      </c>
      <c r="AE72" s="746">
        <f ca="1">IF(AND($AA72=1,'Endrunde 4'!$O20&lt;&gt;"",'Endrunde 4'!$Q20&lt;&gt;"",ABS('Endrunde 4'!$O20-'Endrunde 4'!$Q20)&gt;1),'Endrunde 4'!$Q20,"")</f>
        <v>25</v>
      </c>
      <c r="AF72" s="747" t="str">
        <f ca="1">IF(AND($AA72=1,'Endrunde 4'!$R20&lt;&gt;"",'Endrunde 4'!$T20&lt;&gt;"",ABS('Endrunde 4'!$R20-'Endrunde 4'!$T20)&gt;1),'Endrunde 4'!$R20,"")</f>
        <v/>
      </c>
      <c r="AG72" s="746" t="str">
        <f ca="1">IF(AND($AA72=1,'Endrunde 4'!$R20&lt;&gt;"",'Endrunde 4'!$T20&lt;&gt;"",ABS('Endrunde 4'!$R20-'Endrunde 4'!$T20)&gt;1),'Endrunde 4'!$T20,"")</f>
        <v/>
      </c>
      <c r="AH72" s="747">
        <f t="shared" ca="1" si="47"/>
        <v>31</v>
      </c>
      <c r="AI72" s="746">
        <f t="shared" ca="1" si="48"/>
        <v>50</v>
      </c>
      <c r="AJ72" s="747">
        <f ca="1">IF('Endrunde 4'!$U20="",0,'Endrunde 4'!$U20)</f>
        <v>0</v>
      </c>
      <c r="AK72" s="746">
        <f ca="1">IF('Endrunde 4'!$W20="",0,'Endrunde 4'!$W20)</f>
        <v>2</v>
      </c>
      <c r="AL72" s="747">
        <f ca="1">IF($AA72=0,"",IF($AJ72&gt;$AK72,Einstellungen!$C$4,IF($AJ72=$AK72,1,0)))</f>
        <v>0</v>
      </c>
      <c r="AM72" s="746">
        <f ca="1">IF($AA72=0,"",IF($AJ72&lt;$AK72,Einstellungen!$C$4,IF($AJ72=$AK72,1,0)))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'Endrunde 4'!$I21</f>
        <v>Inter Mailand</v>
      </c>
      <c r="W73" s="671" t="str">
        <f ca="1">'Endrunde 4'!$K21</f>
        <v/>
      </c>
      <c r="X73" s="671" t="str">
        <f ca="1">IF(AND($AA73=1,'Endrunde 4'!$L21&lt;&gt;"",'Endrunde 4'!$N21&lt;&gt;"",ABS('Endrunde 4'!$L21-'Endrunde 4'!$N21)&gt;1),'Endrunde 4'!$L21,"")</f>
        <v/>
      </c>
      <c r="Y73" s="744" t="str">
        <f ca="1">IF(AND($AA73=1,'Endrunde 4'!$L21&lt;&gt;"",'Endrunde 4'!$N21&lt;&gt;"",ABS('Endrunde 4'!$L21-'Endrunde 4'!$N21)&gt;1),'Endrunde 4'!$N21,"")</f>
        <v/>
      </c>
      <c r="Z73" s="745" t="str">
        <f t="shared" ca="1" si="46"/>
        <v>Inter Mailand</v>
      </c>
      <c r="AA73" s="671">
        <f ca="1">IF(AND(V73&lt;&gt;"",W73&lt;&gt;"",V73&lt;&gt;W73,'Endrunde 4'!$U21&lt;&gt;"",'Endrunde 4'!$W21&lt;&gt;""),1,0)</f>
        <v>0</v>
      </c>
      <c r="AB73" s="671" t="str">
        <f ca="1">IF(AA73&gt;0,AH73&amp;Sprache!$E$99&amp;AI73,"")</f>
        <v/>
      </c>
      <c r="AC73" s="746" t="str">
        <f ca="1">IF(AA73&gt;0,AJ73&amp;Sprache!$E$99&amp;AK73,"")</f>
        <v/>
      </c>
      <c r="AD73" s="747" t="str">
        <f ca="1">IF(AND($AA73=1,'Endrunde 4'!$O21&lt;&gt;"",'Endrunde 4'!$Q21&lt;&gt;"",ABS('Endrunde 4'!$O21-'Endrunde 4'!$Q21)&gt;1),'Endrunde 4'!$O21,"")</f>
        <v/>
      </c>
      <c r="AE73" s="746" t="str">
        <f ca="1">IF(AND($AA73=1,'Endrunde 4'!$O21&lt;&gt;"",'Endrunde 4'!$Q21&lt;&gt;"",ABS('Endrunde 4'!$O21-'Endrunde 4'!$Q21)&gt;1),'Endrunde 4'!$Q21,"")</f>
        <v/>
      </c>
      <c r="AF73" s="747" t="str">
        <f ca="1">IF(AND($AA73=1,'Endrunde 4'!$R21&lt;&gt;"",'Endrunde 4'!$T21&lt;&gt;"",ABS('Endrunde 4'!$R21-'Endrunde 4'!$T21)&gt;1),'Endrunde 4'!$R21,"")</f>
        <v/>
      </c>
      <c r="AG73" s="746" t="str">
        <f ca="1">IF(AND($AA73=1,'Endrunde 4'!$R21&lt;&gt;"",'Endrunde 4'!$T21&lt;&gt;"",ABS('Endrunde 4'!$R21-'Endrunde 4'!$T21)&gt;1),'Endrunde 4'!$T21,"")</f>
        <v/>
      </c>
      <c r="AH73" s="747" t="str">
        <f t="shared" ca="1" si="47"/>
        <v/>
      </c>
      <c r="AI73" s="746" t="str">
        <f t="shared" ca="1" si="48"/>
        <v/>
      </c>
      <c r="AJ73" s="747">
        <f ca="1">IF('Endrunde 4'!$U21="",0,'Endrunde 4'!$U21)</f>
        <v>0</v>
      </c>
      <c r="AK73" s="746">
        <f ca="1">IF('Endrunde 4'!$W21="",0,'Endrunde 4'!$W21)</f>
        <v>0</v>
      </c>
      <c r="AL73" s="747" t="str">
        <f ca="1">IF($AA73=0,"",IF($AJ73&gt;$AK73,Einstellungen!$C$4,IF($AJ73=$AK73,1,0)))</f>
        <v/>
      </c>
      <c r="AM73" s="746" t="str">
        <f ca="1">IF($AA73=0,"",IF($AJ73&lt;$AK73,Einstellungen!$C$4,IF($AJ73=$AK73,1,0)))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'Endrunde 4'!$I22</f>
        <v>FC Grönlingen</v>
      </c>
      <c r="W74" s="671" t="str">
        <f ca="1">'Endrunde 4'!$K22</f>
        <v>SSV Wildbach</v>
      </c>
      <c r="X74" s="671">
        <f ca="1">IF(AND($AA74=1,'Endrunde 4'!$L22&lt;&gt;"",'Endrunde 4'!$N22&lt;&gt;"",ABS('Endrunde 4'!$L22-'Endrunde 4'!$N22)&gt;1),'Endrunde 4'!$L22,"")</f>
        <v>22</v>
      </c>
      <c r="Y74" s="744">
        <f ca="1">IF(AND($AA74=1,'Endrunde 4'!$L22&lt;&gt;"",'Endrunde 4'!$N22&lt;&gt;"",ABS('Endrunde 4'!$L22-'Endrunde 4'!$N22)&gt;1),'Endrunde 4'!$N22,"")</f>
        <v>25</v>
      </c>
      <c r="Z74" s="745" t="str">
        <f ca="1">V74&amp;W74</f>
        <v>FC GrönlingenSSV Wildbach</v>
      </c>
      <c r="AA74" s="671">
        <f ca="1">IF(AND(V74&lt;&gt;"",W74&lt;&gt;"",V74&lt;&gt;W74,'Endrunde 4'!$U22&lt;&gt;"",'Endrunde 4'!$W22&lt;&gt;""),1,0)</f>
        <v>1</v>
      </c>
      <c r="AB74" s="671" t="str">
        <f ca="1">IF(AA74&gt;0,AH74&amp;Sprache!$E$99&amp;AI74,"")</f>
        <v>47 : 45</v>
      </c>
      <c r="AC74" s="746" t="str">
        <f ca="1">IF(AA74&gt;0,AJ74&amp;Sprache!$E$99&amp;AK74,"")</f>
        <v>1 : 1</v>
      </c>
      <c r="AD74" s="747">
        <f ca="1">IF(AND($AA74=1,'Endrunde 4'!$O22&lt;&gt;"",'Endrunde 4'!$Q22&lt;&gt;"",ABS('Endrunde 4'!$O22-'Endrunde 4'!$Q22)&gt;1),'Endrunde 4'!$O22,"")</f>
        <v>25</v>
      </c>
      <c r="AE74" s="746">
        <f ca="1">IF(AND($AA74=1,'Endrunde 4'!$O22&lt;&gt;"",'Endrunde 4'!$Q22&lt;&gt;"",ABS('Endrunde 4'!$O22-'Endrunde 4'!$Q22)&gt;1),'Endrunde 4'!$Q22,"")</f>
        <v>20</v>
      </c>
      <c r="AF74" s="747" t="str">
        <f ca="1">IF(AND($AA74=1,'Endrunde 4'!$R22&lt;&gt;"",'Endrunde 4'!$T22&lt;&gt;"",ABS('Endrunde 4'!$R22-'Endrunde 4'!$T22)&gt;1),'Endrunde 4'!$R22,"")</f>
        <v/>
      </c>
      <c r="AG74" s="746" t="str">
        <f ca="1">IF(AND($AA74=1,'Endrunde 4'!$R22&lt;&gt;"",'Endrunde 4'!$T22&lt;&gt;"",ABS('Endrunde 4'!$R22-'Endrunde 4'!$T22)&gt;1),'Endrunde 4'!$T22,"")</f>
        <v/>
      </c>
      <c r="AH74" s="747">
        <f t="shared" ca="1" si="47"/>
        <v>47</v>
      </c>
      <c r="AI74" s="746">
        <f t="shared" ca="1" si="48"/>
        <v>45</v>
      </c>
      <c r="AJ74" s="747">
        <f ca="1">IF('Endrunde 4'!$U22="",0,'Endrunde 4'!$U22)</f>
        <v>1</v>
      </c>
      <c r="AK74" s="746">
        <f ca="1">IF('Endrunde 4'!$W22="",0,'Endrunde 4'!$W22)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'Endrunde 4'!$I23</f>
        <v>Mainz 05</v>
      </c>
      <c r="W75" s="671" t="str">
        <f ca="1">'Endrunde 4'!$K23</f>
        <v>Manchester City</v>
      </c>
      <c r="X75" s="671">
        <f ca="1">IF(AND($AA75=1,'Endrunde 4'!$L23&lt;&gt;"",'Endrunde 4'!$N23&lt;&gt;"",ABS('Endrunde 4'!$L23-'Endrunde 4'!$N23)&gt;1),'Endrunde 4'!$L23,"")</f>
        <v>19</v>
      </c>
      <c r="Y75" s="744">
        <f ca="1">IF(AND($AA75=1,'Endrunde 4'!$L23&lt;&gt;"",'Endrunde 4'!$N23&lt;&gt;"",ABS('Endrunde 4'!$L23-'Endrunde 4'!$N23)&gt;1),'Endrunde 4'!$N23,"")</f>
        <v>25</v>
      </c>
      <c r="Z75" s="745" t="str">
        <f t="shared" ref="Z75:Z81" ca="1" si="49">V75&amp;W75</f>
        <v>Mainz 05Manchester City</v>
      </c>
      <c r="AA75" s="671">
        <f ca="1">IF(AND(V75&lt;&gt;"",W75&lt;&gt;"",V75&lt;&gt;W75,'Endrunde 4'!$U23&lt;&gt;"",'Endrunde 4'!$W23&lt;&gt;""),1,0)</f>
        <v>1</v>
      </c>
      <c r="AB75" s="671" t="str">
        <f ca="1">IF(AA75&gt;0,AH75&amp;Sprache!$E$99&amp;AI75,"")</f>
        <v>44 : 44</v>
      </c>
      <c r="AC75" s="746" t="str">
        <f ca="1">IF(AA75&gt;0,AJ75&amp;Sprache!$E$99&amp;AK75,"")</f>
        <v>1 : 1</v>
      </c>
      <c r="AD75" s="747">
        <f ca="1">IF(AND($AA75=1,'Endrunde 4'!$O23&lt;&gt;"",'Endrunde 4'!$Q23&lt;&gt;"",ABS('Endrunde 4'!$O23-'Endrunde 4'!$Q23)&gt;1),'Endrunde 4'!$O23,"")</f>
        <v>25</v>
      </c>
      <c r="AE75" s="746">
        <f ca="1">IF(AND($AA75=1,'Endrunde 4'!$O23&lt;&gt;"",'Endrunde 4'!$Q23&lt;&gt;"",ABS('Endrunde 4'!$O23-'Endrunde 4'!$Q23)&gt;1),'Endrunde 4'!$Q23,"")</f>
        <v>19</v>
      </c>
      <c r="AF75" s="747" t="str">
        <f ca="1">IF(AND($AA75=1,'Endrunde 4'!$R23&lt;&gt;"",'Endrunde 4'!$T23&lt;&gt;"",ABS('Endrunde 4'!$R23-'Endrunde 4'!$T23)&gt;1),'Endrunde 4'!$R23,"")</f>
        <v/>
      </c>
      <c r="AG75" s="746" t="str">
        <f ca="1">IF(AND($AA75=1,'Endrunde 4'!$R23&lt;&gt;"",'Endrunde 4'!$T23&lt;&gt;"",ABS('Endrunde 4'!$R23-'Endrunde 4'!$T23)&gt;1),'Endrunde 4'!$T23,"")</f>
        <v/>
      </c>
      <c r="AH75" s="747">
        <f t="shared" ca="1" si="47"/>
        <v>44</v>
      </c>
      <c r="AI75" s="746">
        <f t="shared" ca="1" si="48"/>
        <v>44</v>
      </c>
      <c r="AJ75" s="747">
        <f ca="1">IF('Endrunde 4'!$U23="",0,'Endrunde 4'!$U23)</f>
        <v>1</v>
      </c>
      <c r="AK75" s="746">
        <f ca="1">IF('Endrunde 4'!$W23="",0,'Endrunde 4'!$W23)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'Endrunde 4'!$I24</f>
        <v/>
      </c>
      <c r="W76" s="671" t="str">
        <f ca="1">'Endrunde 4'!$K24</f>
        <v/>
      </c>
      <c r="X76" s="671" t="str">
        <f ca="1">IF(AND($AA76=1,'Endrunde 4'!$L24&lt;&gt;"",'Endrunde 4'!$N24&lt;&gt;"",ABS('Endrunde 4'!$L24-'Endrunde 4'!$N24)&gt;1),'Endrunde 4'!$L24,"")</f>
        <v/>
      </c>
      <c r="Y76" s="744" t="str">
        <f ca="1">IF(AND($AA76=1,'Endrunde 4'!$L24&lt;&gt;"",'Endrunde 4'!$N24&lt;&gt;"",ABS('Endrunde 4'!$L24-'Endrunde 4'!$N24)&gt;1),'Endrunde 4'!$N24,"")</f>
        <v/>
      </c>
      <c r="Z76" s="745" t="str">
        <f t="shared" ca="1" si="49"/>
        <v/>
      </c>
      <c r="AA76" s="671">
        <f ca="1">IF(AND(V76&lt;&gt;"",W76&lt;&gt;"",V76&lt;&gt;W76,'Endrunde 4'!$U24&lt;&gt;"",'Endrunde 4'!$W24&lt;&gt;""),1,0)</f>
        <v>0</v>
      </c>
      <c r="AB76" s="671" t="str">
        <f ca="1">IF(AA76&gt;0,AH76&amp;Sprache!$E$99&amp;AI76,"")</f>
        <v/>
      </c>
      <c r="AC76" s="746" t="str">
        <f ca="1">IF(AA76&gt;0,AJ76&amp;Sprache!$E$99&amp;AK76,"")</f>
        <v/>
      </c>
      <c r="AD76" s="747" t="str">
        <f ca="1">IF(AND($AA76=1,'Endrunde 4'!$O24&lt;&gt;"",'Endrunde 4'!$Q24&lt;&gt;"",ABS('Endrunde 4'!$O24-'Endrunde 4'!$Q24)&gt;1),'Endrunde 4'!$O24,"")</f>
        <v/>
      </c>
      <c r="AE76" s="746" t="str">
        <f ca="1">IF(AND($AA76=1,'Endrunde 4'!$O24&lt;&gt;"",'Endrunde 4'!$Q24&lt;&gt;"",ABS('Endrunde 4'!$O24-'Endrunde 4'!$Q24)&gt;1),'Endrunde 4'!$Q24,"")</f>
        <v/>
      </c>
      <c r="AF76" s="747" t="str">
        <f ca="1">IF(AND($AA76=1,'Endrunde 4'!$R24&lt;&gt;"",'Endrunde 4'!$T24&lt;&gt;"",ABS('Endrunde 4'!$R24-'Endrunde 4'!$T24)&gt;1),'Endrunde 4'!$R24,"")</f>
        <v/>
      </c>
      <c r="AG76" s="746" t="str">
        <f ca="1">IF(AND($AA76=1,'Endrunde 4'!$R24&lt;&gt;"",'Endrunde 4'!$T24&lt;&gt;"",ABS('Endrunde 4'!$R24-'Endrunde 4'!$T24)&gt;1),'Endrunde 4'!$T24,"")</f>
        <v/>
      </c>
      <c r="AH76" s="747" t="str">
        <f t="shared" ca="1" si="47"/>
        <v/>
      </c>
      <c r="AI76" s="746" t="str">
        <f t="shared" ca="1" si="48"/>
        <v/>
      </c>
      <c r="AJ76" s="747">
        <f ca="1">IF('Endrunde 4'!$U24="",0,'Endrunde 4'!$U24)</f>
        <v>0</v>
      </c>
      <c r="AK76" s="746">
        <f ca="1">IF('Endrunde 4'!$W24="",0,'Endrunde 4'!$W24)</f>
        <v>0</v>
      </c>
      <c r="AL76" s="747" t="str">
        <f ca="1">IF($AA76=0,"",IF($AJ76&gt;$AK76,Einstellungen!$C$4,IF($AJ76=$AK76,1,0)))</f>
        <v/>
      </c>
      <c r="AM76" s="746" t="str">
        <f ca="1">IF($AA76=0,"",IF($AJ76&lt;$AK76,Einstellungen!$C$4,IF($AJ76=$AK76,1,0)))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'Endrunde 4'!$I25</f>
        <v>FC Barcelona</v>
      </c>
      <c r="W77" s="671" t="str">
        <f ca="1">'Endrunde 4'!$K25</f>
        <v>SSV Wildbach</v>
      </c>
      <c r="X77" s="671">
        <f ca="1">IF(AND($AA77=1,'Endrunde 4'!$L25&lt;&gt;"",'Endrunde 4'!$N25&lt;&gt;"",ABS('Endrunde 4'!$L25-'Endrunde 4'!$N25)&gt;1),'Endrunde 4'!$L25,"")</f>
        <v>14</v>
      </c>
      <c r="Y77" s="744">
        <f ca="1">IF(AND($AA77=1,'Endrunde 4'!$L25&lt;&gt;"",'Endrunde 4'!$N25&lt;&gt;"",ABS('Endrunde 4'!$L25-'Endrunde 4'!$N25)&gt;1),'Endrunde 4'!$N25,"")</f>
        <v>25</v>
      </c>
      <c r="Z77" s="745" t="str">
        <f t="shared" ca="1" si="49"/>
        <v>FC BarcelonaSSV Wildbach</v>
      </c>
      <c r="AA77" s="671">
        <f ca="1">IF(AND(V77&lt;&gt;"",W77&lt;&gt;"",V77&lt;&gt;W77,'Endrunde 4'!$U25&lt;&gt;"",'Endrunde 4'!$W25&lt;&gt;""),1,0)</f>
        <v>1</v>
      </c>
      <c r="AB77" s="671" t="str">
        <f ca="1">IF(AA77&gt;0,AH77&amp;Sprache!$E$99&amp;AI77,"")</f>
        <v>39 : 48</v>
      </c>
      <c r="AC77" s="746" t="str">
        <f ca="1">IF(AA77&gt;0,AJ77&amp;Sprache!$E$99&amp;AK77,"")</f>
        <v>1 : 1</v>
      </c>
      <c r="AD77" s="747">
        <f ca="1">IF(AND($AA77=1,'Endrunde 4'!$O25&lt;&gt;"",'Endrunde 4'!$Q25&lt;&gt;"",ABS('Endrunde 4'!$O25-'Endrunde 4'!$Q25)&gt;1),'Endrunde 4'!$O25,"")</f>
        <v>25</v>
      </c>
      <c r="AE77" s="746">
        <f ca="1">IF(AND($AA77=1,'Endrunde 4'!$O25&lt;&gt;"",'Endrunde 4'!$Q25&lt;&gt;"",ABS('Endrunde 4'!$O25-'Endrunde 4'!$Q25)&gt;1),'Endrunde 4'!$Q25,"")</f>
        <v>23</v>
      </c>
      <c r="AF77" s="747" t="str">
        <f ca="1">IF(AND($AA77=1,'Endrunde 4'!$R25&lt;&gt;"",'Endrunde 4'!$T25&lt;&gt;"",ABS('Endrunde 4'!$R25-'Endrunde 4'!$T25)&gt;1),'Endrunde 4'!$R25,"")</f>
        <v/>
      </c>
      <c r="AG77" s="746" t="str">
        <f ca="1">IF(AND($AA77=1,'Endrunde 4'!$R25&lt;&gt;"",'Endrunde 4'!$T25&lt;&gt;"",ABS('Endrunde 4'!$R25-'Endrunde 4'!$T25)&gt;1),'Endrunde 4'!$T25,"")</f>
        <v/>
      </c>
      <c r="AH77" s="747">
        <f t="shared" ca="1" si="47"/>
        <v>39</v>
      </c>
      <c r="AI77" s="746">
        <f t="shared" ca="1" si="48"/>
        <v>48</v>
      </c>
      <c r="AJ77" s="747">
        <f ca="1">IF('Endrunde 4'!$U25="",0,'Endrunde 4'!$U25)</f>
        <v>1</v>
      </c>
      <c r="AK77" s="746">
        <f ca="1">IF('Endrunde 4'!$W25="",0,'Endrunde 4'!$W25)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'Endrunde 4'!$I26</f>
        <v>Maibach 1822 eV</v>
      </c>
      <c r="W78" s="671" t="str">
        <f ca="1">'Endrunde 4'!$K26</f>
        <v>Manchester City</v>
      </c>
      <c r="X78" s="671">
        <f ca="1">IF(AND($AA78=1,'Endrunde 4'!$L26&lt;&gt;"",'Endrunde 4'!$N26&lt;&gt;"",ABS('Endrunde 4'!$L26-'Endrunde 4'!$N26)&gt;1),'Endrunde 4'!$L26,"")</f>
        <v>21</v>
      </c>
      <c r="Y78" s="744">
        <f ca="1">IF(AND($AA78=1,'Endrunde 4'!$L26&lt;&gt;"",'Endrunde 4'!$N26&lt;&gt;"",ABS('Endrunde 4'!$L26-'Endrunde 4'!$N26)&gt;1),'Endrunde 4'!$N26,"")</f>
        <v>25</v>
      </c>
      <c r="Z78" s="745" t="str">
        <f t="shared" ca="1" si="49"/>
        <v>Maibach 1822 eVManchester City</v>
      </c>
      <c r="AA78" s="671">
        <f ca="1">IF(AND(V78&lt;&gt;"",W78&lt;&gt;"",V78&lt;&gt;W78,'Endrunde 4'!$U26&lt;&gt;"",'Endrunde 4'!$W26&lt;&gt;""),1,0)</f>
        <v>1</v>
      </c>
      <c r="AB78" s="671" t="str">
        <f ca="1">IF(AA78&gt;0,AH78&amp;Sprache!$E$99&amp;AI78,"")</f>
        <v>46 : 42</v>
      </c>
      <c r="AC78" s="746" t="str">
        <f ca="1">IF(AA78&gt;0,AJ78&amp;Sprache!$E$99&amp;AK78,"")</f>
        <v>1 : 1</v>
      </c>
      <c r="AD78" s="747">
        <f ca="1">IF(AND($AA78=1,'Endrunde 4'!$O26&lt;&gt;"",'Endrunde 4'!$Q26&lt;&gt;"",ABS('Endrunde 4'!$O26-'Endrunde 4'!$Q26)&gt;1),'Endrunde 4'!$O26,"")</f>
        <v>25</v>
      </c>
      <c r="AE78" s="746">
        <f ca="1">IF(AND($AA78=1,'Endrunde 4'!$O26&lt;&gt;"",'Endrunde 4'!$Q26&lt;&gt;"",ABS('Endrunde 4'!$O26-'Endrunde 4'!$Q26)&gt;1),'Endrunde 4'!$Q26,"")</f>
        <v>17</v>
      </c>
      <c r="AF78" s="747" t="str">
        <f ca="1">IF(AND($AA78=1,'Endrunde 4'!$R26&lt;&gt;"",'Endrunde 4'!$T26&lt;&gt;"",ABS('Endrunde 4'!$R26-'Endrunde 4'!$T26)&gt;1),'Endrunde 4'!$R26,"")</f>
        <v/>
      </c>
      <c r="AG78" s="746" t="str">
        <f ca="1">IF(AND($AA78=1,'Endrunde 4'!$R26&lt;&gt;"",'Endrunde 4'!$T26&lt;&gt;"",ABS('Endrunde 4'!$R26-'Endrunde 4'!$T26)&gt;1),'Endrunde 4'!$T26,"")</f>
        <v/>
      </c>
      <c r="AH78" s="747">
        <f t="shared" ca="1" si="47"/>
        <v>46</v>
      </c>
      <c r="AI78" s="746">
        <f t="shared" ca="1" si="48"/>
        <v>42</v>
      </c>
      <c r="AJ78" s="747">
        <f ca="1">IF('Endrunde 4'!$U26="",0,'Endrunde 4'!$U26)</f>
        <v>1</v>
      </c>
      <c r="AK78" s="746">
        <f ca="1">IF('Endrunde 4'!$W26="",0,'Endrunde 4'!$W26)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'Endrunde 4'!$I27</f>
        <v>VFB Essenheim</v>
      </c>
      <c r="W79" s="671" t="str">
        <f ca="1">'Endrunde 4'!$K27</f>
        <v>Inter Mailand</v>
      </c>
      <c r="X79" s="671">
        <f ca="1">IF(AND($AA79=1,'Endrunde 4'!$L27&lt;&gt;"",'Endrunde 4'!$N27&lt;&gt;"",ABS('Endrunde 4'!$L27-'Endrunde 4'!$N27)&gt;1),'Endrunde 4'!$L27,"")</f>
        <v>20</v>
      </c>
      <c r="Y79" s="744">
        <f ca="1">IF(AND($AA79=1,'Endrunde 4'!$L27&lt;&gt;"",'Endrunde 4'!$N27&lt;&gt;"",ABS('Endrunde 4'!$L27-'Endrunde 4'!$N27)&gt;1),'Endrunde 4'!$N27,"")</f>
        <v>25</v>
      </c>
      <c r="Z79" s="745" t="str">
        <f t="shared" ca="1" si="49"/>
        <v>VFB EssenheimInter Mailand</v>
      </c>
      <c r="AA79" s="671">
        <f ca="1">IF(AND(V79&lt;&gt;"",W79&lt;&gt;"",V79&lt;&gt;W79,'Endrunde 4'!$U27&lt;&gt;"",'Endrunde 4'!$W27&lt;&gt;""),1,0)</f>
        <v>1</v>
      </c>
      <c r="AB79" s="671" t="str">
        <f ca="1">IF(AA79&gt;0,AH79&amp;Sprache!$E$99&amp;AI79,"")</f>
        <v>70 : 65</v>
      </c>
      <c r="AC79" s="746" t="str">
        <f ca="1">IF(AA79&gt;0,AJ79&amp;Sprache!$E$99&amp;AK79,"")</f>
        <v>2 : 1</v>
      </c>
      <c r="AD79" s="747">
        <f ca="1">IF(AND($AA79=1,'Endrunde 4'!$O27&lt;&gt;"",'Endrunde 4'!$Q27&lt;&gt;"",ABS('Endrunde 4'!$O27-'Endrunde 4'!$Q27)&gt;1),'Endrunde 4'!$O27,"")</f>
        <v>25</v>
      </c>
      <c r="AE79" s="746">
        <f ca="1">IF(AND($AA79=1,'Endrunde 4'!$O27&lt;&gt;"",'Endrunde 4'!$Q27&lt;&gt;"",ABS('Endrunde 4'!$O27-'Endrunde 4'!$Q27)&gt;1),'Endrunde 4'!$Q27,"")</f>
        <v>18</v>
      </c>
      <c r="AF79" s="747">
        <f ca="1">IF(AND($AA79=1,'Endrunde 4'!$R27&lt;&gt;"",'Endrunde 4'!$T27&lt;&gt;"",ABS('Endrunde 4'!$R27-'Endrunde 4'!$T27)&gt;1),'Endrunde 4'!$R27,"")</f>
        <v>25</v>
      </c>
      <c r="AG79" s="746">
        <f ca="1">IF(AND($AA79=1,'Endrunde 4'!$R27&lt;&gt;"",'Endrunde 4'!$T27&lt;&gt;"",ABS('Endrunde 4'!$R27-'Endrunde 4'!$T27)&gt;1),'Endrunde 4'!$T27,"")</f>
        <v>22</v>
      </c>
      <c r="AH79" s="747">
        <f t="shared" ca="1" si="47"/>
        <v>70</v>
      </c>
      <c r="AI79" s="746">
        <f t="shared" ca="1" si="48"/>
        <v>65</v>
      </c>
      <c r="AJ79" s="747">
        <f ca="1">IF('Endrunde 4'!$U27="",0,'Endrunde 4'!$U27)</f>
        <v>2</v>
      </c>
      <c r="AK79" s="746">
        <f ca="1">IF('Endrunde 4'!$W27="",0,'Endrunde 4'!$W27)</f>
        <v>1</v>
      </c>
      <c r="AL79" s="747">
        <f ca="1">IF($AA79=0,"",IF($AJ79&gt;$AK79,Einstellungen!$C$4,IF($AJ79=$AK79,1,0)))</f>
        <v>2</v>
      </c>
      <c r="AM79" s="746">
        <f ca="1">IF($AA79=0,"",IF($AJ79&lt;$AK79,Einstellungen!$C$4,IF($AJ79=$AK79,1,0)))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'Endrunde 4'!$I28</f>
        <v>1. FC Riedwald</v>
      </c>
      <c r="W80" s="671" t="str">
        <f ca="1">'Endrunde 4'!$K28</f>
        <v>FC Grönlingen</v>
      </c>
      <c r="X80" s="671">
        <f ca="1">IF(AND($AA80=1,'Endrunde 4'!$L28&lt;&gt;"",'Endrunde 4'!$N28&lt;&gt;"",ABS('Endrunde 4'!$L28-'Endrunde 4'!$N28)&gt;1),'Endrunde 4'!$L28,"")</f>
        <v>25</v>
      </c>
      <c r="Y80" s="744">
        <f ca="1">IF(AND($AA80=1,'Endrunde 4'!$L28&lt;&gt;"",'Endrunde 4'!$N28&lt;&gt;"",ABS('Endrunde 4'!$L28-'Endrunde 4'!$N28)&gt;1),'Endrunde 4'!$N28,"")</f>
        <v>20</v>
      </c>
      <c r="Z80" s="745" t="str">
        <f t="shared" ca="1" si="49"/>
        <v>1. FC RiedwaldFC Grönlingen</v>
      </c>
      <c r="AA80" s="671">
        <f ca="1">IF(AND(V80&lt;&gt;"",W80&lt;&gt;"",V80&lt;&gt;W80,'Endrunde 4'!$U28&lt;&gt;"",'Endrunde 4'!$W28&lt;&gt;""),1,0)</f>
        <v>1</v>
      </c>
      <c r="AB80" s="671" t="str">
        <f ca="1">IF(AA80&gt;0,AH80&amp;Sprache!$E$99&amp;AI80,"")</f>
        <v>50 : 39</v>
      </c>
      <c r="AC80" s="746" t="str">
        <f ca="1">IF(AA80&gt;0,AJ80&amp;Sprache!$E$99&amp;AK80,"")</f>
        <v>2 : 0</v>
      </c>
      <c r="AD80" s="747">
        <f ca="1">IF(AND($AA80=1,'Endrunde 4'!$O28&lt;&gt;"",'Endrunde 4'!$Q28&lt;&gt;"",ABS('Endrunde 4'!$O28-'Endrunde 4'!$Q28)&gt;1),'Endrunde 4'!$O28,"")</f>
        <v>25</v>
      </c>
      <c r="AE80" s="746">
        <f ca="1">IF(AND($AA80=1,'Endrunde 4'!$O28&lt;&gt;"",'Endrunde 4'!$Q28&lt;&gt;"",ABS('Endrunde 4'!$O28-'Endrunde 4'!$Q28)&gt;1),'Endrunde 4'!$Q28,"")</f>
        <v>19</v>
      </c>
      <c r="AF80" s="747" t="str">
        <f ca="1">IF(AND($AA80=1,'Endrunde 4'!$R28&lt;&gt;"",'Endrunde 4'!$T28&lt;&gt;"",ABS('Endrunde 4'!$R28-'Endrunde 4'!$T28)&gt;1),'Endrunde 4'!$R28,"")</f>
        <v/>
      </c>
      <c r="AG80" s="746" t="str">
        <f ca="1">IF(AND($AA80=1,'Endrunde 4'!$R28&lt;&gt;"",'Endrunde 4'!$T28&lt;&gt;"",ABS('Endrunde 4'!$R28-'Endrunde 4'!$T28)&gt;1),'Endrunde 4'!$T28,"")</f>
        <v/>
      </c>
      <c r="AH80" s="747">
        <f t="shared" ca="1" si="47"/>
        <v>50</v>
      </c>
      <c r="AI80" s="746">
        <f t="shared" ca="1" si="48"/>
        <v>39</v>
      </c>
      <c r="AJ80" s="747">
        <f ca="1">IF('Endrunde 4'!$U28="",0,'Endrunde 4'!$U28)</f>
        <v>2</v>
      </c>
      <c r="AK80" s="746">
        <f ca="1">IF('Endrunde 4'!$W28="",0,'Endrunde 4'!$W28)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'Endrunde 4'!$I29</f>
        <v>Eintracht Frankfurt</v>
      </c>
      <c r="W81" s="671" t="str">
        <f ca="1">'Endrunde 4'!$K29</f>
        <v>Mainz 05</v>
      </c>
      <c r="X81" s="671">
        <f ca="1">IF(AND($AA81=1,'Endrunde 4'!$L29&lt;&gt;"",'Endrunde 4'!$N29&lt;&gt;"",ABS('Endrunde 4'!$L29-'Endrunde 4'!$N29)&gt;1),'Endrunde 4'!$L29,"")</f>
        <v>25</v>
      </c>
      <c r="Y81" s="744">
        <f ca="1">IF(AND($AA81=1,'Endrunde 4'!$L29&lt;&gt;"",'Endrunde 4'!$N29&lt;&gt;"",ABS('Endrunde 4'!$L29-'Endrunde 4'!$N29)&gt;1),'Endrunde 4'!$N29,"")</f>
        <v>13</v>
      </c>
      <c r="Z81" s="745" t="str">
        <f t="shared" ca="1" si="49"/>
        <v>Eintracht FrankfurtMainz 05</v>
      </c>
      <c r="AA81" s="671">
        <f ca="1">IF(AND(V81&lt;&gt;"",W81&lt;&gt;"",V81&lt;&gt;W81,'Endrunde 4'!$U29&lt;&gt;"",'Endrunde 4'!$W29&lt;&gt;""),1,0)</f>
        <v>1</v>
      </c>
      <c r="AB81" s="671" t="str">
        <f ca="1">IF(AA81&gt;0,AH81&amp;Sprache!$E$99&amp;AI81,"")</f>
        <v>50 : 33</v>
      </c>
      <c r="AC81" s="746" t="str">
        <f ca="1">IF(AA81&gt;0,AJ81&amp;Sprache!$E$99&amp;AK81,"")</f>
        <v>2 : 0</v>
      </c>
      <c r="AD81" s="747">
        <f ca="1">IF(AND($AA81=1,'Endrunde 4'!$O29&lt;&gt;"",'Endrunde 4'!$Q29&lt;&gt;"",ABS('Endrunde 4'!$O29-'Endrunde 4'!$Q29)&gt;1),'Endrunde 4'!$O29,"")</f>
        <v>25</v>
      </c>
      <c r="AE81" s="746">
        <f ca="1">IF(AND($AA81=1,'Endrunde 4'!$O29&lt;&gt;"",'Endrunde 4'!$Q29&lt;&gt;"",ABS('Endrunde 4'!$O29-'Endrunde 4'!$Q29)&gt;1),'Endrunde 4'!$Q29,"")</f>
        <v>20</v>
      </c>
      <c r="AF81" s="747" t="str">
        <f ca="1">IF(AND($AA81=1,'Endrunde 4'!$R29&lt;&gt;"",'Endrunde 4'!$T29&lt;&gt;"",ABS('Endrunde 4'!$R29-'Endrunde 4'!$T29)&gt;1),'Endrunde 4'!$R29,"")</f>
        <v/>
      </c>
      <c r="AG81" s="746" t="str">
        <f ca="1">IF(AND($AA81=1,'Endrunde 4'!$R29&lt;&gt;"",'Endrunde 4'!$T29&lt;&gt;"",ABS('Endrunde 4'!$R29-'Endrunde 4'!$T29)&gt;1),'Endrunde 4'!$T29,"")</f>
        <v/>
      </c>
      <c r="AH81" s="747">
        <f t="shared" ca="1" si="47"/>
        <v>50</v>
      </c>
      <c r="AI81" s="746">
        <f t="shared" ca="1" si="48"/>
        <v>33</v>
      </c>
      <c r="AJ81" s="747">
        <f ca="1">IF('Endrunde 4'!$U29="",0,'Endrunde 4'!$U29)</f>
        <v>2</v>
      </c>
      <c r="AK81" s="746">
        <f ca="1">IF('Endrunde 4'!$W29="",0,'Endrunde 4'!$W29)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IF(AA64&gt;0,AI64&amp;Sprache!$E$99&amp;AH64,"")</f>
        <v/>
      </c>
      <c r="AC136" s="770" t="str">
        <f ca="1">IF(AA64&gt;0,AK64&amp;Sprache!$E$99&amp;AJ64,"")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IF(AA65&gt;0,AI65&amp;Sprache!$E$99&amp;AH65,"")</f>
        <v>45 : 42</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IF(AA66&gt;0,AI66&amp;Sprache!$E$99&amp;AH66,"")</f>
        <v>50 : 35</v>
      </c>
      <c r="AC138" s="773" t="str">
        <f ca="1">IF(AA66&gt;0,AK66&amp;Sprache!$E$99&amp;AJ66,"")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IF(AA67&gt;0,AI67&amp;Sprache!$E$99&amp;AH67,"")</f>
        <v/>
      </c>
      <c r="AC139" s="773" t="str">
        <f ca="1">IF(AA67&gt;0,AK67&amp;Sprache!$E$99&amp;AJ67,"")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IF(AA70&gt;0,AI70&amp;Sprache!$E$99&amp;AH70,"")</f>
        <v/>
      </c>
      <c r="AC142" s="773" t="str">
        <f ca="1">IF(AA70&gt;0,AK70&amp;Sprache!$E$99&amp;AJ70,"")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IF(AA72&gt;0,AI72&amp;Sprache!$E$99&amp;AH72,"")</f>
        <v>50 : 31</v>
      </c>
      <c r="AC144" s="773" t="str">
        <f ca="1">IF(AA72&gt;0,AK72&amp;Sprache!$E$99&amp;AJ72,"")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IF(AA73&gt;0,AI73&amp;Sprache!$E$99&amp;AH73,"")</f>
        <v/>
      </c>
      <c r="AC145" s="773" t="str">
        <f ca="1">IF(AA73&gt;0,AK73&amp;Sprache!$E$99&amp;AJ73,"")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IF(AA76&gt;0,AI76&amp;Sprache!$E$99&amp;AH76,"")</f>
        <v/>
      </c>
      <c r="AC148" s="773" t="str">
        <f ca="1">IF(AA76&gt;0,AK76&amp;Sprache!$E$99&amp;AJ76,"")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IF(AA79&gt;0,AI79&amp;Sprache!$E$99&amp;AH79,"")</f>
        <v>65 : 70</v>
      </c>
      <c r="AC151" s="773" t="str">
        <f ca="1">IF(AA79&gt;0,AK79&amp;Sprache!$E$99&amp;AJ79,"")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IF(AA80&gt;0,AI80&amp;Sprache!$E$99&amp;AH80,"")</f>
        <v>39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IF(AA81&gt;0,AI81&amp;Sprache!$E$99&amp;AH81,"")</f>
        <v>33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354">
        <f ca="1">COUNTIF($C$3:$C$62,"")</f>
        <v>0</v>
      </c>
      <c r="F2" s="354">
        <f t="array" aca="1" ref="F2" ca="1">SUMPRODUCT(($C$3:$C$62&lt;&gt;"")/($D$3:$D$62+($C$3:$C$62="")))</f>
        <v>60</v>
      </c>
      <c r="G2" s="355" t="str">
        <f ca="1">IF(E2+F2&lt;60,"FEHLER","okay")</f>
        <v>okay</v>
      </c>
    </row>
    <row r="3" spans="2:7" ht="13.5" thickTop="1" x14ac:dyDescent="0.2">
      <c r="B3" s="99">
        <v>1</v>
      </c>
      <c r="C3" t="str">
        <f ca="1">IF(OR(Planung!$L6="",Planung!$N6=""),"Z"&amp;ROW($M6),Planung!$I6&amp;Planung!$F6)</f>
        <v>A50,375</v>
      </c>
      <c r="D3" s="99">
        <f t="array" aca="1" ref="D3:D62" ca="1">COUNTIF($C$3:$C$62,$C$3:$C$62)</f>
        <v>1</v>
      </c>
      <c r="E3" s="99" t="e">
        <f ca="1">IF($F$8&gt;30,$F$8-30,$F$8)</f>
        <v>#NUM!</v>
      </c>
      <c r="F3" s="343" t="s">
        <v>266</v>
      </c>
    </row>
    <row r="4" spans="2:7" x14ac:dyDescent="0.2">
      <c r="B4" s="99">
        <v>2</v>
      </c>
      <c r="C4" t="str">
        <f ca="1">IF(OR(Planung!$L7="",Planung!$N7=""),"Z"&amp;ROW($M7),Planung!$I7&amp;Planung!$F7)</f>
        <v>B50,375</v>
      </c>
      <c r="D4" s="99">
        <f ca="1"/>
        <v>1</v>
      </c>
      <c r="E4" s="99" t="e">
        <f ca="1">IF($F$9&gt;30,$F$9-30,$F$9)</f>
        <v>#NUM!</v>
      </c>
      <c r="F4" s="343" t="s">
        <v>267</v>
      </c>
    </row>
    <row r="5" spans="2:7" x14ac:dyDescent="0.2">
      <c r="B5" s="99">
        <v>3</v>
      </c>
      <c r="C5" t="str">
        <f ca="1">IF(OR(Planung!$L8="",Planung!$N8=""),"Z"&amp;ROW($M8),Planung!$I8&amp;Planung!$F8)</f>
        <v>A30,375</v>
      </c>
      <c r="D5" s="99">
        <f ca="1"/>
        <v>1</v>
      </c>
      <c r="E5" s="343" t="str">
        <f t="array" aca="1" ref="E5" ca="1">VLOOKUP(MATCH($E$7,$D$3:$D$62,0),$B$3:$C$62,2,0)</f>
        <v>A50,375</v>
      </c>
      <c r="F5" s="381" t="s">
        <v>268</v>
      </c>
    </row>
    <row r="6" spans="2:7" ht="13.5" thickBot="1" x14ac:dyDescent="0.25">
      <c r="B6" s="99">
        <v>4</v>
      </c>
      <c r="C6" t="str">
        <f ca="1">IF(OR(Planung!$L9="",Planung!$N9=""),"Z"&amp;ROW($M9),Planung!$I9&amp;Planung!$F9)</f>
        <v>B30,375</v>
      </c>
      <c r="D6" s="99">
        <f ca="1"/>
        <v>1</v>
      </c>
      <c r="E6" s="99" t="str">
        <f ca="1">LEFT($E$5,2)</f>
        <v>A5</v>
      </c>
      <c r="F6" s="99"/>
    </row>
    <row r="7" spans="2:7" ht="13.5" thickBot="1" x14ac:dyDescent="0.25">
      <c r="B7" s="99">
        <v>5</v>
      </c>
      <c r="C7" t="str">
        <f ca="1">IF(OR(Planung!$L10="",Planung!$N10=""),"Z"&amp;ROW($M10),Planung!$I10&amp;Planung!$F10)</f>
        <v>A50,399305555555556</v>
      </c>
      <c r="D7" s="99">
        <f ca="1"/>
        <v>1</v>
      </c>
      <c r="E7" s="399">
        <f ca="1">MAX($D$3:$D$62)</f>
        <v>1</v>
      </c>
    </row>
    <row r="8" spans="2:7" x14ac:dyDescent="0.2">
      <c r="B8" s="99">
        <v>6</v>
      </c>
      <c r="C8" t="str">
        <f ca="1">IF(OR(Planung!$L11="",Planung!$N11=""),"Z"&amp;ROW($M11),Planung!$I11&amp;Planung!$F11)</f>
        <v>B50,399305555555556</v>
      </c>
      <c r="D8" s="99">
        <f ca="1"/>
        <v>1</v>
      </c>
      <c r="E8" s="99">
        <f t="array" aca="1" ref="E8" ca="1">MATCH($E$7,$D$3:$D$62,0)</f>
        <v>1</v>
      </c>
      <c r="F8" s="99" t="e">
        <f ca="1">IF($E$8&lt;$E$9,$E$8,$E$9)</f>
        <v>#NUM!</v>
      </c>
    </row>
    <row r="9" spans="2:7" x14ac:dyDescent="0.2">
      <c r="B9" s="99">
        <v>7</v>
      </c>
      <c r="C9" t="str">
        <f ca="1">IF(OR(Planung!$L12="",Planung!$N12=""),"Z"&amp;ROW($M12),Planung!$I12&amp;Planung!$F12)</f>
        <v>A20,399305555555556</v>
      </c>
      <c r="D9" s="99">
        <f ca="1"/>
        <v>1</v>
      </c>
      <c r="E9" s="99" t="e">
        <f t="array" aca="1" ref="E9" ca="1">INDEX($B$3:$B$62,SMALL(IF($E$5=$C$3:$C$62,ROW($C$3:$C$62)-ROW($C$3)+1),2))</f>
        <v>#NUM!</v>
      </c>
      <c r="F9" s="99" t="e">
        <f ca="1">IF($E$8&gt;$E$9,$E$8,$E$9)</f>
        <v>#NUM!</v>
      </c>
    </row>
    <row r="10" spans="2:7" x14ac:dyDescent="0.2">
      <c r="B10" s="99">
        <v>8</v>
      </c>
      <c r="C10" t="str">
        <f ca="1">IF(OR(Planung!$L13="",Planung!$N13=""),"Z"&amp;ROW($M13),Planung!$I13&amp;Planung!$F13)</f>
        <v>B20,399305555555556</v>
      </c>
      <c r="D10" s="99">
        <f ca="1"/>
        <v>1</v>
      </c>
    </row>
    <row r="11" spans="2:7" x14ac:dyDescent="0.2">
      <c r="B11" s="99">
        <v>9</v>
      </c>
      <c r="C11" t="str">
        <f ca="1">IF(OR(Planung!$L14="",Planung!$N14=""),"Z"&amp;ROW($M14),Planung!$I14&amp;Planung!$F14)</f>
        <v>A10,423611111111111</v>
      </c>
      <c r="D11" s="99">
        <f ca="1"/>
        <v>1</v>
      </c>
    </row>
    <row r="12" spans="2:7" x14ac:dyDescent="0.2">
      <c r="B12" s="99">
        <v>10</v>
      </c>
      <c r="C12" t="str">
        <f ca="1">IF(OR(Planung!$L15="",Planung!$N15=""),"Z"&amp;ROW($M15),Planung!$I15&amp;Planung!$F15)</f>
        <v>B10,423611111111111</v>
      </c>
      <c r="D12" s="99">
        <f ca="1"/>
        <v>1</v>
      </c>
    </row>
    <row r="13" spans="2:7" x14ac:dyDescent="0.2">
      <c r="B13" s="99">
        <v>11</v>
      </c>
      <c r="C13" t="str">
        <f ca="1">IF(OR(Planung!$L16="",Planung!$N16=""),"Z"&amp;ROW($M16),Planung!$I16&amp;Planung!$F16)</f>
        <v>A30,423611111111111</v>
      </c>
      <c r="D13" s="99">
        <f ca="1"/>
        <v>1</v>
      </c>
    </row>
    <row r="14" spans="2:7" x14ac:dyDescent="0.2">
      <c r="B14" s="99">
        <v>12</v>
      </c>
      <c r="C14" t="str">
        <f ca="1">IF(OR(Planung!$L17="",Planung!$N17=""),"Z"&amp;ROW($M17),Planung!$I17&amp;Planung!$F17)</f>
        <v>B30,423611111111111</v>
      </c>
      <c r="D14" s="99">
        <f ca="1"/>
        <v>1</v>
      </c>
    </row>
    <row r="15" spans="2:7" x14ac:dyDescent="0.2">
      <c r="B15" s="99">
        <v>13</v>
      </c>
      <c r="C15" t="str">
        <f ca="1">IF(OR(Planung!$L18="",Planung!$N18=""),"Z"&amp;ROW($M18),Planung!$I18&amp;Planung!$F18)</f>
        <v>A20,447916666666667</v>
      </c>
      <c r="D15" s="99">
        <f ca="1"/>
        <v>1</v>
      </c>
    </row>
    <row r="16" spans="2:7" x14ac:dyDescent="0.2">
      <c r="B16" s="99">
        <v>14</v>
      </c>
      <c r="C16" t="str">
        <f ca="1">IF(OR(Planung!$L19="",Planung!$N19=""),"Z"&amp;ROW($M19),Planung!$I19&amp;Planung!$F19)</f>
        <v>B20,447916666666667</v>
      </c>
      <c r="D16" s="99">
        <f ca="1"/>
        <v>1</v>
      </c>
    </row>
    <row r="17" spans="1:7" x14ac:dyDescent="0.2">
      <c r="B17" s="99">
        <v>15</v>
      </c>
      <c r="C17" t="str">
        <f ca="1">IF(OR(Planung!$L20="",Planung!$N20=""),"Z"&amp;ROW($M20),Planung!$I20&amp;Planung!$F20)</f>
        <v>A30,447916666666667</v>
      </c>
      <c r="D17" s="99">
        <f ca="1"/>
        <v>1</v>
      </c>
    </row>
    <row r="18" spans="1:7" x14ac:dyDescent="0.2">
      <c r="B18" s="99">
        <v>16</v>
      </c>
      <c r="C18" t="str">
        <f ca="1">IF(OR(Planung!$L21="",Planung!$N21=""),"Z"&amp;ROW($M21),Planung!$I21&amp;Planung!$F21)</f>
        <v>B30,447916666666667</v>
      </c>
      <c r="D18" s="99">
        <f ca="1"/>
        <v>1</v>
      </c>
    </row>
    <row r="19" spans="1:7" x14ac:dyDescent="0.2">
      <c r="B19" s="99">
        <v>17</v>
      </c>
      <c r="C19" t="str">
        <f ca="1">IF(OR(Planung!$L22="",Planung!$N22=""),"Z"&amp;ROW($M22),Planung!$I22&amp;Planung!$F22)</f>
        <v>A40,472222222222222</v>
      </c>
      <c r="D19" s="99">
        <f ca="1"/>
        <v>1</v>
      </c>
    </row>
    <row r="20" spans="1:7" x14ac:dyDescent="0.2">
      <c r="B20" s="99">
        <v>18</v>
      </c>
      <c r="C20" t="str">
        <f ca="1">IF(OR(Planung!$L23="",Planung!$N23=""),"Z"&amp;ROW($M23),Planung!$I23&amp;Planung!$F23)</f>
        <v>B40,472222222222222</v>
      </c>
      <c r="D20" s="99">
        <f ca="1"/>
        <v>1</v>
      </c>
    </row>
    <row r="21" spans="1:7" x14ac:dyDescent="0.2">
      <c r="B21" s="99">
        <v>19</v>
      </c>
      <c r="C21" t="str">
        <f ca="1">IF(OR(Planung!$L24="",Planung!$N24=""),"Z"&amp;ROW($M24),Planung!$I24&amp;Planung!$F24)</f>
        <v>A10,472222222222222</v>
      </c>
      <c r="D21" s="99">
        <f ca="1"/>
        <v>1</v>
      </c>
      <c r="G21" s="869" t="s">
        <v>237</v>
      </c>
    </row>
    <row r="22" spans="1:7" x14ac:dyDescent="0.2">
      <c r="B22" s="99">
        <v>20</v>
      </c>
      <c r="C22" t="str">
        <f ca="1">IF(OR(Planung!$L25="",Planung!$N25=""),"Z"&amp;ROW($M25),Planung!$I25&amp;Planung!$F25)</f>
        <v>B10,472222222222222</v>
      </c>
      <c r="D22" s="99">
        <f ca="1"/>
        <v>1</v>
      </c>
      <c r="G22" s="869"/>
    </row>
    <row r="23" spans="1:7" x14ac:dyDescent="0.2">
      <c r="B23" s="99">
        <v>21</v>
      </c>
      <c r="C23" t="str">
        <f ca="1">IF(OR(Planung!$L26="",Planung!$N26=""),"Z"&amp;ROW($M26),Planung!$I26&amp;Planung!$F26)</f>
        <v>Z26</v>
      </c>
      <c r="D23" s="99">
        <f ca="1"/>
        <v>1</v>
      </c>
      <c r="G23" s="869" t="s">
        <v>238</v>
      </c>
    </row>
    <row r="24" spans="1:7" x14ac:dyDescent="0.2">
      <c r="B24" s="99">
        <v>22</v>
      </c>
      <c r="C24" t="str">
        <f ca="1">IF(OR(Planung!$L27="",Planung!$N27=""),"Z"&amp;ROW($M27),Planung!$I27&amp;Planung!$F27)</f>
        <v>Z27</v>
      </c>
      <c r="D24" s="99">
        <f ca="1"/>
        <v>1</v>
      </c>
      <c r="G24" s="869"/>
    </row>
    <row r="25" spans="1:7" x14ac:dyDescent="0.2">
      <c r="B25" s="99">
        <v>23</v>
      </c>
      <c r="C25" t="str">
        <f ca="1">IF(OR(Planung!$L28="",Planung!$N28=""),"Z"&amp;ROW($M28),Planung!$I28&amp;Planung!$F28)</f>
        <v>Z28</v>
      </c>
      <c r="D25" s="99">
        <f ca="1"/>
        <v>1</v>
      </c>
      <c r="G25" s="869" t="s">
        <v>239</v>
      </c>
    </row>
    <row r="26" spans="1:7" x14ac:dyDescent="0.2">
      <c r="B26" s="99">
        <v>24</v>
      </c>
      <c r="C26" t="str">
        <f ca="1">IF(OR(Planung!$L29="",Planung!$N29=""),"Z"&amp;ROW($M29),Planung!$I29&amp;Planung!$F29)</f>
        <v>Z29</v>
      </c>
      <c r="D26" s="99">
        <f ca="1"/>
        <v>1</v>
      </c>
      <c r="G26" s="869"/>
    </row>
    <row r="27" spans="1:7" x14ac:dyDescent="0.2">
      <c r="B27" s="99">
        <v>25</v>
      </c>
      <c r="C27" t="str">
        <f ca="1">IF(OR(Planung!$L30="",Planung!$N30=""),"Z"&amp;ROW($M30),Planung!$I30&amp;Planung!$F30)</f>
        <v>Z30</v>
      </c>
      <c r="D27" s="99">
        <f ca="1"/>
        <v>1</v>
      </c>
      <c r="G27" s="869" t="s">
        <v>240</v>
      </c>
    </row>
    <row r="28" spans="1:7" x14ac:dyDescent="0.2">
      <c r="B28" s="99">
        <v>26</v>
      </c>
      <c r="C28" t="str">
        <f ca="1">IF(OR(Planung!$L31="",Planung!$N31=""),"Z"&amp;ROW($M31),Planung!$I31&amp;Planung!$F31)</f>
        <v>Z31</v>
      </c>
      <c r="D28" s="99">
        <f ca="1"/>
        <v>1</v>
      </c>
      <c r="G28" s="869"/>
    </row>
    <row r="29" spans="1:7" x14ac:dyDescent="0.2">
      <c r="B29" s="99">
        <v>27</v>
      </c>
      <c r="C29" t="str">
        <f ca="1">IF(OR(Planung!$L32="",Planung!$N32=""),"Z"&amp;ROW($M32),Planung!$I32&amp;Planung!$F32)</f>
        <v>Z32</v>
      </c>
      <c r="D29" s="99">
        <f ca="1"/>
        <v>1</v>
      </c>
      <c r="G29" s="869" t="s">
        <v>311</v>
      </c>
    </row>
    <row r="30" spans="1:7" x14ac:dyDescent="0.2">
      <c r="B30" s="99">
        <v>28</v>
      </c>
      <c r="C30" t="str">
        <f ca="1">IF(OR(Planung!$L33="",Planung!$N33=""),"Z"&amp;ROW($M33),Planung!$I33&amp;Planung!$F33)</f>
        <v>Z33</v>
      </c>
      <c r="D30" s="99">
        <f ca="1"/>
        <v>1</v>
      </c>
      <c r="G30" s="869"/>
    </row>
    <row r="31" spans="1:7" x14ac:dyDescent="0.2">
      <c r="B31" s="99">
        <v>29</v>
      </c>
      <c r="C31" t="str">
        <f ca="1">IF(OR(Planung!$L34="",Planung!$N34=""),"Z"&amp;ROW($M34),Planung!$I34&amp;Planung!$F34)</f>
        <v>Z34</v>
      </c>
      <c r="D31" s="99">
        <f ca="1"/>
        <v>1</v>
      </c>
      <c r="G31" s="99"/>
    </row>
    <row r="32" spans="1:7" ht="13.5" thickBot="1" x14ac:dyDescent="0.25">
      <c r="A32" s="395"/>
      <c r="B32" s="396">
        <v>30</v>
      </c>
      <c r="C32" s="395" t="str">
        <f ca="1">IF(OR(Planung!$L35="",Planung!$N35=""),"Z"&amp;ROW($M35),Planung!$I35&amp;Planung!$F35)</f>
        <v>Z35</v>
      </c>
      <c r="D32" s="99">
        <f ca="1"/>
        <v>1</v>
      </c>
      <c r="G32" s="99"/>
    </row>
    <row r="33" spans="1:7" x14ac:dyDescent="0.2">
      <c r="A33" s="99"/>
      <c r="B33" s="99">
        <v>31</v>
      </c>
      <c r="C33" t="str">
        <f ca="1">IF(OR(Planung!$L6="",Planung!$N6=""),"ZZ"&amp;ROW($M6)+45,Planung!$K6&amp;Planung!$F6)</f>
        <v>A20,375</v>
      </c>
      <c r="D33" s="99">
        <f ca="1"/>
        <v>1</v>
      </c>
      <c r="G33" s="869" t="s">
        <v>241</v>
      </c>
    </row>
    <row r="34" spans="1:7" x14ac:dyDescent="0.2">
      <c r="A34" s="99"/>
      <c r="B34" s="99">
        <v>32</v>
      </c>
      <c r="C34" t="str">
        <f ca="1">IF(OR(Planung!$L7="",Planung!$N7=""),"ZZ"&amp;ROW($M7)+45,Planung!$K7&amp;Planung!$F7)</f>
        <v>B20,375</v>
      </c>
      <c r="D34" s="99">
        <f ca="1"/>
        <v>1</v>
      </c>
      <c r="G34" s="869"/>
    </row>
    <row r="35" spans="1:7" x14ac:dyDescent="0.2">
      <c r="A35" s="99"/>
      <c r="B35" s="99">
        <v>33</v>
      </c>
      <c r="C35" t="str">
        <f ca="1">IF(OR(Planung!$L8="",Planung!$N8=""),"ZZ"&amp;ROW($M8)+45,Planung!$K8&amp;Planung!$F8)</f>
        <v>A40,375</v>
      </c>
      <c r="D35" s="99">
        <f ca="1"/>
        <v>1</v>
      </c>
      <c r="G35" s="869" t="s">
        <v>242</v>
      </c>
    </row>
    <row r="36" spans="1:7" x14ac:dyDescent="0.2">
      <c r="A36" s="99"/>
      <c r="B36" s="99">
        <v>34</v>
      </c>
      <c r="C36" t="str">
        <f ca="1">IF(OR(Planung!$L9="",Planung!$N9=""),"ZZ"&amp;ROW($M9)+45,Planung!$K9&amp;Planung!$F9)</f>
        <v>B40,375</v>
      </c>
      <c r="D36" s="99">
        <f ca="1"/>
        <v>1</v>
      </c>
      <c r="G36" s="869"/>
    </row>
    <row r="37" spans="1:7" x14ac:dyDescent="0.2">
      <c r="A37" s="99"/>
      <c r="B37" s="99">
        <v>35</v>
      </c>
      <c r="C37" t="str">
        <f ca="1">IF(OR(Planung!$L10="",Planung!$N10=""),"ZZ"&amp;ROW($M10)+45,Planung!$K10&amp;Planung!$F10)</f>
        <v>A10,399305555555556</v>
      </c>
      <c r="D37" s="99">
        <f ca="1"/>
        <v>1</v>
      </c>
      <c r="G37" s="869" t="s">
        <v>244</v>
      </c>
    </row>
    <row r="38" spans="1:7" x14ac:dyDescent="0.2">
      <c r="A38" s="99"/>
      <c r="B38" s="99">
        <v>36</v>
      </c>
      <c r="C38" t="str">
        <f ca="1">IF(OR(Planung!$L11="",Planung!$N11=""),"ZZ"&amp;ROW($M11)+45,Planung!$K11&amp;Planung!$F11)</f>
        <v>B10,399305555555556</v>
      </c>
      <c r="D38" s="99">
        <f ca="1"/>
        <v>1</v>
      </c>
      <c r="G38" s="869"/>
    </row>
    <row r="39" spans="1:7" x14ac:dyDescent="0.2">
      <c r="A39" s="99"/>
      <c r="B39" s="99">
        <v>37</v>
      </c>
      <c r="C39" t="str">
        <f ca="1">IF(OR(Planung!$L12="",Planung!$N12=""),"ZZ"&amp;ROW($M12)+45,Planung!$K12&amp;Planung!$F12)</f>
        <v>A30,399305555555556</v>
      </c>
      <c r="D39" s="99">
        <f ca="1"/>
        <v>1</v>
      </c>
      <c r="G39" s="869" t="s">
        <v>243</v>
      </c>
    </row>
    <row r="40" spans="1:7" x14ac:dyDescent="0.2">
      <c r="A40" s="99"/>
      <c r="B40" s="99">
        <v>38</v>
      </c>
      <c r="C40" t="str">
        <f ca="1">IF(OR(Planung!$L13="",Planung!$N13=""),"ZZ"&amp;ROW($M13)+45,Planung!$K13&amp;Planung!$F13)</f>
        <v>B30,399305555555556</v>
      </c>
      <c r="D40" s="99">
        <f ca="1"/>
        <v>1</v>
      </c>
      <c r="G40" s="869"/>
    </row>
    <row r="41" spans="1:7" x14ac:dyDescent="0.2">
      <c r="A41" s="99"/>
      <c r="B41" s="99">
        <v>39</v>
      </c>
      <c r="C41" t="str">
        <f ca="1">IF(OR(Planung!$L14="",Planung!$N14=""),"ZZ"&amp;ROW($M14)+45,Planung!$K14&amp;Planung!$F14)</f>
        <v>A40,423611111111111</v>
      </c>
      <c r="D41" s="99">
        <f ca="1"/>
        <v>1</v>
      </c>
      <c r="G41" s="869" t="s">
        <v>245</v>
      </c>
    </row>
    <row r="42" spans="1:7" x14ac:dyDescent="0.2">
      <c r="A42" s="99"/>
      <c r="B42" s="99">
        <v>40</v>
      </c>
      <c r="C42" t="str">
        <f ca="1">IF(OR(Planung!$L15="",Planung!$N15=""),"ZZ"&amp;ROW($M15)+45,Planung!$K15&amp;Planung!$F15)</f>
        <v>B40,423611111111111</v>
      </c>
      <c r="D42" s="99">
        <f ca="1"/>
        <v>1</v>
      </c>
      <c r="G42" s="869"/>
    </row>
    <row r="43" spans="1:7" x14ac:dyDescent="0.2">
      <c r="A43" s="99"/>
      <c r="B43" s="99">
        <v>41</v>
      </c>
      <c r="C43" t="str">
        <f ca="1">IF(OR(Planung!$L16="",Planung!$N16=""),"ZZ"&amp;ROW($M16)+45,Planung!$K16&amp;Planung!$F16)</f>
        <v>A50,423611111111111</v>
      </c>
      <c r="D43" s="99">
        <f ca="1"/>
        <v>1</v>
      </c>
    </row>
    <row r="44" spans="1:7" x14ac:dyDescent="0.2">
      <c r="A44" s="99"/>
      <c r="B44" s="99">
        <v>42</v>
      </c>
      <c r="C44" t="str">
        <f ca="1">IF(OR(Planung!$L17="",Planung!$N17=""),"ZZ"&amp;ROW($M17)+45,Planung!$K17&amp;Planung!$F17)</f>
        <v>B50,423611111111111</v>
      </c>
      <c r="D44" s="99">
        <f ca="1"/>
        <v>1</v>
      </c>
    </row>
    <row r="45" spans="1:7" x14ac:dyDescent="0.2">
      <c r="A45" s="99"/>
      <c r="B45" s="99">
        <v>43</v>
      </c>
      <c r="C45" t="str">
        <f ca="1">IF(OR(Planung!$L18="",Planung!$N18=""),"ZZ"&amp;ROW($M18)+45,Planung!$K18&amp;Planung!$F18)</f>
        <v>A40,447916666666667</v>
      </c>
      <c r="D45" s="99">
        <f ca="1"/>
        <v>1</v>
      </c>
    </row>
    <row r="46" spans="1:7" x14ac:dyDescent="0.2">
      <c r="A46" s="99"/>
      <c r="B46" s="99">
        <v>44</v>
      </c>
      <c r="C46" t="str">
        <f ca="1">IF(OR(Planung!$L19="",Planung!$N19=""),"ZZ"&amp;ROW($M19)+45,Planung!$K19&amp;Planung!$F19)</f>
        <v>B40,447916666666667</v>
      </c>
      <c r="D46" s="99">
        <f ca="1"/>
        <v>1</v>
      </c>
    </row>
    <row r="47" spans="1:7" x14ac:dyDescent="0.2">
      <c r="A47" s="99"/>
      <c r="B47" s="99">
        <v>45</v>
      </c>
      <c r="C47" t="str">
        <f ca="1">IF(OR(Planung!$L20="",Planung!$N20=""),"ZZ"&amp;ROW($M20)+45,Planung!$K20&amp;Planung!$F20)</f>
        <v>A10,447916666666667</v>
      </c>
      <c r="D47" s="99">
        <f ca="1"/>
        <v>1</v>
      </c>
    </row>
    <row r="48" spans="1:7" x14ac:dyDescent="0.2">
      <c r="A48" s="99"/>
      <c r="B48" s="99">
        <v>46</v>
      </c>
      <c r="C48" t="str">
        <f ca="1">IF(OR(Planung!$L21="",Planung!$N21=""),"ZZ"&amp;ROW($M21)+45,Planung!$K21&amp;Planung!$F21)</f>
        <v>B10,447916666666667</v>
      </c>
      <c r="D48" s="99">
        <f ca="1"/>
        <v>1</v>
      </c>
    </row>
    <row r="49" spans="1:4" x14ac:dyDescent="0.2">
      <c r="A49" s="99"/>
      <c r="B49" s="99">
        <v>47</v>
      </c>
      <c r="C49" t="str">
        <f ca="1">IF(OR(Planung!$L22="",Planung!$N22=""),"ZZ"&amp;ROW($M22)+45,Planung!$K22&amp;Planung!$F22)</f>
        <v>A50,472222222222222</v>
      </c>
      <c r="D49" s="99">
        <f ca="1"/>
        <v>1</v>
      </c>
    </row>
    <row r="50" spans="1:4" x14ac:dyDescent="0.2">
      <c r="A50" s="99"/>
      <c r="B50" s="99">
        <v>48</v>
      </c>
      <c r="C50" t="str">
        <f ca="1">IF(OR(Planung!$L23="",Planung!$N23=""),"ZZ"&amp;ROW($M23)+45,Planung!$K23&amp;Planung!$F23)</f>
        <v>B50,472222222222222</v>
      </c>
      <c r="D50" s="99">
        <f ca="1"/>
        <v>1</v>
      </c>
    </row>
    <row r="51" spans="1:4" x14ac:dyDescent="0.2">
      <c r="A51" s="99"/>
      <c r="B51" s="99">
        <v>49</v>
      </c>
      <c r="C51" t="str">
        <f ca="1">IF(OR(Planung!$L24="",Planung!$N24=""),"ZZ"&amp;ROW($M24)+45,Planung!$K24&amp;Planung!$F24)</f>
        <v>A20,472222222222222</v>
      </c>
      <c r="D51" s="99">
        <f ca="1"/>
        <v>1</v>
      </c>
    </row>
    <row r="52" spans="1:4" x14ac:dyDescent="0.2">
      <c r="A52" s="99"/>
      <c r="B52" s="99">
        <v>50</v>
      </c>
      <c r="C52" t="str">
        <f ca="1">IF(OR(Planung!$L25="",Planung!$N25=""),"ZZ"&amp;ROW($M25)+45,Planung!$K25&amp;Planung!$F25)</f>
        <v>B20,472222222222222</v>
      </c>
      <c r="D52" s="99">
        <f ca="1"/>
        <v>1</v>
      </c>
    </row>
    <row r="53" spans="1:4" x14ac:dyDescent="0.2">
      <c r="A53" s="99"/>
      <c r="B53" s="99">
        <v>51</v>
      </c>
      <c r="C53" t="str">
        <f ca="1">IF(OR(Planung!$L26="",Planung!$N26=""),"ZZ"&amp;ROW($M26)+45,Planung!$K26&amp;Planung!$F26)</f>
        <v>ZZ71</v>
      </c>
      <c r="D53" s="99">
        <f ca="1"/>
        <v>1</v>
      </c>
    </row>
    <row r="54" spans="1:4" x14ac:dyDescent="0.2">
      <c r="A54" s="99"/>
      <c r="B54" s="99">
        <v>52</v>
      </c>
      <c r="C54" t="str">
        <f ca="1">IF(OR(Planung!$L27="",Planung!$N27=""),"ZZ"&amp;ROW($M27)+45,Planung!$K27&amp;Planung!$F27)</f>
        <v>ZZ72</v>
      </c>
      <c r="D54" s="99">
        <f ca="1"/>
        <v>1</v>
      </c>
    </row>
    <row r="55" spans="1:4" x14ac:dyDescent="0.2">
      <c r="A55" s="99"/>
      <c r="B55" s="99">
        <v>53</v>
      </c>
      <c r="C55" t="str">
        <f ca="1">IF(OR(Planung!$L28="",Planung!$N28=""),"ZZ"&amp;ROW($M28)+45,Planung!$K28&amp;Planung!$F28)</f>
        <v>ZZ73</v>
      </c>
      <c r="D55" s="99">
        <f ca="1"/>
        <v>1</v>
      </c>
    </row>
    <row r="56" spans="1:4" x14ac:dyDescent="0.2">
      <c r="A56" s="99"/>
      <c r="B56" s="99">
        <v>54</v>
      </c>
      <c r="C56" t="str">
        <f ca="1">IF(OR(Planung!$L29="",Planung!$N29=""),"ZZ"&amp;ROW($M29)+45,Planung!$K29&amp;Planung!$F29)</f>
        <v>ZZ74</v>
      </c>
      <c r="D56" s="99">
        <f ca="1"/>
        <v>1</v>
      </c>
    </row>
    <row r="57" spans="1:4" x14ac:dyDescent="0.2">
      <c r="A57" s="99"/>
      <c r="B57" s="99">
        <v>55</v>
      </c>
      <c r="C57" t="str">
        <f ca="1">IF(OR(Planung!$L30="",Planung!$N30=""),"ZZ"&amp;ROW($M30)+45,Planung!$K30&amp;Planung!$F30)</f>
        <v>ZZ75</v>
      </c>
      <c r="D57" s="99">
        <f ca="1"/>
        <v>1</v>
      </c>
    </row>
    <row r="58" spans="1:4" x14ac:dyDescent="0.2">
      <c r="A58" s="99"/>
      <c r="B58" s="99">
        <v>56</v>
      </c>
      <c r="C58" t="str">
        <f ca="1">IF(OR(Planung!$L31="",Planung!$N31=""),"ZZ"&amp;ROW($M31)+45,Planung!$K31&amp;Planung!$F31)</f>
        <v>ZZ76</v>
      </c>
      <c r="D58" s="99">
        <f ca="1"/>
        <v>1</v>
      </c>
    </row>
    <row r="59" spans="1:4" x14ac:dyDescent="0.2">
      <c r="A59" s="99"/>
      <c r="B59" s="99">
        <v>57</v>
      </c>
      <c r="C59" t="str">
        <f ca="1">IF(OR(Planung!$L32="",Planung!$N32=""),"ZZ"&amp;ROW($M32)+45,Planung!$K32&amp;Planung!$F32)</f>
        <v>ZZ77</v>
      </c>
      <c r="D59" s="99">
        <f ca="1"/>
        <v>1</v>
      </c>
    </row>
    <row r="60" spans="1:4" x14ac:dyDescent="0.2">
      <c r="A60" s="99"/>
      <c r="B60" s="99">
        <v>58</v>
      </c>
      <c r="C60" t="str">
        <f ca="1">IF(OR(Planung!$L33="",Planung!$N33=""),"ZZ"&amp;ROW($M33)+45,Planung!$K33&amp;Planung!$F33)</f>
        <v>ZZ78</v>
      </c>
      <c r="D60" s="99">
        <f ca="1"/>
        <v>1</v>
      </c>
    </row>
    <row r="61" spans="1:4" x14ac:dyDescent="0.2">
      <c r="A61" s="99"/>
      <c r="B61" s="99">
        <v>59</v>
      </c>
      <c r="C61" t="str">
        <f ca="1">IF(OR(Planung!$L34="",Planung!$N34=""),"ZZ"&amp;ROW($M34)+45,Planung!$K34&amp;Planung!$F34)</f>
        <v>ZZ79</v>
      </c>
      <c r="D61" s="99">
        <f ca="1"/>
        <v>1</v>
      </c>
    </row>
    <row r="62" spans="1:4" x14ac:dyDescent="0.2">
      <c r="A62" s="99"/>
      <c r="B62" s="99">
        <v>60</v>
      </c>
      <c r="C62" t="str">
        <f ca="1">IF(OR(Planung!$L35="",Planung!$N35=""),"ZZ"&amp;ROW($M35)+45,Planung!$K35&amp;Planung!$F35)</f>
        <v>ZZ80</v>
      </c>
      <c r="D62" s="99">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41" priority="7">
      <formula>G2="FEHLER"</formula>
    </cfRule>
  </conditionalFormatting>
  <conditionalFormatting sqref="C3:C62">
    <cfRule type="duplicateValues" dxfId="40" priority="6"/>
  </conditionalFormatting>
  <conditionalFormatting sqref="E3">
    <cfRule type="cellIs" dxfId="39" priority="3" operator="greaterThan">
      <formula>0</formula>
    </cfRule>
  </conditionalFormatting>
  <conditionalFormatting sqref="E4">
    <cfRule type="cellIs" dxfId="38" priority="2" operator="greaterThan">
      <formula>0</formula>
    </cfRule>
  </conditionalFormatting>
  <conditionalFormatting sqref="E7">
    <cfRule type="expression" dxfId="37" priority="1">
      <formula>E7="FEHLER"</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9.5703125" style="2" customWidth="1"/>
    <col min="47" max="47" width="8.140625" style="2" customWidth="1"/>
    <col min="48" max="48" width="7.140625" style="2" customWidth="1"/>
    <col min="49" max="49" width="8.5703125"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391</v>
      </c>
      <c r="J3" s="676" t="s">
        <v>108</v>
      </c>
      <c r="K3" s="781" t="s">
        <v>101</v>
      </c>
      <c r="L3" s="676" t="s">
        <v>102</v>
      </c>
      <c r="M3" s="676" t="s">
        <v>103</v>
      </c>
      <c r="N3" s="676" t="s">
        <v>104</v>
      </c>
      <c r="O3" s="677"/>
      <c r="P3" s="678"/>
      <c r="Q3" s="678"/>
      <c r="R3" s="678"/>
      <c r="S3" s="678"/>
      <c r="T3" s="678"/>
      <c r="U3" s="678"/>
      <c r="V3" s="678"/>
      <c r="W3" s="1011"/>
      <c r="X3" s="1012"/>
      <c r="Y3" s="1012"/>
      <c r="Z3" s="1012"/>
      <c r="AA3" s="1012"/>
      <c r="AB3" s="1011"/>
      <c r="AC3" s="1012"/>
      <c r="AD3" s="1012"/>
      <c r="AE3" s="1012"/>
      <c r="AF3" s="1012"/>
      <c r="AG3" s="1011"/>
      <c r="AH3" s="1012"/>
      <c r="AI3" s="1012"/>
      <c r="AJ3" s="1012"/>
      <c r="AK3" s="1012"/>
      <c r="AL3" s="1011"/>
      <c r="AM3" s="1012"/>
      <c r="AN3" s="1012"/>
      <c r="AO3" s="1012"/>
      <c r="AP3" s="1012"/>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 ca="1">$Q64</f>
        <v>VFB Essenheim</v>
      </c>
      <c r="G4" s="672">
        <f ca="1">SUMIFS($AH$64:$AH$135,$V$64:$V$135,$F4)+SUMIFS($AI$64:$AI$135,$W$64:$W$135,$F4)</f>
        <v>70</v>
      </c>
      <c r="H4" s="672">
        <f ca="1">SUMIFS($AI$64:$AI$135,$V$64:$V$135,$F4)+SUMIFS($AH$64:$AH$135,$W$64:$W$135,$F4)</f>
        <v>65</v>
      </c>
      <c r="I4" s="671">
        <f ca="1">IF(Einstellungen!$G$24,G4-H4,IF(H4=0,IF(G4=0,0,Einstellungen!$F$24),G4/H4))</f>
        <v>5</v>
      </c>
      <c r="J4" s="672">
        <f ca="1">$L4*Einstellungen!$C$4+$M4</f>
        <v>2</v>
      </c>
      <c r="K4" s="672">
        <f ca="1">SUMPRODUCT(($V$64:$V$135=F4)*($AJ$64:$AJ$135&lt;&gt;"")*$AA$64:$AA$135)+SUMPRODUCT(($W$64:$W$135=F4)*($AK$64:$AK$135&lt;&gt;"")*$AA$64:$AA$135)</f>
        <v>1</v>
      </c>
      <c r="L4" s="672">
        <f ca="1">SUMPRODUCT(($V$64:$V$135=F4)*($AJ$64:$AJ$135&gt;$AK$64:$AK$135)*$AA$64:$AA$135)+SUMPRODUCT(($W$64:$W$135=F4)*($AJ$64:$AJ$135&lt;$AK$64:$AK$135)*$AA$64:$AA$135)</f>
        <v>1</v>
      </c>
      <c r="M4" s="672">
        <f t="shared" ref="M4:M12" ca="1" si="0">SUMPRODUCT(($V$64:$W$135=F4)*($AJ$64:$AJ$135=$AK$64:$AK$135)*$AA$64:$AA$135)</f>
        <v>0</v>
      </c>
      <c r="N4" s="672">
        <f ca="1">K4-L4-M4</f>
        <v>0</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1</v>
      </c>
      <c r="AT4" s="672">
        <f ca="1">SUMPRODUCT(($V$64:$V$135=F4)*$AJ$64:$AJ$135)+SUMPRODUCT(($W$64:$W$135=F4)*$AK$64:$AK$135)</f>
        <v>2</v>
      </c>
      <c r="AU4" s="672">
        <f ca="1">AT4-AS4</f>
        <v>1</v>
      </c>
      <c r="AV4" s="672">
        <f ca="1">IF(Einstellungen!$G$24,$I4,ROUND($I4,Einstellungen!$H$24))</f>
        <v>5</v>
      </c>
      <c r="AW4" s="672">
        <f ca="1">I4-(F4="")*10000</f>
        <v>5</v>
      </c>
      <c r="AX4" s="672">
        <f ca="1" xml:space="preserve"> RANK(AW4,$AW$4:$AW$12,1)</f>
        <v>9</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2</v>
      </c>
      <c r="D5" s="671">
        <f t="shared" ref="D5:D12" ca="1" si="2">E5+ROW()/1000+(F5="")*10</f>
        <v>2.0049999999999999</v>
      </c>
      <c r="E5" s="681">
        <f t="shared" ref="E5:E12" ca="1" si="3">IF($AI$15,RANK(AH18,AH$17:AH$25,1),RANK(X18,X$17:X$25,1))</f>
        <v>2</v>
      </c>
      <c r="F5" s="672" t="str">
        <f t="shared" ref="F5:F12" ca="1" si="4">$Q65</f>
        <v>Inter Mailand</v>
      </c>
      <c r="G5" s="672">
        <f t="shared" ref="G5:G12" ca="1" si="5">SUMIFS($AH$64:$AH$135,$V$64:$V$135,$F5)+SUMIFS($AI$64:$AI$135,$W$64:$W$135,$F5)</f>
        <v>65</v>
      </c>
      <c r="H5" s="672">
        <f t="shared" ref="H5:H12" ca="1" si="6">SUMIFS($AI$64:$AI$135,$V$64:$V$135,$F5)+SUMIFS($AH$64:$AH$135,$W$64:$W$135,$F5)</f>
        <v>70</v>
      </c>
      <c r="I5" s="671">
        <f ca="1">IF(Einstellungen!$G$24,G5-H5,IF(H5=0,IF(G5=0,0,Einstellungen!$F$24),G5/H5))</f>
        <v>-5</v>
      </c>
      <c r="J5" s="672">
        <f ca="1">$L5*Einstellungen!$C$4+$M5</f>
        <v>0</v>
      </c>
      <c r="K5" s="672">
        <f t="shared" ref="K5:K12" ca="1" si="7">SUMPRODUCT(($V$64:$V$135=F5)*($AJ$64:$AJ$135&lt;&gt;"")*$AA$64:$AA$135)+SUMPRODUCT(($W$64:$W$135=F5)*($AK$64:$AK$135&lt;&gt;"")*$AA$64:$AA$135)</f>
        <v>1</v>
      </c>
      <c r="L5" s="672">
        <f t="shared" ref="L5:L12" ca="1" si="8">SUMPRODUCT(($V$64:$V$135=F5)*($AJ$64:$AJ$135&gt;$AK$64:$AK$135)*$AA$64:$AA$135)+SUMPRODUCT(($W$64:$W$135=F5)*($AJ$64:$AJ$135&lt;$AK$64:$AK$135)*$AA$64:$AA$135)</f>
        <v>0</v>
      </c>
      <c r="M5" s="672">
        <f t="shared" ca="1" si="0"/>
        <v>0</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2</v>
      </c>
      <c r="AT5" s="672">
        <f t="shared" ref="AT5:AT12" ca="1" si="11">SUMPRODUCT(($V$64:$V$135=F5)*$AJ$64:$AJ$135)+SUMPRODUCT(($W$64:$W$135=F5)*$AK$64:$AK$135)</f>
        <v>1</v>
      </c>
      <c r="AU5" s="672">
        <f t="shared" ref="AU5:AU12" ca="1" si="12">AT5-AS5</f>
        <v>-1</v>
      </c>
      <c r="AV5" s="672">
        <f ca="1">IF(Einstellungen!$G$24,$I5,ROUND($I5,Einstellungen!$H$24))</f>
        <v>-5</v>
      </c>
      <c r="AW5" s="672">
        <f t="shared" ref="AW5:AW12" ca="1" si="13">I5-(F5="")*10000</f>
        <v>-5</v>
      </c>
      <c r="AX5" s="672">
        <f t="shared" ref="AX5:AX12" ca="1" si="14" xml:space="preserve"> RANK(AW5,$AW$4:$AW$12,1)</f>
        <v>8</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3</v>
      </c>
      <c r="D6" s="671">
        <f t="shared" ca="1" si="2"/>
        <v>13.006</v>
      </c>
      <c r="E6" s="681">
        <f t="shared" ca="1" si="3"/>
        <v>3</v>
      </c>
      <c r="F6" s="672" t="str">
        <f t="shared" ca="1" si="4"/>
        <v/>
      </c>
      <c r="G6" s="672">
        <f t="shared" ca="1" si="5"/>
        <v>0</v>
      </c>
      <c r="H6" s="672">
        <f t="shared" ca="1" si="6"/>
        <v>0</v>
      </c>
      <c r="I6" s="671">
        <f ca="1">IF(Einstellungen!$G$24,G6-H6,IF(H6=0,IF(G6=0,0,Einstellungen!$F$24),G6/H6))</f>
        <v>0</v>
      </c>
      <c r="J6" s="672">
        <f ca="1">$L6*Einstellungen!$C$4+$M6</f>
        <v>0</v>
      </c>
      <c r="K6" s="672">
        <f t="shared" ca="1" si="7"/>
        <v>0</v>
      </c>
      <c r="L6" s="672">
        <f t="shared" ca="1" si="8"/>
        <v>0</v>
      </c>
      <c r="M6" s="672">
        <f t="shared" ca="1" si="0"/>
        <v>0</v>
      </c>
      <c r="N6" s="672">
        <f t="shared" ca="1" si="9"/>
        <v>0</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0</v>
      </c>
      <c r="AT6" s="672">
        <f t="shared" ca="1" si="11"/>
        <v>0</v>
      </c>
      <c r="AU6" s="672">
        <f t="shared" ca="1" si="12"/>
        <v>0</v>
      </c>
      <c r="AV6" s="672">
        <f ca="1">IF(Einstellungen!$G$24,$I6,ROUND($I6,Einstellungen!$H$24))</f>
        <v>0</v>
      </c>
      <c r="AW6" s="672">
        <f t="shared" ca="1" si="13"/>
        <v>-10000</v>
      </c>
      <c r="AX6" s="672">
        <f t="shared" ca="1" si="14"/>
        <v>1</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4</v>
      </c>
      <c r="D7" s="671">
        <f t="shared" ca="1" si="2"/>
        <v>13.007</v>
      </c>
      <c r="E7" s="681">
        <f t="shared" ca="1" si="3"/>
        <v>3</v>
      </c>
      <c r="F7" s="672" t="str">
        <f t="shared" ca="1" si="4"/>
        <v/>
      </c>
      <c r="G7" s="672">
        <f t="shared" ca="1" si="5"/>
        <v>0</v>
      </c>
      <c r="H7" s="672">
        <f t="shared" ca="1" si="6"/>
        <v>0</v>
      </c>
      <c r="I7" s="671">
        <f ca="1">IF(Einstellungen!$G$24,G7-H7,IF(H7=0,IF(G7=0,0,Einstellungen!$F$24),G7/H7))</f>
        <v>0</v>
      </c>
      <c r="J7" s="672">
        <f ca="1">$L7*Einstellungen!$C$4+$M7</f>
        <v>0</v>
      </c>
      <c r="K7" s="672">
        <f t="shared" ca="1" si="7"/>
        <v>0</v>
      </c>
      <c r="L7" s="672">
        <f t="shared" ca="1" si="8"/>
        <v>0</v>
      </c>
      <c r="M7" s="672">
        <f t="shared" ca="1" si="0"/>
        <v>0</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0</v>
      </c>
      <c r="AT7" s="672">
        <f t="shared" ca="1" si="11"/>
        <v>0</v>
      </c>
      <c r="AU7" s="672">
        <f t="shared" ca="1" si="12"/>
        <v>0</v>
      </c>
      <c r="AV7" s="672">
        <f ca="1">IF(Einstellungen!$G$24,$I7,ROUND($I7,Einstellungen!$H$24))</f>
        <v>0</v>
      </c>
      <c r="AW7" s="672">
        <f t="shared" ca="1" si="13"/>
        <v>-10000</v>
      </c>
      <c r="AX7" s="672">
        <f t="shared" ca="1" si="14"/>
        <v>1</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13.007999999999999</v>
      </c>
      <c r="E8" s="681">
        <f t="shared" ca="1" si="3"/>
        <v>3</v>
      </c>
      <c r="F8" s="672" t="str">
        <f t="shared" si="4"/>
        <v/>
      </c>
      <c r="G8" s="672">
        <f t="shared" ca="1" si="5"/>
        <v>0</v>
      </c>
      <c r="H8" s="672">
        <f t="shared" ca="1" si="6"/>
        <v>0</v>
      </c>
      <c r="I8" s="671">
        <f ca="1">IF(Einstellungen!$G$24,G8-H8,IF(H8=0,IF(G8=0,0,Einstellungen!$F$24),G8/H8))</f>
        <v>0</v>
      </c>
      <c r="J8" s="672">
        <f ca="1">$L8*Einstellungen!$C$4+$M8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IF(Einstellungen!$G$24,$I8,ROUND($I8,Einstellungen!$H$24))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13.009</v>
      </c>
      <c r="E9" s="681">
        <f t="shared" ca="1" si="3"/>
        <v>3</v>
      </c>
      <c r="F9" s="672" t="str">
        <f t="shared" si="4"/>
        <v/>
      </c>
      <c r="G9" s="672">
        <f t="shared" ca="1" si="5"/>
        <v>0</v>
      </c>
      <c r="H9" s="672">
        <f t="shared" ca="1" si="6"/>
        <v>0</v>
      </c>
      <c r="I9" s="671">
        <f ca="1">IF(Einstellungen!$G$24,G9-H9,IF(H9=0,IF(G9=0,0,Einstellungen!$F$24),G9/H9))</f>
        <v>0</v>
      </c>
      <c r="J9" s="672">
        <f ca="1">$L9*Einstellungen!$C$4+$M9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IF(Einstellungen!$G$24,$I9,ROUND($I9,Einstellungen!$H$24))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13.01</v>
      </c>
      <c r="E10" s="681">
        <f t="shared" ca="1" si="3"/>
        <v>3</v>
      </c>
      <c r="F10" s="672" t="str">
        <f t="shared" si="4"/>
        <v/>
      </c>
      <c r="G10" s="672">
        <f t="shared" ca="1" si="5"/>
        <v>0</v>
      </c>
      <c r="H10" s="672">
        <f t="shared" ca="1" si="6"/>
        <v>0</v>
      </c>
      <c r="I10" s="671">
        <f ca="1">IF(Einstellungen!$G$24,G10-H10,IF(H10=0,IF(G10=0,0,Einstellungen!$F$24),G10/H10))</f>
        <v>0</v>
      </c>
      <c r="J10" s="672">
        <f ca="1">$L10*Einstellungen!$C$4+$M10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IF(Einstellungen!$G$24,$I10,ROUND($I10,Einstellungen!$H$24))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13.010999999999999</v>
      </c>
      <c r="E11" s="681">
        <f t="shared" ca="1" si="3"/>
        <v>3</v>
      </c>
      <c r="F11" s="672" t="str">
        <f t="shared" si="4"/>
        <v/>
      </c>
      <c r="G11" s="672">
        <f t="shared" ca="1" si="5"/>
        <v>0</v>
      </c>
      <c r="H11" s="672">
        <f t="shared" ca="1" si="6"/>
        <v>0</v>
      </c>
      <c r="I11" s="671">
        <f ca="1">IF(Einstellungen!$G$24,G11-H11,IF(H11=0,IF(G11=0,0,Einstellungen!$F$24),G11/H11))</f>
        <v>0</v>
      </c>
      <c r="J11" s="672">
        <f ca="1">$L11*Einstellungen!$C$4+$M11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IF(Einstellungen!$G$24,$I11,ROUND($I11,Einstellungen!$H$24))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13.012</v>
      </c>
      <c r="E12" s="681">
        <f t="shared" ca="1" si="3"/>
        <v>3</v>
      </c>
      <c r="F12" s="672" t="str">
        <f t="shared" si="4"/>
        <v/>
      </c>
      <c r="G12" s="672">
        <f t="shared" ca="1" si="5"/>
        <v>0</v>
      </c>
      <c r="H12" s="672">
        <f t="shared" ca="1" si="6"/>
        <v>0</v>
      </c>
      <c r="I12" s="671">
        <f ca="1">IF(Einstellungen!$G$24,G12-H12,IF(H12=0,IF(G12=0,0,Einstellungen!$F$24),G12/H12))</f>
        <v>0</v>
      </c>
      <c r="J12" s="672">
        <f ca="1">$L12*Einstellungen!$C$4+$M12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IF(Einstellungen!$G$24,$I12,ROUND($I12,Einstellungen!$H$24))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2</v>
      </c>
      <c r="C13" s="671"/>
      <c r="D13" s="671"/>
      <c r="E13" s="671"/>
      <c r="F13" s="671">
        <f ca="1">9-COUNTBLANK($F$4:$F$12)</f>
        <v>2</v>
      </c>
      <c r="G13" s="671"/>
      <c r="H13" s="671"/>
      <c r="I13" s="671"/>
      <c r="J13" s="671"/>
      <c r="K13" s="676">
        <f ca="1">QUOTIENT(SUM(K4:K12),2)</f>
        <v>1</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394</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VFB Essenheim</v>
      </c>
      <c r="D17" s="672">
        <f t="shared" ref="D17:G25" ca="1" si="15">K4</f>
        <v>1</v>
      </c>
      <c r="E17" s="672">
        <f t="shared" ca="1" si="15"/>
        <v>1</v>
      </c>
      <c r="F17" s="672">
        <f t="shared" ca="1" si="15"/>
        <v>0</v>
      </c>
      <c r="G17" s="672">
        <f t="shared" ca="1" si="15"/>
        <v>0</v>
      </c>
      <c r="H17" s="672">
        <f t="shared" ref="H17:J25" ca="1" si="16">G4</f>
        <v>70</v>
      </c>
      <c r="I17" s="672">
        <f t="shared" ca="1" si="16"/>
        <v>65</v>
      </c>
      <c r="J17" s="671">
        <f t="shared" ca="1" si="16"/>
        <v>5</v>
      </c>
      <c r="K17" s="672">
        <f ca="1">IF(Einstellungen!$G$9,J4,$AT4)</f>
        <v>2</v>
      </c>
      <c r="L17" s="696">
        <f ca="1">K17*$F$64+(AU4+$H$65)*$F$65*Einstellungen!$G$14+AT4*$F$66*Einstellungen!$G$19+AX4*$F$67</f>
        <v>2000000.0090000001</v>
      </c>
      <c r="M17" s="688">
        <f ca="1">IF($AI$15,COUNTIF($K$17:$K$25,K17),COUNTIF($L$17:$L$25,L17))</f>
        <v>1</v>
      </c>
      <c r="N17" s="688">
        <f t="array" aca="1" ref="N17" ca="1">IF($AI$15,SUM(($K$17:$K$25&gt;=K17)/COUNTIF($K$17:$K$25,$K$17:$K$25)),SUM(($L$17:$L$25&gt;=L17)/COUNTIF($L$17:$L$25,$L$17:$L$25)))</f>
        <v>1</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1.0108999999999999</v>
      </c>
      <c r="Y17" s="671">
        <f ca="1">'Endrunde 4'!$AU26+$AD17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Inter Mailand</v>
      </c>
      <c r="D18" s="672">
        <f t="shared" ca="1" si="15"/>
        <v>1</v>
      </c>
      <c r="E18" s="672">
        <f t="shared" ca="1" si="15"/>
        <v>0</v>
      </c>
      <c r="F18" s="672">
        <f t="shared" ca="1" si="15"/>
        <v>0</v>
      </c>
      <c r="G18" s="672">
        <f t="shared" ca="1" si="15"/>
        <v>1</v>
      </c>
      <c r="H18" s="672">
        <f t="shared" ca="1" si="16"/>
        <v>65</v>
      </c>
      <c r="I18" s="672">
        <f t="shared" ca="1" si="16"/>
        <v>70</v>
      </c>
      <c r="J18" s="671">
        <f t="shared" ca="1" si="16"/>
        <v>-5</v>
      </c>
      <c r="K18" s="672">
        <f ca="1">IF(Einstellungen!$G$9,J5,$AT5)</f>
        <v>0</v>
      </c>
      <c r="L18" s="696">
        <f ca="1">K18*$F$64+(AU5+$H$65)*$F$65*Einstellungen!$G$14+AT5*$F$66*Einstellungen!$G$19+AX5*$F$67</f>
        <v>8.0000000000000002E-3</v>
      </c>
      <c r="M18" s="688">
        <f t="shared" ref="M18:M25" ca="1" si="26">IF($AI$15,COUNTIF($K$17:$K$25,K18),COUNTIF($L$17:$L$25,L18))</f>
        <v>1</v>
      </c>
      <c r="N18" s="688">
        <f t="array" aca="1" ref="N18" ca="1">IF($AI$15,SUM(($K$17:$K$25&gt;=K18)/COUNTIF($K$17:$K$25,$K$17:$K$25)),SUM(($L$17:$L$25&gt;=L18)/COUNTIF($L$17:$L$25,$L$17:$L$25)))</f>
        <v>2</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2.0108999999999999</v>
      </c>
      <c r="Y18" s="671">
        <f ca="1">'Endrunde 4'!$AU27+$AD18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
      </c>
      <c r="D19" s="672">
        <f t="shared" ca="1" si="15"/>
        <v>0</v>
      </c>
      <c r="E19" s="672">
        <f t="shared" ca="1" si="15"/>
        <v>0</v>
      </c>
      <c r="F19" s="672">
        <f t="shared" ca="1" si="15"/>
        <v>0</v>
      </c>
      <c r="G19" s="672">
        <f t="shared" ca="1" si="15"/>
        <v>0</v>
      </c>
      <c r="H19" s="672">
        <f t="shared" ca="1" si="16"/>
        <v>0</v>
      </c>
      <c r="I19" s="672">
        <f t="shared" ca="1" si="16"/>
        <v>0</v>
      </c>
      <c r="J19" s="671">
        <f t="shared" ca="1" si="16"/>
        <v>0</v>
      </c>
      <c r="K19" s="672">
        <f ca="1">IF(Einstellungen!$G$9,J6,$AT6)</f>
        <v>0</v>
      </c>
      <c r="L19" s="696">
        <f ca="1">K19*$F$64+(AU6+$H$65)*$F$65*Einstellungen!$G$14+AT6*$F$66*Einstellungen!$G$19+AX6*$F$67</f>
        <v>1E-3</v>
      </c>
      <c r="M19" s="688">
        <f t="shared" ca="1" si="26"/>
        <v>7</v>
      </c>
      <c r="N19" s="688">
        <f t="array" aca="1" ref="N19" ca="1">IF($AI$15,SUM(($K$17:$K$25&gt;=K19)/COUNTIF($K$17:$K$25,$K$17:$K$25)),SUM(($L$17:$L$25&gt;=L19)/COUNTIF($L$17:$L$25,$L$17:$L$25)))</f>
        <v>2.9999999999999996</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103.01090000000001</v>
      </c>
      <c r="Y19" s="671">
        <f ca="1">'Endrunde 4'!$AU28+$AD19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
      </c>
      <c r="D20" s="672">
        <f t="shared" ca="1" si="15"/>
        <v>0</v>
      </c>
      <c r="E20" s="672">
        <f t="shared" ca="1" si="15"/>
        <v>0</v>
      </c>
      <c r="F20" s="672">
        <f t="shared" ca="1" si="15"/>
        <v>0</v>
      </c>
      <c r="G20" s="672">
        <f t="shared" ca="1" si="15"/>
        <v>0</v>
      </c>
      <c r="H20" s="672">
        <f t="shared" ca="1" si="16"/>
        <v>0</v>
      </c>
      <c r="I20" s="672">
        <f t="shared" ca="1" si="16"/>
        <v>0</v>
      </c>
      <c r="J20" s="671">
        <f t="shared" ca="1" si="16"/>
        <v>0</v>
      </c>
      <c r="K20" s="672">
        <f ca="1">IF(Einstellungen!$G$9,J7,$AT7)</f>
        <v>0</v>
      </c>
      <c r="L20" s="696">
        <f ca="1">K20*$F$64+(AU7+$H$65)*$F$65*Einstellungen!$G$14+AT7*$F$66*Einstellungen!$G$19+AX7*$F$67</f>
        <v>1E-3</v>
      </c>
      <c r="M20" s="688">
        <f t="shared" ca="1" si="26"/>
        <v>7</v>
      </c>
      <c r="N20" s="688">
        <f t="array" aca="1" ref="N20" ca="1">IF($AI$15,SUM(($K$17:$K$25&gt;=K20)/COUNTIF($K$17:$K$25,$K$17:$K$25)),SUM(($L$17:$L$25&gt;=L20)/COUNTIF($L$17:$L$25,$L$17:$L$25)))</f>
        <v>2.9999999999999996</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103.01090000000001</v>
      </c>
      <c r="Y20" s="671">
        <f ca="1">'Endrunde 4'!$AU29+$AD20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IF(Einstellungen!$G$9,J8,$AT8)</f>
        <v>0</v>
      </c>
      <c r="L21" s="696">
        <f ca="1">K21*$F$64+(AU8+$H$65)*$F$65*Einstellungen!$G$14+AT8*$F$66*Einstellungen!$G$19+AX8*$F$67</f>
        <v>1E-3</v>
      </c>
      <c r="M21" s="688">
        <f t="shared" ca="1" si="26"/>
        <v>7</v>
      </c>
      <c r="N21" s="688">
        <f t="array" aca="1" ref="N21" ca="1">IF($AI$15,SUM(($K$17:$K$25&gt;=K21)/COUNTIF($K$17:$K$25,$K$17:$K$25)),SUM(($L$17:$L$25&gt;=L21)/COUNTIF($L$17:$L$25,$L$17:$L$25)))</f>
        <v>2.9999999999999996</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103.01090000000001</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IF(Einstellungen!$G$9,J9,$AT9)</f>
        <v>0</v>
      </c>
      <c r="L22" s="696">
        <f ca="1">K22*$F$64+(AU9+$H$65)*$F$65*Einstellungen!$G$14+AT9*$F$66*Einstellungen!$G$19+AX9*$F$67</f>
        <v>1E-3</v>
      </c>
      <c r="M22" s="688">
        <f t="shared" ca="1" si="26"/>
        <v>7</v>
      </c>
      <c r="N22" s="688">
        <f t="array" aca="1" ref="N22" ca="1">IF($AI$15,SUM(($K$17:$K$25&gt;=K22)/COUNTIF($K$17:$K$25,$K$17:$K$25)),SUM(($L$17:$L$25&gt;=L22)/COUNTIF($L$17:$L$25,$L$17:$L$25)))</f>
        <v>2.9999999999999996</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103.01090000000001</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IF(Einstellungen!$G$9,J10,$AT10)</f>
        <v>0</v>
      </c>
      <c r="L23" s="696">
        <f ca="1">K23*$F$64+(AU10+$H$65)*$F$65*Einstellungen!$G$14+AT10*$F$66*Einstellungen!$G$19+AX10*$F$67</f>
        <v>1E-3</v>
      </c>
      <c r="M23" s="688">
        <f t="shared" ca="1" si="26"/>
        <v>7</v>
      </c>
      <c r="N23" s="688">
        <f t="array" aca="1" ref="N23" ca="1">IF($AI$15,SUM(($K$17:$K$25&gt;=K23)/COUNTIF($K$17:$K$25,$K$17:$K$25)),SUM(($L$17:$L$25&gt;=L23)/COUNTIF($L$17:$L$25,$L$17:$L$25)))</f>
        <v>2.9999999999999996</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103.01090000000001</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IF(Einstellungen!$G$9,J11,$AT11)</f>
        <v>0</v>
      </c>
      <c r="L24" s="696">
        <f ca="1">K24*$F$64+(AU11+$H$65)*$F$65*Einstellungen!$G$14+AT11*$F$66*Einstellungen!$G$19+AX11*$F$67</f>
        <v>1E-3</v>
      </c>
      <c r="M24" s="688">
        <f t="shared" ca="1" si="26"/>
        <v>7</v>
      </c>
      <c r="N24" s="688">
        <f t="array" aca="1" ref="N24" ca="1">IF($AI$15,SUM(($K$17:$K$25&gt;=K24)/COUNTIF($K$17:$K$25,$K$17:$K$25)),SUM(($L$17:$L$25&gt;=L24)/COUNTIF($L$17:$L$25,$L$17:$L$25)))</f>
        <v>2.9999999999999996</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103.01090000000001</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IF(Einstellungen!$G$9,J12,$AT12)</f>
        <v>0</v>
      </c>
      <c r="L25" s="696">
        <f ca="1">K25*$F$64+(AU12+$H$65)*$F$65*Einstellungen!$G$14+AT12*$F$66*Einstellungen!$G$19+AX12*$F$67</f>
        <v>1E-3</v>
      </c>
      <c r="M25" s="688">
        <f t="shared" ca="1" si="26"/>
        <v>7</v>
      </c>
      <c r="N25" s="688">
        <f t="array" aca="1" ref="N25" ca="1">IF($AI$15,SUM(($K$17:$K$25&gt;=K25)/COUNTIF($K$17:$K$25,$K$17:$K$25)),SUM(($L$17:$L$25&gt;=L25)/COUNTIF($L$17:$L$25,$L$17:$L$25)))</f>
        <v>2.9999999999999996</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103.01090000000001</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13">
        <v>1</v>
      </c>
      <c r="F29" s="1014"/>
      <c r="G29" s="1014"/>
      <c r="H29" s="1014"/>
      <c r="I29" s="1014"/>
      <c r="J29" s="1014"/>
      <c r="K29" s="1014"/>
      <c r="L29" s="1015"/>
      <c r="M29" s="1016">
        <v>2</v>
      </c>
      <c r="N29" s="1014"/>
      <c r="O29" s="1014"/>
      <c r="P29" s="1014"/>
      <c r="Q29" s="1014"/>
      <c r="R29" s="1014"/>
      <c r="S29" s="1014"/>
      <c r="T29" s="1015"/>
      <c r="U29" s="1016">
        <v>3</v>
      </c>
      <c r="V29" s="1014"/>
      <c r="W29" s="1014"/>
      <c r="X29" s="1014"/>
      <c r="Y29" s="1014"/>
      <c r="Z29" s="1014"/>
      <c r="AA29" s="1014"/>
      <c r="AB29" s="1015"/>
      <c r="AC29" s="1016">
        <v>4</v>
      </c>
      <c r="AD29" s="1014"/>
      <c r="AE29" s="1014"/>
      <c r="AF29" s="1014"/>
      <c r="AG29" s="1014"/>
      <c r="AH29" s="1014"/>
      <c r="AI29" s="1014"/>
      <c r="AJ29" s="1015"/>
      <c r="AK29" s="1016">
        <v>5</v>
      </c>
      <c r="AL29" s="1014"/>
      <c r="AM29" s="1014"/>
      <c r="AN29" s="1014"/>
      <c r="AO29" s="1014"/>
      <c r="AP29" s="1014"/>
      <c r="AQ29" s="1014"/>
      <c r="AR29" s="1015"/>
      <c r="AS29" s="1016">
        <v>6</v>
      </c>
      <c r="AT29" s="1014"/>
      <c r="AU29" s="1014"/>
      <c r="AV29" s="1014"/>
      <c r="AW29" s="1014"/>
      <c r="AX29" s="1014"/>
      <c r="AY29" s="1014"/>
      <c r="AZ29" s="1015"/>
      <c r="BA29" s="1016">
        <v>7</v>
      </c>
      <c r="BB29" s="1014"/>
      <c r="BC29" s="1014"/>
      <c r="BD29" s="1014"/>
      <c r="BE29" s="1014"/>
      <c r="BF29" s="1014"/>
      <c r="BG29" s="1014"/>
      <c r="BH29" s="1015"/>
      <c r="BI29" s="1016">
        <v>8</v>
      </c>
      <c r="BJ29" s="1014"/>
      <c r="BK29" s="1014"/>
      <c r="BL29" s="1014"/>
      <c r="BM29" s="1014"/>
      <c r="BN29" s="1014"/>
      <c r="BO29" s="1014"/>
      <c r="BP29" s="1017"/>
      <c r="BQ29" s="671"/>
      <c r="BR29" s="707" t="s">
        <v>94</v>
      </c>
      <c r="BS29" s="670" t="str">
        <f ca="1">$F$4</f>
        <v>VFB Essenheim</v>
      </c>
      <c r="BT29" s="670" t="str">
        <f ca="1">$F$5</f>
        <v>Inter Mailand</v>
      </c>
      <c r="BU29" s="670" t="str">
        <f ca="1">$F$6</f>
        <v/>
      </c>
      <c r="BV29" s="670" t="str">
        <f ca="1">$F$7</f>
        <v/>
      </c>
      <c r="BW29" s="670" t="str">
        <f>$F$8</f>
        <v/>
      </c>
      <c r="BX29" s="670" t="str">
        <f>$F$9</f>
        <v/>
      </c>
      <c r="BY29" s="670" t="str">
        <f>$F$10</f>
        <v/>
      </c>
      <c r="BZ29" s="670" t="str">
        <f>$F$11</f>
        <v/>
      </c>
      <c r="CA29" s="670" t="str">
        <f>$F$12</f>
        <v/>
      </c>
      <c r="CB29" s="709"/>
    </row>
    <row r="30" spans="1:80" s="1" customFormat="1" x14ac:dyDescent="0.2">
      <c r="A30" s="670"/>
      <c r="B30" s="670"/>
      <c r="C30" s="670" t="str">
        <f ca="1">$Q64</f>
        <v>VFB Essenheim</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VFB Essenheim</v>
      </c>
      <c r="BS30" s="712"/>
      <c r="BT30" s="713">
        <f t="shared" ref="BT30:CA30" ca="1" si="34">SUMIFS($AH$64:$AH$135,$V$64:$V$135,$BR30,$W$64:$W$135,BT$29)+SUMIFS($AI$64:$AI$135,$W$64:$W$135,$BR30,$V$64:$V$135,BT$29)</f>
        <v>70</v>
      </c>
      <c r="BU30" s="713">
        <f t="shared" ca="1" si="34"/>
        <v>0</v>
      </c>
      <c r="BV30" s="713">
        <f t="shared" ca="1" si="34"/>
        <v>0</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Inter Mailand</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Inter Mailand</v>
      </c>
      <c r="BS31" s="714">
        <f t="shared" ref="BS31:BS38" ca="1" si="36">SUMIFS($AH$64:$AH$135,$V$64:$V$135,$BR31,$W$64:$W$135,BS$29)+SUMIFS($AI$64:$AI$135,$W$64:$W$135,$BR31,$V$64:$V$135,BS$29)</f>
        <v>65</v>
      </c>
      <c r="BT31" s="712"/>
      <c r="BU31" s="713">
        <f t="shared" ref="BU31:CA31" ca="1" si="37">SUMIFS($AH$64:$AH$135,$V$64:$V$135,$BR31,$W$64:$W$135,BU$29)+SUMIFS($AI$64:$AI$135,$W$64:$W$135,$BR31,$V$64:$V$135,BU$29)</f>
        <v>0</v>
      </c>
      <c r="BV31" s="713">
        <f t="shared" ca="1" si="37"/>
        <v>0</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
      </c>
      <c r="BS32" s="714">
        <f t="shared" ca="1" si="36"/>
        <v>0</v>
      </c>
      <c r="BT32" s="714">
        <f t="shared" ref="BT32:BT38" ca="1" si="38">SUMIFS($AH$64:$AH$135,$V$64:$V$135,$BR32,$W$64:$W$135,BT$29)+SUMIFS($AI$64:$AI$135,$W$64:$W$135,$BR32,$V$64:$V$135,BT$29)</f>
        <v>0</v>
      </c>
      <c r="BU32" s="712"/>
      <c r="BV32" s="713">
        <f t="shared" ref="BV32:CA32" ca="1" si="39">SUMIFS($AH$64:$AH$135,$V$64:$V$135,$BR32,$W$64:$W$135,BV$29)+SUMIFS($AI$64:$AI$135,$W$64:$W$135,$BR32,$V$64:$V$135,BV$29)</f>
        <v>0</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
      </c>
      <c r="BS33" s="714">
        <f t="shared" ca="1" si="36"/>
        <v>0</v>
      </c>
      <c r="BT33" s="714">
        <f t="shared" ca="1" si="38"/>
        <v>0</v>
      </c>
      <c r="BU33" s="714">
        <f t="shared" ref="BU33:BU38" ca="1" si="40">SUMIFS($AH$64:$AH$135,$V$64:$V$135,$BR33,$W$64:$W$135,BU$29)+SUMIFS($AI$64:$AI$135,$W$64:$W$135,$BR33,$V$64:$V$135,BU$29)</f>
        <v>0</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VFB Essenheim</v>
      </c>
      <c r="BT40" s="670" t="str">
        <f ca="1">$F$5</f>
        <v>Inter Mailand</v>
      </c>
      <c r="BU40" s="670" t="str">
        <f ca="1">$F$6</f>
        <v/>
      </c>
      <c r="BV40" s="670" t="str">
        <f ca="1">$F$7</f>
        <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VFB Essenheim</v>
      </c>
      <c r="BS41" s="712"/>
      <c r="BT41" s="713">
        <f ca="1">BT30-BS31</f>
        <v>5</v>
      </c>
      <c r="BU41" s="713">
        <f ca="1">BU30-BS32</f>
        <v>0</v>
      </c>
      <c r="BV41" s="713">
        <f ca="1">BV30-BS33</f>
        <v>0</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Inter Mailand</v>
      </c>
      <c r="BS42" s="714">
        <f ca="1">IF(BT41="","",-1*BT41)</f>
        <v>-5</v>
      </c>
      <c r="BT42" s="712"/>
      <c r="BU42" s="713">
        <f ca="1">BU31-BT32</f>
        <v>0</v>
      </c>
      <c r="BV42" s="713">
        <f ca="1">BV31-BT33</f>
        <v>0</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
      </c>
      <c r="BS43" s="714">
        <f ca="1">IF(BU41="","",-1*BU41)</f>
        <v>0</v>
      </c>
      <c r="BT43" s="714">
        <f ca="1">IF(BU42="","",-1*BU42)</f>
        <v>0</v>
      </c>
      <c r="BU43" s="712"/>
      <c r="BV43" s="713">
        <f ca="1">BV32-BU33</f>
        <v>0</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
      </c>
      <c r="BS44" s="714">
        <f ca="1">IF(BV41="","",-1*BV41)</f>
        <v>0</v>
      </c>
      <c r="BT44" s="714">
        <f ca="1">IF(BV42="","",-1*BV42)</f>
        <v>0</v>
      </c>
      <c r="BU44" s="714">
        <f ca="1">IF(BV43="","",-1*BV43)</f>
        <v>0</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 ca="1">$F$4</f>
        <v>VFB Essenheim</v>
      </c>
      <c r="BT51" s="670" t="str">
        <f ca="1">$F$5</f>
        <v>Inter Mailand</v>
      </c>
      <c r="BU51" s="670" t="str">
        <f ca="1">$F$6</f>
        <v/>
      </c>
      <c r="BV51" s="670" t="str">
        <f ca="1">$F$7</f>
        <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VFB Essenheim</v>
      </c>
      <c r="BS52" s="712"/>
      <c r="BT52" s="713">
        <f t="shared" ref="BT52:CA54" ca="1" si="44">SUMIFS($AJ$64:$AJ$135,$V$64:$V$135,$BR52,$W$64:$W$135,BT$51)+SUMIFS($AK$64:$AK$135,$W$64:$W$135,$BR52,$V$64:$V$135,BT$51)</f>
        <v>2</v>
      </c>
      <c r="BU52" s="713">
        <f t="shared" ca="1" si="44"/>
        <v>0</v>
      </c>
      <c r="BV52" s="713">
        <f t="shared" ca="1" si="44"/>
        <v>0</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Inter Mailand</v>
      </c>
      <c r="BS53" s="714">
        <f t="shared" ref="BS53:BU60" ca="1" si="45">SUMIFS($AJ$64:$AJ$135,$V$64:$V$135,$BR53,$W$64:$W$135,BS$51)+SUMIFS($AK$64:$AK$135,$W$64:$W$135,$BR53,$V$64:$V$135,BS$51)</f>
        <v>1</v>
      </c>
      <c r="BT53" s="712"/>
      <c r="BU53" s="713">
        <f t="shared" ca="1" si="44"/>
        <v>0</v>
      </c>
      <c r="BV53" s="713">
        <f t="shared" ca="1" si="44"/>
        <v>0</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
      </c>
      <c r="BS54" s="714">
        <f t="shared" ca="1" si="45"/>
        <v>0</v>
      </c>
      <c r="BT54" s="714">
        <f t="shared" ca="1" si="45"/>
        <v>0</v>
      </c>
      <c r="BU54" s="712"/>
      <c r="BV54" s="713">
        <f t="shared" ca="1" si="44"/>
        <v>0</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
      </c>
      <c r="BS55" s="714">
        <f t="shared" ca="1" si="45"/>
        <v>0</v>
      </c>
      <c r="BT55" s="714">
        <f t="shared" ca="1" si="45"/>
        <v>0</v>
      </c>
      <c r="BU55" s="714">
        <f t="shared" ca="1" si="45"/>
        <v>0</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8" t="s">
        <v>312</v>
      </c>
      <c r="Y63" s="1018"/>
      <c r="Z63" s="674" t="s">
        <v>150</v>
      </c>
      <c r="AA63" s="674" t="s">
        <v>15</v>
      </c>
      <c r="AB63" s="674" t="s">
        <v>400</v>
      </c>
      <c r="AC63" s="782" t="s">
        <v>399</v>
      </c>
      <c r="AD63" s="1019" t="s">
        <v>314</v>
      </c>
      <c r="AE63" s="1019"/>
      <c r="AF63" s="1019" t="s">
        <v>318</v>
      </c>
      <c r="AG63" s="1019"/>
      <c r="AH63" s="1019" t="s">
        <v>400</v>
      </c>
      <c r="AI63" s="1019"/>
      <c r="AJ63" s="1020" t="s">
        <v>399</v>
      </c>
      <c r="AK63" s="1020"/>
      <c r="AL63" s="1019" t="s">
        <v>108</v>
      </c>
      <c r="AM63" s="1019"/>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 ca="1">IF('Endrunde 4'!$AS26="","",'Endrunde 4'!$AS26)</f>
        <v>VFB Essenheim</v>
      </c>
      <c r="R64" s="670"/>
      <c r="S64" s="670"/>
      <c r="T64" s="670"/>
      <c r="U64" s="728" t="s">
        <v>6</v>
      </c>
      <c r="V64" s="6" t="str">
        <f ca="1">'Endrunde 4'!$I12</f>
        <v>VFB Essenheim</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32" t="str">
        <f ca="1">V64&amp;W64</f>
        <v>VFB Essenheim</v>
      </c>
      <c r="AA64" s="730">
        <f ca="1">IF(AND(V64&lt;&gt;"",W64&lt;&gt;"",V64&lt;&gt;W64,'Endrunde 4'!$U12&lt;&gt;"",'Endrunde 4'!$W12&lt;&gt;""),1,0)</f>
        <v>0</v>
      </c>
      <c r="AB64" s="733" t="str">
        <f ca="1">IF(AA64&gt;0,AH64&amp;Sprache!$E$99&amp;AI64,"")</f>
        <v/>
      </c>
      <c r="AC64" s="73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35" t="str">
        <f ca="1">IF(AA64&gt;0,SUM(X64,AD64,AF64),"")</f>
        <v/>
      </c>
      <c r="AI64" s="734" t="str">
        <f ca="1">IF(AA64&gt;0,SUM(Y64,AE64,AG64),"")</f>
        <v/>
      </c>
      <c r="AJ64" s="735">
        <f ca="1">IF('Endrunde 4'!$U12="",0,'Endrunde 4'!$U12)</f>
        <v>0</v>
      </c>
      <c r="AK64" s="734">
        <f ca="1">IF('Endrunde 4'!$W12="",0,'Endrunde 4'!$W12)</f>
        <v>0</v>
      </c>
      <c r="AL64" s="735" t="str">
        <f ca="1">IF($AA64=0,"",IF($AJ64&gt;$AK64,Einstellungen!$C$4,IF($AJ64=$AK64,1,0)))</f>
        <v/>
      </c>
      <c r="AM64" s="734" t="str">
        <f ca="1">IF($AA64=0,"",IF($AJ64&lt;$AK64,Einstellungen!$C$4,IF($AJ64=$AK64,1,0)))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 ca="1">IF('Endrunde 4'!$AS27="","",'Endrunde 4'!$AS27)</f>
        <v>Inter Mailand</v>
      </c>
      <c r="R65" s="670"/>
      <c r="S65" s="670"/>
      <c r="T65" s="670"/>
      <c r="U65" s="742" t="s">
        <v>7</v>
      </c>
      <c r="V65" s="743" t="str">
        <f ca="1">'Endrunde 4'!$I13</f>
        <v>1. FC Riedwald</v>
      </c>
      <c r="W65" s="671" t="str">
        <f ca="1">'Endrunde 4'!$K13</f>
        <v>SSV Wildbach</v>
      </c>
      <c r="X65" s="671">
        <f ca="1">IF(AND($AA65=1,'Endrunde 4'!$L13&lt;&gt;"",'Endrunde 4'!$N13&lt;&gt;"",ABS('Endrunde 4'!$L13-'Endrunde 4'!$N13)&gt;1),'Endrunde 4'!$L13,"")</f>
        <v>25</v>
      </c>
      <c r="Y65" s="744">
        <f ca="1">IF(AND($AA65=1,'Endrunde 4'!$L13&lt;&gt;"",'Endrunde 4'!$N13&lt;&gt;"",ABS('Endrunde 4'!$L13-'Endrunde 4'!$N13)&gt;1),'Endrunde 4'!$N13,"")</f>
        <v>20</v>
      </c>
      <c r="Z65" s="745" t="str">
        <f t="shared" ref="Z65:Z73" ca="1" si="46">V65&amp;W65</f>
        <v>1. FC RiedwaldSSV Wildbach</v>
      </c>
      <c r="AA65" s="671">
        <f ca="1">IF(AND(V65&lt;&gt;"",W65&lt;&gt;"",V65&lt;&gt;W65,'Endrunde 4'!$U13&lt;&gt;"",'Endrunde 4'!$W13&lt;&gt;""),1,0)</f>
        <v>1</v>
      </c>
      <c r="AB65" s="671" t="str">
        <f ca="1">IF(AA65&gt;0,AH65&amp;Sprache!$E$99&amp;AI65,"")</f>
        <v>42 : 45</v>
      </c>
      <c r="AC65" s="746" t="str">
        <f ca="1">IF(AA65&gt;0,AJ65&amp;Sprache!$E$99&amp;AK65,"")</f>
        <v>1 : 1</v>
      </c>
      <c r="AD65" s="747">
        <f ca="1">IF(AND($AA65=1,'Endrunde 4'!$O13&lt;&gt;"",'Endrunde 4'!$Q13&lt;&gt;"",ABS('Endrunde 4'!$O13-'Endrunde 4'!$Q13)&gt;1),'Endrunde 4'!$O13,"")</f>
        <v>17</v>
      </c>
      <c r="AE65" s="746">
        <f ca="1">IF(AND($AA65=1,'Endrunde 4'!$O13&lt;&gt;"",'Endrunde 4'!$Q13&lt;&gt;"",ABS('Endrunde 4'!$O13-'Endrunde 4'!$Q13)&gt;1),'Endrunde 4'!$Q13,"")</f>
        <v>25</v>
      </c>
      <c r="AF65" s="747" t="str">
        <f ca="1">IF(AND($AA65=1,'Endrunde 4'!$R13&lt;&gt;"",'Endrunde 4'!$T13&lt;&gt;"",ABS('Endrunde 4'!$R13-'Endrunde 4'!$T13)&gt;1),'Endrunde 4'!$R13,"")</f>
        <v/>
      </c>
      <c r="AG65" s="746" t="str">
        <f ca="1">IF(AND($AA65=1,'Endrunde 4'!$R13&lt;&gt;"",'Endrunde 4'!$T13&lt;&gt;"",ABS('Endrunde 4'!$R13-'Endrunde 4'!$T13)&gt;1),'Endrunde 4'!$T13,"")</f>
        <v/>
      </c>
      <c r="AH65" s="747">
        <f t="shared" ref="AH65:AH81" ca="1" si="47">IF(AA65&gt;0,SUM(X65,AD65,AF65),"")</f>
        <v>42</v>
      </c>
      <c r="AI65" s="746">
        <f t="shared" ref="AI65:AI81" ca="1" si="48">IF(AA65&gt;0,SUM(Y65,AE65,AG65),"")</f>
        <v>45</v>
      </c>
      <c r="AJ65" s="747">
        <f ca="1">IF('Endrunde 4'!$U13="",0,'Endrunde 4'!$U13)</f>
        <v>1</v>
      </c>
      <c r="AK65" s="746">
        <f ca="1">IF('Endrunde 4'!$W13="",0,'Endrunde 4'!$W13)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 ca="1">IF('Endrunde 4'!$AS28="","",'Endrunde 4'!$AS28)</f>
        <v/>
      </c>
      <c r="R66" s="670"/>
      <c r="S66" s="670"/>
      <c r="T66" s="670"/>
      <c r="U66" s="742" t="s">
        <v>8</v>
      </c>
      <c r="V66" s="743" t="str">
        <f ca="1">'Endrunde 4'!$I14</f>
        <v>Eintracht Frankfurt</v>
      </c>
      <c r="W66" s="671" t="str">
        <f ca="1">'Endrunde 4'!$K14</f>
        <v>Manchester City</v>
      </c>
      <c r="X66" s="671">
        <f ca="1">IF(AND($AA66=1,'Endrunde 4'!$L14&lt;&gt;"",'Endrunde 4'!$N14&lt;&gt;"",ABS('Endrunde 4'!$L14-'Endrunde 4'!$N14)&gt;1),'Endrunde 4'!$L14,"")</f>
        <v>19</v>
      </c>
      <c r="Y66" s="744">
        <f ca="1">IF(AND($AA66=1,'Endrunde 4'!$L14&lt;&gt;"",'Endrunde 4'!$N14&lt;&gt;"",ABS('Endrunde 4'!$L14-'Endrunde 4'!$N14)&gt;1),'Endrunde 4'!$N14,"")</f>
        <v>25</v>
      </c>
      <c r="Z66" s="745" t="str">
        <f t="shared" ca="1" si="46"/>
        <v>Eintracht FrankfurtManchester City</v>
      </c>
      <c r="AA66" s="671">
        <f ca="1">IF(AND(V66&lt;&gt;"",W66&lt;&gt;"",V66&lt;&gt;W66,'Endrunde 4'!$U14&lt;&gt;"",'Endrunde 4'!$W14&lt;&gt;""),1,0)</f>
        <v>1</v>
      </c>
      <c r="AB66" s="671" t="str">
        <f ca="1">IF(AA66&gt;0,AH66&amp;Sprache!$E$99&amp;AI66,"")</f>
        <v>35 : 50</v>
      </c>
      <c r="AC66" s="746" t="str">
        <f ca="1">IF(AA66&gt;0,AJ66&amp;Sprache!$E$99&amp;AK66,"")</f>
        <v>0 : 2</v>
      </c>
      <c r="AD66" s="747">
        <f ca="1">IF(AND($AA66=1,'Endrunde 4'!$O14&lt;&gt;"",'Endrunde 4'!$Q14&lt;&gt;"",ABS('Endrunde 4'!$O14-'Endrunde 4'!$Q14)&gt;1),'Endrunde 4'!$O14,"")</f>
        <v>16</v>
      </c>
      <c r="AE66" s="746">
        <f ca="1">IF(AND($AA66=1,'Endrunde 4'!$O14&lt;&gt;"",'Endrunde 4'!$Q14&lt;&gt;"",ABS('Endrunde 4'!$O14-'Endrunde 4'!$Q14)&gt;1),'Endrunde 4'!$Q14,"")</f>
        <v>25</v>
      </c>
      <c r="AF66" s="747" t="str">
        <f ca="1">IF(AND($AA66=1,'Endrunde 4'!$R14&lt;&gt;"",'Endrunde 4'!$T14&lt;&gt;"",ABS('Endrunde 4'!$R14-'Endrunde 4'!$T14)&gt;1),'Endrunde 4'!$R14,"")</f>
        <v/>
      </c>
      <c r="AG66" s="746" t="str">
        <f ca="1">IF(AND($AA66=1,'Endrunde 4'!$R14&lt;&gt;"",'Endrunde 4'!$T14&lt;&gt;"",ABS('Endrunde 4'!$R14-'Endrunde 4'!$T14)&gt;1),'Endrunde 4'!$T14,"")</f>
        <v/>
      </c>
      <c r="AH66" s="747">
        <f t="shared" ca="1" si="47"/>
        <v>35</v>
      </c>
      <c r="AI66" s="746">
        <f t="shared" ca="1" si="48"/>
        <v>50</v>
      </c>
      <c r="AJ66" s="747">
        <f ca="1">IF('Endrunde 4'!$U14="",0,'Endrunde 4'!$U14)</f>
        <v>0</v>
      </c>
      <c r="AK66" s="746">
        <f ca="1">IF('Endrunde 4'!$W14="",0,'Endrunde 4'!$W14)</f>
        <v>2</v>
      </c>
      <c r="AL66" s="747">
        <f ca="1">IF($AA66=0,"",IF($AJ66&gt;$AK66,Einstellungen!$C$4,IF($AJ66=$AK66,1,0)))</f>
        <v>0</v>
      </c>
      <c r="AM66" s="746">
        <f ca="1">IF($AA66=0,"",IF($AJ66&lt;$AK66,Einstellungen!$C$4,IF($AJ66=$AK66,1,0)))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 ca="1">IF('Endrunde 4'!$AS29="","",'Endrunde 4'!$AS29)</f>
        <v/>
      </c>
      <c r="R67" s="670"/>
      <c r="S67" s="670"/>
      <c r="T67" s="670"/>
      <c r="U67" s="742" t="s">
        <v>9</v>
      </c>
      <c r="V67" s="743" t="str">
        <f ca="1">'Endrunde 4'!$I15</f>
        <v>Inter Mailand</v>
      </c>
      <c r="W67" s="671" t="str">
        <f ca="1">'Endrunde 4'!$K15</f>
        <v/>
      </c>
      <c r="X67" s="671" t="str">
        <f ca="1">IF(AND($AA67=1,'Endrunde 4'!$L15&lt;&gt;"",'Endrunde 4'!$N15&lt;&gt;"",ABS('Endrunde 4'!$L15-'Endrunde 4'!$N15)&gt;1),'Endrunde 4'!$L15,"")</f>
        <v/>
      </c>
      <c r="Y67" s="744" t="str">
        <f ca="1">IF(AND($AA67=1,'Endrunde 4'!$L15&lt;&gt;"",'Endrunde 4'!$N15&lt;&gt;"",ABS('Endrunde 4'!$L15-'Endrunde 4'!$N15)&gt;1),'Endrunde 4'!$N15,"")</f>
        <v/>
      </c>
      <c r="Z67" s="745" t="str">
        <f t="shared" ca="1" si="46"/>
        <v>Inter Mailand</v>
      </c>
      <c r="AA67" s="671">
        <f ca="1">IF(AND(V67&lt;&gt;"",W67&lt;&gt;"",V67&lt;&gt;W67,'Endrunde 4'!$U15&lt;&gt;"",'Endrunde 4'!$W15&lt;&gt;""),1,0)</f>
        <v>0</v>
      </c>
      <c r="AB67" s="671" t="str">
        <f ca="1">IF(AA67&gt;0,AH67&amp;Sprache!$E$99&amp;AI67,"")</f>
        <v/>
      </c>
      <c r="AC67" s="746" t="str">
        <f ca="1">IF(AA67&gt;0,AJ67&amp;Sprache!$E$99&amp;AK67,"")</f>
        <v/>
      </c>
      <c r="AD67" s="747" t="str">
        <f ca="1">IF(AND($AA67=1,'Endrunde 4'!$O15&lt;&gt;"",'Endrunde 4'!$Q15&lt;&gt;"",ABS('Endrunde 4'!$O15-'Endrunde 4'!$Q15)&gt;1),'Endrunde 4'!$O15,"")</f>
        <v/>
      </c>
      <c r="AE67" s="746" t="str">
        <f ca="1">IF(AND($AA67=1,'Endrunde 4'!$O15&lt;&gt;"",'Endrunde 4'!$Q15&lt;&gt;"",ABS('Endrunde 4'!$O15-'Endrunde 4'!$Q15)&gt;1),'Endrunde 4'!$Q15,"")</f>
        <v/>
      </c>
      <c r="AF67" s="747" t="str">
        <f ca="1">IF(AND($AA67=1,'Endrunde 4'!$R15&lt;&gt;"",'Endrunde 4'!$T15&lt;&gt;"",ABS('Endrunde 4'!$R15-'Endrunde 4'!$T15)&gt;1),'Endrunde 4'!$R15,"")</f>
        <v/>
      </c>
      <c r="AG67" s="746" t="str">
        <f ca="1">IF(AND($AA67=1,'Endrunde 4'!$R15&lt;&gt;"",'Endrunde 4'!$T15&lt;&gt;"",ABS('Endrunde 4'!$R15-'Endrunde 4'!$T15)&gt;1),'Endrunde 4'!$T15,"")</f>
        <v/>
      </c>
      <c r="AH67" s="747" t="str">
        <f t="shared" ca="1" si="47"/>
        <v/>
      </c>
      <c r="AI67" s="746" t="str">
        <f t="shared" ca="1" si="48"/>
        <v/>
      </c>
      <c r="AJ67" s="747">
        <f ca="1">IF('Endrunde 4'!$U15="",0,'Endrunde 4'!$U15)</f>
        <v>0</v>
      </c>
      <c r="AK67" s="746">
        <f ca="1">IF('Endrunde 4'!$W15="",0,'Endrunde 4'!$W15)</f>
        <v>0</v>
      </c>
      <c r="AL67" s="747" t="str">
        <f ca="1">IF($AA67=0,"",IF($AJ67&gt;$AK67,Einstellungen!$C$4,IF($AJ67=$AK67,1,0)))</f>
        <v/>
      </c>
      <c r="AM67" s="746" t="str">
        <f ca="1">IF($AA67=0,"",IF($AJ67&lt;$AK67,Einstellungen!$C$4,IF($AJ67=$AK67,1,0)))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'Endrunde 4'!$I16</f>
        <v>FC Grönlingen</v>
      </c>
      <c r="W68" s="671" t="str">
        <f ca="1">'Endrunde 4'!$K16</f>
        <v>FC Barcelona</v>
      </c>
      <c r="X68" s="671">
        <f ca="1">IF(AND($AA68=1,'Endrunde 4'!$L16&lt;&gt;"",'Endrunde 4'!$N16&lt;&gt;"",ABS('Endrunde 4'!$L16-'Endrunde 4'!$N16)&gt;1),'Endrunde 4'!$L16,"")</f>
        <v>25</v>
      </c>
      <c r="Y68" s="744">
        <f ca="1">IF(AND($AA68=1,'Endrunde 4'!$L16&lt;&gt;"",'Endrunde 4'!$N16&lt;&gt;"",ABS('Endrunde 4'!$L16-'Endrunde 4'!$N16)&gt;1),'Endrunde 4'!$N16,"")</f>
        <v>23</v>
      </c>
      <c r="Z68" s="745" t="str">
        <f t="shared" ca="1" si="46"/>
        <v>FC GrönlingenFC Barcelona</v>
      </c>
      <c r="AA68" s="671">
        <f ca="1">IF(AND(V68&lt;&gt;"",W68&lt;&gt;"",V68&lt;&gt;W68,'Endrunde 4'!$U16&lt;&gt;"",'Endrunde 4'!$W16&lt;&gt;""),1,0)</f>
        <v>1</v>
      </c>
      <c r="AB68" s="671" t="str">
        <f ca="1">IF(AA68&gt;0,AH68&amp;Sprache!$E$99&amp;AI68,"")</f>
        <v>50 : 44</v>
      </c>
      <c r="AC68" s="746" t="str">
        <f ca="1">IF(AA68&gt;0,AJ68&amp;Sprache!$E$99&amp;AK68,"")</f>
        <v>2 : 0</v>
      </c>
      <c r="AD68" s="747">
        <f ca="1">IF(AND($AA68=1,'Endrunde 4'!$O16&lt;&gt;"",'Endrunde 4'!$Q16&lt;&gt;"",ABS('Endrunde 4'!$O16-'Endrunde 4'!$Q16)&gt;1),'Endrunde 4'!$O16,"")</f>
        <v>25</v>
      </c>
      <c r="AE68" s="746">
        <f ca="1">IF(AND($AA68=1,'Endrunde 4'!$O16&lt;&gt;"",'Endrunde 4'!$Q16&lt;&gt;"",ABS('Endrunde 4'!$O16-'Endrunde 4'!$Q16)&gt;1),'Endrunde 4'!$Q16,"")</f>
        <v>21</v>
      </c>
      <c r="AF68" s="747" t="str">
        <f ca="1">IF(AND($AA68=1,'Endrunde 4'!$R16&lt;&gt;"",'Endrunde 4'!$T16&lt;&gt;"",ABS('Endrunde 4'!$R16-'Endrunde 4'!$T16)&gt;1),'Endrunde 4'!$R16,"")</f>
        <v/>
      </c>
      <c r="AG68" s="746" t="str">
        <f ca="1">IF(AND($AA68=1,'Endrunde 4'!$R16&lt;&gt;"",'Endrunde 4'!$T16&lt;&gt;"",ABS('Endrunde 4'!$R16-'Endrunde 4'!$T16)&gt;1),'Endrunde 4'!$T16,"")</f>
        <v/>
      </c>
      <c r="AH68" s="747">
        <f t="shared" ca="1" si="47"/>
        <v>50</v>
      </c>
      <c r="AI68" s="746">
        <f t="shared" ca="1" si="48"/>
        <v>44</v>
      </c>
      <c r="AJ68" s="747">
        <f ca="1">IF('Endrunde 4'!$U16="",0,'Endrunde 4'!$U16)</f>
        <v>2</v>
      </c>
      <c r="AK68" s="746">
        <f ca="1">IF('Endrunde 4'!$W16="",0,'Endrunde 4'!$W16)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'Endrunde 4'!$I17</f>
        <v>Mainz 05</v>
      </c>
      <c r="W69" s="671" t="str">
        <f ca="1">'Endrunde 4'!$K17</f>
        <v>Maibach 1822 eV</v>
      </c>
      <c r="X69" s="671">
        <f ca="1">IF(AND($AA69=1,'Endrunde 4'!$L17&lt;&gt;"",'Endrunde 4'!$N17&lt;&gt;"",ABS('Endrunde 4'!$L17-'Endrunde 4'!$N17)&gt;1),'Endrunde 4'!$L17,"")</f>
        <v>25</v>
      </c>
      <c r="Y69" s="744">
        <f ca="1">IF(AND($AA69=1,'Endrunde 4'!$L17&lt;&gt;"",'Endrunde 4'!$N17&lt;&gt;"",ABS('Endrunde 4'!$L17-'Endrunde 4'!$N17)&gt;1),'Endrunde 4'!$N17,"")</f>
        <v>17</v>
      </c>
      <c r="Z69" s="745" t="str">
        <f t="shared" ca="1" si="46"/>
        <v>Mainz 05Maibach 1822 eV</v>
      </c>
      <c r="AA69" s="671">
        <f ca="1">IF(AND(V69&lt;&gt;"",W69&lt;&gt;"",V69&lt;&gt;W69,'Endrunde 4'!$U17&lt;&gt;"",'Endrunde 4'!$W17&lt;&gt;""),1,0)</f>
        <v>1</v>
      </c>
      <c r="AB69" s="671" t="str">
        <f ca="1">IF(AA69&gt;0,AH69&amp;Sprache!$E$99&amp;AI69,"")</f>
        <v>50 : 39</v>
      </c>
      <c r="AC69" s="746" t="str">
        <f ca="1">IF(AA69&gt;0,AJ69&amp;Sprache!$E$99&amp;AK69,"")</f>
        <v>2 : 0</v>
      </c>
      <c r="AD69" s="747">
        <f ca="1">IF(AND($AA69=1,'Endrunde 4'!$O17&lt;&gt;"",'Endrunde 4'!$Q17&lt;&gt;"",ABS('Endrunde 4'!$O17-'Endrunde 4'!$Q17)&gt;1),'Endrunde 4'!$O17,"")</f>
        <v>25</v>
      </c>
      <c r="AE69" s="746">
        <f ca="1">IF(AND($AA69=1,'Endrunde 4'!$O17&lt;&gt;"",'Endrunde 4'!$Q17&lt;&gt;"",ABS('Endrunde 4'!$O17-'Endrunde 4'!$Q17)&gt;1),'Endrunde 4'!$Q17,"")</f>
        <v>22</v>
      </c>
      <c r="AF69" s="747" t="str">
        <f ca="1">IF(AND($AA69=1,'Endrunde 4'!$R17&lt;&gt;"",'Endrunde 4'!$T17&lt;&gt;"",ABS('Endrunde 4'!$R17-'Endrunde 4'!$T17)&gt;1),'Endrunde 4'!$R17,"")</f>
        <v/>
      </c>
      <c r="AG69" s="746" t="str">
        <f ca="1">IF(AND($AA69=1,'Endrunde 4'!$R17&lt;&gt;"",'Endrunde 4'!$T17&lt;&gt;"",ABS('Endrunde 4'!$R17-'Endrunde 4'!$T17)&gt;1),'Endrunde 4'!$T17,"")</f>
        <v/>
      </c>
      <c r="AH69" s="747">
        <f t="shared" ca="1" si="47"/>
        <v>50</v>
      </c>
      <c r="AI69" s="746">
        <f t="shared" ca="1" si="48"/>
        <v>39</v>
      </c>
      <c r="AJ69" s="747">
        <f ca="1">IF('Endrunde 4'!$U17="",0,'Endrunde 4'!$U17)</f>
        <v>2</v>
      </c>
      <c r="AK69" s="746">
        <f ca="1">IF('Endrunde 4'!$W17="",0,'Endrunde 4'!$W17)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'Endrunde 4'!$I18</f>
        <v>VFB Essenheim</v>
      </c>
      <c r="W70" s="671" t="str">
        <f ca="1">'Endrunde 4'!$K18</f>
        <v/>
      </c>
      <c r="X70" s="671" t="str">
        <f ca="1">IF(AND($AA70=1,'Endrunde 4'!$L18&lt;&gt;"",'Endrunde 4'!$N18&lt;&gt;"",ABS('Endrunde 4'!$L18-'Endrunde 4'!$N18)&gt;1),'Endrunde 4'!$L18,"")</f>
        <v/>
      </c>
      <c r="Y70" s="744" t="str">
        <f ca="1">IF(AND($AA70=1,'Endrunde 4'!$L18&lt;&gt;"",'Endrunde 4'!$N18&lt;&gt;"",ABS('Endrunde 4'!$L18-'Endrunde 4'!$N18)&gt;1),'Endrunde 4'!$N18,"")</f>
        <v/>
      </c>
      <c r="Z70" s="745" t="str">
        <f t="shared" ca="1" si="46"/>
        <v>VFB Essenheim</v>
      </c>
      <c r="AA70" s="671">
        <f ca="1">IF(AND(V70&lt;&gt;"",W70&lt;&gt;"",V70&lt;&gt;W70,'Endrunde 4'!$U18&lt;&gt;"",'Endrunde 4'!$W18&lt;&gt;""),1,0)</f>
        <v>0</v>
      </c>
      <c r="AB70" s="671" t="str">
        <f ca="1">IF(AA70&gt;0,AH70&amp;Sprache!$E$99&amp;AI70,"")</f>
        <v/>
      </c>
      <c r="AC70" s="746" t="str">
        <f ca="1">IF(AA70&gt;0,AJ70&amp;Sprache!$E$99&amp;AK70,"")</f>
        <v/>
      </c>
      <c r="AD70" s="747" t="str">
        <f ca="1">IF(AND($AA70=1,'Endrunde 4'!$O18&lt;&gt;"",'Endrunde 4'!$Q18&lt;&gt;"",ABS('Endrunde 4'!$O18-'Endrunde 4'!$Q18)&gt;1),'Endrunde 4'!$O18,"")</f>
        <v/>
      </c>
      <c r="AE70" s="746" t="str">
        <f ca="1">IF(AND($AA70=1,'Endrunde 4'!$O18&lt;&gt;"",'Endrunde 4'!$Q18&lt;&gt;"",ABS('Endrunde 4'!$O18-'Endrunde 4'!$Q18)&gt;1),'Endrunde 4'!$Q18,"")</f>
        <v/>
      </c>
      <c r="AF70" s="747" t="str">
        <f ca="1">IF(AND($AA70=1,'Endrunde 4'!$R18&lt;&gt;"",'Endrunde 4'!$T18&lt;&gt;"",ABS('Endrunde 4'!$R18-'Endrunde 4'!$T18)&gt;1),'Endrunde 4'!$R18,"")</f>
        <v/>
      </c>
      <c r="AG70" s="746" t="str">
        <f ca="1">IF(AND($AA70=1,'Endrunde 4'!$R18&lt;&gt;"",'Endrunde 4'!$T18&lt;&gt;"",ABS('Endrunde 4'!$R18-'Endrunde 4'!$T18)&gt;1),'Endrunde 4'!$T18,"")</f>
        <v/>
      </c>
      <c r="AH70" s="747" t="str">
        <f t="shared" ca="1" si="47"/>
        <v/>
      </c>
      <c r="AI70" s="746" t="str">
        <f t="shared" ca="1" si="48"/>
        <v/>
      </c>
      <c r="AJ70" s="747">
        <f ca="1">IF('Endrunde 4'!$U18="",0,'Endrunde 4'!$U18)</f>
        <v>0</v>
      </c>
      <c r="AK70" s="746">
        <f ca="1">IF('Endrunde 4'!$W18="",0,'Endrunde 4'!$W18)</f>
        <v>0</v>
      </c>
      <c r="AL70" s="747" t="str">
        <f ca="1">IF($AA70=0,"",IF($AJ70&gt;$AK70,Einstellungen!$C$4,IF($AJ70=$AK70,1,0)))</f>
        <v/>
      </c>
      <c r="AM70" s="746" t="str">
        <f ca="1">IF($AA70=0,"",IF($AJ70&lt;$AK70,Einstellungen!$C$4,IF($AJ70=$AK70,1,0)))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'Endrunde 4'!$I19</f>
        <v>1. FC Riedwald</v>
      </c>
      <c r="W71" s="671" t="str">
        <f ca="1">'Endrunde 4'!$K19</f>
        <v>FC Barcelona</v>
      </c>
      <c r="X71" s="671">
        <f ca="1">IF(AND($AA71=1,'Endrunde 4'!$L19&lt;&gt;"",'Endrunde 4'!$N19&lt;&gt;"",ABS('Endrunde 4'!$L19-'Endrunde 4'!$N19)&gt;1),'Endrunde 4'!$L19,"")</f>
        <v>19</v>
      </c>
      <c r="Y71" s="744">
        <f ca="1">IF(AND($AA71=1,'Endrunde 4'!$L19&lt;&gt;"",'Endrunde 4'!$N19&lt;&gt;"",ABS('Endrunde 4'!$L19-'Endrunde 4'!$N19)&gt;1),'Endrunde 4'!$N19,"")</f>
        <v>25</v>
      </c>
      <c r="Z71" s="745" t="str">
        <f t="shared" ca="1" si="46"/>
        <v>1. FC RiedwaldFC Barcelona</v>
      </c>
      <c r="AA71" s="671">
        <f ca="1">IF(AND(V71&lt;&gt;"",W71&lt;&gt;"",V71&lt;&gt;W71,'Endrunde 4'!$U19&lt;&gt;"",'Endrunde 4'!$W19&lt;&gt;""),1,0)</f>
        <v>1</v>
      </c>
      <c r="AB71" s="671" t="str">
        <f ca="1">IF(AA71&gt;0,AH71&amp;Sprache!$E$99&amp;AI71,"")</f>
        <v>44 : 37</v>
      </c>
      <c r="AC71" s="746" t="str">
        <f ca="1">IF(AA71&gt;0,AJ71&amp;Sprache!$E$99&amp;AK71,"")</f>
        <v>1 : 1</v>
      </c>
      <c r="AD71" s="747">
        <f ca="1">IF(AND($AA71=1,'Endrunde 4'!$O19&lt;&gt;"",'Endrunde 4'!$Q19&lt;&gt;"",ABS('Endrunde 4'!$O19-'Endrunde 4'!$Q19)&gt;1),'Endrunde 4'!$O19,"")</f>
        <v>25</v>
      </c>
      <c r="AE71" s="746">
        <f ca="1">IF(AND($AA71=1,'Endrunde 4'!$O19&lt;&gt;"",'Endrunde 4'!$Q19&lt;&gt;"",ABS('Endrunde 4'!$O19-'Endrunde 4'!$Q19)&gt;1),'Endrunde 4'!$Q19,"")</f>
        <v>12</v>
      </c>
      <c r="AF71" s="747" t="str">
        <f ca="1">IF(AND($AA71=1,'Endrunde 4'!$R19&lt;&gt;"",'Endrunde 4'!$T19&lt;&gt;"",ABS('Endrunde 4'!$R19-'Endrunde 4'!$T19)&gt;1),'Endrunde 4'!$R19,"")</f>
        <v/>
      </c>
      <c r="AG71" s="746" t="str">
        <f ca="1">IF(AND($AA71=1,'Endrunde 4'!$R19&lt;&gt;"",'Endrunde 4'!$T19&lt;&gt;"",ABS('Endrunde 4'!$R19-'Endrunde 4'!$T19)&gt;1),'Endrunde 4'!$T19,"")</f>
        <v/>
      </c>
      <c r="AH71" s="747">
        <f t="shared" ca="1" si="47"/>
        <v>44</v>
      </c>
      <c r="AI71" s="746">
        <f t="shared" ca="1" si="48"/>
        <v>37</v>
      </c>
      <c r="AJ71" s="747">
        <f ca="1">IF('Endrunde 4'!$U19="",0,'Endrunde 4'!$U19)</f>
        <v>1</v>
      </c>
      <c r="AK71" s="746">
        <f ca="1">IF('Endrunde 4'!$W19="",0,'Endrunde 4'!$W19)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'Endrunde 4'!$I20</f>
        <v>Eintracht Frankfurt</v>
      </c>
      <c r="W72" s="671" t="str">
        <f ca="1">'Endrunde 4'!$K20</f>
        <v>Maibach 1822 eV</v>
      </c>
      <c r="X72" s="671">
        <f ca="1">IF(AND($AA72=1,'Endrunde 4'!$L20&lt;&gt;"",'Endrunde 4'!$N20&lt;&gt;"",ABS('Endrunde 4'!$L20-'Endrunde 4'!$N20)&gt;1),'Endrunde 4'!$L20,"")</f>
        <v>13</v>
      </c>
      <c r="Y72" s="744">
        <f ca="1">IF(AND($AA72=1,'Endrunde 4'!$L20&lt;&gt;"",'Endrunde 4'!$N20&lt;&gt;"",ABS('Endrunde 4'!$L20-'Endrunde 4'!$N20)&gt;1),'Endrunde 4'!$N20,"")</f>
        <v>25</v>
      </c>
      <c r="Z72" s="745" t="str">
        <f t="shared" ca="1" si="46"/>
        <v>Eintracht FrankfurtMaibach 1822 eV</v>
      </c>
      <c r="AA72" s="671">
        <f ca="1">IF(AND(V72&lt;&gt;"",W72&lt;&gt;"",V72&lt;&gt;W72,'Endrunde 4'!$U20&lt;&gt;"",'Endrunde 4'!$W20&lt;&gt;""),1,0)</f>
        <v>1</v>
      </c>
      <c r="AB72" s="671" t="str">
        <f ca="1">IF(AA72&gt;0,AH72&amp;Sprache!$E$99&amp;AI72,"")</f>
        <v>31 : 50</v>
      </c>
      <c r="AC72" s="746" t="str">
        <f ca="1">IF(AA72&gt;0,AJ72&amp;Sprache!$E$99&amp;AK72,"")</f>
        <v>0 : 2</v>
      </c>
      <c r="AD72" s="747">
        <f ca="1">IF(AND($AA72=1,'Endrunde 4'!$O20&lt;&gt;"",'Endrunde 4'!$Q20&lt;&gt;"",ABS('Endrunde 4'!$O20-'Endrunde 4'!$Q20)&gt;1),'Endrunde 4'!$O20,"")</f>
        <v>18</v>
      </c>
      <c r="AE72" s="746">
        <f ca="1">IF(AND($AA72=1,'Endrunde 4'!$O20&lt;&gt;"",'Endrunde 4'!$Q20&lt;&gt;"",ABS('Endrunde 4'!$O20-'Endrunde 4'!$Q20)&gt;1),'Endrunde 4'!$Q20,"")</f>
        <v>25</v>
      </c>
      <c r="AF72" s="747" t="str">
        <f ca="1">IF(AND($AA72=1,'Endrunde 4'!$R20&lt;&gt;"",'Endrunde 4'!$T20&lt;&gt;"",ABS('Endrunde 4'!$R20-'Endrunde 4'!$T20)&gt;1),'Endrunde 4'!$R20,"")</f>
        <v/>
      </c>
      <c r="AG72" s="746" t="str">
        <f ca="1">IF(AND($AA72=1,'Endrunde 4'!$R20&lt;&gt;"",'Endrunde 4'!$T20&lt;&gt;"",ABS('Endrunde 4'!$R20-'Endrunde 4'!$T20)&gt;1),'Endrunde 4'!$T20,"")</f>
        <v/>
      </c>
      <c r="AH72" s="747">
        <f t="shared" ca="1" si="47"/>
        <v>31</v>
      </c>
      <c r="AI72" s="746">
        <f t="shared" ca="1" si="48"/>
        <v>50</v>
      </c>
      <c r="AJ72" s="747">
        <f ca="1">IF('Endrunde 4'!$U20="",0,'Endrunde 4'!$U20)</f>
        <v>0</v>
      </c>
      <c r="AK72" s="746">
        <f ca="1">IF('Endrunde 4'!$W20="",0,'Endrunde 4'!$W20)</f>
        <v>2</v>
      </c>
      <c r="AL72" s="747">
        <f ca="1">IF($AA72=0,"",IF($AJ72&gt;$AK72,Einstellungen!$C$4,IF($AJ72=$AK72,1,0)))</f>
        <v>0</v>
      </c>
      <c r="AM72" s="746">
        <f ca="1">IF($AA72=0,"",IF($AJ72&lt;$AK72,Einstellungen!$C$4,IF($AJ72=$AK72,1,0)))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'Endrunde 4'!$I21</f>
        <v>Inter Mailand</v>
      </c>
      <c r="W73" s="671" t="str">
        <f ca="1">'Endrunde 4'!$K21</f>
        <v/>
      </c>
      <c r="X73" s="671" t="str">
        <f ca="1">IF(AND($AA73=1,'Endrunde 4'!$L21&lt;&gt;"",'Endrunde 4'!$N21&lt;&gt;"",ABS('Endrunde 4'!$L21-'Endrunde 4'!$N21)&gt;1),'Endrunde 4'!$L21,"")</f>
        <v/>
      </c>
      <c r="Y73" s="744" t="str">
        <f ca="1">IF(AND($AA73=1,'Endrunde 4'!$L21&lt;&gt;"",'Endrunde 4'!$N21&lt;&gt;"",ABS('Endrunde 4'!$L21-'Endrunde 4'!$N21)&gt;1),'Endrunde 4'!$N21,"")</f>
        <v/>
      </c>
      <c r="Z73" s="745" t="str">
        <f t="shared" ca="1" si="46"/>
        <v>Inter Mailand</v>
      </c>
      <c r="AA73" s="671">
        <f ca="1">IF(AND(V73&lt;&gt;"",W73&lt;&gt;"",V73&lt;&gt;W73,'Endrunde 4'!$U21&lt;&gt;"",'Endrunde 4'!$W21&lt;&gt;""),1,0)</f>
        <v>0</v>
      </c>
      <c r="AB73" s="671" t="str">
        <f ca="1">IF(AA73&gt;0,AH73&amp;Sprache!$E$99&amp;AI73,"")</f>
        <v/>
      </c>
      <c r="AC73" s="746" t="str">
        <f ca="1">IF(AA73&gt;0,AJ73&amp;Sprache!$E$99&amp;AK73,"")</f>
        <v/>
      </c>
      <c r="AD73" s="747" t="str">
        <f ca="1">IF(AND($AA73=1,'Endrunde 4'!$O21&lt;&gt;"",'Endrunde 4'!$Q21&lt;&gt;"",ABS('Endrunde 4'!$O21-'Endrunde 4'!$Q21)&gt;1),'Endrunde 4'!$O21,"")</f>
        <v/>
      </c>
      <c r="AE73" s="746" t="str">
        <f ca="1">IF(AND($AA73=1,'Endrunde 4'!$O21&lt;&gt;"",'Endrunde 4'!$Q21&lt;&gt;"",ABS('Endrunde 4'!$O21-'Endrunde 4'!$Q21)&gt;1),'Endrunde 4'!$Q21,"")</f>
        <v/>
      </c>
      <c r="AF73" s="747" t="str">
        <f ca="1">IF(AND($AA73=1,'Endrunde 4'!$R21&lt;&gt;"",'Endrunde 4'!$T21&lt;&gt;"",ABS('Endrunde 4'!$R21-'Endrunde 4'!$T21)&gt;1),'Endrunde 4'!$R21,"")</f>
        <v/>
      </c>
      <c r="AG73" s="746" t="str">
        <f ca="1">IF(AND($AA73=1,'Endrunde 4'!$R21&lt;&gt;"",'Endrunde 4'!$T21&lt;&gt;"",ABS('Endrunde 4'!$R21-'Endrunde 4'!$T21)&gt;1),'Endrunde 4'!$T21,"")</f>
        <v/>
      </c>
      <c r="AH73" s="747" t="str">
        <f t="shared" ca="1" si="47"/>
        <v/>
      </c>
      <c r="AI73" s="746" t="str">
        <f t="shared" ca="1" si="48"/>
        <v/>
      </c>
      <c r="AJ73" s="747">
        <f ca="1">IF('Endrunde 4'!$U21="",0,'Endrunde 4'!$U21)</f>
        <v>0</v>
      </c>
      <c r="AK73" s="746">
        <f ca="1">IF('Endrunde 4'!$W21="",0,'Endrunde 4'!$W21)</f>
        <v>0</v>
      </c>
      <c r="AL73" s="747" t="str">
        <f ca="1">IF($AA73=0,"",IF($AJ73&gt;$AK73,Einstellungen!$C$4,IF($AJ73=$AK73,1,0)))</f>
        <v/>
      </c>
      <c r="AM73" s="746" t="str">
        <f ca="1">IF($AA73=0,"",IF($AJ73&lt;$AK73,Einstellungen!$C$4,IF($AJ73=$AK73,1,0)))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'Endrunde 4'!$I22</f>
        <v>FC Grönlingen</v>
      </c>
      <c r="W74" s="671" t="str">
        <f ca="1">'Endrunde 4'!$K22</f>
        <v>SSV Wildbach</v>
      </c>
      <c r="X74" s="671">
        <f ca="1">IF(AND($AA74=1,'Endrunde 4'!$L22&lt;&gt;"",'Endrunde 4'!$N22&lt;&gt;"",ABS('Endrunde 4'!$L22-'Endrunde 4'!$N22)&gt;1),'Endrunde 4'!$L22,"")</f>
        <v>22</v>
      </c>
      <c r="Y74" s="744">
        <f ca="1">IF(AND($AA74=1,'Endrunde 4'!$L22&lt;&gt;"",'Endrunde 4'!$N22&lt;&gt;"",ABS('Endrunde 4'!$L22-'Endrunde 4'!$N22)&gt;1),'Endrunde 4'!$N22,"")</f>
        <v>25</v>
      </c>
      <c r="Z74" s="745" t="str">
        <f ca="1">V74&amp;W74</f>
        <v>FC GrönlingenSSV Wildbach</v>
      </c>
      <c r="AA74" s="671">
        <f ca="1">IF(AND(V74&lt;&gt;"",W74&lt;&gt;"",V74&lt;&gt;W74,'Endrunde 4'!$U22&lt;&gt;"",'Endrunde 4'!$W22&lt;&gt;""),1,0)</f>
        <v>1</v>
      </c>
      <c r="AB74" s="671" t="str">
        <f ca="1">IF(AA74&gt;0,AH74&amp;Sprache!$E$99&amp;AI74,"")</f>
        <v>47 : 45</v>
      </c>
      <c r="AC74" s="746" t="str">
        <f ca="1">IF(AA74&gt;0,AJ74&amp;Sprache!$E$99&amp;AK74,"")</f>
        <v>1 : 1</v>
      </c>
      <c r="AD74" s="747">
        <f ca="1">IF(AND($AA74=1,'Endrunde 4'!$O22&lt;&gt;"",'Endrunde 4'!$Q22&lt;&gt;"",ABS('Endrunde 4'!$O22-'Endrunde 4'!$Q22)&gt;1),'Endrunde 4'!$O22,"")</f>
        <v>25</v>
      </c>
      <c r="AE74" s="746">
        <f ca="1">IF(AND($AA74=1,'Endrunde 4'!$O22&lt;&gt;"",'Endrunde 4'!$Q22&lt;&gt;"",ABS('Endrunde 4'!$O22-'Endrunde 4'!$Q22)&gt;1),'Endrunde 4'!$Q22,"")</f>
        <v>20</v>
      </c>
      <c r="AF74" s="747" t="str">
        <f ca="1">IF(AND($AA74=1,'Endrunde 4'!$R22&lt;&gt;"",'Endrunde 4'!$T22&lt;&gt;"",ABS('Endrunde 4'!$R22-'Endrunde 4'!$T22)&gt;1),'Endrunde 4'!$R22,"")</f>
        <v/>
      </c>
      <c r="AG74" s="746" t="str">
        <f ca="1">IF(AND($AA74=1,'Endrunde 4'!$R22&lt;&gt;"",'Endrunde 4'!$T22&lt;&gt;"",ABS('Endrunde 4'!$R22-'Endrunde 4'!$T22)&gt;1),'Endrunde 4'!$T22,"")</f>
        <v/>
      </c>
      <c r="AH74" s="747">
        <f t="shared" ca="1" si="47"/>
        <v>47</v>
      </c>
      <c r="AI74" s="746">
        <f t="shared" ca="1" si="48"/>
        <v>45</v>
      </c>
      <c r="AJ74" s="747">
        <f ca="1">IF('Endrunde 4'!$U22="",0,'Endrunde 4'!$U22)</f>
        <v>1</v>
      </c>
      <c r="AK74" s="746">
        <f ca="1">IF('Endrunde 4'!$W22="",0,'Endrunde 4'!$W22)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'Endrunde 4'!$I23</f>
        <v>Mainz 05</v>
      </c>
      <c r="W75" s="671" t="str">
        <f ca="1">'Endrunde 4'!$K23</f>
        <v>Manchester City</v>
      </c>
      <c r="X75" s="671">
        <f ca="1">IF(AND($AA75=1,'Endrunde 4'!$L23&lt;&gt;"",'Endrunde 4'!$N23&lt;&gt;"",ABS('Endrunde 4'!$L23-'Endrunde 4'!$N23)&gt;1),'Endrunde 4'!$L23,"")</f>
        <v>19</v>
      </c>
      <c r="Y75" s="744">
        <f ca="1">IF(AND($AA75=1,'Endrunde 4'!$L23&lt;&gt;"",'Endrunde 4'!$N23&lt;&gt;"",ABS('Endrunde 4'!$L23-'Endrunde 4'!$N23)&gt;1),'Endrunde 4'!$N23,"")</f>
        <v>25</v>
      </c>
      <c r="Z75" s="745" t="str">
        <f t="shared" ref="Z75:Z81" ca="1" si="49">V75&amp;W75</f>
        <v>Mainz 05Manchester City</v>
      </c>
      <c r="AA75" s="671">
        <f ca="1">IF(AND(V75&lt;&gt;"",W75&lt;&gt;"",V75&lt;&gt;W75,'Endrunde 4'!$U23&lt;&gt;"",'Endrunde 4'!$W23&lt;&gt;""),1,0)</f>
        <v>1</v>
      </c>
      <c r="AB75" s="671" t="str">
        <f ca="1">IF(AA75&gt;0,AH75&amp;Sprache!$E$99&amp;AI75,"")</f>
        <v>44 : 44</v>
      </c>
      <c r="AC75" s="746" t="str">
        <f ca="1">IF(AA75&gt;0,AJ75&amp;Sprache!$E$99&amp;AK75,"")</f>
        <v>1 : 1</v>
      </c>
      <c r="AD75" s="747">
        <f ca="1">IF(AND($AA75=1,'Endrunde 4'!$O23&lt;&gt;"",'Endrunde 4'!$Q23&lt;&gt;"",ABS('Endrunde 4'!$O23-'Endrunde 4'!$Q23)&gt;1),'Endrunde 4'!$O23,"")</f>
        <v>25</v>
      </c>
      <c r="AE75" s="746">
        <f ca="1">IF(AND($AA75=1,'Endrunde 4'!$O23&lt;&gt;"",'Endrunde 4'!$Q23&lt;&gt;"",ABS('Endrunde 4'!$O23-'Endrunde 4'!$Q23)&gt;1),'Endrunde 4'!$Q23,"")</f>
        <v>19</v>
      </c>
      <c r="AF75" s="747" t="str">
        <f ca="1">IF(AND($AA75=1,'Endrunde 4'!$R23&lt;&gt;"",'Endrunde 4'!$T23&lt;&gt;"",ABS('Endrunde 4'!$R23-'Endrunde 4'!$T23)&gt;1),'Endrunde 4'!$R23,"")</f>
        <v/>
      </c>
      <c r="AG75" s="746" t="str">
        <f ca="1">IF(AND($AA75=1,'Endrunde 4'!$R23&lt;&gt;"",'Endrunde 4'!$T23&lt;&gt;"",ABS('Endrunde 4'!$R23-'Endrunde 4'!$T23)&gt;1),'Endrunde 4'!$T23,"")</f>
        <v/>
      </c>
      <c r="AH75" s="747">
        <f t="shared" ca="1" si="47"/>
        <v>44</v>
      </c>
      <c r="AI75" s="746">
        <f t="shared" ca="1" si="48"/>
        <v>44</v>
      </c>
      <c r="AJ75" s="747">
        <f ca="1">IF('Endrunde 4'!$U23="",0,'Endrunde 4'!$U23)</f>
        <v>1</v>
      </c>
      <c r="AK75" s="746">
        <f ca="1">IF('Endrunde 4'!$W23="",0,'Endrunde 4'!$W23)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'Endrunde 4'!$I24</f>
        <v/>
      </c>
      <c r="W76" s="671" t="str">
        <f ca="1">'Endrunde 4'!$K24</f>
        <v/>
      </c>
      <c r="X76" s="671" t="str">
        <f ca="1">IF(AND($AA76=1,'Endrunde 4'!$L24&lt;&gt;"",'Endrunde 4'!$N24&lt;&gt;"",ABS('Endrunde 4'!$L24-'Endrunde 4'!$N24)&gt;1),'Endrunde 4'!$L24,"")</f>
        <v/>
      </c>
      <c r="Y76" s="744" t="str">
        <f ca="1">IF(AND($AA76=1,'Endrunde 4'!$L24&lt;&gt;"",'Endrunde 4'!$N24&lt;&gt;"",ABS('Endrunde 4'!$L24-'Endrunde 4'!$N24)&gt;1),'Endrunde 4'!$N24,"")</f>
        <v/>
      </c>
      <c r="Z76" s="745" t="str">
        <f t="shared" ca="1" si="49"/>
        <v/>
      </c>
      <c r="AA76" s="671">
        <f ca="1">IF(AND(V76&lt;&gt;"",W76&lt;&gt;"",V76&lt;&gt;W76,'Endrunde 4'!$U24&lt;&gt;"",'Endrunde 4'!$W24&lt;&gt;""),1,0)</f>
        <v>0</v>
      </c>
      <c r="AB76" s="671" t="str">
        <f ca="1">IF(AA76&gt;0,AH76&amp;Sprache!$E$99&amp;AI76,"")</f>
        <v/>
      </c>
      <c r="AC76" s="746" t="str">
        <f ca="1">IF(AA76&gt;0,AJ76&amp;Sprache!$E$99&amp;AK76,"")</f>
        <v/>
      </c>
      <c r="AD76" s="747" t="str">
        <f ca="1">IF(AND($AA76=1,'Endrunde 4'!$O24&lt;&gt;"",'Endrunde 4'!$Q24&lt;&gt;"",ABS('Endrunde 4'!$O24-'Endrunde 4'!$Q24)&gt;1),'Endrunde 4'!$O24,"")</f>
        <v/>
      </c>
      <c r="AE76" s="746" t="str">
        <f ca="1">IF(AND($AA76=1,'Endrunde 4'!$O24&lt;&gt;"",'Endrunde 4'!$Q24&lt;&gt;"",ABS('Endrunde 4'!$O24-'Endrunde 4'!$Q24)&gt;1),'Endrunde 4'!$Q24,"")</f>
        <v/>
      </c>
      <c r="AF76" s="747" t="str">
        <f ca="1">IF(AND($AA76=1,'Endrunde 4'!$R24&lt;&gt;"",'Endrunde 4'!$T24&lt;&gt;"",ABS('Endrunde 4'!$R24-'Endrunde 4'!$T24)&gt;1),'Endrunde 4'!$R24,"")</f>
        <v/>
      </c>
      <c r="AG76" s="746" t="str">
        <f ca="1">IF(AND($AA76=1,'Endrunde 4'!$R24&lt;&gt;"",'Endrunde 4'!$T24&lt;&gt;"",ABS('Endrunde 4'!$R24-'Endrunde 4'!$T24)&gt;1),'Endrunde 4'!$T24,"")</f>
        <v/>
      </c>
      <c r="AH76" s="747" t="str">
        <f t="shared" ca="1" si="47"/>
        <v/>
      </c>
      <c r="AI76" s="746" t="str">
        <f t="shared" ca="1" si="48"/>
        <v/>
      </c>
      <c r="AJ76" s="747">
        <f ca="1">IF('Endrunde 4'!$U24="",0,'Endrunde 4'!$U24)</f>
        <v>0</v>
      </c>
      <c r="AK76" s="746">
        <f ca="1">IF('Endrunde 4'!$W24="",0,'Endrunde 4'!$W24)</f>
        <v>0</v>
      </c>
      <c r="AL76" s="747" t="str">
        <f ca="1">IF($AA76=0,"",IF($AJ76&gt;$AK76,Einstellungen!$C$4,IF($AJ76=$AK76,1,0)))</f>
        <v/>
      </c>
      <c r="AM76" s="746" t="str">
        <f ca="1">IF($AA76=0,"",IF($AJ76&lt;$AK76,Einstellungen!$C$4,IF($AJ76=$AK76,1,0)))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'Endrunde 4'!$I25</f>
        <v>FC Barcelona</v>
      </c>
      <c r="W77" s="671" t="str">
        <f ca="1">'Endrunde 4'!$K25</f>
        <v>SSV Wildbach</v>
      </c>
      <c r="X77" s="671">
        <f ca="1">IF(AND($AA77=1,'Endrunde 4'!$L25&lt;&gt;"",'Endrunde 4'!$N25&lt;&gt;"",ABS('Endrunde 4'!$L25-'Endrunde 4'!$N25)&gt;1),'Endrunde 4'!$L25,"")</f>
        <v>14</v>
      </c>
      <c r="Y77" s="744">
        <f ca="1">IF(AND($AA77=1,'Endrunde 4'!$L25&lt;&gt;"",'Endrunde 4'!$N25&lt;&gt;"",ABS('Endrunde 4'!$L25-'Endrunde 4'!$N25)&gt;1),'Endrunde 4'!$N25,"")</f>
        <v>25</v>
      </c>
      <c r="Z77" s="745" t="str">
        <f t="shared" ca="1" si="49"/>
        <v>FC BarcelonaSSV Wildbach</v>
      </c>
      <c r="AA77" s="671">
        <f ca="1">IF(AND(V77&lt;&gt;"",W77&lt;&gt;"",V77&lt;&gt;W77,'Endrunde 4'!$U25&lt;&gt;"",'Endrunde 4'!$W25&lt;&gt;""),1,0)</f>
        <v>1</v>
      </c>
      <c r="AB77" s="671" t="str">
        <f ca="1">IF(AA77&gt;0,AH77&amp;Sprache!$E$99&amp;AI77,"")</f>
        <v>39 : 48</v>
      </c>
      <c r="AC77" s="746" t="str">
        <f ca="1">IF(AA77&gt;0,AJ77&amp;Sprache!$E$99&amp;AK77,"")</f>
        <v>1 : 1</v>
      </c>
      <c r="AD77" s="747">
        <f ca="1">IF(AND($AA77=1,'Endrunde 4'!$O25&lt;&gt;"",'Endrunde 4'!$Q25&lt;&gt;"",ABS('Endrunde 4'!$O25-'Endrunde 4'!$Q25)&gt;1),'Endrunde 4'!$O25,"")</f>
        <v>25</v>
      </c>
      <c r="AE77" s="746">
        <f ca="1">IF(AND($AA77=1,'Endrunde 4'!$O25&lt;&gt;"",'Endrunde 4'!$Q25&lt;&gt;"",ABS('Endrunde 4'!$O25-'Endrunde 4'!$Q25)&gt;1),'Endrunde 4'!$Q25,"")</f>
        <v>23</v>
      </c>
      <c r="AF77" s="747" t="str">
        <f ca="1">IF(AND($AA77=1,'Endrunde 4'!$R25&lt;&gt;"",'Endrunde 4'!$T25&lt;&gt;"",ABS('Endrunde 4'!$R25-'Endrunde 4'!$T25)&gt;1),'Endrunde 4'!$R25,"")</f>
        <v/>
      </c>
      <c r="AG77" s="746" t="str">
        <f ca="1">IF(AND($AA77=1,'Endrunde 4'!$R25&lt;&gt;"",'Endrunde 4'!$T25&lt;&gt;"",ABS('Endrunde 4'!$R25-'Endrunde 4'!$T25)&gt;1),'Endrunde 4'!$T25,"")</f>
        <v/>
      </c>
      <c r="AH77" s="747">
        <f t="shared" ca="1" si="47"/>
        <v>39</v>
      </c>
      <c r="AI77" s="746">
        <f t="shared" ca="1" si="48"/>
        <v>48</v>
      </c>
      <c r="AJ77" s="747">
        <f ca="1">IF('Endrunde 4'!$U25="",0,'Endrunde 4'!$U25)</f>
        <v>1</v>
      </c>
      <c r="AK77" s="746">
        <f ca="1">IF('Endrunde 4'!$W25="",0,'Endrunde 4'!$W25)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'Endrunde 4'!$I26</f>
        <v>Maibach 1822 eV</v>
      </c>
      <c r="W78" s="671" t="str">
        <f ca="1">'Endrunde 4'!$K26</f>
        <v>Manchester City</v>
      </c>
      <c r="X78" s="671">
        <f ca="1">IF(AND($AA78=1,'Endrunde 4'!$L26&lt;&gt;"",'Endrunde 4'!$N26&lt;&gt;"",ABS('Endrunde 4'!$L26-'Endrunde 4'!$N26)&gt;1),'Endrunde 4'!$L26,"")</f>
        <v>21</v>
      </c>
      <c r="Y78" s="744">
        <f ca="1">IF(AND($AA78=1,'Endrunde 4'!$L26&lt;&gt;"",'Endrunde 4'!$N26&lt;&gt;"",ABS('Endrunde 4'!$L26-'Endrunde 4'!$N26)&gt;1),'Endrunde 4'!$N26,"")</f>
        <v>25</v>
      </c>
      <c r="Z78" s="745" t="str">
        <f t="shared" ca="1" si="49"/>
        <v>Maibach 1822 eVManchester City</v>
      </c>
      <c r="AA78" s="671">
        <f ca="1">IF(AND(V78&lt;&gt;"",W78&lt;&gt;"",V78&lt;&gt;W78,'Endrunde 4'!$U26&lt;&gt;"",'Endrunde 4'!$W26&lt;&gt;""),1,0)</f>
        <v>1</v>
      </c>
      <c r="AB78" s="671" t="str">
        <f ca="1">IF(AA78&gt;0,AH78&amp;Sprache!$E$99&amp;AI78,"")</f>
        <v>46 : 42</v>
      </c>
      <c r="AC78" s="746" t="str">
        <f ca="1">IF(AA78&gt;0,AJ78&amp;Sprache!$E$99&amp;AK78,"")</f>
        <v>1 : 1</v>
      </c>
      <c r="AD78" s="747">
        <f ca="1">IF(AND($AA78=1,'Endrunde 4'!$O26&lt;&gt;"",'Endrunde 4'!$Q26&lt;&gt;"",ABS('Endrunde 4'!$O26-'Endrunde 4'!$Q26)&gt;1),'Endrunde 4'!$O26,"")</f>
        <v>25</v>
      </c>
      <c r="AE78" s="746">
        <f ca="1">IF(AND($AA78=1,'Endrunde 4'!$O26&lt;&gt;"",'Endrunde 4'!$Q26&lt;&gt;"",ABS('Endrunde 4'!$O26-'Endrunde 4'!$Q26)&gt;1),'Endrunde 4'!$Q26,"")</f>
        <v>17</v>
      </c>
      <c r="AF78" s="747" t="str">
        <f ca="1">IF(AND($AA78=1,'Endrunde 4'!$R26&lt;&gt;"",'Endrunde 4'!$T26&lt;&gt;"",ABS('Endrunde 4'!$R26-'Endrunde 4'!$T26)&gt;1),'Endrunde 4'!$R26,"")</f>
        <v/>
      </c>
      <c r="AG78" s="746" t="str">
        <f ca="1">IF(AND($AA78=1,'Endrunde 4'!$R26&lt;&gt;"",'Endrunde 4'!$T26&lt;&gt;"",ABS('Endrunde 4'!$R26-'Endrunde 4'!$T26)&gt;1),'Endrunde 4'!$T26,"")</f>
        <v/>
      </c>
      <c r="AH78" s="747">
        <f t="shared" ca="1" si="47"/>
        <v>46</v>
      </c>
      <c r="AI78" s="746">
        <f t="shared" ca="1" si="48"/>
        <v>42</v>
      </c>
      <c r="AJ78" s="747">
        <f ca="1">IF('Endrunde 4'!$U26="",0,'Endrunde 4'!$U26)</f>
        <v>1</v>
      </c>
      <c r="AK78" s="746">
        <f ca="1">IF('Endrunde 4'!$W26="",0,'Endrunde 4'!$W26)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'Endrunde 4'!$I27</f>
        <v>VFB Essenheim</v>
      </c>
      <c r="W79" s="671" t="str">
        <f ca="1">'Endrunde 4'!$K27</f>
        <v>Inter Mailand</v>
      </c>
      <c r="X79" s="671">
        <f ca="1">IF(AND($AA79=1,'Endrunde 4'!$L27&lt;&gt;"",'Endrunde 4'!$N27&lt;&gt;"",ABS('Endrunde 4'!$L27-'Endrunde 4'!$N27)&gt;1),'Endrunde 4'!$L27,"")</f>
        <v>20</v>
      </c>
      <c r="Y79" s="744">
        <f ca="1">IF(AND($AA79=1,'Endrunde 4'!$L27&lt;&gt;"",'Endrunde 4'!$N27&lt;&gt;"",ABS('Endrunde 4'!$L27-'Endrunde 4'!$N27)&gt;1),'Endrunde 4'!$N27,"")</f>
        <v>25</v>
      </c>
      <c r="Z79" s="745" t="str">
        <f t="shared" ca="1" si="49"/>
        <v>VFB EssenheimInter Mailand</v>
      </c>
      <c r="AA79" s="671">
        <f ca="1">IF(AND(V79&lt;&gt;"",W79&lt;&gt;"",V79&lt;&gt;W79,'Endrunde 4'!$U27&lt;&gt;"",'Endrunde 4'!$W27&lt;&gt;""),1,0)</f>
        <v>1</v>
      </c>
      <c r="AB79" s="671" t="str">
        <f ca="1">IF(AA79&gt;0,AH79&amp;Sprache!$E$99&amp;AI79,"")</f>
        <v>70 : 65</v>
      </c>
      <c r="AC79" s="746" t="str">
        <f ca="1">IF(AA79&gt;0,AJ79&amp;Sprache!$E$99&amp;AK79,"")</f>
        <v>2 : 1</v>
      </c>
      <c r="AD79" s="747">
        <f ca="1">IF(AND($AA79=1,'Endrunde 4'!$O27&lt;&gt;"",'Endrunde 4'!$Q27&lt;&gt;"",ABS('Endrunde 4'!$O27-'Endrunde 4'!$Q27)&gt;1),'Endrunde 4'!$O27,"")</f>
        <v>25</v>
      </c>
      <c r="AE79" s="746">
        <f ca="1">IF(AND($AA79=1,'Endrunde 4'!$O27&lt;&gt;"",'Endrunde 4'!$Q27&lt;&gt;"",ABS('Endrunde 4'!$O27-'Endrunde 4'!$Q27)&gt;1),'Endrunde 4'!$Q27,"")</f>
        <v>18</v>
      </c>
      <c r="AF79" s="747">
        <f ca="1">IF(AND($AA79=1,'Endrunde 4'!$R27&lt;&gt;"",'Endrunde 4'!$T27&lt;&gt;"",ABS('Endrunde 4'!$R27-'Endrunde 4'!$T27)&gt;1),'Endrunde 4'!$R27,"")</f>
        <v>25</v>
      </c>
      <c r="AG79" s="746">
        <f ca="1">IF(AND($AA79=1,'Endrunde 4'!$R27&lt;&gt;"",'Endrunde 4'!$T27&lt;&gt;"",ABS('Endrunde 4'!$R27-'Endrunde 4'!$T27)&gt;1),'Endrunde 4'!$T27,"")</f>
        <v>22</v>
      </c>
      <c r="AH79" s="747">
        <f t="shared" ca="1" si="47"/>
        <v>70</v>
      </c>
      <c r="AI79" s="746">
        <f t="shared" ca="1" si="48"/>
        <v>65</v>
      </c>
      <c r="AJ79" s="747">
        <f ca="1">IF('Endrunde 4'!$U27="",0,'Endrunde 4'!$U27)</f>
        <v>2</v>
      </c>
      <c r="AK79" s="746">
        <f ca="1">IF('Endrunde 4'!$W27="",0,'Endrunde 4'!$W27)</f>
        <v>1</v>
      </c>
      <c r="AL79" s="747">
        <f ca="1">IF($AA79=0,"",IF($AJ79&gt;$AK79,Einstellungen!$C$4,IF($AJ79=$AK79,1,0)))</f>
        <v>2</v>
      </c>
      <c r="AM79" s="746">
        <f ca="1">IF($AA79=0,"",IF($AJ79&lt;$AK79,Einstellungen!$C$4,IF($AJ79=$AK79,1,0)))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'Endrunde 4'!$I28</f>
        <v>1. FC Riedwald</v>
      </c>
      <c r="W80" s="671" t="str">
        <f ca="1">'Endrunde 4'!$K28</f>
        <v>FC Grönlingen</v>
      </c>
      <c r="X80" s="671">
        <f ca="1">IF(AND($AA80=1,'Endrunde 4'!$L28&lt;&gt;"",'Endrunde 4'!$N28&lt;&gt;"",ABS('Endrunde 4'!$L28-'Endrunde 4'!$N28)&gt;1),'Endrunde 4'!$L28,"")</f>
        <v>25</v>
      </c>
      <c r="Y80" s="744">
        <f ca="1">IF(AND($AA80=1,'Endrunde 4'!$L28&lt;&gt;"",'Endrunde 4'!$N28&lt;&gt;"",ABS('Endrunde 4'!$L28-'Endrunde 4'!$N28)&gt;1),'Endrunde 4'!$N28,"")</f>
        <v>20</v>
      </c>
      <c r="Z80" s="745" t="str">
        <f t="shared" ca="1" si="49"/>
        <v>1. FC RiedwaldFC Grönlingen</v>
      </c>
      <c r="AA80" s="671">
        <f ca="1">IF(AND(V80&lt;&gt;"",W80&lt;&gt;"",V80&lt;&gt;W80,'Endrunde 4'!$U28&lt;&gt;"",'Endrunde 4'!$W28&lt;&gt;""),1,0)</f>
        <v>1</v>
      </c>
      <c r="AB80" s="671" t="str">
        <f ca="1">IF(AA80&gt;0,AH80&amp;Sprache!$E$99&amp;AI80,"")</f>
        <v>50 : 39</v>
      </c>
      <c r="AC80" s="746" t="str">
        <f ca="1">IF(AA80&gt;0,AJ80&amp;Sprache!$E$99&amp;AK80,"")</f>
        <v>2 : 0</v>
      </c>
      <c r="AD80" s="747">
        <f ca="1">IF(AND($AA80=1,'Endrunde 4'!$O28&lt;&gt;"",'Endrunde 4'!$Q28&lt;&gt;"",ABS('Endrunde 4'!$O28-'Endrunde 4'!$Q28)&gt;1),'Endrunde 4'!$O28,"")</f>
        <v>25</v>
      </c>
      <c r="AE80" s="746">
        <f ca="1">IF(AND($AA80=1,'Endrunde 4'!$O28&lt;&gt;"",'Endrunde 4'!$Q28&lt;&gt;"",ABS('Endrunde 4'!$O28-'Endrunde 4'!$Q28)&gt;1),'Endrunde 4'!$Q28,"")</f>
        <v>19</v>
      </c>
      <c r="AF80" s="747" t="str">
        <f ca="1">IF(AND($AA80=1,'Endrunde 4'!$R28&lt;&gt;"",'Endrunde 4'!$T28&lt;&gt;"",ABS('Endrunde 4'!$R28-'Endrunde 4'!$T28)&gt;1),'Endrunde 4'!$R28,"")</f>
        <v/>
      </c>
      <c r="AG80" s="746" t="str">
        <f ca="1">IF(AND($AA80=1,'Endrunde 4'!$R28&lt;&gt;"",'Endrunde 4'!$T28&lt;&gt;"",ABS('Endrunde 4'!$R28-'Endrunde 4'!$T28)&gt;1),'Endrunde 4'!$T28,"")</f>
        <v/>
      </c>
      <c r="AH80" s="747">
        <f t="shared" ca="1" si="47"/>
        <v>50</v>
      </c>
      <c r="AI80" s="746">
        <f t="shared" ca="1" si="48"/>
        <v>39</v>
      </c>
      <c r="AJ80" s="747">
        <f ca="1">IF('Endrunde 4'!$U28="",0,'Endrunde 4'!$U28)</f>
        <v>2</v>
      </c>
      <c r="AK80" s="746">
        <f ca="1">IF('Endrunde 4'!$W28="",0,'Endrunde 4'!$W28)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'Endrunde 4'!$I29</f>
        <v>Eintracht Frankfurt</v>
      </c>
      <c r="W81" s="671" t="str">
        <f ca="1">'Endrunde 4'!$K29</f>
        <v>Mainz 05</v>
      </c>
      <c r="X81" s="671">
        <f ca="1">IF(AND($AA81=1,'Endrunde 4'!$L29&lt;&gt;"",'Endrunde 4'!$N29&lt;&gt;"",ABS('Endrunde 4'!$L29-'Endrunde 4'!$N29)&gt;1),'Endrunde 4'!$L29,"")</f>
        <v>25</v>
      </c>
      <c r="Y81" s="744">
        <f ca="1">IF(AND($AA81=1,'Endrunde 4'!$L29&lt;&gt;"",'Endrunde 4'!$N29&lt;&gt;"",ABS('Endrunde 4'!$L29-'Endrunde 4'!$N29)&gt;1),'Endrunde 4'!$N29,"")</f>
        <v>13</v>
      </c>
      <c r="Z81" s="745" t="str">
        <f t="shared" ca="1" si="49"/>
        <v>Eintracht FrankfurtMainz 05</v>
      </c>
      <c r="AA81" s="671">
        <f ca="1">IF(AND(V81&lt;&gt;"",W81&lt;&gt;"",V81&lt;&gt;W81,'Endrunde 4'!$U29&lt;&gt;"",'Endrunde 4'!$W29&lt;&gt;""),1,0)</f>
        <v>1</v>
      </c>
      <c r="AB81" s="671" t="str">
        <f ca="1">IF(AA81&gt;0,AH81&amp;Sprache!$E$99&amp;AI81,"")</f>
        <v>50 : 33</v>
      </c>
      <c r="AC81" s="746" t="str">
        <f ca="1">IF(AA81&gt;0,AJ81&amp;Sprache!$E$99&amp;AK81,"")</f>
        <v>2 : 0</v>
      </c>
      <c r="AD81" s="747">
        <f ca="1">IF(AND($AA81=1,'Endrunde 4'!$O29&lt;&gt;"",'Endrunde 4'!$Q29&lt;&gt;"",ABS('Endrunde 4'!$O29-'Endrunde 4'!$Q29)&gt;1),'Endrunde 4'!$O29,"")</f>
        <v>25</v>
      </c>
      <c r="AE81" s="746">
        <f ca="1">IF(AND($AA81=1,'Endrunde 4'!$O29&lt;&gt;"",'Endrunde 4'!$Q29&lt;&gt;"",ABS('Endrunde 4'!$O29-'Endrunde 4'!$Q29)&gt;1),'Endrunde 4'!$Q29,"")</f>
        <v>20</v>
      </c>
      <c r="AF81" s="747" t="str">
        <f ca="1">IF(AND($AA81=1,'Endrunde 4'!$R29&lt;&gt;"",'Endrunde 4'!$T29&lt;&gt;"",ABS('Endrunde 4'!$R29-'Endrunde 4'!$T29)&gt;1),'Endrunde 4'!$R29,"")</f>
        <v/>
      </c>
      <c r="AG81" s="746" t="str">
        <f ca="1">IF(AND($AA81=1,'Endrunde 4'!$R29&lt;&gt;"",'Endrunde 4'!$T29&lt;&gt;"",ABS('Endrunde 4'!$R29-'Endrunde 4'!$T29)&gt;1),'Endrunde 4'!$T29,"")</f>
        <v/>
      </c>
      <c r="AH81" s="747">
        <f t="shared" ca="1" si="47"/>
        <v>50</v>
      </c>
      <c r="AI81" s="746">
        <f t="shared" ca="1" si="48"/>
        <v>33</v>
      </c>
      <c r="AJ81" s="747">
        <f ca="1">IF('Endrunde 4'!$U29="",0,'Endrunde 4'!$U29)</f>
        <v>2</v>
      </c>
      <c r="AK81" s="746">
        <f ca="1">IF('Endrunde 4'!$W29="",0,'Endrunde 4'!$W29)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IF(AA64&gt;0,AI64&amp;Sprache!$E$99&amp;AH64,"")</f>
        <v/>
      </c>
      <c r="AC136" s="770" t="str">
        <f ca="1">IF(AA64&gt;0,AK64&amp;Sprache!$E$99&amp;AJ64,"")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IF(AA65&gt;0,AI65&amp;Sprache!$E$99&amp;AH65,"")</f>
        <v>45 : 42</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IF(AA66&gt;0,AI66&amp;Sprache!$E$99&amp;AH66,"")</f>
        <v>50 : 35</v>
      </c>
      <c r="AC138" s="773" t="str">
        <f ca="1">IF(AA66&gt;0,AK66&amp;Sprache!$E$99&amp;AJ66,"")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IF(AA67&gt;0,AI67&amp;Sprache!$E$99&amp;AH67,"")</f>
        <v/>
      </c>
      <c r="AC139" s="773" t="str">
        <f ca="1">IF(AA67&gt;0,AK67&amp;Sprache!$E$99&amp;AJ67,"")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IF(AA70&gt;0,AI70&amp;Sprache!$E$99&amp;AH70,"")</f>
        <v/>
      </c>
      <c r="AC142" s="773" t="str">
        <f ca="1">IF(AA70&gt;0,AK70&amp;Sprache!$E$99&amp;AJ70,"")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IF(AA72&gt;0,AI72&amp;Sprache!$E$99&amp;AH72,"")</f>
        <v>50 : 31</v>
      </c>
      <c r="AC144" s="773" t="str">
        <f ca="1">IF(AA72&gt;0,AK72&amp;Sprache!$E$99&amp;AJ72,"")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IF(AA73&gt;0,AI73&amp;Sprache!$E$99&amp;AH73,"")</f>
        <v/>
      </c>
      <c r="AC145" s="773" t="str">
        <f ca="1">IF(AA73&gt;0,AK73&amp;Sprache!$E$99&amp;AJ73,"")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IF(AA76&gt;0,AI76&amp;Sprache!$E$99&amp;AH76,"")</f>
        <v/>
      </c>
      <c r="AC148" s="773" t="str">
        <f ca="1">IF(AA76&gt;0,AK76&amp;Sprache!$E$99&amp;AJ76,"")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IF(AA79&gt;0,AI79&amp;Sprache!$E$99&amp;AH79,"")</f>
        <v>65 : 70</v>
      </c>
      <c r="AC151" s="773" t="str">
        <f ca="1">IF(AA79&gt;0,AK79&amp;Sprache!$E$99&amp;AJ79,"")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IF(AA80&gt;0,AI80&amp;Sprache!$E$99&amp;AH80,"")</f>
        <v>39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IF(AA81&gt;0,AI81&amp;Sprache!$E$99&amp;AH81,"")</f>
        <v>33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70" t="str">
        <f>Sprache!$E$50</f>
        <v>Spielpaarungen</v>
      </c>
      <c r="C1" s="162" t="s">
        <v>174</v>
      </c>
      <c r="D1" s="166" t="s">
        <v>184</v>
      </c>
      <c r="E1" s="166" t="s">
        <v>188</v>
      </c>
      <c r="G1" s="162" t="s">
        <v>165</v>
      </c>
      <c r="H1" s="19" t="s">
        <v>186</v>
      </c>
      <c r="I1" s="19" t="s">
        <v>190</v>
      </c>
      <c r="K1" s="162" t="s">
        <v>166</v>
      </c>
      <c r="L1" s="19" t="s">
        <v>192</v>
      </c>
      <c r="M1" s="19" t="s">
        <v>188</v>
      </c>
      <c r="O1" s="162" t="s">
        <v>167</v>
      </c>
      <c r="P1" s="19" t="s">
        <v>186</v>
      </c>
      <c r="Q1" s="19" t="s">
        <v>194</v>
      </c>
    </row>
    <row r="2" spans="1:17" x14ac:dyDescent="0.2">
      <c r="A2" s="870"/>
      <c r="C2" s="226"/>
      <c r="D2" s="166" t="s">
        <v>185</v>
      </c>
      <c r="E2" s="166" t="s">
        <v>189</v>
      </c>
      <c r="G2" s="226"/>
      <c r="H2" s="19" t="s">
        <v>187</v>
      </c>
      <c r="I2" s="19" t="s">
        <v>191</v>
      </c>
      <c r="J2" s="19"/>
      <c r="K2" s="226"/>
      <c r="L2" s="19" t="s">
        <v>193</v>
      </c>
      <c r="M2" s="19" t="s">
        <v>189</v>
      </c>
      <c r="O2" s="226"/>
      <c r="P2" s="19" t="s">
        <v>187</v>
      </c>
      <c r="Q2" s="19" t="s">
        <v>195</v>
      </c>
    </row>
    <row r="3" spans="1:17" ht="12.75" customHeight="1" x14ac:dyDescent="0.2">
      <c r="A3" s="870"/>
      <c r="C3" s="223"/>
      <c r="D3" s="166" t="s">
        <v>184</v>
      </c>
      <c r="E3" s="166" t="s">
        <v>186</v>
      </c>
      <c r="G3" s="223"/>
      <c r="H3" s="19" t="s">
        <v>184</v>
      </c>
      <c r="I3" s="19" t="s">
        <v>188</v>
      </c>
      <c r="K3" s="224"/>
      <c r="L3" s="19" t="s">
        <v>184</v>
      </c>
      <c r="M3" s="19" t="s">
        <v>190</v>
      </c>
      <c r="O3" s="99"/>
      <c r="P3" s="19" t="s">
        <v>192</v>
      </c>
      <c r="Q3" s="19" t="s">
        <v>188</v>
      </c>
    </row>
    <row r="4" spans="1:17" ht="12.75" customHeight="1" x14ac:dyDescent="0.2">
      <c r="A4" s="870"/>
      <c r="C4" s="223"/>
      <c r="D4" s="166" t="s">
        <v>185</v>
      </c>
      <c r="E4" s="166" t="s">
        <v>187</v>
      </c>
      <c r="G4" s="223"/>
      <c r="H4" s="19" t="s">
        <v>185</v>
      </c>
      <c r="I4" s="19" t="s">
        <v>189</v>
      </c>
      <c r="K4" s="224"/>
      <c r="L4" s="19" t="s">
        <v>185</v>
      </c>
      <c r="M4" s="19" t="s">
        <v>191</v>
      </c>
      <c r="O4" s="99"/>
      <c r="P4" s="19" t="s">
        <v>193</v>
      </c>
      <c r="Q4" s="19" t="s">
        <v>189</v>
      </c>
    </row>
    <row r="5" spans="1:17" x14ac:dyDescent="0.2">
      <c r="A5" s="870"/>
      <c r="C5" s="223"/>
      <c r="D5" s="166" t="s">
        <v>186</v>
      </c>
      <c r="E5" s="166" t="s">
        <v>188</v>
      </c>
      <c r="G5" s="223"/>
      <c r="H5" s="19" t="s">
        <v>184</v>
      </c>
      <c r="I5" s="19" t="s">
        <v>186</v>
      </c>
      <c r="K5" s="225"/>
      <c r="L5" s="19" t="s">
        <v>192</v>
      </c>
      <c r="M5" s="19" t="s">
        <v>186</v>
      </c>
      <c r="P5" s="19" t="s">
        <v>184</v>
      </c>
      <c r="Q5" s="19" t="s">
        <v>190</v>
      </c>
    </row>
    <row r="6" spans="1:17" x14ac:dyDescent="0.2">
      <c r="A6" s="870"/>
      <c r="C6" s="223"/>
      <c r="D6" s="166" t="s">
        <v>187</v>
      </c>
      <c r="E6" s="166" t="s">
        <v>189</v>
      </c>
      <c r="G6" s="223"/>
      <c r="H6" s="19" t="s">
        <v>188</v>
      </c>
      <c r="I6" s="19" t="s">
        <v>190</v>
      </c>
      <c r="J6" s="397" t="s">
        <v>275</v>
      </c>
      <c r="K6" s="19"/>
      <c r="L6" s="19" t="s">
        <v>193</v>
      </c>
      <c r="M6" s="19" t="s">
        <v>187</v>
      </c>
      <c r="P6" s="19" t="s">
        <v>185</v>
      </c>
      <c r="Q6" s="19" t="s">
        <v>191</v>
      </c>
    </row>
    <row r="7" spans="1:17" ht="12.75" customHeight="1" x14ac:dyDescent="0.2">
      <c r="A7" s="870"/>
      <c r="C7" s="223"/>
      <c r="D7" s="166"/>
      <c r="E7" s="166"/>
      <c r="G7" s="223"/>
      <c r="H7" s="19" t="s">
        <v>185</v>
      </c>
      <c r="I7" s="19" t="s">
        <v>187</v>
      </c>
      <c r="J7" s="397" t="s">
        <v>275</v>
      </c>
      <c r="K7" s="19"/>
      <c r="L7" s="19" t="s">
        <v>188</v>
      </c>
      <c r="M7" s="19" t="s">
        <v>184</v>
      </c>
      <c r="P7" s="19" t="s">
        <v>192</v>
      </c>
      <c r="Q7" s="19" t="s">
        <v>186</v>
      </c>
    </row>
    <row r="8" spans="1:17" ht="12.75" customHeight="1" x14ac:dyDescent="0.2">
      <c r="A8" s="870"/>
      <c r="C8" s="223"/>
      <c r="D8" s="166"/>
      <c r="E8" s="166"/>
      <c r="G8" s="223"/>
      <c r="H8" s="19" t="s">
        <v>189</v>
      </c>
      <c r="I8" s="19" t="s">
        <v>191</v>
      </c>
      <c r="K8" s="225"/>
      <c r="L8" s="19" t="s">
        <v>189</v>
      </c>
      <c r="M8" s="19" t="s">
        <v>185</v>
      </c>
      <c r="P8" s="19" t="s">
        <v>193</v>
      </c>
      <c r="Q8" s="19" t="s">
        <v>187</v>
      </c>
    </row>
    <row r="9" spans="1:17" x14ac:dyDescent="0.2">
      <c r="A9" s="870"/>
      <c r="C9" s="223"/>
      <c r="D9" s="166"/>
      <c r="E9" s="166"/>
      <c r="G9" s="223"/>
      <c r="H9" s="19" t="s">
        <v>186</v>
      </c>
      <c r="I9" s="19" t="s">
        <v>188</v>
      </c>
      <c r="K9" s="225"/>
      <c r="L9" s="19" t="s">
        <v>186</v>
      </c>
      <c r="M9" s="19" t="s">
        <v>190</v>
      </c>
      <c r="P9" s="19" t="s">
        <v>190</v>
      </c>
      <c r="Q9" s="19" t="s">
        <v>194</v>
      </c>
    </row>
    <row r="10" spans="1:17" x14ac:dyDescent="0.2">
      <c r="A10" s="870"/>
      <c r="C10" s="223"/>
      <c r="D10" s="166"/>
      <c r="E10" s="166"/>
      <c r="G10" s="223"/>
      <c r="H10" s="19" t="s">
        <v>187</v>
      </c>
      <c r="I10" s="19" t="s">
        <v>189</v>
      </c>
      <c r="K10" s="225"/>
      <c r="L10" s="19" t="s">
        <v>187</v>
      </c>
      <c r="M10" s="19" t="s">
        <v>191</v>
      </c>
      <c r="P10" s="19" t="s">
        <v>191</v>
      </c>
      <c r="Q10" s="19" t="s">
        <v>195</v>
      </c>
    </row>
    <row r="11" spans="1:17" ht="13.5" customHeight="1" x14ac:dyDescent="0.2">
      <c r="A11" s="870"/>
      <c r="C11" s="223"/>
      <c r="D11" s="166"/>
      <c r="E11" s="166"/>
      <c r="G11" s="223"/>
      <c r="H11" s="19" t="s">
        <v>190</v>
      </c>
      <c r="I11" s="19" t="s">
        <v>184</v>
      </c>
      <c r="K11" s="223"/>
      <c r="L11" s="19" t="s">
        <v>184</v>
      </c>
      <c r="M11" s="19" t="s">
        <v>192</v>
      </c>
      <c r="P11" s="19" t="s">
        <v>188</v>
      </c>
      <c r="Q11" s="19" t="s">
        <v>184</v>
      </c>
    </row>
    <row r="12" spans="1:17" ht="13.5" customHeight="1" x14ac:dyDescent="0.2">
      <c r="A12" s="870"/>
      <c r="C12" s="223"/>
      <c r="D12" s="166"/>
      <c r="E12" s="166"/>
      <c r="G12" s="223"/>
      <c r="H12" s="19" t="s">
        <v>191</v>
      </c>
      <c r="I12" s="19" t="s">
        <v>185</v>
      </c>
      <c r="K12" s="223"/>
      <c r="L12" s="19" t="s">
        <v>185</v>
      </c>
      <c r="M12" s="19" t="s">
        <v>193</v>
      </c>
      <c r="P12" s="19" t="s">
        <v>189</v>
      </c>
      <c r="Q12" s="19" t="s">
        <v>185</v>
      </c>
    </row>
    <row r="13" spans="1:17" ht="12.75" customHeight="1" x14ac:dyDescent="0.2">
      <c r="A13" s="870"/>
      <c r="D13" s="19"/>
      <c r="E13" s="19"/>
      <c r="G13" s="223"/>
      <c r="H13" s="19"/>
      <c r="I13" s="19"/>
      <c r="K13" s="223"/>
      <c r="L13" s="19" t="s">
        <v>188</v>
      </c>
      <c r="M13" s="19" t="s">
        <v>190</v>
      </c>
      <c r="P13" s="19" t="s">
        <v>186</v>
      </c>
      <c r="Q13" s="19" t="s">
        <v>190</v>
      </c>
    </row>
    <row r="14" spans="1:17" ht="12.75" customHeight="1" x14ac:dyDescent="0.2">
      <c r="A14" s="870"/>
      <c r="D14" s="19"/>
      <c r="E14" s="19"/>
      <c r="G14" s="223"/>
      <c r="K14" s="223"/>
      <c r="L14" s="19" t="s">
        <v>189</v>
      </c>
      <c r="M14" s="19" t="s">
        <v>191</v>
      </c>
      <c r="P14" s="19" t="s">
        <v>187</v>
      </c>
      <c r="Q14" s="19" t="s">
        <v>191</v>
      </c>
    </row>
    <row r="15" spans="1:17" x14ac:dyDescent="0.2">
      <c r="A15" s="870"/>
      <c r="C15" s="167"/>
      <c r="D15" s="19"/>
      <c r="E15" s="19"/>
      <c r="G15" s="223"/>
      <c r="H15" s="19"/>
      <c r="I15" s="398"/>
      <c r="J15" s="397" t="s">
        <v>282</v>
      </c>
      <c r="K15" s="223"/>
      <c r="L15" s="19" t="s">
        <v>184</v>
      </c>
      <c r="M15" s="19" t="s">
        <v>186</v>
      </c>
      <c r="P15" s="19" t="s">
        <v>184</v>
      </c>
      <c r="Q15" s="19" t="s">
        <v>192</v>
      </c>
    </row>
    <row r="16" spans="1:17" x14ac:dyDescent="0.2">
      <c r="A16" s="870"/>
      <c r="C16" s="167"/>
      <c r="D16" s="19"/>
      <c r="E16" s="19"/>
      <c r="G16" s="223"/>
      <c r="H16" s="19"/>
      <c r="I16" s="19"/>
      <c r="J16" s="343" t="s">
        <v>276</v>
      </c>
      <c r="K16" s="223"/>
      <c r="L16" s="19" t="s">
        <v>185</v>
      </c>
      <c r="M16" s="19" t="s">
        <v>187</v>
      </c>
      <c r="P16" s="19" t="s">
        <v>185</v>
      </c>
      <c r="Q16" s="19" t="s">
        <v>193</v>
      </c>
    </row>
    <row r="17" spans="1:17" x14ac:dyDescent="0.2">
      <c r="A17" s="870"/>
      <c r="C17" s="167"/>
      <c r="D17" s="19"/>
      <c r="E17" s="19"/>
      <c r="G17" s="223"/>
      <c r="H17" s="19"/>
      <c r="I17" s="19"/>
      <c r="J17" s="343" t="s">
        <v>155</v>
      </c>
      <c r="K17" s="223"/>
      <c r="L17" s="19" t="s">
        <v>190</v>
      </c>
      <c r="M17" s="19" t="s">
        <v>192</v>
      </c>
      <c r="P17" s="19" t="s">
        <v>194</v>
      </c>
      <c r="Q17" s="19" t="s">
        <v>188</v>
      </c>
    </row>
    <row r="18" spans="1:17" x14ac:dyDescent="0.2">
      <c r="A18" s="870"/>
      <c r="C18" s="167"/>
      <c r="D18" s="19"/>
      <c r="E18" s="19"/>
      <c r="G18" s="223"/>
      <c r="H18" s="19"/>
      <c r="I18" s="19"/>
      <c r="J18" s="343" t="s">
        <v>277</v>
      </c>
      <c r="K18" s="223"/>
      <c r="L18" s="19" t="s">
        <v>191</v>
      </c>
      <c r="M18" s="19" t="s">
        <v>193</v>
      </c>
      <c r="P18" s="19" t="s">
        <v>195</v>
      </c>
      <c r="Q18" s="19" t="s">
        <v>189</v>
      </c>
    </row>
    <row r="19" spans="1:17" x14ac:dyDescent="0.2">
      <c r="A19" s="870"/>
      <c r="C19" s="167"/>
      <c r="D19" s="19"/>
      <c r="E19" s="19"/>
      <c r="G19" s="223"/>
      <c r="H19" s="19"/>
      <c r="I19" s="19"/>
      <c r="J19" s="343" t="s">
        <v>278</v>
      </c>
      <c r="K19" s="223"/>
      <c r="L19" s="19" t="s">
        <v>186</v>
      </c>
      <c r="M19" s="19" t="s">
        <v>188</v>
      </c>
      <c r="P19" s="19" t="s">
        <v>184</v>
      </c>
      <c r="Q19" s="19" t="s">
        <v>186</v>
      </c>
    </row>
    <row r="20" spans="1:17" x14ac:dyDescent="0.2">
      <c r="A20" s="870"/>
      <c r="C20" s="167"/>
      <c r="D20" s="19"/>
      <c r="E20" s="19"/>
      <c r="G20" s="223"/>
      <c r="H20" s="19"/>
      <c r="I20" s="19"/>
      <c r="K20" s="223"/>
      <c r="L20" s="19" t="s">
        <v>187</v>
      </c>
      <c r="M20" s="19" t="s">
        <v>189</v>
      </c>
      <c r="P20" s="19" t="s">
        <v>185</v>
      </c>
      <c r="Q20" s="19" t="s">
        <v>187</v>
      </c>
    </row>
    <row r="21" spans="1:17" x14ac:dyDescent="0.2">
      <c r="A21" s="870"/>
      <c r="C21" s="167"/>
      <c r="D21" s="19"/>
      <c r="E21" s="19"/>
      <c r="G21" s="223"/>
      <c r="H21" s="19"/>
      <c r="I21" s="398"/>
      <c r="J21" s="343" t="s">
        <v>283</v>
      </c>
      <c r="K21" s="223"/>
      <c r="L21" s="19"/>
      <c r="M21" s="19"/>
      <c r="O21" s="223"/>
      <c r="P21" s="19" t="s">
        <v>188</v>
      </c>
      <c r="Q21" s="19" t="s">
        <v>190</v>
      </c>
    </row>
    <row r="22" spans="1:17" x14ac:dyDescent="0.2">
      <c r="A22" s="870"/>
      <c r="C22" s="167"/>
      <c r="D22" s="19"/>
      <c r="E22" s="19"/>
      <c r="G22" s="223"/>
      <c r="H22" s="19"/>
      <c r="I22" s="19"/>
      <c r="J22" s="343" t="s">
        <v>279</v>
      </c>
      <c r="K22" s="223"/>
      <c r="L22" s="19"/>
      <c r="M22" s="19"/>
      <c r="O22" s="223"/>
      <c r="P22" s="19" t="s">
        <v>189</v>
      </c>
      <c r="Q22" s="19" t="s">
        <v>191</v>
      </c>
    </row>
    <row r="23" spans="1:17" x14ac:dyDescent="0.2">
      <c r="A23" s="870"/>
      <c r="D23" s="19"/>
      <c r="E23" s="19"/>
      <c r="H23" s="19"/>
      <c r="I23" s="19"/>
      <c r="J23" s="343" t="s">
        <v>280</v>
      </c>
      <c r="K23" s="223"/>
      <c r="L23" s="19"/>
      <c r="M23" s="19"/>
      <c r="O23" s="223"/>
      <c r="P23" s="19" t="s">
        <v>192</v>
      </c>
      <c r="Q23" s="19" t="s">
        <v>194</v>
      </c>
    </row>
    <row r="24" spans="1:17" x14ac:dyDescent="0.2">
      <c r="A24" s="870"/>
      <c r="D24" s="19"/>
      <c r="E24" s="19"/>
      <c r="H24" s="19"/>
      <c r="I24" s="19"/>
      <c r="J24" s="343" t="s">
        <v>281</v>
      </c>
      <c r="K24" s="223"/>
      <c r="L24" s="19"/>
      <c r="M24" s="19"/>
      <c r="O24" s="223"/>
      <c r="P24" s="19" t="s">
        <v>193</v>
      </c>
      <c r="Q24" s="19" t="s">
        <v>195</v>
      </c>
    </row>
    <row r="25" spans="1:17" x14ac:dyDescent="0.2">
      <c r="A25" s="870"/>
      <c r="J25" s="343"/>
      <c r="K25" s="223"/>
      <c r="L25" s="19"/>
      <c r="M25" s="19"/>
      <c r="O25" s="223"/>
      <c r="P25" s="19" t="s">
        <v>186</v>
      </c>
      <c r="Q25" s="19" t="s">
        <v>188</v>
      </c>
    </row>
    <row r="26" spans="1:17" x14ac:dyDescent="0.2">
      <c r="A26" s="870"/>
      <c r="K26" s="223"/>
      <c r="L26" s="19"/>
      <c r="M26" s="19"/>
      <c r="O26" s="223"/>
      <c r="P26" s="19" t="s">
        <v>187</v>
      </c>
      <c r="Q26" s="19" t="s">
        <v>189</v>
      </c>
    </row>
    <row r="27" spans="1:17" x14ac:dyDescent="0.2">
      <c r="A27" s="870"/>
      <c r="K27" s="223"/>
      <c r="L27" s="19"/>
      <c r="M27" s="19"/>
      <c r="O27" s="223"/>
      <c r="P27" s="19" t="s">
        <v>194</v>
      </c>
      <c r="Q27" s="19" t="s">
        <v>184</v>
      </c>
    </row>
    <row r="28" spans="1:17" x14ac:dyDescent="0.2">
      <c r="A28" s="870"/>
      <c r="K28" s="223"/>
      <c r="L28" s="19"/>
      <c r="M28" s="19"/>
      <c r="O28" s="223"/>
      <c r="P28" s="19" t="s">
        <v>195</v>
      </c>
      <c r="Q28" s="19" t="s">
        <v>185</v>
      </c>
    </row>
    <row r="29" spans="1:17" x14ac:dyDescent="0.2">
      <c r="A29" s="870"/>
      <c r="K29" s="223"/>
      <c r="L29" s="19"/>
      <c r="M29" s="19"/>
      <c r="O29" s="223"/>
      <c r="P29" s="19" t="s">
        <v>190</v>
      </c>
      <c r="Q29" s="19" t="s">
        <v>192</v>
      </c>
    </row>
    <row r="30" spans="1:17" x14ac:dyDescent="0.2">
      <c r="A30" s="870"/>
      <c r="K30" s="225"/>
      <c r="L30" s="19"/>
      <c r="M30" s="19"/>
      <c r="O30" s="223"/>
      <c r="P30" s="19" t="s">
        <v>191</v>
      </c>
      <c r="Q30" s="19" t="s">
        <v>193</v>
      </c>
    </row>
    <row r="31" spans="1:17" x14ac:dyDescent="0.2">
      <c r="A31" s="870"/>
      <c r="L31" s="19"/>
      <c r="M31" s="19"/>
      <c r="O31" s="223"/>
      <c r="P31" s="19"/>
      <c r="Q31" s="19"/>
    </row>
    <row r="32" spans="1:17" x14ac:dyDescent="0.2">
      <c r="A32" s="870"/>
      <c r="L32" s="19"/>
      <c r="M32" s="19"/>
      <c r="O32" s="223"/>
      <c r="P32" s="19"/>
      <c r="Q32" s="19"/>
    </row>
    <row r="33" spans="12:17" x14ac:dyDescent="0.2">
      <c r="L33" s="19"/>
      <c r="M33" s="19"/>
      <c r="O33" s="223"/>
      <c r="P33" s="19"/>
      <c r="Q33" s="19"/>
    </row>
    <row r="34" spans="12:17" x14ac:dyDescent="0.2">
      <c r="L34" s="19"/>
      <c r="M34" s="19"/>
      <c r="O34" s="223"/>
      <c r="P34" s="19"/>
      <c r="Q34" s="19"/>
    </row>
    <row r="35" spans="12:17" x14ac:dyDescent="0.2">
      <c r="P35" s="19"/>
      <c r="Q35" s="19"/>
    </row>
    <row r="36" spans="12:17" x14ac:dyDescent="0.2">
      <c r="P36" s="19"/>
      <c r="Q36" s="19"/>
    </row>
    <row r="37" spans="12:17" x14ac:dyDescent="0.2">
      <c r="P37" s="19"/>
      <c r="Q37" s="19"/>
    </row>
    <row r="38" spans="12:17" x14ac:dyDescent="0.2">
      <c r="P38" s="19"/>
      <c r="Q38" s="19"/>
    </row>
    <row r="39" spans="12:17" x14ac:dyDescent="0.2">
      <c r="P39" s="19"/>
      <c r="Q39" s="19"/>
    </row>
    <row r="40" spans="12:17" x14ac:dyDescent="0.2">
      <c r="P40" s="19"/>
      <c r="Q40" s="19"/>
    </row>
    <row r="41" spans="12:17" x14ac:dyDescent="0.2">
      <c r="P41" s="19"/>
      <c r="Q41" s="19"/>
    </row>
    <row r="42" spans="12:17" x14ac:dyDescent="0.2">
      <c r="P42" s="19"/>
      <c r="Q42" s="19"/>
    </row>
    <row r="43" spans="12:17" x14ac:dyDescent="0.2">
      <c r="P43" s="19"/>
      <c r="Q43" s="19"/>
    </row>
    <row r="44" spans="12:17" x14ac:dyDescent="0.2">
      <c r="P44" s="19"/>
      <c r="Q44" s="1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43"/>
  <sheetViews>
    <sheetView showGridLines="0" showRowColHeaders="0" tabSelected="1" zoomScaleNormal="100" workbookViewId="0">
      <selection activeCell="I12" sqref="I12"/>
    </sheetView>
  </sheetViews>
  <sheetFormatPr baseColWidth="10" defaultColWidth="0" defaultRowHeight="12.75" zeroHeight="1" x14ac:dyDescent="0.2"/>
  <cols>
    <col min="1" max="1" width="2.7109375" style="7" customWidth="1"/>
    <col min="2" max="2" width="6.7109375" style="7" customWidth="1"/>
    <col min="3" max="3" width="8.5703125" style="7" customWidth="1"/>
    <col min="4" max="4" width="6.5703125" style="7" customWidth="1"/>
    <col min="5" max="5" width="4.85546875" style="7" customWidth="1"/>
    <col min="6" max="6" width="26.7109375" style="7" customWidth="1"/>
    <col min="7" max="7" width="3" style="7" customWidth="1"/>
    <col min="8" max="8" width="26.7109375" style="7" customWidth="1"/>
    <col min="9" max="9" width="4.7109375" style="7" customWidth="1"/>
    <col min="10" max="10" width="2.140625" style="7" customWidth="1"/>
    <col min="11" max="12" width="4.7109375" style="7" customWidth="1"/>
    <col min="13" max="13" width="2.140625" style="7" customWidth="1"/>
    <col min="14" max="15" width="4.7109375" style="7" customWidth="1"/>
    <col min="16" max="16" width="2.140625" style="7" customWidth="1"/>
    <col min="17" max="18" width="4.7109375" style="7" customWidth="1"/>
    <col min="19" max="19" width="2.140625" style="7" customWidth="1"/>
    <col min="20" max="20" width="4.7109375" style="7" customWidth="1"/>
    <col min="21" max="21" width="15.7109375" style="7" customWidth="1"/>
    <col min="22" max="22" width="4.42578125" style="7" customWidth="1"/>
    <col min="23" max="23" width="4.140625" style="7" customWidth="1"/>
    <col min="24" max="24" width="26.7109375" style="7" customWidth="1"/>
    <col min="25" max="28" width="5.7109375" style="7" customWidth="1"/>
    <col min="29" max="29" width="3.7109375" style="7" customWidth="1"/>
    <col min="30" max="30" width="2.140625" style="7" customWidth="1"/>
    <col min="31" max="31" width="3.7109375" style="7" customWidth="1"/>
    <col min="32" max="33" width="5.7109375" style="7" customWidth="1"/>
    <col min="34" max="34" width="2.140625" style="7" customWidth="1"/>
    <col min="35" max="35" width="5.7109375" style="7" customWidth="1"/>
    <col min="36" max="36" width="6.7109375" style="7" customWidth="1"/>
    <col min="37" max="37" width="10.28515625" style="7" customWidth="1"/>
    <col min="38" max="43" width="7.85546875" style="7" customWidth="1"/>
    <col min="44" max="44" width="26.7109375" style="7" customWidth="1"/>
    <col min="45" max="45" width="4.140625" style="7" customWidth="1"/>
    <col min="46" max="46" width="11.42578125" style="7" customWidth="1"/>
    <col min="47" max="47" width="8" style="7" customWidth="1"/>
    <col min="48" max="48" width="30.7109375" style="7" customWidth="1"/>
    <col min="49" max="49" width="2.140625" style="7" customWidth="1"/>
    <col min="50" max="50" width="12.42578125" style="7" customWidth="1"/>
    <col min="51" max="51" width="11.42578125" style="7" customWidth="1"/>
    <col min="52" max="59" width="0" style="7" hidden="1" customWidth="1"/>
    <col min="60" max="16384" width="11.42578125" style="7" hidden="1"/>
  </cols>
  <sheetData>
    <row r="1" spans="1:59" ht="13.5" thickBot="1" x14ac:dyDescent="0.25">
      <c r="B1" s="238"/>
      <c r="C1" s="238"/>
      <c r="D1" s="187"/>
      <c r="E1" s="187"/>
      <c r="F1" s="187"/>
      <c r="G1" s="187"/>
      <c r="H1" s="187"/>
      <c r="I1" s="187"/>
      <c r="J1" s="187"/>
      <c r="K1" s="187"/>
      <c r="L1" s="187"/>
      <c r="M1" s="187"/>
      <c r="N1" s="187"/>
      <c r="O1" s="187"/>
      <c r="P1" s="187"/>
      <c r="Q1" s="187"/>
      <c r="R1" s="187"/>
      <c r="S1" s="187"/>
      <c r="T1" s="187"/>
      <c r="W1" s="895"/>
      <c r="X1" s="895"/>
      <c r="AP1" s="238"/>
      <c r="AQ1" s="238"/>
    </row>
    <row r="2" spans="1:59" ht="36" customHeight="1" thickTop="1" x14ac:dyDescent="0.2">
      <c r="B2" s="186"/>
      <c r="C2" s="186"/>
      <c r="G2" s="788"/>
      <c r="H2" s="900" t="s">
        <v>413</v>
      </c>
      <c r="I2" s="901"/>
      <c r="J2" s="901"/>
      <c r="K2" s="901"/>
      <c r="L2" s="901"/>
      <c r="M2" s="901"/>
      <c r="N2" s="901"/>
      <c r="O2" s="901"/>
      <c r="P2" s="901"/>
      <c r="Q2" s="901"/>
      <c r="R2" s="901"/>
      <c r="S2" s="901"/>
      <c r="T2" s="901"/>
      <c r="U2" s="901"/>
      <c r="V2" s="901"/>
      <c r="W2" s="901"/>
      <c r="X2" s="901"/>
      <c r="Y2" s="901"/>
      <c r="Z2" s="901"/>
      <c r="AA2" s="901"/>
      <c r="AB2" s="902"/>
      <c r="AC2" s="615"/>
      <c r="AD2" s="616"/>
      <c r="AE2" s="616"/>
      <c r="AF2" s="616"/>
      <c r="AG2" s="616"/>
      <c r="AH2" s="616"/>
      <c r="AI2" s="616"/>
      <c r="AJ2" s="616"/>
      <c r="AK2" s="616"/>
      <c r="AL2" s="871" t="s">
        <v>412</v>
      </c>
      <c r="AM2" s="871"/>
    </row>
    <row r="3" spans="1:59" ht="30" customHeight="1" x14ac:dyDescent="0.2">
      <c r="G3" s="789"/>
      <c r="H3" s="883" t="s">
        <v>234</v>
      </c>
      <c r="I3" s="884"/>
      <c r="J3" s="884"/>
      <c r="K3" s="884"/>
      <c r="L3" s="884"/>
      <c r="M3" s="884"/>
      <c r="N3" s="884"/>
      <c r="O3" s="884"/>
      <c r="P3" s="884"/>
      <c r="Q3" s="884"/>
      <c r="R3" s="884"/>
      <c r="S3" s="884"/>
      <c r="T3" s="884"/>
      <c r="U3" s="884"/>
      <c r="V3" s="884"/>
      <c r="W3" s="884"/>
      <c r="X3" s="884"/>
      <c r="Y3" s="884"/>
      <c r="Z3" s="884"/>
      <c r="AA3" s="884"/>
      <c r="AB3" s="885"/>
      <c r="AC3" s="617"/>
      <c r="AD3" s="618"/>
      <c r="AE3" s="618"/>
      <c r="AF3" s="618"/>
      <c r="AG3" s="618"/>
      <c r="AH3" s="618"/>
      <c r="AI3" s="618"/>
      <c r="AJ3" s="618"/>
      <c r="AK3" s="618"/>
      <c r="AL3" s="618"/>
      <c r="AM3" s="618"/>
    </row>
    <row r="4" spans="1:59" ht="30" customHeight="1" x14ac:dyDescent="0.2">
      <c r="G4" s="790"/>
      <c r="H4" s="886" t="s">
        <v>246</v>
      </c>
      <c r="I4" s="887"/>
      <c r="J4" s="887"/>
      <c r="K4" s="887"/>
      <c r="L4" s="887"/>
      <c r="M4" s="887"/>
      <c r="N4" s="887"/>
      <c r="O4" s="887"/>
      <c r="P4" s="887"/>
      <c r="Q4" s="887"/>
      <c r="R4" s="887"/>
      <c r="S4" s="887"/>
      <c r="T4" s="887"/>
      <c r="U4" s="887"/>
      <c r="V4" s="887"/>
      <c r="W4" s="887"/>
      <c r="X4" s="887"/>
      <c r="Y4" s="887"/>
      <c r="Z4" s="887"/>
      <c r="AA4" s="887"/>
      <c r="AB4" s="888"/>
      <c r="AC4" s="619"/>
      <c r="AD4" s="620"/>
      <c r="AE4" s="620"/>
      <c r="AF4" s="620"/>
      <c r="AG4" s="620"/>
      <c r="AH4" s="620"/>
      <c r="AI4" s="620"/>
      <c r="AJ4" s="620"/>
      <c r="AK4" s="620"/>
      <c r="AL4" s="620"/>
      <c r="AM4" s="620"/>
    </row>
    <row r="5" spans="1:59" ht="30" customHeight="1" thickBot="1" x14ac:dyDescent="0.25">
      <c r="G5" s="790"/>
      <c r="H5" s="889" t="s">
        <v>233</v>
      </c>
      <c r="I5" s="890"/>
      <c r="J5" s="890"/>
      <c r="K5" s="890"/>
      <c r="L5" s="890"/>
      <c r="M5" s="890"/>
      <c r="N5" s="890"/>
      <c r="O5" s="890"/>
      <c r="P5" s="890"/>
      <c r="Q5" s="890"/>
      <c r="R5" s="890"/>
      <c r="S5" s="890"/>
      <c r="T5" s="890"/>
      <c r="U5" s="890"/>
      <c r="V5" s="890"/>
      <c r="W5" s="890"/>
      <c r="X5" s="890"/>
      <c r="Y5" s="890"/>
      <c r="Z5" s="890"/>
      <c r="AA5" s="890"/>
      <c r="AB5" s="891"/>
      <c r="AC5" s="619"/>
      <c r="AD5" s="620"/>
      <c r="AE5" s="620"/>
      <c r="AF5" s="620"/>
      <c r="AG5" s="620"/>
      <c r="AH5" s="620"/>
      <c r="AI5" s="620"/>
      <c r="AJ5" s="620"/>
      <c r="AK5" s="620"/>
      <c r="AL5" s="620"/>
      <c r="AM5" s="620"/>
      <c r="AU5" s="353"/>
      <c r="AV5" s="353"/>
      <c r="AW5" s="353"/>
    </row>
    <row r="6" spans="1:59" ht="9" customHeight="1" thickTop="1" x14ac:dyDescent="0.2">
      <c r="B6" s="239"/>
      <c r="C6" s="239"/>
      <c r="D6" s="239"/>
      <c r="E6" s="239"/>
      <c r="F6" s="239"/>
      <c r="G6" s="239"/>
      <c r="H6" s="239"/>
      <c r="I6" s="239"/>
      <c r="J6" s="239"/>
      <c r="K6" s="239"/>
      <c r="L6" s="239"/>
      <c r="M6" s="239"/>
      <c r="N6" s="239"/>
      <c r="O6" s="239"/>
      <c r="P6" s="239"/>
      <c r="Q6" s="239"/>
      <c r="R6" s="239"/>
      <c r="S6" s="239"/>
      <c r="T6" s="239"/>
      <c r="AU6" s="353"/>
      <c r="AV6" s="353"/>
      <c r="AW6" s="353"/>
    </row>
    <row r="7" spans="1:59" ht="30" customHeight="1" x14ac:dyDescent="0.9">
      <c r="B7" s="239"/>
      <c r="C7" s="239"/>
      <c r="D7" s="239"/>
      <c r="E7" s="239"/>
      <c r="F7" s="239"/>
      <c r="G7" s="239"/>
      <c r="H7" s="239"/>
      <c r="I7" s="892" t="str">
        <f>Sprache!$E$18</f>
        <v>Vorrunde</v>
      </c>
      <c r="J7" s="893"/>
      <c r="K7" s="893"/>
      <c r="L7" s="893"/>
      <c r="M7" s="893"/>
      <c r="N7" s="893"/>
      <c r="O7" s="893"/>
      <c r="P7" s="893"/>
      <c r="Q7" s="893"/>
      <c r="R7" s="893"/>
      <c r="S7" s="893"/>
      <c r="T7" s="893"/>
      <c r="U7" s="893"/>
      <c r="V7" s="893"/>
      <c r="W7" s="893"/>
      <c r="X7" s="893"/>
      <c r="Y7" s="791"/>
      <c r="Z7" s="792"/>
      <c r="AA7" s="792"/>
      <c r="AB7" s="792"/>
      <c r="AC7" s="621"/>
      <c r="AD7" s="621"/>
      <c r="AE7" s="621"/>
      <c r="AF7" s="621"/>
      <c r="AG7" s="621"/>
      <c r="AR7" s="453"/>
      <c r="AU7" s="894" t="str">
        <f>Sprache!$E$91</f>
        <v>Sind zwei oder mehr Mannschaften nicht unterscheidbar und wird eine Entscheidung z.B. durch Los getroffen, genügt es, für die bevorzugte Mannschaft einen Bonuspunkt einzutragen.</v>
      </c>
      <c r="AV7" s="894"/>
      <c r="AW7" s="894"/>
      <c r="AX7" s="894"/>
    </row>
    <row r="8" spans="1:59" ht="30" customHeight="1" x14ac:dyDescent="0.9">
      <c r="B8" s="239"/>
      <c r="C8" s="239"/>
      <c r="D8" s="239"/>
      <c r="E8" s="239"/>
      <c r="F8" s="239"/>
      <c r="G8" s="239"/>
      <c r="H8" s="239"/>
      <c r="I8" s="892"/>
      <c r="J8" s="893"/>
      <c r="K8" s="893"/>
      <c r="L8" s="893"/>
      <c r="M8" s="893"/>
      <c r="N8" s="893"/>
      <c r="O8" s="893"/>
      <c r="P8" s="893"/>
      <c r="Q8" s="893"/>
      <c r="R8" s="893"/>
      <c r="S8" s="893"/>
      <c r="T8" s="893"/>
      <c r="U8" s="893"/>
      <c r="V8" s="893"/>
      <c r="W8" s="893"/>
      <c r="X8" s="893"/>
      <c r="Y8" s="791"/>
      <c r="Z8" s="792"/>
      <c r="AA8" s="792"/>
      <c r="AB8" s="792"/>
      <c r="AC8" s="621"/>
      <c r="AD8" s="621"/>
      <c r="AE8" s="621"/>
      <c r="AF8" s="621"/>
      <c r="AG8" s="621"/>
      <c r="AU8" s="894"/>
      <c r="AV8" s="894"/>
      <c r="AW8" s="894"/>
      <c r="AX8" s="894"/>
    </row>
    <row r="9" spans="1:59" ht="13.5" customHeight="1" thickBot="1" x14ac:dyDescent="0.35">
      <c r="C9" s="8"/>
      <c r="D9" s="8"/>
      <c r="E9" s="8"/>
      <c r="F9" s="237"/>
      <c r="G9" s="237"/>
      <c r="H9" s="237"/>
      <c r="I9" s="237"/>
      <c r="J9" s="237"/>
      <c r="K9" s="237"/>
      <c r="L9" s="237"/>
      <c r="M9" s="237"/>
      <c r="N9" s="237"/>
      <c r="O9" s="237"/>
      <c r="P9" s="237"/>
      <c r="Q9" s="237"/>
      <c r="R9" s="237"/>
      <c r="S9" s="237"/>
      <c r="T9" s="237"/>
      <c r="AL9" s="220"/>
      <c r="AM9" s="220"/>
      <c r="AN9" s="220"/>
      <c r="AO9" s="220"/>
      <c r="AP9" s="220"/>
      <c r="AQ9" s="220"/>
    </row>
    <row r="10" spans="1:59" ht="24" customHeight="1" thickBot="1" x14ac:dyDescent="0.45">
      <c r="A10" s="230"/>
      <c r="B10" s="235" t="str">
        <f>Sprache!$E$11</f>
        <v>Ergebnisse</v>
      </c>
      <c r="C10" s="231"/>
      <c r="D10" s="231"/>
      <c r="E10" s="231"/>
      <c r="F10" s="236"/>
      <c r="G10" s="236"/>
      <c r="H10" s="236"/>
      <c r="I10" s="236"/>
      <c r="J10" s="236"/>
      <c r="K10" s="236"/>
      <c r="L10" s="237"/>
      <c r="M10" s="237"/>
      <c r="N10" s="237"/>
      <c r="O10" s="237"/>
      <c r="P10" s="237"/>
      <c r="Q10" s="237"/>
      <c r="R10" s="237"/>
      <c r="S10" s="237"/>
      <c r="T10" s="237"/>
      <c r="W10" s="874" t="str">
        <f>Sprache!$E$16&amp;" A"</f>
        <v>Gruppe A</v>
      </c>
      <c r="X10" s="874"/>
      <c r="Y10" s="124"/>
      <c r="Z10" s="124"/>
      <c r="AA10" s="124"/>
      <c r="AB10" s="124"/>
      <c r="AC10" s="124"/>
      <c r="AD10" s="124"/>
      <c r="AE10" s="124"/>
      <c r="AF10" s="124"/>
      <c r="AG10" s="124"/>
      <c r="AH10" s="124"/>
      <c r="AI10" s="124"/>
      <c r="AJ10" s="124"/>
      <c r="AK10" s="124"/>
      <c r="AL10" s="217" t="str">
        <f ca="1">IF(LEN(X12)&gt;Einstellungen!$C$33,LEFT(X12,Einstellungen!$C$33)&amp;".",X12)</f>
        <v>Eintrac.</v>
      </c>
      <c r="AM10" s="218" t="str">
        <f ca="1">IF(LEN(X13)&gt;Einstellungen!$C$33,LEFT(X13,Einstellungen!$C$33)&amp;".",X13)</f>
        <v>Maibach.</v>
      </c>
      <c r="AN10" s="218" t="str">
        <f ca="1">IF(LEN(X14)&gt;Einstellungen!$C$33,LEFT(X14,Einstellungen!$C$33)&amp;".",X14)</f>
        <v>1. FC R.</v>
      </c>
      <c r="AO10" s="218" t="str">
        <f ca="1">IF(LEN(X15)&gt;Einstellungen!$C$33,LEFT(X15,Einstellungen!$C$33)&amp;".",X15)</f>
        <v>FC Barc.</v>
      </c>
      <c r="AP10" s="218" t="str">
        <f ca="1">IF(LEN(X16)&gt;Einstellungen!$C$33,LEFT(X16,Einstellungen!$C$33)&amp;".",X16)</f>
        <v>VFB Ess.</v>
      </c>
      <c r="AQ10" s="219" t="str">
        <f ca="1">IF(LEN(X17)&gt;Einstellungen!$C$33,LEFT(X17,Einstellungen!$C$33)&amp;".",X17)</f>
        <v/>
      </c>
      <c r="AR10" s="125"/>
      <c r="AU10" s="874" t="str">
        <f>Sprache!$E$16&amp;" A"</f>
        <v>Gruppe A</v>
      </c>
      <c r="AV10" s="874"/>
      <c r="AX10" s="475" t="str">
        <f>Sprache!$E$71</f>
        <v>Bonus</v>
      </c>
    </row>
    <row r="11" spans="1:59" ht="24" customHeight="1" thickTop="1" thickBot="1" x14ac:dyDescent="0.25">
      <c r="B11" s="330" t="str">
        <f>Sprache!$E$9</f>
        <v>Nr.</v>
      </c>
      <c r="C11" s="549" t="str">
        <f>Sprache!$E$39</f>
        <v>Beginn</v>
      </c>
      <c r="D11" s="549" t="str">
        <f>Sprache!$E$48</f>
        <v>Feld</v>
      </c>
      <c r="E11" s="549" t="str">
        <f>Sprache!$E$17</f>
        <v>Grp</v>
      </c>
      <c r="F11" s="896" t="str">
        <f>Sprache!$E$14</f>
        <v>Spielpaarung</v>
      </c>
      <c r="G11" s="896"/>
      <c r="H11" s="896"/>
      <c r="I11" s="896" t="str">
        <f>Sprache!$E$61</f>
        <v>1. Satz</v>
      </c>
      <c r="J11" s="896"/>
      <c r="K11" s="896"/>
      <c r="L11" s="896" t="str">
        <f>Sprache!$E$62</f>
        <v>2. Satz</v>
      </c>
      <c r="M11" s="896"/>
      <c r="N11" s="897"/>
      <c r="O11" s="896" t="str">
        <f>Sprache!$E$63</f>
        <v>3. Satz</v>
      </c>
      <c r="P11" s="896"/>
      <c r="Q11" s="897"/>
      <c r="R11" s="898" t="str">
        <f>Sprache!$E$25</f>
        <v>Sätze</v>
      </c>
      <c r="S11" s="896"/>
      <c r="T11" s="899"/>
      <c r="U11" s="602" t="str">
        <f>Sprache!$E$68</f>
        <v>Schiedsrichter</v>
      </c>
      <c r="W11" s="875"/>
      <c r="X11" s="876"/>
      <c r="Y11" s="126" t="str">
        <f>Sprache!$E$21</f>
        <v>SP</v>
      </c>
      <c r="Z11" s="127" t="str">
        <f>Sprache!$E$22</f>
        <v>G</v>
      </c>
      <c r="AA11" s="127" t="str">
        <f>Sprache!$E$23</f>
        <v>U</v>
      </c>
      <c r="AB11" s="128" t="str">
        <f>Sprache!$E$24</f>
        <v>V</v>
      </c>
      <c r="AC11" s="880" t="str">
        <f>Sprache!$E$25</f>
        <v>Sätze</v>
      </c>
      <c r="AD11" s="881"/>
      <c r="AE11" s="882"/>
      <c r="AF11" s="630" t="str">
        <f>Sprache!$E$26</f>
        <v>Diff.</v>
      </c>
      <c r="AG11" s="877" t="str">
        <f>Sprache!$E$60</f>
        <v>Bälle</v>
      </c>
      <c r="AH11" s="878"/>
      <c r="AI11" s="879"/>
      <c r="AJ11" s="127" t="str">
        <f>IF(Einstellungen!$G$24,Sprache!$E$26,Sprache!$E$67)</f>
        <v>Diff.</v>
      </c>
      <c r="AK11" s="129" t="str">
        <f>IF(Einstellungen!$G$9,Sprache!$E$27,Sprache!$E$80)</f>
        <v>Pkt</v>
      </c>
      <c r="AL11" s="130" t="str">
        <f ca="1">X12</f>
        <v>Eintracht Frankfurt</v>
      </c>
      <c r="AM11" s="131" t="str">
        <f ca="1">X13</f>
        <v>Maibach 1822 eV</v>
      </c>
      <c r="AN11" s="131" t="str">
        <f ca="1">X14</f>
        <v>1. FC Riedwald</v>
      </c>
      <c r="AO11" s="131" t="str">
        <f ca="1">X15</f>
        <v>FC Barcelona</v>
      </c>
      <c r="AP11" s="131" t="str">
        <f ca="1">X16</f>
        <v>VFB Essenheim</v>
      </c>
      <c r="AQ11" s="455" t="str">
        <f ca="1">X17</f>
        <v/>
      </c>
      <c r="AR11" s="125"/>
      <c r="AU11" s="352" t="str">
        <f>Sprache!$E$9</f>
        <v>Nr.</v>
      </c>
      <c r="AV11" s="473" t="str">
        <f>Sprache!$E$10</f>
        <v>Teilnehmer bzw. Mannschaft</v>
      </c>
      <c r="AW11" s="470"/>
    </row>
    <row r="12" spans="1:59" ht="24" customHeight="1" x14ac:dyDescent="0.2">
      <c r="B12" s="361">
        <f>Planung!$E6</f>
        <v>1</v>
      </c>
      <c r="C12" s="367">
        <f>Planung!$F6</f>
        <v>0.375</v>
      </c>
      <c r="D12" s="368" t="str">
        <f>Planung!$G6</f>
        <v>1</v>
      </c>
      <c r="E12" s="368" t="str">
        <f ca="1">Planung!$H6</f>
        <v>A</v>
      </c>
      <c r="F12" s="373" t="str">
        <f ca="1">Planung!$L6</f>
        <v>VFB Essenheim</v>
      </c>
      <c r="G12" s="360" t="s">
        <v>4</v>
      </c>
      <c r="H12" s="376" t="str">
        <f ca="1">Planung!$N6</f>
        <v>FC Barcelona</v>
      </c>
      <c r="I12" s="364">
        <v>13</v>
      </c>
      <c r="J12" s="632" t="str">
        <f>Sprache!$E$99</f>
        <v xml:space="preserve"> : </v>
      </c>
      <c r="K12" s="563">
        <v>25</v>
      </c>
      <c r="L12" s="638">
        <v>19</v>
      </c>
      <c r="M12" s="635" t="str">
        <f>Sprache!$E$99</f>
        <v xml:space="preserve"> : </v>
      </c>
      <c r="N12" s="641">
        <v>25</v>
      </c>
      <c r="O12" s="643">
        <v>25</v>
      </c>
      <c r="P12" s="644" t="str">
        <f>Sprache!$E$99</f>
        <v xml:space="preserve"> : </v>
      </c>
      <c r="Q12" s="641">
        <v>21</v>
      </c>
      <c r="R12" s="650">
        <f t="shared" ref="R12:R41" ca="1" si="0">IF(BA12,"",(I12&lt;&gt;"")*(K12&lt;&gt;"")*NOT(BB12)*(I12&gt;K12)+(L12&lt;&gt;"")*(N12&lt;&gt;"")*NOT(BC12)*(L12&gt;N12)+(O12&lt;&gt;"")*(Q12&lt;&gt;"")*NOT(BD12)*(O12&gt;Q12))</f>
        <v>1</v>
      </c>
      <c r="S12" s="645" t="str">
        <f>Sprache!$E$99</f>
        <v xml:space="preserve"> : </v>
      </c>
      <c r="T12" s="651">
        <f t="shared" ref="T12:T41" ca="1" si="1">IF(BA12,"",(I12&lt;&gt;"")*(K12&lt;&gt;"")*NOT(BB12)*(I12&lt;K12)+(L12&lt;&gt;"")*(N12&lt;&gt;"")*NOT(BC12)*(L12&lt;N12)+(O12&lt;&gt;"")*(Q12&lt;&gt;"")*NOT(BD12)*(O12&lt;Q12))</f>
        <v>2</v>
      </c>
      <c r="U12" s="612" t="str">
        <f>IF(Planung!$O6="","",Planung!$O6)</f>
        <v/>
      </c>
      <c r="W12" s="311">
        <f ca="1">IF(Calc1!$K$13=0,"",1)</f>
        <v>1</v>
      </c>
      <c r="X12" s="312" t="str">
        <f ca="1">IF(Calc1!$F$14&lt;3,"",IF(Calc1!$K$13=0,Calc1!$Q64,VLOOKUP(Calc1!B4,Calc1!$C$4:$N$12,4,0)))</f>
        <v>Eintracht Frankfurt</v>
      </c>
      <c r="Y12" s="132">
        <f ca="1">IF(Calc1!$K$13=0,"",VLOOKUP(Calc1!B4,Calc1!$C$4:$N$12,9,0))</f>
        <v>4</v>
      </c>
      <c r="Z12" s="133">
        <f ca="1">IF(Calc1!$K$13=0,"",VLOOKUP(Calc1!B4,Calc1!$C$4:$N$12,10,0))</f>
        <v>1</v>
      </c>
      <c r="AA12" s="133">
        <f ca="1">IF(Calc1!$K$13=0,"",VLOOKUP(Calc1!B4,Calc1!$C$4:$N$12,11,0))</f>
        <v>3</v>
      </c>
      <c r="AB12" s="134">
        <f ca="1">IF(Calc1!$K$13=0,"",VLOOKUP(Calc1!B4,Calc1!$C$4:$N$12,12,0))</f>
        <v>0</v>
      </c>
      <c r="AC12" s="135">
        <f ca="1">IF(Calc1!$K$13=0,"",VLOOKUP(Calc1!B4,Calc1!$C$4:$AT$12,44,0))</f>
        <v>5</v>
      </c>
      <c r="AD12" s="420" t="str">
        <f>Sprache!$E$99</f>
        <v xml:space="preserve"> : </v>
      </c>
      <c r="AE12" s="137">
        <f ca="1">IF(Calc1!$K$13=0,"",VLOOKUP(Calc1!B4,Calc1!$C$4:$AS$12,43,0))</f>
        <v>3</v>
      </c>
      <c r="AF12" s="136">
        <f ca="1">IF(Calc1!$K$13=0,"",AC12-AE12)</f>
        <v>2</v>
      </c>
      <c r="AG12" s="135">
        <f ca="1">IF(Calc1!$K$13=0,"",VLOOKUP(Calc1!B4,Calc1!$C$4:$N$12,5,0))</f>
        <v>191</v>
      </c>
      <c r="AH12" s="420" t="str">
        <f>Sprache!$E$99</f>
        <v xml:space="preserve"> : </v>
      </c>
      <c r="AI12" s="137">
        <f ca="1">IF(Calc1!$K$13=0,"",VLOOKUP(Calc1!B4,Calc1!$C$4:$N$12,6,0))</f>
        <v>171</v>
      </c>
      <c r="AJ12" s="132">
        <f ca="1">IF(Calc1!$K$13=0,"",IF(VLOOKUP(Calc1!B4,Calc1!$C$4:$AV$12,46,0)=Einstellungen!$F$24,"max",VLOOKUP(Calc1!B4,Calc1!$C$4:$AV$12,46,0)))</f>
        <v>20</v>
      </c>
      <c r="AK12" s="138">
        <f ca="1">IF(Calc1!$K$13=0,"",VLOOKUP(Calc1!B4,Calc1!$C$4:$AT$12,Einstellungen!$H$9,0))</f>
        <v>5</v>
      </c>
      <c r="AL12" s="139"/>
      <c r="AM12" s="133" t="str">
        <f ca="1">IFERROR(VLOOKUP($X12&amp;AM$11,Calc1!$Z$64:$AC$207,Einstellungen!$G$29,0),"")</f>
        <v>50 : 36</v>
      </c>
      <c r="AN12" s="133" t="str">
        <f ca="1">IFERROR(VLOOKUP($X12&amp;AN$11,Calc1!$Z$64:$AC$207,Einstellungen!$G$29,0),"")</f>
        <v>46 : 42</v>
      </c>
      <c r="AO12" s="133" t="str">
        <f ca="1">IFERROR(VLOOKUP($X12&amp;AO$11,Calc1!$Z$64:$AC$207,Einstellungen!$G$29,0),"")</f>
        <v>48 : 48</v>
      </c>
      <c r="AP12" s="133" t="str">
        <f ca="1">IFERROR(VLOOKUP($X12&amp;AP$11,Calc1!$Z$64:$AC$207,Einstellungen!$G$29,0),"")</f>
        <v>47 : 45</v>
      </c>
      <c r="AQ12" s="140" t="str">
        <f ca="1">IFERROR(VLOOKUP($X12&amp;AQ$11,Calc1!$Z$64:$AC$207,Einstellungen!$G$29,0),"")</f>
        <v/>
      </c>
      <c r="AR12" s="141" t="str">
        <f t="shared" ref="AR12:AR17" ca="1" si="2">X12</f>
        <v>Eintracht Frankfurt</v>
      </c>
      <c r="AU12" s="351" t="s">
        <v>186</v>
      </c>
      <c r="AV12" s="474" t="str">
        <f>IF(Planung!$C7="","",Planung!$C7)</f>
        <v>1. FC Riedwald</v>
      </c>
      <c r="AW12" s="471"/>
      <c r="AX12" s="783"/>
      <c r="BA12" s="7" t="b">
        <f t="shared" ref="BA12:BA41" ca="1" si="3">OR(F12="",H12="",AND(OR(I12="",K12="",BB12),OR(L12="",N12="",BC12),OR(O12="",Q12="",BD12)))</f>
        <v>0</v>
      </c>
      <c r="BB12" s="7" t="b">
        <f t="shared" ref="BB12:BB41" si="4">ABS(I12-K12)&lt;2</f>
        <v>0</v>
      </c>
      <c r="BC12" s="7" t="b">
        <f t="shared" ref="BC12:BC41" si="5">ABS(L12-N12)&lt;2</f>
        <v>0</v>
      </c>
      <c r="BD12" s="7" t="b">
        <f t="shared" ref="BD12:BD41" si="6">ABS(O12-Q12)&lt;2</f>
        <v>0</v>
      </c>
      <c r="BE12" s="7" t="b">
        <f t="shared" ref="BE12:BE41" si="7">AND(BB12,I12&lt;&gt;"",K12&lt;&gt;"")</f>
        <v>0</v>
      </c>
      <c r="BF12" s="7" t="b">
        <f t="shared" ref="BF12:BF41" si="8">AND(BC12,L12&lt;&gt;"",N12&lt;&gt;"")</f>
        <v>0</v>
      </c>
      <c r="BG12" s="7" t="b">
        <f t="shared" ref="BG12:BG41" si="9">AND(BD12,O12&lt;&gt;"",Q12&lt;&gt;"")</f>
        <v>0</v>
      </c>
    </row>
    <row r="13" spans="1:59" ht="24" customHeight="1" x14ac:dyDescent="0.2">
      <c r="B13" s="362">
        <f ca="1">Planung!$E7</f>
        <v>2</v>
      </c>
      <c r="C13" s="369">
        <f ca="1">Planung!$F7</f>
        <v>0.375</v>
      </c>
      <c r="D13" s="370">
        <f ca="1">Planung!$G7</f>
        <v>2</v>
      </c>
      <c r="E13" s="370" t="str">
        <f ca="1">Planung!$H7</f>
        <v>B</v>
      </c>
      <c r="F13" s="374" t="str">
        <f ca="1">Planung!$L7</f>
        <v>FC Grönlingen</v>
      </c>
      <c r="G13" s="145" t="s">
        <v>4</v>
      </c>
      <c r="H13" s="377" t="str">
        <f ca="1">Planung!$N7</f>
        <v>Inter Mailand</v>
      </c>
      <c r="I13" s="365">
        <v>25</v>
      </c>
      <c r="J13" s="633" t="str">
        <f>Sprache!$E$99</f>
        <v xml:space="preserve"> : </v>
      </c>
      <c r="K13" s="564">
        <v>20</v>
      </c>
      <c r="L13" s="639">
        <v>23</v>
      </c>
      <c r="M13" s="636" t="str">
        <f>Sprache!$E$99</f>
        <v xml:space="preserve"> : </v>
      </c>
      <c r="N13" s="631">
        <v>25</v>
      </c>
      <c r="O13" s="639"/>
      <c r="P13" s="636" t="str">
        <f>Sprache!$E$99</f>
        <v xml:space="preserve"> : </v>
      </c>
      <c r="Q13" s="631"/>
      <c r="R13" s="652">
        <f t="shared" ca="1" si="0"/>
        <v>1</v>
      </c>
      <c r="S13" s="646" t="str">
        <f>Sprache!$E$99</f>
        <v xml:space="preserve"> : </v>
      </c>
      <c r="T13" s="647">
        <f t="shared" ca="1" si="1"/>
        <v>1</v>
      </c>
      <c r="U13" s="613" t="str">
        <f>IF(Planung!$O7="","",Planung!$O7)</f>
        <v/>
      </c>
      <c r="W13" s="313">
        <f ca="1">IF(Calc1!$K$13=0,"",IF(VLOOKUP(Calc1!B5,Calc1!$C$4:$E$12,3,0)=MAX(W$12:W12),VLOOKUP(Calc1!B5,Calc1!$C$4:$E$12,3,0),Calc1!B5))</f>
        <v>2</v>
      </c>
      <c r="X13" s="314" t="str">
        <f ca="1">IF(Calc1!$F$14&lt;3,"",IF(Calc1!$K$13=0,Calc1!$Q65,VLOOKUP(Calc1!B5,Calc1!$C$4:$N$12,4,0)))</f>
        <v>Maibach 1822 eV</v>
      </c>
      <c r="Y13" s="142">
        <f ca="1">IF(Calc1!$K$13=0,"",VLOOKUP(Calc1!B5,Calc1!$C$4:$N$12,9,0))</f>
        <v>4</v>
      </c>
      <c r="Z13" s="123">
        <f ca="1">IF(Calc1!$K$13=0,"",VLOOKUP(Calc1!B5,Calc1!$C$4:$N$12,10,0))</f>
        <v>2</v>
      </c>
      <c r="AA13" s="123">
        <f ca="1">IF(Calc1!$K$13=0,"",VLOOKUP(Calc1!B5,Calc1!$C$4:$N$12,11,0))</f>
        <v>1</v>
      </c>
      <c r="AB13" s="143">
        <f ca="1">IF(Calc1!$K$13=0,"",VLOOKUP(Calc1!B5,Calc1!$C$4:$N$12,12,0))</f>
        <v>1</v>
      </c>
      <c r="AC13" s="144">
        <f ca="1">IF(Calc1!$K$13=0,"",VLOOKUP(Calc1!B5,Calc1!$C$4:$AT$12,44,0))</f>
        <v>5</v>
      </c>
      <c r="AD13" s="423" t="str">
        <f>Sprache!$E$99</f>
        <v xml:space="preserve"> : </v>
      </c>
      <c r="AE13" s="146">
        <f ca="1">IF(Calc1!$K$13=0,"",VLOOKUP(Calc1!B5,Calc1!$C$4:$AS$12,43,0))</f>
        <v>3</v>
      </c>
      <c r="AF13" s="145">
        <f ca="1">IF(Calc1!$K$13=0,"",AC13-AE13)</f>
        <v>2</v>
      </c>
      <c r="AG13" s="144">
        <f ca="1">IF(Calc1!$K$13=0,"",VLOOKUP(Calc1!B5,Calc1!$C$4:$N$12,5,0))</f>
        <v>179</v>
      </c>
      <c r="AH13" s="423" t="str">
        <f>Sprache!$E$99</f>
        <v xml:space="preserve"> : </v>
      </c>
      <c r="AI13" s="146">
        <f ca="1">IF(Calc1!$K$13=0,"",VLOOKUP(Calc1!B5,Calc1!$C$4:$N$12,6,0))</f>
        <v>160</v>
      </c>
      <c r="AJ13" s="142">
        <f ca="1">IF(Calc1!$K$13=0,"",IF(VLOOKUP(Calc1!B5,Calc1!$C$4:$AV$12,46,0)=Einstellungen!$F$24,"max",VLOOKUP(Calc1!B5,Calc1!$C$4:$AV$12,46,0)))</f>
        <v>19</v>
      </c>
      <c r="AK13" s="147">
        <f ca="1">IF(Calc1!$K$13=0,"",VLOOKUP(Calc1!B5,Calc1!$C$4:$AT$12,Einstellungen!$H$9,0))</f>
        <v>5</v>
      </c>
      <c r="AL13" s="148" t="str">
        <f ca="1">IFERROR(VLOOKUP($X13&amp;AL$11,Calc1!$Z$64:$AC$207,Einstellungen!$G$29,0),"")</f>
        <v>36 : 50</v>
      </c>
      <c r="AM13" s="149"/>
      <c r="AN13" s="123" t="str">
        <f ca="1">IFERROR(VLOOKUP($X13&amp;AN$11,Calc1!$Z$64:$AC$207,Einstellungen!$G$29,0),"")</f>
        <v>43 : 41</v>
      </c>
      <c r="AO13" s="123" t="str">
        <f ca="1">IFERROR(VLOOKUP($X13&amp;AO$11,Calc1!$Z$64:$AC$207,Einstellungen!$G$29,0),"")</f>
        <v>50 : 29</v>
      </c>
      <c r="AP13" s="123" t="str">
        <f ca="1">IFERROR(VLOOKUP($X13&amp;AP$11,Calc1!$Z$64:$AC$207,Einstellungen!$G$29,0),"")</f>
        <v>50 : 40</v>
      </c>
      <c r="AQ13" s="150" t="str">
        <f ca="1">IFERROR(VLOOKUP($X13&amp;AQ$11,Calc1!$Z$64:$AC$207,Einstellungen!$G$29,0),"")</f>
        <v/>
      </c>
      <c r="AR13" s="151" t="str">
        <f t="shared" ca="1" si="2"/>
        <v>Maibach 1822 eV</v>
      </c>
      <c r="AU13" s="349" t="s">
        <v>188</v>
      </c>
      <c r="AV13" s="314" t="str">
        <f>IF(Planung!$C9="","",Planung!$C9)</f>
        <v>FC Barcelona</v>
      </c>
      <c r="AW13" s="471"/>
      <c r="AX13" s="784"/>
      <c r="BA13" s="7" t="b">
        <f t="shared" ca="1" si="3"/>
        <v>0</v>
      </c>
      <c r="BB13" s="7" t="b">
        <f t="shared" si="4"/>
        <v>0</v>
      </c>
      <c r="BC13" s="7" t="b">
        <f t="shared" si="5"/>
        <v>0</v>
      </c>
      <c r="BD13" s="7" t="b">
        <f t="shared" si="6"/>
        <v>1</v>
      </c>
      <c r="BE13" s="7" t="b">
        <f t="shared" si="7"/>
        <v>0</v>
      </c>
      <c r="BF13" s="7" t="b">
        <f t="shared" si="8"/>
        <v>0</v>
      </c>
      <c r="BG13" s="7" t="b">
        <f t="shared" si="9"/>
        <v>0</v>
      </c>
    </row>
    <row r="14" spans="1:59" ht="24" customHeight="1" x14ac:dyDescent="0.2">
      <c r="B14" s="362">
        <f ca="1">Planung!$E8</f>
        <v>3</v>
      </c>
      <c r="C14" s="369">
        <f ca="1">Planung!$F8</f>
        <v>0.375</v>
      </c>
      <c r="D14" s="370">
        <f ca="1">Planung!$G8</f>
        <v>3</v>
      </c>
      <c r="E14" s="370" t="str">
        <f ca="1">Planung!$H8</f>
        <v>A</v>
      </c>
      <c r="F14" s="374" t="str">
        <f ca="1">Planung!$L8</f>
        <v>Eintracht Frankfurt</v>
      </c>
      <c r="G14" s="145" t="s">
        <v>4</v>
      </c>
      <c r="H14" s="377" t="str">
        <f ca="1">Planung!$N8</f>
        <v>Maibach 1822 eV</v>
      </c>
      <c r="I14" s="365">
        <v>25</v>
      </c>
      <c r="J14" s="633" t="str">
        <f>Sprache!$E$99</f>
        <v xml:space="preserve"> : </v>
      </c>
      <c r="K14" s="564">
        <v>17</v>
      </c>
      <c r="L14" s="639">
        <v>25</v>
      </c>
      <c r="M14" s="636" t="str">
        <f>Sprache!$E$99</f>
        <v xml:space="preserve"> : </v>
      </c>
      <c r="N14" s="631">
        <v>19</v>
      </c>
      <c r="O14" s="639"/>
      <c r="P14" s="636" t="str">
        <f>Sprache!$E$99</f>
        <v xml:space="preserve"> : </v>
      </c>
      <c r="Q14" s="631"/>
      <c r="R14" s="652">
        <f t="shared" ca="1" si="0"/>
        <v>2</v>
      </c>
      <c r="S14" s="646" t="str">
        <f>Sprache!$E$99</f>
        <v xml:space="preserve"> : </v>
      </c>
      <c r="T14" s="647">
        <f t="shared" ca="1" si="1"/>
        <v>0</v>
      </c>
      <c r="U14" s="613" t="str">
        <f>IF(Planung!$O8="","",Planung!$O8)</f>
        <v/>
      </c>
      <c r="W14" s="313">
        <f ca="1">IF(Calc1!$K$13=0,"",IF(VLOOKUP(Calc1!B6,Calc1!$C$4:$E$12,3,0)=MAX(W$12:W13),VLOOKUP(Calc1!B6,Calc1!$C$4:$E$12,3,0),Calc1!B6))</f>
        <v>3</v>
      </c>
      <c r="X14" s="314" t="str">
        <f ca="1">IF(Calc1!$F$14&lt;3,"",IF(Calc1!$K$13=0,Calc1!$Q66,VLOOKUP(Calc1!B6,Calc1!$C$4:$N$12,4,0)))</f>
        <v>1. FC Riedwald</v>
      </c>
      <c r="Y14" s="142">
        <f ca="1">IF(Calc1!$K$13=0,"",VLOOKUP(Calc1!B6,Calc1!$C$4:$N$12,9,0))</f>
        <v>4</v>
      </c>
      <c r="Z14" s="123">
        <f ca="1">IF(Calc1!$K$13=0,"",VLOOKUP(Calc1!B6,Calc1!$C$4:$N$12,10,0))</f>
        <v>1</v>
      </c>
      <c r="AA14" s="123">
        <f ca="1">IF(Calc1!$K$13=0,"",VLOOKUP(Calc1!B6,Calc1!$C$4:$N$12,11,0))</f>
        <v>2</v>
      </c>
      <c r="AB14" s="143">
        <f ca="1">IF(Calc1!$K$13=0,"",VLOOKUP(Calc1!B6,Calc1!$C$4:$N$12,12,0))</f>
        <v>1</v>
      </c>
      <c r="AC14" s="144">
        <f ca="1">IF(Calc1!$K$13=0,"",VLOOKUP(Calc1!B6,Calc1!$C$4:$AT$12,44,0))</f>
        <v>4</v>
      </c>
      <c r="AD14" s="423" t="str">
        <f>Sprache!$E$99</f>
        <v xml:space="preserve"> : </v>
      </c>
      <c r="AE14" s="146">
        <f ca="1">IF(Calc1!$K$13=0,"",VLOOKUP(Calc1!B6,Calc1!$C$4:$AS$12,43,0))</f>
        <v>4</v>
      </c>
      <c r="AF14" s="145">
        <f ca="1">IF(Calc1!$K$13=0,"",AC14-AE14)</f>
        <v>0</v>
      </c>
      <c r="AG14" s="144">
        <f ca="1">IF(Calc1!$K$13=0,"",VLOOKUP(Calc1!B6,Calc1!$C$4:$N$12,5,0))</f>
        <v>177</v>
      </c>
      <c r="AH14" s="423" t="str">
        <f>Sprache!$E$99</f>
        <v xml:space="preserve"> : </v>
      </c>
      <c r="AI14" s="146">
        <f ca="1">IF(Calc1!$K$13=0,"",VLOOKUP(Calc1!B6,Calc1!$C$4:$N$12,6,0))</f>
        <v>176</v>
      </c>
      <c r="AJ14" s="142">
        <f ca="1">IF(Calc1!$K$13=0,"",IF(VLOOKUP(Calc1!B6,Calc1!$C$4:$AV$12,46,0)=Einstellungen!$F$24,"max",VLOOKUP(Calc1!B6,Calc1!$C$4:$AV$12,46,0)))</f>
        <v>1</v>
      </c>
      <c r="AK14" s="147">
        <f ca="1">IF(Calc1!$K$13=0,"",VLOOKUP(Calc1!B6,Calc1!$C$4:$AT$12,Einstellungen!$H$9,0))</f>
        <v>4</v>
      </c>
      <c r="AL14" s="148" t="str">
        <f ca="1">IFERROR(VLOOKUP($X14&amp;AL$11,Calc1!$Z$64:$AC$207,Einstellungen!$G$29,0),"")</f>
        <v>42 : 46</v>
      </c>
      <c r="AM14" s="346" t="str">
        <f ca="1">IFERROR(VLOOKUP($X14&amp;AM$11,Calc1!$Z$64:$AC$207,Einstellungen!$G$29,0),"")</f>
        <v>41 : 43</v>
      </c>
      <c r="AN14" s="149"/>
      <c r="AO14" s="123" t="str">
        <f ca="1">IFERROR(VLOOKUP($X14&amp;AO$11,Calc1!$Z$64:$AC$207,Einstellungen!$G$29,0),"")</f>
        <v>50 : 37</v>
      </c>
      <c r="AP14" s="123" t="str">
        <f ca="1">IFERROR(VLOOKUP($X14&amp;AP$11,Calc1!$Z$64:$AC$207,Einstellungen!$G$29,0),"")</f>
        <v>44 : 50</v>
      </c>
      <c r="AQ14" s="150" t="str">
        <f ca="1">IFERROR(VLOOKUP($X14&amp;AQ$11,Calc1!$Z$64:$AC$207,Einstellungen!$G$29,0),"")</f>
        <v/>
      </c>
      <c r="AR14" s="151" t="str">
        <f t="shared" ca="1" si="2"/>
        <v>1. FC Riedwald</v>
      </c>
      <c r="AU14" s="349" t="s">
        <v>184</v>
      </c>
      <c r="AV14" s="314" t="str">
        <f>IF(Planung!$C11="","",Planung!$C11)</f>
        <v>Eintracht Frankfurt</v>
      </c>
      <c r="AW14" s="471"/>
      <c r="AX14" s="784"/>
      <c r="BA14" s="7" t="b">
        <f t="shared" ca="1" si="3"/>
        <v>0</v>
      </c>
      <c r="BB14" s="7" t="b">
        <f t="shared" si="4"/>
        <v>0</v>
      </c>
      <c r="BC14" s="7" t="b">
        <f t="shared" si="5"/>
        <v>0</v>
      </c>
      <c r="BD14" s="7" t="b">
        <f t="shared" si="6"/>
        <v>1</v>
      </c>
      <c r="BE14" s="7" t="b">
        <f t="shared" si="7"/>
        <v>0</v>
      </c>
      <c r="BF14" s="7" t="b">
        <f t="shared" si="8"/>
        <v>0</v>
      </c>
      <c r="BG14" s="7" t="b">
        <f t="shared" si="9"/>
        <v>0</v>
      </c>
    </row>
    <row r="15" spans="1:59" ht="24" customHeight="1" x14ac:dyDescent="0.2">
      <c r="B15" s="362">
        <f ca="1">Planung!$E9</f>
        <v>4</v>
      </c>
      <c r="C15" s="369">
        <f ca="1">Planung!$F9</f>
        <v>0.375</v>
      </c>
      <c r="D15" s="370">
        <f ca="1">Planung!$G9</f>
        <v>4</v>
      </c>
      <c r="E15" s="370" t="str">
        <f ca="1">Planung!$H9</f>
        <v>B</v>
      </c>
      <c r="F15" s="374" t="str">
        <f ca="1">Planung!$L9</f>
        <v>SSV Wildbach</v>
      </c>
      <c r="G15" s="145" t="s">
        <v>4</v>
      </c>
      <c r="H15" s="377" t="str">
        <f ca="1">Planung!$N9</f>
        <v>Manchester City</v>
      </c>
      <c r="I15" s="365">
        <v>25</v>
      </c>
      <c r="J15" s="633" t="str">
        <f>Sprache!$E$99</f>
        <v xml:space="preserve"> : </v>
      </c>
      <c r="K15" s="564">
        <v>22</v>
      </c>
      <c r="L15" s="639">
        <v>25</v>
      </c>
      <c r="M15" s="636" t="str">
        <f>Sprache!$E$99</f>
        <v xml:space="preserve"> : </v>
      </c>
      <c r="N15" s="631">
        <v>20</v>
      </c>
      <c r="O15" s="639"/>
      <c r="P15" s="636" t="str">
        <f>Sprache!$E$99</f>
        <v xml:space="preserve"> : </v>
      </c>
      <c r="Q15" s="631"/>
      <c r="R15" s="652">
        <f t="shared" ca="1" si="0"/>
        <v>2</v>
      </c>
      <c r="S15" s="646" t="str">
        <f>Sprache!$E$99</f>
        <v xml:space="preserve"> : </v>
      </c>
      <c r="T15" s="647">
        <f t="shared" ca="1" si="1"/>
        <v>0</v>
      </c>
      <c r="U15" s="613" t="str">
        <f>IF(Planung!$O9="","",Planung!$O9)</f>
        <v/>
      </c>
      <c r="W15" s="313">
        <f ca="1">IF(Calc1!$K$13=0,"",IF(VLOOKUP(Calc1!B7,Calc1!$C$4:$E$12,3,0)=MAX(W$12:W14),VLOOKUP(Calc1!B7,Calc1!$C$4:$E$12,3,0),Calc1!B7))</f>
        <v>4</v>
      </c>
      <c r="X15" s="314" t="str">
        <f ca="1">IF(Calc1!$F$14&lt;3,"",IF(Calc1!$K$13=0,Calc1!$Q67,VLOOKUP(Calc1!B7,Calc1!$C$4:$N$12,4,0)))</f>
        <v>FC Barcelona</v>
      </c>
      <c r="Y15" s="142">
        <f ca="1">IF(Calc1!$K$13=0,"",VLOOKUP(Calc1!B7,Calc1!$C$4:$N$12,9,0))</f>
        <v>4</v>
      </c>
      <c r="Z15" s="123">
        <f ca="1">IF(Calc1!$K$13=0,"",VLOOKUP(Calc1!B7,Calc1!$C$4:$N$12,10,0))</f>
        <v>1</v>
      </c>
      <c r="AA15" s="123">
        <f ca="1">IF(Calc1!$K$13=0,"",VLOOKUP(Calc1!B7,Calc1!$C$4:$N$12,11,0))</f>
        <v>1</v>
      </c>
      <c r="AB15" s="143">
        <f ca="1">IF(Calc1!$K$13=0,"",VLOOKUP(Calc1!B7,Calc1!$C$4:$N$12,12,0))</f>
        <v>2</v>
      </c>
      <c r="AC15" s="144">
        <f ca="1">IF(Calc1!$K$13=0,"",VLOOKUP(Calc1!B7,Calc1!$C$4:$AT$12,44,0))</f>
        <v>3</v>
      </c>
      <c r="AD15" s="423" t="str">
        <f>Sprache!$E$99</f>
        <v xml:space="preserve"> : </v>
      </c>
      <c r="AE15" s="146">
        <f ca="1">IF(Calc1!$K$13=0,"",VLOOKUP(Calc1!B7,Calc1!$C$4:$AS$12,43,0))</f>
        <v>6</v>
      </c>
      <c r="AF15" s="145">
        <f ca="1">IF(Calc1!$K$13=0,"",AC15-AE15)</f>
        <v>-3</v>
      </c>
      <c r="AG15" s="144">
        <f ca="1">IF(Calc1!$K$13=0,"",VLOOKUP(Calc1!B7,Calc1!$C$4:$N$12,5,0))</f>
        <v>185</v>
      </c>
      <c r="AH15" s="423" t="str">
        <f>Sprache!$E$99</f>
        <v xml:space="preserve"> : </v>
      </c>
      <c r="AI15" s="146">
        <f ca="1">IF(Calc1!$K$13=0,"",VLOOKUP(Calc1!B7,Calc1!$C$4:$N$12,6,0))</f>
        <v>205</v>
      </c>
      <c r="AJ15" s="142">
        <f ca="1">IF(Calc1!$K$13=0,"",IF(VLOOKUP(Calc1!B7,Calc1!$C$4:$AV$12,46,0)=Einstellungen!$F$24,"max",VLOOKUP(Calc1!B7,Calc1!$C$4:$AV$12,46,0)))</f>
        <v>-20</v>
      </c>
      <c r="AK15" s="147">
        <f ca="1">IF(Calc1!$K$13=0,"",VLOOKUP(Calc1!B7,Calc1!$C$4:$AT$12,Einstellungen!$H$9,0))</f>
        <v>3</v>
      </c>
      <c r="AL15" s="148" t="str">
        <f ca="1">IFERROR(VLOOKUP($X15&amp;AL$11,Calc1!$Z$64:$AC$207,Einstellungen!$G$29,0),"")</f>
        <v>48 : 48</v>
      </c>
      <c r="AM15" s="346" t="str">
        <f ca="1">IFERROR(VLOOKUP($X15&amp;AM$11,Calc1!$Z$64:$AC$207,Einstellungen!$G$29,0),"")</f>
        <v>29 : 50</v>
      </c>
      <c r="AN15" s="123" t="str">
        <f ca="1">IFERROR(VLOOKUP($X15&amp;AN$11,Calc1!$Z$64:$AC$207,Einstellungen!$G$29,0),"")</f>
        <v>37 : 50</v>
      </c>
      <c r="AO15" s="149"/>
      <c r="AP15" s="123" t="str">
        <f ca="1">IFERROR(VLOOKUP($X15&amp;AP$11,Calc1!$Z$64:$AC$207,Einstellungen!$G$29,0),"")</f>
        <v>71 : 57</v>
      </c>
      <c r="AQ15" s="150" t="str">
        <f ca="1">IFERROR(VLOOKUP($X15&amp;AQ$11,Calc1!$Z$64:$AC$207,Einstellungen!$G$29,0),"")</f>
        <v/>
      </c>
      <c r="AR15" s="151" t="str">
        <f t="shared" ca="1" si="2"/>
        <v>FC Barcelona</v>
      </c>
      <c r="AU15" s="349" t="s">
        <v>190</v>
      </c>
      <c r="AV15" s="314" t="str">
        <f>IF(Planung!$C13="","",Planung!$C13)</f>
        <v>Maibach 1822 eV</v>
      </c>
      <c r="AW15" s="471"/>
      <c r="AX15" s="784"/>
      <c r="BA15" s="7" t="b">
        <f t="shared" ca="1" si="3"/>
        <v>0</v>
      </c>
      <c r="BB15" s="7" t="b">
        <f t="shared" si="4"/>
        <v>0</v>
      </c>
      <c r="BC15" s="7" t="b">
        <f t="shared" si="5"/>
        <v>0</v>
      </c>
      <c r="BD15" s="7" t="b">
        <f t="shared" si="6"/>
        <v>1</v>
      </c>
      <c r="BE15" s="7" t="b">
        <f t="shared" si="7"/>
        <v>0</v>
      </c>
      <c r="BF15" s="7" t="b">
        <f t="shared" si="8"/>
        <v>0</v>
      </c>
      <c r="BG15" s="7" t="b">
        <f t="shared" si="9"/>
        <v>0</v>
      </c>
    </row>
    <row r="16" spans="1:59" ht="24" customHeight="1" x14ac:dyDescent="0.2">
      <c r="B16" s="362">
        <f ca="1">Planung!$E10</f>
        <v>5</v>
      </c>
      <c r="C16" s="369">
        <f ca="1">Planung!$F10</f>
        <v>0.39930555555555558</v>
      </c>
      <c r="D16" s="370">
        <f ca="1">Planung!$G10</f>
        <v>1</v>
      </c>
      <c r="E16" s="370" t="str">
        <f ca="1">Planung!$H10</f>
        <v>A</v>
      </c>
      <c r="F16" s="374" t="str">
        <f ca="1">Planung!$L10</f>
        <v>VFB Essenheim</v>
      </c>
      <c r="G16" s="145" t="s">
        <v>4</v>
      </c>
      <c r="H16" s="377" t="str">
        <f ca="1">Planung!$N10</f>
        <v>1. FC Riedwald</v>
      </c>
      <c r="I16" s="365">
        <v>25</v>
      </c>
      <c r="J16" s="633" t="str">
        <f>Sprache!$E$99</f>
        <v xml:space="preserve"> : </v>
      </c>
      <c r="K16" s="564">
        <v>23</v>
      </c>
      <c r="L16" s="639">
        <v>25</v>
      </c>
      <c r="M16" s="636" t="str">
        <f>Sprache!$E$99</f>
        <v xml:space="preserve"> : </v>
      </c>
      <c r="N16" s="631">
        <v>21</v>
      </c>
      <c r="O16" s="639"/>
      <c r="P16" s="636" t="str">
        <f>Sprache!$E$99</f>
        <v xml:space="preserve"> : </v>
      </c>
      <c r="Q16" s="631"/>
      <c r="R16" s="652">
        <f t="shared" ca="1" si="0"/>
        <v>2</v>
      </c>
      <c r="S16" s="646" t="str">
        <f>Sprache!$E$99</f>
        <v xml:space="preserve"> : </v>
      </c>
      <c r="T16" s="647">
        <f t="shared" ca="1" si="1"/>
        <v>0</v>
      </c>
      <c r="U16" s="613" t="str">
        <f>IF(Planung!$O10="","",Planung!$O10)</f>
        <v/>
      </c>
      <c r="W16" s="313">
        <f ca="1">IF(Calc1!$K$13=0,"",IF(VLOOKUP(Calc1!B8,Calc1!$C$4:$E$12,3,0)=MAX(W$12:W15),VLOOKUP(Calc1!B8,Calc1!$C$4:$E$12,3,0),Calc1!B8))</f>
        <v>5</v>
      </c>
      <c r="X16" s="314" t="str">
        <f ca="1">IF(Calc1!$F$14&lt;3,"",IF(Calc1!$K$13=0,Calc1!$Q68,VLOOKUP(Calc1!B8,Calc1!$C$4:$N$12,4,0)))</f>
        <v>VFB Essenheim</v>
      </c>
      <c r="Y16" s="142">
        <f ca="1">IF(Calc1!$K$13=0,"",VLOOKUP(Calc1!B8,Calc1!$C$4:$N$12,9,0))</f>
        <v>4</v>
      </c>
      <c r="Z16" s="123">
        <f ca="1">IF(Calc1!$K$13=0,"",VLOOKUP(Calc1!B8,Calc1!$C$4:$N$12,10,0))</f>
        <v>1</v>
      </c>
      <c r="AA16" s="123">
        <f ca="1">IF(Calc1!$K$13=0,"",VLOOKUP(Calc1!B8,Calc1!$C$4:$N$12,11,0))</f>
        <v>1</v>
      </c>
      <c r="AB16" s="143">
        <f ca="1">IF(Calc1!$K$13=0,"",VLOOKUP(Calc1!B8,Calc1!$C$4:$N$12,12,0))</f>
        <v>2</v>
      </c>
      <c r="AC16" s="144">
        <f ca="1">IF(Calc1!$K$13=0,"",VLOOKUP(Calc1!B8,Calc1!$C$4:$AT$12,44,0))</f>
        <v>4</v>
      </c>
      <c r="AD16" s="423" t="str">
        <f>Sprache!$E$99</f>
        <v xml:space="preserve"> : </v>
      </c>
      <c r="AE16" s="146">
        <f ca="1">IF(Calc1!$K$13=0,"",VLOOKUP(Calc1!B8,Calc1!$C$4:$AS$12,43,0))</f>
        <v>5</v>
      </c>
      <c r="AF16" s="145">
        <f ca="1">IF(Calc1!$K$13=0,"",AC16-AE16)</f>
        <v>-1</v>
      </c>
      <c r="AG16" s="144">
        <f ca="1">IF(Calc1!$K$13=0,"",VLOOKUP(Calc1!B8,Calc1!$C$4:$N$12,5,0))</f>
        <v>192</v>
      </c>
      <c r="AH16" s="423" t="str">
        <f>Sprache!$E$99</f>
        <v xml:space="preserve"> : </v>
      </c>
      <c r="AI16" s="146">
        <f ca="1">IF(Calc1!$K$13=0,"",VLOOKUP(Calc1!B8,Calc1!$C$4:$N$12,6,0))</f>
        <v>212</v>
      </c>
      <c r="AJ16" s="142">
        <f ca="1">IF(Calc1!$K$13=0,"",IF(VLOOKUP(Calc1!B8,Calc1!$C$4:$AV$12,46,0)=Einstellungen!$F$24,"max",VLOOKUP(Calc1!B8,Calc1!$C$4:$AV$12,46,0)))</f>
        <v>-20</v>
      </c>
      <c r="AK16" s="147">
        <f ca="1">IF(Calc1!$K$13=0,"",VLOOKUP(Calc1!B8,Calc1!$C$4:$AT$12,Einstellungen!$H$9,0))</f>
        <v>3</v>
      </c>
      <c r="AL16" s="148" t="str">
        <f ca="1">IFERROR(VLOOKUP($X16&amp;AL$11,Calc1!$Z$64:$AC$207,Einstellungen!$G$29,0),"")</f>
        <v>45 : 47</v>
      </c>
      <c r="AM16" s="346" t="str">
        <f ca="1">IFERROR(VLOOKUP($X16&amp;AM$11,Calc1!$Z$64:$AC$207,Einstellungen!$G$29,0),"")</f>
        <v>40 : 50</v>
      </c>
      <c r="AN16" s="123" t="str">
        <f ca="1">IFERROR(VLOOKUP($X16&amp;AN$11,Calc1!$Z$64:$AC$207,Einstellungen!$G$29,0),"")</f>
        <v>50 : 44</v>
      </c>
      <c r="AO16" s="123" t="str">
        <f ca="1">IFERROR(VLOOKUP($X16&amp;AO$11,Calc1!$Z$64:$AC$207,Einstellungen!$G$29,0),"")</f>
        <v>57 : 71</v>
      </c>
      <c r="AP16" s="149"/>
      <c r="AQ16" s="150" t="str">
        <f ca="1">IFERROR(VLOOKUP($X16&amp;AQ$11,Calc1!$Z$64:$AC$207,Einstellungen!$G$29,0),"")</f>
        <v/>
      </c>
      <c r="AR16" s="151" t="str">
        <f t="shared" ca="1" si="2"/>
        <v>VFB Essenheim</v>
      </c>
      <c r="AU16" s="349" t="s">
        <v>192</v>
      </c>
      <c r="AV16" s="314" t="str">
        <f>IF(Planung!$C15="","",Planung!$C15)</f>
        <v>VFB Essenheim</v>
      </c>
      <c r="AW16" s="471"/>
      <c r="AX16" s="784"/>
      <c r="BA16" s="7" t="b">
        <f t="shared" ca="1" si="3"/>
        <v>0</v>
      </c>
      <c r="BB16" s="7" t="b">
        <f t="shared" si="4"/>
        <v>0</v>
      </c>
      <c r="BC16" s="7" t="b">
        <f t="shared" si="5"/>
        <v>0</v>
      </c>
      <c r="BD16" s="7" t="b">
        <f t="shared" si="6"/>
        <v>1</v>
      </c>
      <c r="BE16" s="7" t="b">
        <f t="shared" si="7"/>
        <v>0</v>
      </c>
      <c r="BF16" s="7" t="b">
        <f t="shared" si="8"/>
        <v>0</v>
      </c>
      <c r="BG16" s="7" t="b">
        <f t="shared" si="9"/>
        <v>0</v>
      </c>
    </row>
    <row r="17" spans="2:59" ht="24" customHeight="1" thickBot="1" x14ac:dyDescent="0.25">
      <c r="B17" s="362">
        <f ca="1">Planung!$E11</f>
        <v>6</v>
      </c>
      <c r="C17" s="369">
        <f ca="1">Planung!$F11</f>
        <v>0.39930555555555558</v>
      </c>
      <c r="D17" s="370">
        <f ca="1">Planung!$G11</f>
        <v>2</v>
      </c>
      <c r="E17" s="370" t="str">
        <f ca="1">Planung!$H11</f>
        <v>B</v>
      </c>
      <c r="F17" s="374" t="str">
        <f ca="1">Planung!$L11</f>
        <v>FC Grönlingen</v>
      </c>
      <c r="G17" s="145" t="s">
        <v>4</v>
      </c>
      <c r="H17" s="377" t="str">
        <f ca="1">Planung!$N11</f>
        <v>Mainz 05</v>
      </c>
      <c r="I17" s="365">
        <v>25</v>
      </c>
      <c r="J17" s="633" t="str">
        <f>Sprache!$E$99</f>
        <v xml:space="preserve"> : </v>
      </c>
      <c r="K17" s="564">
        <v>17</v>
      </c>
      <c r="L17" s="639">
        <v>25</v>
      </c>
      <c r="M17" s="636" t="str">
        <f>Sprache!$E$99</f>
        <v xml:space="preserve"> : </v>
      </c>
      <c r="N17" s="631">
        <v>22</v>
      </c>
      <c r="O17" s="639"/>
      <c r="P17" s="636" t="str">
        <f>Sprache!$E$99</f>
        <v xml:space="preserve"> : </v>
      </c>
      <c r="Q17" s="631"/>
      <c r="R17" s="652">
        <f t="shared" ca="1" si="0"/>
        <v>2</v>
      </c>
      <c r="S17" s="646" t="str">
        <f>Sprache!$E$99</f>
        <v xml:space="preserve"> : </v>
      </c>
      <c r="T17" s="647">
        <f t="shared" ca="1" si="1"/>
        <v>0</v>
      </c>
      <c r="U17" s="613" t="str">
        <f>IF(Planung!$O11="","",Planung!$O11)</f>
        <v/>
      </c>
      <c r="W17" s="315">
        <f ca="1">IF(Calc1!$K$13=0,"",IF(VLOOKUP(Calc1!B9,Calc1!$C$4:$E$12,3,0)=MAX(W$12:W16),VLOOKUP(Calc1!B9,Calc1!$C$4:$E$12,3,0),Calc1!B9))</f>
        <v>6</v>
      </c>
      <c r="X17" s="316" t="str">
        <f ca="1">IF(Calc1!$F$14&lt;3,"",IF(Calc1!$K$13=0,Calc1!$Q69,VLOOKUP(Calc1!B9,Calc1!$C$4:$N$12,4,0)))</f>
        <v/>
      </c>
      <c r="Y17" s="152">
        <f ca="1">IF(Calc1!$K$13=0,"",VLOOKUP(Calc1!B9,Calc1!$C$4:$N$12,9,0))</f>
        <v>0</v>
      </c>
      <c r="Z17" s="153">
        <f ca="1">IF(Calc1!$K$13=0,"",VLOOKUP(Calc1!B9,Calc1!$C$4:$N$12,10,0))</f>
        <v>0</v>
      </c>
      <c r="AA17" s="153">
        <f ca="1">IF(Calc1!$K$13=0,"",VLOOKUP(Calc1!B9,Calc1!$C$4:$N$12,11,0))</f>
        <v>0</v>
      </c>
      <c r="AB17" s="154">
        <f ca="1">IF(Calc1!$K$13=0,"",VLOOKUP(Calc1!B9,Calc1!$C$4:$N$12,12,0))</f>
        <v>0</v>
      </c>
      <c r="AC17" s="155">
        <f ca="1">IF(Calc1!$K$13=0,"",VLOOKUP(Calc1!B9,Calc1!$C$4:$AT$12,44,0))</f>
        <v>0</v>
      </c>
      <c r="AD17" s="427" t="str">
        <f>Sprache!$E$99</f>
        <v xml:space="preserve"> : </v>
      </c>
      <c r="AE17" s="157">
        <f ca="1">IF(Calc1!$K$13=0,"",VLOOKUP(Calc1!B9,Calc1!$C$4:$AS$12,43,0))</f>
        <v>0</v>
      </c>
      <c r="AF17" s="156">
        <f ca="1">IF(Calc1!$K$13=0,"",AC17-AE17)</f>
        <v>0</v>
      </c>
      <c r="AG17" s="155">
        <f ca="1">IF(Calc1!$K$13=0,"",VLOOKUP(Calc1!B9,Calc1!$C$4:$N$12,5,0))</f>
        <v>0</v>
      </c>
      <c r="AH17" s="427" t="str">
        <f>Sprache!$E$99</f>
        <v xml:space="preserve"> : </v>
      </c>
      <c r="AI17" s="157">
        <f ca="1">IF(Calc1!$K$13=0,"",VLOOKUP(Calc1!B9,Calc1!$C$4:$N$12,6,0))</f>
        <v>0</v>
      </c>
      <c r="AJ17" s="152">
        <f ca="1">IF(Calc1!$K$13=0,"",IF(VLOOKUP(Calc1!B9,Calc1!$C$4:$AV$12,46,0)=Einstellungen!$F$24,"max",VLOOKUP(Calc1!B9,Calc1!$C$4:$AV$12,46,0)))</f>
        <v>0</v>
      </c>
      <c r="AK17" s="158">
        <f ca="1">IF(Calc1!$K$13=0,"",VLOOKUP(Calc1!B9,Calc1!$C$4:$AT$12,Einstellungen!$H$9,0))</f>
        <v>0</v>
      </c>
      <c r="AL17" s="159" t="str">
        <f ca="1">IFERROR(VLOOKUP($X17&amp;AL$11,Calc1!$Z$64:$AC$207,Einstellungen!$G$29,0),"")</f>
        <v/>
      </c>
      <c r="AM17" s="153" t="str">
        <f ca="1">IFERROR(VLOOKUP($X17&amp;AM$11,Calc1!$Z$64:$AC$207,Einstellungen!$G$29,0),"")</f>
        <v/>
      </c>
      <c r="AN17" s="153" t="str">
        <f ca="1">IFERROR(VLOOKUP($X17&amp;AN$11,Calc1!$Z$64:$AC$207,Einstellungen!$G$29,0),"")</f>
        <v/>
      </c>
      <c r="AO17" s="153" t="str">
        <f ca="1">IFERROR(VLOOKUP($X17&amp;AO$11,Calc1!$Z$64:$AC$207,Einstellungen!$G$29,0),"")</f>
        <v/>
      </c>
      <c r="AP17" s="153" t="str">
        <f ca="1">IFERROR(VLOOKUP($X17&amp;AP$11,Calc1!$Z$64:$AC$207,Einstellungen!$G$29,0),"")</f>
        <v/>
      </c>
      <c r="AQ17" s="160"/>
      <c r="AR17" s="229" t="str">
        <f t="shared" ca="1" si="2"/>
        <v/>
      </c>
      <c r="AU17" s="350" t="s">
        <v>194</v>
      </c>
      <c r="AV17" s="316" t="str">
        <f>IF(Planung!$C17="","",Planung!$C17)</f>
        <v/>
      </c>
      <c r="AW17" s="471"/>
      <c r="AX17" s="785"/>
      <c r="BA17" s="7" t="b">
        <f t="shared" ca="1" si="3"/>
        <v>0</v>
      </c>
      <c r="BB17" s="7" t="b">
        <f t="shared" si="4"/>
        <v>0</v>
      </c>
      <c r="BC17" s="7" t="b">
        <f t="shared" si="5"/>
        <v>0</v>
      </c>
      <c r="BD17" s="7" t="b">
        <f t="shared" si="6"/>
        <v>1</v>
      </c>
      <c r="BE17" s="7" t="b">
        <f t="shared" si="7"/>
        <v>0</v>
      </c>
      <c r="BF17" s="7" t="b">
        <f t="shared" si="8"/>
        <v>0</v>
      </c>
      <c r="BG17" s="7" t="b">
        <f t="shared" si="9"/>
        <v>0</v>
      </c>
    </row>
    <row r="18" spans="2:59" ht="24" customHeight="1" thickTop="1" x14ac:dyDescent="0.2">
      <c r="B18" s="362">
        <f ca="1">Planung!$E12</f>
        <v>7</v>
      </c>
      <c r="C18" s="369">
        <f ca="1">Planung!$F12</f>
        <v>0.39930555555555558</v>
      </c>
      <c r="D18" s="370">
        <f ca="1">Planung!$G12</f>
        <v>3</v>
      </c>
      <c r="E18" s="370" t="str">
        <f ca="1">Planung!$H12</f>
        <v>A</v>
      </c>
      <c r="F18" s="374" t="str">
        <f ca="1">Planung!$L12</f>
        <v>FC Barcelona</v>
      </c>
      <c r="G18" s="145" t="s">
        <v>4</v>
      </c>
      <c r="H18" s="377" t="str">
        <f ca="1">Planung!$N12</f>
        <v>Eintracht Frankfurt</v>
      </c>
      <c r="I18" s="365">
        <v>23</v>
      </c>
      <c r="J18" s="633" t="str">
        <f>Sprache!$E$99</f>
        <v xml:space="preserve"> : </v>
      </c>
      <c r="K18" s="564">
        <v>25</v>
      </c>
      <c r="L18" s="639">
        <v>25</v>
      </c>
      <c r="M18" s="636" t="str">
        <f>Sprache!$E$99</f>
        <v xml:space="preserve"> : </v>
      </c>
      <c r="N18" s="631">
        <v>23</v>
      </c>
      <c r="O18" s="639"/>
      <c r="P18" s="636" t="str">
        <f>Sprache!$E$99</f>
        <v xml:space="preserve"> : </v>
      </c>
      <c r="Q18" s="631"/>
      <c r="R18" s="652">
        <f t="shared" ca="1" si="0"/>
        <v>1</v>
      </c>
      <c r="S18" s="646" t="str">
        <f>Sprache!$E$99</f>
        <v xml:space="preserve"> : </v>
      </c>
      <c r="T18" s="647">
        <f t="shared" ca="1" si="1"/>
        <v>1</v>
      </c>
      <c r="U18" s="613" t="str">
        <f>IF(Planung!$O12="","",Planung!$O12)</f>
        <v/>
      </c>
      <c r="W18" s="228"/>
      <c r="X18" s="195"/>
      <c r="Y18" s="196"/>
      <c r="Z18" s="196"/>
      <c r="AA18" s="196"/>
      <c r="AB18" s="196"/>
      <c r="AC18" s="196"/>
      <c r="AD18" s="196"/>
      <c r="AE18" s="196"/>
      <c r="AF18" s="196"/>
      <c r="AG18" s="197"/>
      <c r="AH18" s="196"/>
      <c r="AI18" s="195"/>
      <c r="AJ18" s="196"/>
      <c r="AK18" s="198"/>
      <c r="AL18" s="196"/>
      <c r="AM18" s="196"/>
      <c r="AN18" s="196"/>
      <c r="AO18" s="196"/>
      <c r="AP18" s="196"/>
      <c r="AQ18" s="196"/>
      <c r="AR18" s="195"/>
      <c r="AU18" s="228"/>
      <c r="AV18" s="195"/>
      <c r="AW18" s="472"/>
      <c r="BA18" s="7" t="b">
        <f t="shared" ca="1" si="3"/>
        <v>0</v>
      </c>
      <c r="BB18" s="7" t="b">
        <f t="shared" si="4"/>
        <v>0</v>
      </c>
      <c r="BC18" s="7" t="b">
        <f t="shared" si="5"/>
        <v>0</v>
      </c>
      <c r="BD18" s="7" t="b">
        <f t="shared" si="6"/>
        <v>1</v>
      </c>
      <c r="BE18" s="7" t="b">
        <f t="shared" si="7"/>
        <v>0</v>
      </c>
      <c r="BF18" s="7" t="b">
        <f t="shared" si="8"/>
        <v>0</v>
      </c>
      <c r="BG18" s="7" t="b">
        <f t="shared" si="9"/>
        <v>0</v>
      </c>
    </row>
    <row r="19" spans="2:59" ht="24" customHeight="1" thickBot="1" x14ac:dyDescent="0.25">
      <c r="B19" s="362">
        <f ca="1">Planung!$E13</f>
        <v>8</v>
      </c>
      <c r="C19" s="369">
        <f ca="1">Planung!$F13</f>
        <v>0.39930555555555558</v>
      </c>
      <c r="D19" s="370">
        <f ca="1">Planung!$G13</f>
        <v>4</v>
      </c>
      <c r="E19" s="370" t="str">
        <f ca="1">Planung!$H13</f>
        <v>B</v>
      </c>
      <c r="F19" s="374" t="str">
        <f ca="1">Planung!$L13</f>
        <v>Inter Mailand</v>
      </c>
      <c r="G19" s="145" t="s">
        <v>4</v>
      </c>
      <c r="H19" s="377" t="str">
        <f ca="1">Planung!$N13</f>
        <v>SSV Wildbach</v>
      </c>
      <c r="I19" s="365">
        <v>19</v>
      </c>
      <c r="J19" s="633" t="str">
        <f>Sprache!$E$99</f>
        <v xml:space="preserve"> : </v>
      </c>
      <c r="K19" s="564">
        <v>25</v>
      </c>
      <c r="L19" s="639">
        <v>25</v>
      </c>
      <c r="M19" s="636" t="str">
        <f>Sprache!$E$99</f>
        <v xml:space="preserve"> : </v>
      </c>
      <c r="N19" s="631">
        <v>12</v>
      </c>
      <c r="O19" s="639"/>
      <c r="P19" s="636" t="str">
        <f>Sprache!$E$99</f>
        <v xml:space="preserve"> : </v>
      </c>
      <c r="Q19" s="631"/>
      <c r="R19" s="652">
        <f t="shared" ca="1" si="0"/>
        <v>1</v>
      </c>
      <c r="S19" s="646" t="str">
        <f>Sprache!$E$99</f>
        <v xml:space="preserve"> : </v>
      </c>
      <c r="T19" s="647">
        <f t="shared" ca="1" si="1"/>
        <v>1</v>
      </c>
      <c r="U19" s="613" t="str">
        <f>IF(Planung!$O13="","",Planung!$O13)</f>
        <v/>
      </c>
      <c r="AL19" s="220"/>
      <c r="AM19" s="220"/>
      <c r="AN19" s="220"/>
      <c r="AO19" s="220"/>
      <c r="AP19" s="220"/>
      <c r="AQ19" s="220"/>
      <c r="AW19" s="472"/>
      <c r="BA19" s="7" t="b">
        <f t="shared" ca="1" si="3"/>
        <v>0</v>
      </c>
      <c r="BB19" s="7" t="b">
        <f t="shared" si="4"/>
        <v>0</v>
      </c>
      <c r="BC19" s="7" t="b">
        <f t="shared" si="5"/>
        <v>0</v>
      </c>
      <c r="BD19" s="7" t="b">
        <f t="shared" si="6"/>
        <v>1</v>
      </c>
      <c r="BE19" s="7" t="b">
        <f t="shared" si="7"/>
        <v>0</v>
      </c>
      <c r="BF19" s="7" t="b">
        <f t="shared" si="8"/>
        <v>0</v>
      </c>
      <c r="BG19" s="7" t="b">
        <f t="shared" si="9"/>
        <v>0</v>
      </c>
    </row>
    <row r="20" spans="2:59" ht="24" customHeight="1" thickBot="1" x14ac:dyDescent="0.45">
      <c r="B20" s="362">
        <f ca="1">Planung!$E14</f>
        <v>9</v>
      </c>
      <c r="C20" s="369">
        <f ca="1">Planung!$F14</f>
        <v>0.4236111111111111</v>
      </c>
      <c r="D20" s="370">
        <f ca="1">Planung!$G14</f>
        <v>1</v>
      </c>
      <c r="E20" s="370" t="str">
        <f ca="1">Planung!$H14</f>
        <v>A</v>
      </c>
      <c r="F20" s="374" t="str">
        <f ca="1">Planung!$L14</f>
        <v>1. FC Riedwald</v>
      </c>
      <c r="G20" s="145" t="s">
        <v>4</v>
      </c>
      <c r="H20" s="377" t="str">
        <f ca="1">Planung!$N14</f>
        <v>Maibach 1822 eV</v>
      </c>
      <c r="I20" s="365">
        <v>16</v>
      </c>
      <c r="J20" s="633" t="str">
        <f>Sprache!$E$99</f>
        <v xml:space="preserve"> : </v>
      </c>
      <c r="K20" s="564">
        <v>25</v>
      </c>
      <c r="L20" s="639">
        <v>25</v>
      </c>
      <c r="M20" s="636" t="str">
        <f>Sprache!$E$99</f>
        <v xml:space="preserve"> : </v>
      </c>
      <c r="N20" s="631">
        <v>18</v>
      </c>
      <c r="O20" s="639"/>
      <c r="P20" s="636" t="str">
        <f>Sprache!$E$99</f>
        <v xml:space="preserve"> : </v>
      </c>
      <c r="Q20" s="631"/>
      <c r="R20" s="652">
        <f t="shared" ca="1" si="0"/>
        <v>1</v>
      </c>
      <c r="S20" s="646" t="str">
        <f>Sprache!$E$99</f>
        <v xml:space="preserve"> : </v>
      </c>
      <c r="T20" s="647">
        <f t="shared" ca="1" si="1"/>
        <v>1</v>
      </c>
      <c r="U20" s="613" t="str">
        <f>IF(Planung!$O14="","",Planung!$O14)</f>
        <v/>
      </c>
      <c r="W20" s="874" t="str">
        <f>Sprache!$E$16&amp;" B"</f>
        <v>Gruppe B</v>
      </c>
      <c r="X20" s="874"/>
      <c r="Y20" s="124"/>
      <c r="Z20" s="124"/>
      <c r="AA20" s="124"/>
      <c r="AB20" s="124"/>
      <c r="AC20" s="124"/>
      <c r="AD20" s="124"/>
      <c r="AE20" s="124"/>
      <c r="AF20" s="124"/>
      <c r="AG20" s="124"/>
      <c r="AH20" s="124"/>
      <c r="AI20" s="124"/>
      <c r="AJ20" s="124"/>
      <c r="AK20" s="124"/>
      <c r="AL20" s="217" t="str">
        <f ca="1">IF(LEN(X22)&gt;Einstellungen!$C$33,LEFT(X22,Einstellungen!$C$33)&amp;".",X22)</f>
        <v>Mainz 0.</v>
      </c>
      <c r="AM20" s="218" t="str">
        <f ca="1">IF(LEN(X23)&gt;Einstellungen!$C$33,LEFT(X23,Einstellungen!$C$33)&amp;".",X23)</f>
        <v>Manches.</v>
      </c>
      <c r="AN20" s="218" t="str">
        <f ca="1">IF(LEN(X24)&gt;Einstellungen!$C$33,LEFT(X24,Einstellungen!$C$33)&amp;".",X24)</f>
        <v>FC Grön.</v>
      </c>
      <c r="AO20" s="218" t="str">
        <f ca="1">IF(LEN(X25)&gt;Einstellungen!$C$33,LEFT(X25,Einstellungen!$C$33)&amp;".",X25)</f>
        <v>SSV Wil.</v>
      </c>
      <c r="AP20" s="218" t="str">
        <f ca="1">IF(LEN(X26)&gt;Einstellungen!$C$33,LEFT(X26,Einstellungen!$C$33)&amp;".",X26)</f>
        <v>Inter M.</v>
      </c>
      <c r="AQ20" s="219" t="str">
        <f ca="1">IF(LEN(X27)&gt;Einstellungen!$C$33,LEFT(X27,Einstellungen!$C$33)&amp;".",X27)</f>
        <v/>
      </c>
      <c r="AR20" s="125"/>
      <c r="AU20" s="874" t="str">
        <f>Sprache!$E$16&amp;" B"</f>
        <v>Gruppe B</v>
      </c>
      <c r="AV20" s="874"/>
      <c r="AW20" s="472"/>
      <c r="BA20" s="7" t="b">
        <f t="shared" ca="1" si="3"/>
        <v>0</v>
      </c>
      <c r="BB20" s="7" t="b">
        <f t="shared" si="4"/>
        <v>0</v>
      </c>
      <c r="BC20" s="7" t="b">
        <f t="shared" si="5"/>
        <v>0</v>
      </c>
      <c r="BD20" s="7" t="b">
        <f t="shared" si="6"/>
        <v>1</v>
      </c>
      <c r="BE20" s="7" t="b">
        <f t="shared" si="7"/>
        <v>0</v>
      </c>
      <c r="BF20" s="7" t="b">
        <f t="shared" si="8"/>
        <v>0</v>
      </c>
      <c r="BG20" s="7" t="b">
        <f t="shared" si="9"/>
        <v>0</v>
      </c>
    </row>
    <row r="21" spans="2:59" ht="24" customHeight="1" thickTop="1" thickBot="1" x14ac:dyDescent="0.25">
      <c r="B21" s="362">
        <f ca="1">Planung!$E15</f>
        <v>10</v>
      </c>
      <c r="C21" s="369">
        <f ca="1">Planung!$F15</f>
        <v>0.4236111111111111</v>
      </c>
      <c r="D21" s="370">
        <f ca="1">Planung!$G15</f>
        <v>2</v>
      </c>
      <c r="E21" s="370" t="str">
        <f ca="1">Planung!$H15</f>
        <v>B</v>
      </c>
      <c r="F21" s="374" t="str">
        <f ca="1">Planung!$L15</f>
        <v>Mainz 05</v>
      </c>
      <c r="G21" s="145" t="s">
        <v>4</v>
      </c>
      <c r="H21" s="377" t="str">
        <f ca="1">Planung!$N15</f>
        <v>Manchester City</v>
      </c>
      <c r="I21" s="365">
        <v>14</v>
      </c>
      <c r="J21" s="633" t="str">
        <f>Sprache!$E$99</f>
        <v xml:space="preserve"> : </v>
      </c>
      <c r="K21" s="564">
        <v>25</v>
      </c>
      <c r="L21" s="639">
        <v>25</v>
      </c>
      <c r="M21" s="636" t="str">
        <f>Sprache!$E$99</f>
        <v xml:space="preserve"> : </v>
      </c>
      <c r="N21" s="631">
        <v>19</v>
      </c>
      <c r="O21" s="639"/>
      <c r="P21" s="636" t="str">
        <f>Sprache!$E$99</f>
        <v xml:space="preserve"> : </v>
      </c>
      <c r="Q21" s="631"/>
      <c r="R21" s="652">
        <f t="shared" ca="1" si="0"/>
        <v>1</v>
      </c>
      <c r="S21" s="646" t="str">
        <f>Sprache!$E$99</f>
        <v xml:space="preserve"> : </v>
      </c>
      <c r="T21" s="647">
        <f t="shared" ca="1" si="1"/>
        <v>1</v>
      </c>
      <c r="U21" s="613" t="str">
        <f>IF(Planung!$O15="","",Planung!$O15)</f>
        <v/>
      </c>
      <c r="W21" s="875"/>
      <c r="X21" s="876"/>
      <c r="Y21" s="126" t="str">
        <f>Sprache!$E$21</f>
        <v>SP</v>
      </c>
      <c r="Z21" s="127" t="str">
        <f>Sprache!$E$22</f>
        <v>G</v>
      </c>
      <c r="AA21" s="127" t="str">
        <f>Sprache!$E$23</f>
        <v>U</v>
      </c>
      <c r="AB21" s="185" t="str">
        <f>Sprache!$E$24</f>
        <v>V</v>
      </c>
      <c r="AC21" s="880" t="str">
        <f>Sprache!$E$25</f>
        <v>Sätze</v>
      </c>
      <c r="AD21" s="881"/>
      <c r="AE21" s="882"/>
      <c r="AF21" s="630" t="str">
        <f>Sprache!$E$26</f>
        <v>Diff.</v>
      </c>
      <c r="AG21" s="877" t="str">
        <f>Sprache!$E$60</f>
        <v>Bälle</v>
      </c>
      <c r="AH21" s="878"/>
      <c r="AI21" s="879"/>
      <c r="AJ21" s="127" t="str">
        <f>IF(Einstellungen!$G$24,Sprache!$E$26,Sprache!$E$67)</f>
        <v>Diff.</v>
      </c>
      <c r="AK21" s="129" t="str">
        <f>IF(Einstellungen!$G$9,Sprache!$E$27,Sprache!$E$80)</f>
        <v>Pkt</v>
      </c>
      <c r="AL21" s="130" t="str">
        <f ca="1">X22</f>
        <v>Mainz 05</v>
      </c>
      <c r="AM21" s="131" t="str">
        <f ca="1">X23</f>
        <v>Manchester City</v>
      </c>
      <c r="AN21" s="131" t="str">
        <f ca="1">X24</f>
        <v>FC Grönlingen</v>
      </c>
      <c r="AO21" s="131" t="str">
        <f ca="1">X25</f>
        <v>SSV Wildbach</v>
      </c>
      <c r="AP21" s="131" t="str">
        <f ca="1">X26</f>
        <v>Inter Mailand</v>
      </c>
      <c r="AQ21" s="455" t="str">
        <f ca="1">X27</f>
        <v/>
      </c>
      <c r="AR21" s="125"/>
      <c r="AU21" s="352" t="str">
        <f>Sprache!$E$9</f>
        <v>Nr.</v>
      </c>
      <c r="AV21" s="473" t="str">
        <f>Sprache!$E$10</f>
        <v>Teilnehmer bzw. Mannschaft</v>
      </c>
      <c r="AW21" s="470"/>
      <c r="BA21" s="7" t="b">
        <f t="shared" ca="1" si="3"/>
        <v>0</v>
      </c>
      <c r="BB21" s="7" t="b">
        <f t="shared" si="4"/>
        <v>0</v>
      </c>
      <c r="BC21" s="7" t="b">
        <f t="shared" si="5"/>
        <v>0</v>
      </c>
      <c r="BD21" s="7" t="b">
        <f t="shared" si="6"/>
        <v>1</v>
      </c>
      <c r="BE21" s="7" t="b">
        <f t="shared" si="7"/>
        <v>0</v>
      </c>
      <c r="BF21" s="7" t="b">
        <f t="shared" si="8"/>
        <v>0</v>
      </c>
      <c r="BG21" s="7" t="b">
        <f t="shared" si="9"/>
        <v>0</v>
      </c>
    </row>
    <row r="22" spans="2:59" ht="24" customHeight="1" x14ac:dyDescent="0.2">
      <c r="B22" s="362">
        <f ca="1">Planung!$E16</f>
        <v>11</v>
      </c>
      <c r="C22" s="369">
        <f ca="1">Planung!$F16</f>
        <v>0.4236111111111111</v>
      </c>
      <c r="D22" s="370">
        <f ca="1">Planung!$G16</f>
        <v>3</v>
      </c>
      <c r="E22" s="370" t="str">
        <f ca="1">Planung!$H16</f>
        <v>A</v>
      </c>
      <c r="F22" s="374" t="str">
        <f ca="1">Planung!$L16</f>
        <v>Eintracht Frankfurt</v>
      </c>
      <c r="G22" s="145" t="s">
        <v>4</v>
      </c>
      <c r="H22" s="377" t="str">
        <f ca="1">Planung!$N16</f>
        <v>VFB Essenheim</v>
      </c>
      <c r="I22" s="365">
        <v>22</v>
      </c>
      <c r="J22" s="633" t="str">
        <f>Sprache!$E$99</f>
        <v xml:space="preserve"> : </v>
      </c>
      <c r="K22" s="564">
        <v>25</v>
      </c>
      <c r="L22" s="639">
        <v>25</v>
      </c>
      <c r="M22" s="636" t="str">
        <f>Sprache!$E$99</f>
        <v xml:space="preserve"> : </v>
      </c>
      <c r="N22" s="631">
        <v>20</v>
      </c>
      <c r="O22" s="639"/>
      <c r="P22" s="636" t="str">
        <f>Sprache!$E$99</f>
        <v xml:space="preserve"> : </v>
      </c>
      <c r="Q22" s="631"/>
      <c r="R22" s="652">
        <f t="shared" ca="1" si="0"/>
        <v>1</v>
      </c>
      <c r="S22" s="646" t="str">
        <f>Sprache!$E$99</f>
        <v xml:space="preserve"> : </v>
      </c>
      <c r="T22" s="647">
        <f t="shared" ca="1" si="1"/>
        <v>1</v>
      </c>
      <c r="U22" s="613" t="str">
        <f>IF(Planung!$O16="","",Planung!$O16)</f>
        <v/>
      </c>
      <c r="W22" s="311">
        <f ca="1">IF(Calc2!$K$13=0,"",1)</f>
        <v>1</v>
      </c>
      <c r="X22" s="312" t="str">
        <f ca="1">IF(Calc1!$F$14&lt;3,"",IF(Calc2!$K$13=0,Calc2!$Q64,VLOOKUP(Calc2!B4,Calc2!$C$4:$N$12,4,0)))</f>
        <v>Mainz 05</v>
      </c>
      <c r="Y22" s="132">
        <f ca="1">IF(Calc2!$K$13=0,"",VLOOKUP(Calc2!B4,Calc2!$C$4:$N$12,9,0))</f>
        <v>4</v>
      </c>
      <c r="Z22" s="133">
        <f ca="1">IF(Calc2!$K$13=0,"",VLOOKUP(Calc2!B4,Calc2!$C$4:$N$12,10,0))</f>
        <v>2</v>
      </c>
      <c r="AA22" s="133">
        <f ca="1">IF(Calc2!$K$13=0,"",VLOOKUP(Calc2!B4,Calc2!$C$4:$N$12,11,0))</f>
        <v>1</v>
      </c>
      <c r="AB22" s="134">
        <f ca="1">IF(Calc2!$K$13=0,"",VLOOKUP(Calc2!B4,Calc2!$C$4:$N$12,12,0))</f>
        <v>1</v>
      </c>
      <c r="AC22" s="135">
        <f ca="1">IF(Calc2!$K$13=0,"",VLOOKUP(Calc2!B4,Calc2!$C$4:$AT$12,44,0))</f>
        <v>5</v>
      </c>
      <c r="AD22" s="420" t="str">
        <f>Sprache!$E$99</f>
        <v xml:space="preserve"> : </v>
      </c>
      <c r="AE22" s="137">
        <f ca="1">IF(Calc2!$K$13=0,"",VLOOKUP(Calc2!B4,Calc2!$C$4:$AS$12,43,0))</f>
        <v>3</v>
      </c>
      <c r="AF22" s="136">
        <f ca="1">IF(Calc2!$K$13=0,"",AC22-AE22)</f>
        <v>2</v>
      </c>
      <c r="AG22" s="135">
        <f ca="1">IF(Calc2!$K$13=0,"",VLOOKUP(Calc2!B4,Calc2!$C$4:$N$12,5,0))</f>
        <v>178</v>
      </c>
      <c r="AH22" s="420" t="str">
        <f>Sprache!$E$99</f>
        <v xml:space="preserve"> : </v>
      </c>
      <c r="AI22" s="137">
        <f ca="1">IF(Calc2!$K$13=0,"",VLOOKUP(Calc2!B4,Calc2!$C$4:$N$12,6,0))</f>
        <v>156</v>
      </c>
      <c r="AJ22" s="132">
        <f ca="1">IF(Calc2!$K$13=0,"",IF(VLOOKUP(Calc2!B4,Calc2!$C$4:$AV$12,46,0)=Einstellungen!$F$24,"max",VLOOKUP(Calc2!B4,Calc2!$C$4:$AV$12,46,0)))</f>
        <v>22</v>
      </c>
      <c r="AK22" s="138">
        <f ca="1">IF(Calc2!$K$13=0,"",VLOOKUP(Calc2!B4,Calc2!$C$4:$AT$12,Einstellungen!$H$9,0))</f>
        <v>5</v>
      </c>
      <c r="AL22" s="139"/>
      <c r="AM22" s="133" t="str">
        <f ca="1">IFERROR(VLOOKUP($X22&amp;AM$21,Calc2!$Z$64:$AC$207,Einstellungen!$G$29,0),"")</f>
        <v>39 : 44</v>
      </c>
      <c r="AN22" s="133" t="str">
        <f ca="1">IFERROR(VLOOKUP($X22&amp;AN$21,Calc2!$Z$64:$AC$207,Einstellungen!$G$29,0),"")</f>
        <v>39 : 50</v>
      </c>
      <c r="AO22" s="133" t="str">
        <f ca="1">IFERROR(VLOOKUP($X22&amp;AO$21,Calc2!$Z$64:$AC$207,Einstellungen!$G$29,0),"")</f>
        <v>50 : 38</v>
      </c>
      <c r="AP22" s="133" t="str">
        <f ca="1">IFERROR(VLOOKUP($X22&amp;AP$21,Calc2!$Z$64:$AC$207,Einstellungen!$G$29,0),"")</f>
        <v>50 : 24</v>
      </c>
      <c r="AQ22" s="140" t="str">
        <f ca="1">IFERROR(VLOOKUP($X22&amp;AQ$21,Calc2!$Z$64:$AC$207,Einstellungen!$G$29,0),"")</f>
        <v/>
      </c>
      <c r="AR22" s="141" t="str">
        <f t="shared" ref="AR22:AR27" ca="1" si="10">X22</f>
        <v>Mainz 05</v>
      </c>
      <c r="AU22" s="351" t="s">
        <v>187</v>
      </c>
      <c r="AV22" s="474" t="str">
        <f>IF(Planung!$C24="","",Planung!$C24)</f>
        <v>Mainz 05</v>
      </c>
      <c r="AW22" s="471"/>
      <c r="AX22" s="783"/>
      <c r="BA22" s="7" t="b">
        <f t="shared" ca="1" si="3"/>
        <v>0</v>
      </c>
      <c r="BB22" s="7" t="b">
        <f t="shared" si="4"/>
        <v>0</v>
      </c>
      <c r="BC22" s="7" t="b">
        <f t="shared" si="5"/>
        <v>0</v>
      </c>
      <c r="BD22" s="7" t="b">
        <f t="shared" si="6"/>
        <v>1</v>
      </c>
      <c r="BE22" s="7" t="b">
        <f t="shared" si="7"/>
        <v>0</v>
      </c>
      <c r="BF22" s="7" t="b">
        <f t="shared" si="8"/>
        <v>0</v>
      </c>
      <c r="BG22" s="7" t="b">
        <f t="shared" si="9"/>
        <v>0</v>
      </c>
    </row>
    <row r="23" spans="2:59" ht="24" customHeight="1" x14ac:dyDescent="0.2">
      <c r="B23" s="362">
        <f ca="1">Planung!$E17</f>
        <v>12</v>
      </c>
      <c r="C23" s="369">
        <f ca="1">Planung!$F17</f>
        <v>0.4236111111111111</v>
      </c>
      <c r="D23" s="370">
        <f ca="1">Planung!$G17</f>
        <v>4</v>
      </c>
      <c r="E23" s="370" t="str">
        <f ca="1">Planung!$H17</f>
        <v>B</v>
      </c>
      <c r="F23" s="374" t="str">
        <f ca="1">Planung!$L17</f>
        <v>SSV Wildbach</v>
      </c>
      <c r="G23" s="145" t="s">
        <v>4</v>
      </c>
      <c r="H23" s="377" t="str">
        <f ca="1">Planung!$N17</f>
        <v>FC Grönlingen</v>
      </c>
      <c r="I23" s="365">
        <v>19</v>
      </c>
      <c r="J23" s="633" t="str">
        <f>Sprache!$E$99</f>
        <v xml:space="preserve"> : </v>
      </c>
      <c r="K23" s="564">
        <v>25</v>
      </c>
      <c r="L23" s="639">
        <v>25</v>
      </c>
      <c r="M23" s="636" t="str">
        <f>Sprache!$E$99</f>
        <v xml:space="preserve"> : </v>
      </c>
      <c r="N23" s="631">
        <v>19</v>
      </c>
      <c r="O23" s="639"/>
      <c r="P23" s="636" t="str">
        <f>Sprache!$E$99</f>
        <v xml:space="preserve"> : </v>
      </c>
      <c r="Q23" s="631"/>
      <c r="R23" s="652">
        <f t="shared" ca="1" si="0"/>
        <v>1</v>
      </c>
      <c r="S23" s="646" t="str">
        <f>Sprache!$E$99</f>
        <v xml:space="preserve"> : </v>
      </c>
      <c r="T23" s="647">
        <f t="shared" ca="1" si="1"/>
        <v>1</v>
      </c>
      <c r="U23" s="613" t="str">
        <f>IF(Planung!$O17="","",Planung!$O17)</f>
        <v/>
      </c>
      <c r="W23" s="313">
        <f ca="1">IF(Calc2!$K$13=0,"",IF(VLOOKUP(Calc2!B5,Calc2!$C$4:$E$12,3,0)=MAX(W$22:W22),VLOOKUP(Calc2!B5,Calc2!$C$4:$E$12,3,0),Calc2!B5))</f>
        <v>2</v>
      </c>
      <c r="X23" s="314" t="str">
        <f ca="1">IF(Calc1!$F$14&lt;3,"",IF(Calc2!$K$13=0,Calc2!$Q65,VLOOKUP(Calc2!B5,Calc2!$C$4:$N$12,4,0)))</f>
        <v>Manchester City</v>
      </c>
      <c r="Y23" s="142">
        <f ca="1">IF(Calc2!$K$13=0,"",VLOOKUP(Calc2!B5,Calc2!$C$4:$N$12,9,0))</f>
        <v>4</v>
      </c>
      <c r="Z23" s="123">
        <f ca="1">IF(Calc2!$K$13=0,"",VLOOKUP(Calc2!B5,Calc2!$C$4:$N$12,10,0))</f>
        <v>1</v>
      </c>
      <c r="AA23" s="123">
        <f ca="1">IF(Calc2!$K$13=0,"",VLOOKUP(Calc2!B5,Calc2!$C$4:$N$12,11,0))</f>
        <v>2</v>
      </c>
      <c r="AB23" s="143">
        <f ca="1">IF(Calc2!$K$13=0,"",VLOOKUP(Calc2!B5,Calc2!$C$4:$N$12,12,0))</f>
        <v>1</v>
      </c>
      <c r="AC23" s="144">
        <f ca="1">IF(Calc2!$K$13=0,"",VLOOKUP(Calc2!B5,Calc2!$C$4:$AT$12,44,0))</f>
        <v>4</v>
      </c>
      <c r="AD23" s="423" t="str">
        <f>Sprache!$E$99</f>
        <v xml:space="preserve"> : </v>
      </c>
      <c r="AE23" s="146">
        <f ca="1">IF(Calc2!$K$13=0,"",VLOOKUP(Calc2!B5,Calc2!$C$4:$AS$12,43,0))</f>
        <v>4</v>
      </c>
      <c r="AF23" s="145">
        <f ca="1">IF(Calc2!$K$13=0,"",AC23-AE23)</f>
        <v>0</v>
      </c>
      <c r="AG23" s="144">
        <f ca="1">IF(Calc2!$K$13=0,"",VLOOKUP(Calc2!B5,Calc2!$C$4:$N$12,5,0))</f>
        <v>184</v>
      </c>
      <c r="AH23" s="423" t="str">
        <f>Sprache!$E$99</f>
        <v xml:space="preserve"> : </v>
      </c>
      <c r="AI23" s="146">
        <f ca="1">IF(Calc2!$K$13=0,"",VLOOKUP(Calc2!B5,Calc2!$C$4:$N$12,6,0))</f>
        <v>160</v>
      </c>
      <c r="AJ23" s="142">
        <f ca="1">IF(Calc2!$K$13=0,"",IF(VLOOKUP(Calc2!B5,Calc2!$C$4:$AV$12,46,0)=Einstellungen!$F$24,"max",VLOOKUP(Calc2!B5,Calc2!$C$4:$AV$12,46,0)))</f>
        <v>24</v>
      </c>
      <c r="AK23" s="147">
        <f ca="1">IF(Calc2!$K$13=0,"",VLOOKUP(Calc2!B5,Calc2!$C$4:$AT$12,Einstellungen!$H$9,0))</f>
        <v>4</v>
      </c>
      <c r="AL23" s="148" t="str">
        <f ca="1">IFERROR(VLOOKUP($X23&amp;AL$21,Calc2!$Z$64:$AC$207,Einstellungen!$G$29,0),"")</f>
        <v>44 : 39</v>
      </c>
      <c r="AM23" s="149"/>
      <c r="AN23" s="123" t="str">
        <f ca="1">IFERROR(VLOOKUP($X23&amp;AN$21,Calc2!$Z$64:$AC$207,Einstellungen!$G$29,0),"")</f>
        <v>50 : 32</v>
      </c>
      <c r="AO23" s="123" t="str">
        <f ca="1">IFERROR(VLOOKUP($X23&amp;AO$21,Calc2!$Z$64:$AC$207,Einstellungen!$G$29,0),"")</f>
        <v>42 : 50</v>
      </c>
      <c r="AP23" s="123" t="str">
        <f ca="1">IFERROR(VLOOKUP($X23&amp;AP$21,Calc2!$Z$64:$AC$207,Einstellungen!$G$29,0),"")</f>
        <v>48 : 39</v>
      </c>
      <c r="AQ23" s="150" t="str">
        <f ca="1">IFERROR(VLOOKUP($X23&amp;AQ$21,Calc2!$Z$64:$AC$207,Einstellungen!$G$29,0),"")</f>
        <v/>
      </c>
      <c r="AR23" s="151" t="str">
        <f t="shared" ca="1" si="10"/>
        <v>Manchester City</v>
      </c>
      <c r="AU23" s="349" t="s">
        <v>189</v>
      </c>
      <c r="AV23" s="314" t="str">
        <f>IF(Planung!$C26="","",Planung!$C26)</f>
        <v>Inter Mailand</v>
      </c>
      <c r="AW23" s="471"/>
      <c r="AX23" s="784"/>
      <c r="BA23" s="7" t="b">
        <f t="shared" ca="1" si="3"/>
        <v>0</v>
      </c>
      <c r="BB23" s="7" t="b">
        <f t="shared" si="4"/>
        <v>0</v>
      </c>
      <c r="BC23" s="7" t="b">
        <f t="shared" si="5"/>
        <v>0</v>
      </c>
      <c r="BD23" s="7" t="b">
        <f t="shared" si="6"/>
        <v>1</v>
      </c>
      <c r="BE23" s="7" t="b">
        <f t="shared" si="7"/>
        <v>0</v>
      </c>
      <c r="BF23" s="7" t="b">
        <f t="shared" si="8"/>
        <v>0</v>
      </c>
      <c r="BG23" s="7" t="b">
        <f t="shared" si="9"/>
        <v>0</v>
      </c>
    </row>
    <row r="24" spans="2:59" ht="24" customHeight="1" x14ac:dyDescent="0.2">
      <c r="B24" s="362">
        <f ca="1">Planung!$E18</f>
        <v>13</v>
      </c>
      <c r="C24" s="369">
        <f ca="1">Planung!$F18</f>
        <v>0.44791666666666669</v>
      </c>
      <c r="D24" s="370">
        <f ca="1">Planung!$G18</f>
        <v>1</v>
      </c>
      <c r="E24" s="370" t="str">
        <f ca="1">Planung!$H18</f>
        <v>A</v>
      </c>
      <c r="F24" s="374" t="str">
        <f ca="1">Planung!$L18</f>
        <v>FC Barcelona</v>
      </c>
      <c r="G24" s="145" t="s">
        <v>4</v>
      </c>
      <c r="H24" s="377" t="str">
        <f ca="1">Planung!$N18</f>
        <v>Maibach 1822 eV</v>
      </c>
      <c r="I24" s="365">
        <v>17</v>
      </c>
      <c r="J24" s="633" t="str">
        <f>Sprache!$E$99</f>
        <v xml:space="preserve"> : </v>
      </c>
      <c r="K24" s="564">
        <v>25</v>
      </c>
      <c r="L24" s="639">
        <v>12</v>
      </c>
      <c r="M24" s="636" t="str">
        <f>Sprache!$E$99</f>
        <v xml:space="preserve"> : </v>
      </c>
      <c r="N24" s="631">
        <v>25</v>
      </c>
      <c r="O24" s="639"/>
      <c r="P24" s="636" t="str">
        <f>Sprache!$E$99</f>
        <v xml:space="preserve"> : </v>
      </c>
      <c r="Q24" s="631"/>
      <c r="R24" s="652">
        <f t="shared" ca="1" si="0"/>
        <v>0</v>
      </c>
      <c r="S24" s="646" t="str">
        <f>Sprache!$E$99</f>
        <v xml:space="preserve"> : </v>
      </c>
      <c r="T24" s="647">
        <f t="shared" ca="1" si="1"/>
        <v>2</v>
      </c>
      <c r="U24" s="613" t="str">
        <f>IF(Planung!$O18="","",Planung!$O18)</f>
        <v/>
      </c>
      <c r="W24" s="313">
        <f ca="1">IF(Calc2!$K$13=0,"",IF(VLOOKUP(Calc2!B6,Calc2!$C$4:$E$12,3,0)=MAX(W$22:W23),VLOOKUP(Calc2!B6,Calc2!$C$4:$E$12,3,0),Calc2!B6))</f>
        <v>3</v>
      </c>
      <c r="X24" s="314" t="str">
        <f ca="1">IF(Calc1!$F$14&lt;3,"",IF(Calc2!$K$13=0,Calc2!$Q66,VLOOKUP(Calc2!B6,Calc2!$C$4:$N$12,4,0)))</f>
        <v>FC Grönlingen</v>
      </c>
      <c r="Y24" s="142">
        <f ca="1">IF(Calc2!$K$13=0,"",VLOOKUP(Calc2!B6,Calc2!$C$4:$N$12,9,0))</f>
        <v>4</v>
      </c>
      <c r="Z24" s="123">
        <f ca="1">IF(Calc2!$K$13=0,"",VLOOKUP(Calc2!B6,Calc2!$C$4:$N$12,10,0))</f>
        <v>1</v>
      </c>
      <c r="AA24" s="123">
        <f ca="1">IF(Calc2!$K$13=0,"",VLOOKUP(Calc2!B6,Calc2!$C$4:$N$12,11,0))</f>
        <v>2</v>
      </c>
      <c r="AB24" s="143">
        <f ca="1">IF(Calc2!$K$13=0,"",VLOOKUP(Calc2!B6,Calc2!$C$4:$N$12,12,0))</f>
        <v>1</v>
      </c>
      <c r="AC24" s="144">
        <f ca="1">IF(Calc2!$K$13=0,"",VLOOKUP(Calc2!B6,Calc2!$C$4:$AT$12,44,0))</f>
        <v>4</v>
      </c>
      <c r="AD24" s="423" t="str">
        <f>Sprache!$E$99</f>
        <v xml:space="preserve"> : </v>
      </c>
      <c r="AE24" s="146">
        <f ca="1">IF(Calc2!$K$13=0,"",VLOOKUP(Calc2!B6,Calc2!$C$4:$AS$12,43,0))</f>
        <v>4</v>
      </c>
      <c r="AF24" s="145">
        <f ca="1">IF(Calc2!$K$13=0,"",AC24-AE24)</f>
        <v>0</v>
      </c>
      <c r="AG24" s="144">
        <f ca="1">IF(Calc2!$K$13=0,"",VLOOKUP(Calc2!B6,Calc2!$C$4:$N$12,5,0))</f>
        <v>174</v>
      </c>
      <c r="AH24" s="423" t="str">
        <f>Sprache!$E$99</f>
        <v xml:space="preserve"> : </v>
      </c>
      <c r="AI24" s="146">
        <f ca="1">IF(Calc2!$K$13=0,"",VLOOKUP(Calc2!B6,Calc2!$C$4:$N$12,6,0))</f>
        <v>178</v>
      </c>
      <c r="AJ24" s="142">
        <f ca="1">IF(Calc2!$K$13=0,"",IF(VLOOKUP(Calc2!B6,Calc2!$C$4:$AV$12,46,0)=Einstellungen!$F$24,"max",VLOOKUP(Calc2!B6,Calc2!$C$4:$AV$12,46,0)))</f>
        <v>-4</v>
      </c>
      <c r="AK24" s="147">
        <f ca="1">IF(Calc2!$K$13=0,"",VLOOKUP(Calc2!B6,Calc2!$C$4:$AT$12,Einstellungen!$H$9,0))</f>
        <v>4</v>
      </c>
      <c r="AL24" s="148" t="str">
        <f ca="1">IFERROR(VLOOKUP($X24&amp;AL$21,Calc2!$Z$64:$AC$207,Einstellungen!$G$29,0),"")</f>
        <v>50 : 39</v>
      </c>
      <c r="AM24" s="346" t="str">
        <f ca="1">IFERROR(VLOOKUP($X24&amp;AM$21,Calc2!$Z$64:$AC$207,Einstellungen!$G$29,0),"")</f>
        <v>32 : 50</v>
      </c>
      <c r="AN24" s="149"/>
      <c r="AO24" s="123" t="str">
        <f ca="1">IFERROR(VLOOKUP($X24&amp;AO$21,Calc2!$Z$64:$AC$207,Einstellungen!$G$29,0),"")</f>
        <v>44 : 44</v>
      </c>
      <c r="AP24" s="123" t="str">
        <f ca="1">IFERROR(VLOOKUP($X24&amp;AP$21,Calc2!$Z$64:$AC$207,Einstellungen!$G$29,0),"")</f>
        <v>48 : 45</v>
      </c>
      <c r="AQ24" s="150" t="str">
        <f ca="1">IFERROR(VLOOKUP($X24&amp;AQ$21,Calc2!$Z$64:$AC$207,Einstellungen!$G$29,0),"")</f>
        <v/>
      </c>
      <c r="AR24" s="151" t="str">
        <f t="shared" ca="1" si="10"/>
        <v>FC Grönlingen</v>
      </c>
      <c r="AU24" s="349" t="s">
        <v>185</v>
      </c>
      <c r="AV24" s="314" t="str">
        <f>IF(Planung!$C28="","",Planung!$C28)</f>
        <v>SSV Wildbach</v>
      </c>
      <c r="AW24" s="471"/>
      <c r="AX24" s="784"/>
      <c r="BA24" s="7" t="b">
        <f t="shared" ca="1" si="3"/>
        <v>0</v>
      </c>
      <c r="BB24" s="7" t="b">
        <f t="shared" si="4"/>
        <v>0</v>
      </c>
      <c r="BC24" s="7" t="b">
        <f t="shared" si="5"/>
        <v>0</v>
      </c>
      <c r="BD24" s="7" t="b">
        <f t="shared" si="6"/>
        <v>1</v>
      </c>
      <c r="BE24" s="7" t="b">
        <f t="shared" si="7"/>
        <v>0</v>
      </c>
      <c r="BF24" s="7" t="b">
        <f t="shared" si="8"/>
        <v>0</v>
      </c>
      <c r="BG24" s="7" t="b">
        <f t="shared" si="9"/>
        <v>0</v>
      </c>
    </row>
    <row r="25" spans="2:59" ht="24" customHeight="1" x14ac:dyDescent="0.2">
      <c r="B25" s="362">
        <f ca="1">Planung!$E19</f>
        <v>14</v>
      </c>
      <c r="C25" s="369">
        <f ca="1">Planung!$F19</f>
        <v>0.44791666666666669</v>
      </c>
      <c r="D25" s="370">
        <f ca="1">Planung!$G19</f>
        <v>2</v>
      </c>
      <c r="E25" s="370" t="str">
        <f ca="1">Planung!$H19</f>
        <v>B</v>
      </c>
      <c r="F25" s="374" t="str">
        <f ca="1">Planung!$L19</f>
        <v>Inter Mailand</v>
      </c>
      <c r="G25" s="145" t="s">
        <v>4</v>
      </c>
      <c r="H25" s="377" t="str">
        <f ca="1">Planung!$N19</f>
        <v>Manchester City</v>
      </c>
      <c r="I25" s="365">
        <v>14</v>
      </c>
      <c r="J25" s="633" t="str">
        <f>Sprache!$E$99</f>
        <v xml:space="preserve"> : </v>
      </c>
      <c r="K25" s="564">
        <v>25</v>
      </c>
      <c r="L25" s="639">
        <v>25</v>
      </c>
      <c r="M25" s="636" t="str">
        <f>Sprache!$E$99</f>
        <v xml:space="preserve"> : </v>
      </c>
      <c r="N25" s="631">
        <v>23</v>
      </c>
      <c r="O25" s="639"/>
      <c r="P25" s="636" t="str">
        <f>Sprache!$E$99</f>
        <v xml:space="preserve"> : </v>
      </c>
      <c r="Q25" s="631"/>
      <c r="R25" s="652">
        <f t="shared" ca="1" si="0"/>
        <v>1</v>
      </c>
      <c r="S25" s="646" t="str">
        <f>Sprache!$E$99</f>
        <v xml:space="preserve"> : </v>
      </c>
      <c r="T25" s="647">
        <f t="shared" ca="1" si="1"/>
        <v>1</v>
      </c>
      <c r="U25" s="613" t="str">
        <f>IF(Planung!$O19="","",Planung!$O19)</f>
        <v/>
      </c>
      <c r="W25" s="313">
        <f ca="1">IF(Calc2!$K$13=0,"",IF(VLOOKUP(Calc2!B7,Calc2!$C$4:$E$12,3,0)=MAX(W$22:W24),VLOOKUP(Calc2!B7,Calc2!$C$4:$E$12,3,0),Calc2!B7))</f>
        <v>4</v>
      </c>
      <c r="X25" s="314" t="str">
        <f ca="1">IF(Calc1!$F$14&lt;3,"",IF(Calc2!$K$13=0,Calc2!$Q67,VLOOKUP(Calc2!B7,Calc2!$C$4:$N$12,4,0)))</f>
        <v>SSV Wildbach</v>
      </c>
      <c r="Y25" s="142">
        <f ca="1">IF(Calc2!$K$13=0,"",VLOOKUP(Calc2!B7,Calc2!$C$4:$N$12,9,0))</f>
        <v>4</v>
      </c>
      <c r="Z25" s="123">
        <f ca="1">IF(Calc2!$K$13=0,"",VLOOKUP(Calc2!B7,Calc2!$C$4:$N$12,10,0))</f>
        <v>1</v>
      </c>
      <c r="AA25" s="123">
        <f ca="1">IF(Calc2!$K$13=0,"",VLOOKUP(Calc2!B7,Calc2!$C$4:$N$12,11,0))</f>
        <v>2</v>
      </c>
      <c r="AB25" s="143">
        <f ca="1">IF(Calc2!$K$13=0,"",VLOOKUP(Calc2!B7,Calc2!$C$4:$N$12,12,0))</f>
        <v>1</v>
      </c>
      <c r="AC25" s="144">
        <f ca="1">IF(Calc2!$K$13=0,"",VLOOKUP(Calc2!B7,Calc2!$C$4:$AT$12,44,0))</f>
        <v>4</v>
      </c>
      <c r="AD25" s="423" t="str">
        <f>Sprache!$E$99</f>
        <v xml:space="preserve"> : </v>
      </c>
      <c r="AE25" s="146">
        <f ca="1">IF(Calc2!$K$13=0,"",VLOOKUP(Calc2!B7,Calc2!$C$4:$AS$12,43,0))</f>
        <v>4</v>
      </c>
      <c r="AF25" s="145">
        <f ca="1">IF(Calc2!$K$13=0,"",AC25-AE25)</f>
        <v>0</v>
      </c>
      <c r="AG25" s="144">
        <f ca="1">IF(Calc2!$K$13=0,"",VLOOKUP(Calc2!B7,Calc2!$C$4:$N$12,5,0))</f>
        <v>169</v>
      </c>
      <c r="AH25" s="423" t="str">
        <f>Sprache!$E$99</f>
        <v xml:space="preserve"> : </v>
      </c>
      <c r="AI25" s="146">
        <f ca="1">IF(Calc2!$K$13=0,"",VLOOKUP(Calc2!B7,Calc2!$C$4:$N$12,6,0))</f>
        <v>180</v>
      </c>
      <c r="AJ25" s="142">
        <f ca="1">IF(Calc2!$K$13=0,"",IF(VLOOKUP(Calc2!B7,Calc2!$C$4:$AV$12,46,0)=Einstellungen!$F$24,"max",VLOOKUP(Calc2!B7,Calc2!$C$4:$AV$12,46,0)))</f>
        <v>-11</v>
      </c>
      <c r="AK25" s="147">
        <f ca="1">IF(Calc2!$K$13=0,"",VLOOKUP(Calc2!B7,Calc2!$C$4:$AT$12,Einstellungen!$H$9,0))</f>
        <v>4</v>
      </c>
      <c r="AL25" s="148" t="str">
        <f ca="1">IFERROR(VLOOKUP($X25&amp;AL$21,Calc2!$Z$64:$AC$207,Einstellungen!$G$29,0),"")</f>
        <v>38 : 50</v>
      </c>
      <c r="AM25" s="346" t="str">
        <f ca="1">IFERROR(VLOOKUP($X25&amp;AM$21,Calc2!$Z$64:$AC$207,Einstellungen!$G$29,0),"")</f>
        <v>50 : 42</v>
      </c>
      <c r="AN25" s="123" t="str">
        <f ca="1">IFERROR(VLOOKUP($X25&amp;AN$21,Calc2!$Z$64:$AC$207,Einstellungen!$G$29,0),"")</f>
        <v>44 : 44</v>
      </c>
      <c r="AO25" s="149"/>
      <c r="AP25" s="123" t="str">
        <f ca="1">IFERROR(VLOOKUP($X25&amp;AP$21,Calc2!$Z$64:$AC$207,Einstellungen!$G$29,0),"")</f>
        <v>37 : 44</v>
      </c>
      <c r="AQ25" s="150" t="str">
        <f ca="1">IFERROR(VLOOKUP($X25&amp;AQ$21,Calc2!$Z$64:$AC$207,Einstellungen!$G$29,0),"")</f>
        <v/>
      </c>
      <c r="AR25" s="151" t="str">
        <f t="shared" ca="1" si="10"/>
        <v>SSV Wildbach</v>
      </c>
      <c r="AU25" s="349" t="s">
        <v>191</v>
      </c>
      <c r="AV25" s="314" t="str">
        <f>IF(Planung!$C30="","",Planung!$C30)</f>
        <v>Manchester City</v>
      </c>
      <c r="AW25" s="471"/>
      <c r="AX25" s="784"/>
      <c r="BA25" s="7" t="b">
        <f t="shared" ca="1" si="3"/>
        <v>0</v>
      </c>
      <c r="BB25" s="7" t="b">
        <f t="shared" si="4"/>
        <v>0</v>
      </c>
      <c r="BC25" s="7" t="b">
        <f t="shared" si="5"/>
        <v>0</v>
      </c>
      <c r="BD25" s="7" t="b">
        <f t="shared" si="6"/>
        <v>1</v>
      </c>
      <c r="BE25" s="7" t="b">
        <f t="shared" si="7"/>
        <v>0</v>
      </c>
      <c r="BF25" s="7" t="b">
        <f t="shared" si="8"/>
        <v>0</v>
      </c>
      <c r="BG25" s="7" t="b">
        <f t="shared" si="9"/>
        <v>0</v>
      </c>
    </row>
    <row r="26" spans="2:59" ht="24" customHeight="1" x14ac:dyDescent="0.2">
      <c r="B26" s="362">
        <f ca="1">Planung!$E20</f>
        <v>15</v>
      </c>
      <c r="C26" s="369">
        <f ca="1">Planung!$F20</f>
        <v>0.44791666666666669</v>
      </c>
      <c r="D26" s="370">
        <f ca="1">Planung!$G20</f>
        <v>3</v>
      </c>
      <c r="E26" s="370" t="str">
        <f ca="1">Planung!$H20</f>
        <v>A</v>
      </c>
      <c r="F26" s="374" t="str">
        <f ca="1">Planung!$L20</f>
        <v>Eintracht Frankfurt</v>
      </c>
      <c r="G26" s="145" t="s">
        <v>4</v>
      </c>
      <c r="H26" s="377" t="str">
        <f ca="1">Planung!$N20</f>
        <v>1. FC Riedwald</v>
      </c>
      <c r="I26" s="365">
        <v>21</v>
      </c>
      <c r="J26" s="633" t="str">
        <f>Sprache!$E$99</f>
        <v xml:space="preserve"> : </v>
      </c>
      <c r="K26" s="564">
        <v>25</v>
      </c>
      <c r="L26" s="639">
        <v>25</v>
      </c>
      <c r="M26" s="636" t="str">
        <f>Sprache!$E$99</f>
        <v xml:space="preserve"> : </v>
      </c>
      <c r="N26" s="631">
        <v>17</v>
      </c>
      <c r="O26" s="639"/>
      <c r="P26" s="636" t="str">
        <f>Sprache!$E$99</f>
        <v xml:space="preserve"> : </v>
      </c>
      <c r="Q26" s="631"/>
      <c r="R26" s="652">
        <f t="shared" ca="1" si="0"/>
        <v>1</v>
      </c>
      <c r="S26" s="646" t="str">
        <f>Sprache!$E$99</f>
        <v xml:space="preserve"> : </v>
      </c>
      <c r="T26" s="647">
        <f t="shared" ca="1" si="1"/>
        <v>1</v>
      </c>
      <c r="U26" s="613" t="str">
        <f>IF(Planung!$O20="","",Planung!$O20)</f>
        <v/>
      </c>
      <c r="W26" s="313">
        <f ca="1">IF(Calc2!$K$13=0,"",IF(VLOOKUP(Calc2!B8,Calc2!$C$4:$E$12,3,0)=MAX(W$22:W25),VLOOKUP(Calc2!B8,Calc2!$C$4:$E$12,3,0),Calc2!B8))</f>
        <v>5</v>
      </c>
      <c r="X26" s="314" t="str">
        <f ca="1">IF(Calc1!$F$14&lt;3,"",IF(Calc2!$K$13=0,Calc2!$Q68,VLOOKUP(Calc2!B8,Calc2!$C$4:$N$12,4,0)))</f>
        <v>Inter Mailand</v>
      </c>
      <c r="Y26" s="142">
        <f ca="1">IF(Calc2!$K$13=0,"",VLOOKUP(Calc2!B8,Calc2!$C$4:$N$12,9,0))</f>
        <v>4</v>
      </c>
      <c r="Z26" s="123">
        <f ca="1">IF(Calc2!$K$13=0,"",VLOOKUP(Calc2!B8,Calc2!$C$4:$N$12,10,0))</f>
        <v>0</v>
      </c>
      <c r="AA26" s="123">
        <f ca="1">IF(Calc2!$K$13=0,"",VLOOKUP(Calc2!B8,Calc2!$C$4:$N$12,11,0))</f>
        <v>3</v>
      </c>
      <c r="AB26" s="143">
        <f ca="1">IF(Calc2!$K$13=0,"",VLOOKUP(Calc2!B8,Calc2!$C$4:$N$12,12,0))</f>
        <v>1</v>
      </c>
      <c r="AC26" s="144">
        <f ca="1">IF(Calc2!$K$13=0,"",VLOOKUP(Calc2!B8,Calc2!$C$4:$AT$12,44,0))</f>
        <v>3</v>
      </c>
      <c r="AD26" s="423" t="str">
        <f>Sprache!$E$99</f>
        <v xml:space="preserve"> : </v>
      </c>
      <c r="AE26" s="146">
        <f ca="1">IF(Calc2!$K$13=0,"",VLOOKUP(Calc2!B8,Calc2!$C$4:$AS$12,43,0))</f>
        <v>5</v>
      </c>
      <c r="AF26" s="145">
        <f ca="1">IF(Calc2!$K$13=0,"",AC26-AE26)</f>
        <v>-2</v>
      </c>
      <c r="AG26" s="144">
        <f ca="1">IF(Calc2!$K$13=0,"",VLOOKUP(Calc2!B8,Calc2!$C$4:$N$12,5,0))</f>
        <v>152</v>
      </c>
      <c r="AH26" s="423" t="str">
        <f>Sprache!$E$99</f>
        <v xml:space="preserve"> : </v>
      </c>
      <c r="AI26" s="146">
        <f ca="1">IF(Calc2!$K$13=0,"",VLOOKUP(Calc2!B8,Calc2!$C$4:$N$12,6,0))</f>
        <v>183</v>
      </c>
      <c r="AJ26" s="142">
        <f ca="1">IF(Calc2!$K$13=0,"",IF(VLOOKUP(Calc2!B8,Calc2!$C$4:$AV$12,46,0)=Einstellungen!$F$24,"max",VLOOKUP(Calc2!B8,Calc2!$C$4:$AV$12,46,0)))</f>
        <v>-31</v>
      </c>
      <c r="AK26" s="147">
        <f ca="1">IF(Calc2!$K$13=0,"",VLOOKUP(Calc2!B8,Calc2!$C$4:$AT$12,Einstellungen!$H$9,0))</f>
        <v>3</v>
      </c>
      <c r="AL26" s="148" t="str">
        <f ca="1">IFERROR(VLOOKUP($X26&amp;AL$21,Calc2!$Z$64:$AC$207,Einstellungen!$G$29,0),"")</f>
        <v>24 : 50</v>
      </c>
      <c r="AM26" s="346" t="str">
        <f ca="1">IFERROR(VLOOKUP($X26&amp;AM$21,Calc2!$Z$64:$AC$207,Einstellungen!$G$29,0),"")</f>
        <v>39 : 48</v>
      </c>
      <c r="AN26" s="123" t="str">
        <f ca="1">IFERROR(VLOOKUP($X26&amp;AN$21,Calc2!$Z$64:$AC$207,Einstellungen!$G$29,0),"")</f>
        <v>45 : 48</v>
      </c>
      <c r="AO26" s="123" t="str">
        <f ca="1">IFERROR(VLOOKUP($X26&amp;AO$21,Calc2!$Z$64:$AC$207,Einstellungen!$G$29,0),"")</f>
        <v>44 : 37</v>
      </c>
      <c r="AP26" s="149"/>
      <c r="AQ26" s="150" t="str">
        <f ca="1">IFERROR(VLOOKUP($X26&amp;AQ$21,Calc2!$Z$64:$AC$207,Einstellungen!$G$29,0),"")</f>
        <v/>
      </c>
      <c r="AR26" s="151" t="str">
        <f t="shared" ca="1" si="10"/>
        <v>Inter Mailand</v>
      </c>
      <c r="AU26" s="349" t="s">
        <v>193</v>
      </c>
      <c r="AV26" s="314" t="str">
        <f>IF(Planung!$C32="","",Planung!$C32)</f>
        <v>FC Grönlingen</v>
      </c>
      <c r="AW26" s="471"/>
      <c r="AX26" s="784"/>
      <c r="BA26" s="7" t="b">
        <f t="shared" ca="1" si="3"/>
        <v>0</v>
      </c>
      <c r="BB26" s="7" t="b">
        <f t="shared" si="4"/>
        <v>0</v>
      </c>
      <c r="BC26" s="7" t="b">
        <f t="shared" si="5"/>
        <v>0</v>
      </c>
      <c r="BD26" s="7" t="b">
        <f t="shared" si="6"/>
        <v>1</v>
      </c>
      <c r="BE26" s="7" t="b">
        <f t="shared" si="7"/>
        <v>0</v>
      </c>
      <c r="BF26" s="7" t="b">
        <f t="shared" si="8"/>
        <v>0</v>
      </c>
      <c r="BG26" s="7" t="b">
        <f t="shared" si="9"/>
        <v>0</v>
      </c>
    </row>
    <row r="27" spans="2:59" ht="24" customHeight="1" thickBot="1" x14ac:dyDescent="0.25">
      <c r="B27" s="362">
        <f ca="1">Planung!$E21</f>
        <v>16</v>
      </c>
      <c r="C27" s="369">
        <f ca="1">Planung!$F21</f>
        <v>0.44791666666666669</v>
      </c>
      <c r="D27" s="370">
        <f ca="1">Planung!$G21</f>
        <v>4</v>
      </c>
      <c r="E27" s="370" t="str">
        <f ca="1">Planung!$H21</f>
        <v>B</v>
      </c>
      <c r="F27" s="374" t="str">
        <f ca="1">Planung!$L21</f>
        <v>SSV Wildbach</v>
      </c>
      <c r="G27" s="145" t="s">
        <v>4</v>
      </c>
      <c r="H27" s="377" t="str">
        <f ca="1">Planung!$N21</f>
        <v>Mainz 05</v>
      </c>
      <c r="I27" s="365">
        <v>20</v>
      </c>
      <c r="J27" s="633" t="str">
        <f>Sprache!$E$99</f>
        <v xml:space="preserve"> : </v>
      </c>
      <c r="K27" s="564">
        <v>25</v>
      </c>
      <c r="L27" s="639">
        <v>18</v>
      </c>
      <c r="M27" s="636" t="str">
        <f>Sprache!$E$99</f>
        <v xml:space="preserve"> : </v>
      </c>
      <c r="N27" s="631">
        <v>25</v>
      </c>
      <c r="O27" s="639"/>
      <c r="P27" s="636" t="str">
        <f>Sprache!$E$99</f>
        <v xml:space="preserve"> : </v>
      </c>
      <c r="Q27" s="631"/>
      <c r="R27" s="652">
        <f t="shared" ca="1" si="0"/>
        <v>0</v>
      </c>
      <c r="S27" s="646" t="str">
        <f>Sprache!$E$99</f>
        <v xml:space="preserve"> : </v>
      </c>
      <c r="T27" s="647">
        <f t="shared" ca="1" si="1"/>
        <v>2</v>
      </c>
      <c r="U27" s="613" t="str">
        <f>IF(Planung!$O21="","",Planung!$O21)</f>
        <v/>
      </c>
      <c r="W27" s="315">
        <f ca="1">IF(Calc2!$K$13=0,"",IF(VLOOKUP(Calc2!B9,Calc2!$C$4:$E$12,3,0)=MAX(W$22:W26),VLOOKUP(Calc2!B9,Calc2!$C$4:$E$12,3,0),Calc2!B9))</f>
        <v>6</v>
      </c>
      <c r="X27" s="316" t="str">
        <f ca="1">IF(Calc1!$F$14&lt;3,"",IF(Calc2!$K$13=0,Calc2!$Q69,VLOOKUP(Calc2!B9,Calc2!$C$4:$N$12,4,0)))</f>
        <v/>
      </c>
      <c r="Y27" s="152">
        <f ca="1">IF(Calc2!$K$13=0,"",VLOOKUP(Calc2!B9,Calc2!$C$4:$N$12,9,0))</f>
        <v>0</v>
      </c>
      <c r="Z27" s="153">
        <f ca="1">IF(Calc2!$K$13=0,"",VLOOKUP(Calc2!B9,Calc2!$C$4:$N$12,10,0))</f>
        <v>0</v>
      </c>
      <c r="AA27" s="153">
        <f ca="1">IF(Calc2!$K$13=0,"",VLOOKUP(Calc2!B9,Calc2!$C$4:$N$12,11,0))</f>
        <v>0</v>
      </c>
      <c r="AB27" s="154">
        <f ca="1">IF(Calc2!$K$13=0,"",VLOOKUP(Calc2!B9,Calc2!$C$4:$N$12,12,0))</f>
        <v>0</v>
      </c>
      <c r="AC27" s="155">
        <f ca="1">IF(Calc2!$K$13=0,"",VLOOKUP(Calc2!B9,Calc2!$C$4:$AT$12,44,0))</f>
        <v>0</v>
      </c>
      <c r="AD27" s="427" t="str">
        <f>Sprache!$E$99</f>
        <v xml:space="preserve"> : </v>
      </c>
      <c r="AE27" s="157">
        <f ca="1">IF(Calc2!$K$13=0,"",VLOOKUP(Calc2!B9,Calc2!$C$4:$AS$12,43,0))</f>
        <v>0</v>
      </c>
      <c r="AF27" s="156">
        <f ca="1">IF(Calc2!$K$13=0,"",AC27-AE27)</f>
        <v>0</v>
      </c>
      <c r="AG27" s="155">
        <f ca="1">IF(Calc2!$K$13=0,"",VLOOKUP(Calc2!B9,Calc2!$C$4:$N$12,5,0))</f>
        <v>0</v>
      </c>
      <c r="AH27" s="427" t="str">
        <f>Sprache!$E$99</f>
        <v xml:space="preserve"> : </v>
      </c>
      <c r="AI27" s="157">
        <f ca="1">IF(Calc2!$K$13=0,"",VLOOKUP(Calc2!B9,Calc2!$C$4:$N$12,6,0))</f>
        <v>0</v>
      </c>
      <c r="AJ27" s="152">
        <f ca="1">IF(Calc2!$K$13=0,"",IF(VLOOKUP(Calc2!B9,Calc2!$C$4:$AV$12,46,0)=Einstellungen!$F$24,"max",VLOOKUP(Calc2!B9,Calc2!$C$4:$AV$12,46,0)))</f>
        <v>0</v>
      </c>
      <c r="AK27" s="158">
        <f ca="1">IF(Calc2!$K$13=0,"",VLOOKUP(Calc2!B9,Calc2!$C$4:$AT$12,Einstellungen!$H$9,0))</f>
        <v>0</v>
      </c>
      <c r="AL27" s="159" t="str">
        <f ca="1">IFERROR(VLOOKUP($X27&amp;AL$21,Calc2!$Z$64:$AC$207,Einstellungen!$G$29,0),"")</f>
        <v/>
      </c>
      <c r="AM27" s="153" t="str">
        <f ca="1">IFERROR(VLOOKUP($X27&amp;AM$21,Calc2!$Z$64:$AC$207,Einstellungen!$G$29,0),"")</f>
        <v/>
      </c>
      <c r="AN27" s="153" t="str">
        <f ca="1">IFERROR(VLOOKUP($X27&amp;AN$21,Calc2!$Z$64:$AC$207,Einstellungen!$G$29,0),"")</f>
        <v/>
      </c>
      <c r="AO27" s="153" t="str">
        <f ca="1">IFERROR(VLOOKUP($X27&amp;AO$21,Calc2!$Z$64:$AC$207,Einstellungen!$G$29,0),"")</f>
        <v/>
      </c>
      <c r="AP27" s="153" t="str">
        <f ca="1">IFERROR(VLOOKUP($X27&amp;AP$21,Calc2!$Z$64:$AC$207,Einstellungen!$G$29,0),"")</f>
        <v/>
      </c>
      <c r="AQ27" s="160"/>
      <c r="AR27" s="229" t="str">
        <f t="shared" ca="1" si="10"/>
        <v/>
      </c>
      <c r="AU27" s="350" t="s">
        <v>195</v>
      </c>
      <c r="AV27" s="316" t="str">
        <f>IF(Planung!$C34="","",Planung!$C34)</f>
        <v/>
      </c>
      <c r="AW27" s="471"/>
      <c r="AX27" s="785"/>
      <c r="BA27" s="7" t="b">
        <f t="shared" ca="1" si="3"/>
        <v>0</v>
      </c>
      <c r="BB27" s="7" t="b">
        <f t="shared" si="4"/>
        <v>0</v>
      </c>
      <c r="BC27" s="7" t="b">
        <f t="shared" si="5"/>
        <v>0</v>
      </c>
      <c r="BD27" s="7" t="b">
        <f t="shared" si="6"/>
        <v>1</v>
      </c>
      <c r="BE27" s="7" t="b">
        <f t="shared" si="7"/>
        <v>0</v>
      </c>
      <c r="BF27" s="7" t="b">
        <f t="shared" si="8"/>
        <v>0</v>
      </c>
      <c r="BG27" s="7" t="b">
        <f t="shared" si="9"/>
        <v>0</v>
      </c>
    </row>
    <row r="28" spans="2:59" ht="24" customHeight="1" thickTop="1" x14ac:dyDescent="0.2">
      <c r="B28" s="362">
        <f ca="1">Planung!$E22</f>
        <v>17</v>
      </c>
      <c r="C28" s="369">
        <f ca="1">Planung!$F22</f>
        <v>0.47222222222222221</v>
      </c>
      <c r="D28" s="370">
        <f ca="1">Planung!$G22</f>
        <v>1</v>
      </c>
      <c r="E28" s="370" t="str">
        <f ca="1">Planung!$H22</f>
        <v>A</v>
      </c>
      <c r="F28" s="374" t="str">
        <f ca="1">Planung!$L22</f>
        <v>Maibach 1822 eV</v>
      </c>
      <c r="G28" s="145" t="s">
        <v>4</v>
      </c>
      <c r="H28" s="377" t="str">
        <f ca="1">Planung!$N22</f>
        <v>VFB Essenheim</v>
      </c>
      <c r="I28" s="365">
        <v>25</v>
      </c>
      <c r="J28" s="633" t="str">
        <f>Sprache!$E$99</f>
        <v xml:space="preserve"> : </v>
      </c>
      <c r="K28" s="564">
        <v>21</v>
      </c>
      <c r="L28" s="639">
        <v>25</v>
      </c>
      <c r="M28" s="636" t="str">
        <f>Sprache!$E$99</f>
        <v xml:space="preserve"> : </v>
      </c>
      <c r="N28" s="631">
        <v>19</v>
      </c>
      <c r="O28" s="639"/>
      <c r="P28" s="636" t="str">
        <f>Sprache!$E$99</f>
        <v xml:space="preserve"> : </v>
      </c>
      <c r="Q28" s="631"/>
      <c r="R28" s="652">
        <f t="shared" ca="1" si="0"/>
        <v>2</v>
      </c>
      <c r="S28" s="646" t="str">
        <f>Sprache!$E$99</f>
        <v xml:space="preserve"> : </v>
      </c>
      <c r="T28" s="647">
        <f t="shared" ca="1" si="1"/>
        <v>0</v>
      </c>
      <c r="U28" s="613" t="str">
        <f>IF(Planung!$O22="","",Planung!$O22)</f>
        <v/>
      </c>
      <c r="BA28" s="7" t="b">
        <f t="shared" ca="1" si="3"/>
        <v>0</v>
      </c>
      <c r="BB28" s="7" t="b">
        <f t="shared" si="4"/>
        <v>0</v>
      </c>
      <c r="BC28" s="7" t="b">
        <f t="shared" si="5"/>
        <v>0</v>
      </c>
      <c r="BD28" s="7" t="b">
        <f t="shared" si="6"/>
        <v>1</v>
      </c>
      <c r="BE28" s="7" t="b">
        <f t="shared" si="7"/>
        <v>0</v>
      </c>
      <c r="BF28" s="7" t="b">
        <f t="shared" si="8"/>
        <v>0</v>
      </c>
      <c r="BG28" s="7" t="b">
        <f t="shared" si="9"/>
        <v>0</v>
      </c>
    </row>
    <row r="29" spans="2:59" ht="24" customHeight="1" x14ac:dyDescent="0.2">
      <c r="B29" s="362">
        <f ca="1">Planung!$E23</f>
        <v>18</v>
      </c>
      <c r="C29" s="369">
        <f ca="1">Planung!$F23</f>
        <v>0.47222222222222221</v>
      </c>
      <c r="D29" s="370">
        <f ca="1">Planung!$G23</f>
        <v>2</v>
      </c>
      <c r="E29" s="370" t="str">
        <f ca="1">Planung!$H23</f>
        <v>B</v>
      </c>
      <c r="F29" s="374" t="str">
        <f ca="1">Planung!$L23</f>
        <v>Manchester City</v>
      </c>
      <c r="G29" s="145" t="s">
        <v>4</v>
      </c>
      <c r="H29" s="377" t="str">
        <f ca="1">Planung!$N23</f>
        <v>FC Grönlingen</v>
      </c>
      <c r="I29" s="365">
        <v>25</v>
      </c>
      <c r="J29" s="633" t="str">
        <f>Sprache!$E$99</f>
        <v xml:space="preserve"> : </v>
      </c>
      <c r="K29" s="564">
        <v>12</v>
      </c>
      <c r="L29" s="639">
        <v>25</v>
      </c>
      <c r="M29" s="636" t="str">
        <f>Sprache!$E$99</f>
        <v xml:space="preserve"> : </v>
      </c>
      <c r="N29" s="631">
        <v>20</v>
      </c>
      <c r="O29" s="639"/>
      <c r="P29" s="636" t="str">
        <f>Sprache!$E$99</f>
        <v xml:space="preserve"> : </v>
      </c>
      <c r="Q29" s="631"/>
      <c r="R29" s="652">
        <f t="shared" ca="1" si="0"/>
        <v>2</v>
      </c>
      <c r="S29" s="646" t="str">
        <f>Sprache!$E$99</f>
        <v xml:space="preserve"> : </v>
      </c>
      <c r="T29" s="647">
        <f t="shared" ca="1" si="1"/>
        <v>0</v>
      </c>
      <c r="U29" s="613" t="str">
        <f>IF(Planung!$O23="","",Planung!$O23)</f>
        <v/>
      </c>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BA29" s="7" t="b">
        <f t="shared" ca="1" si="3"/>
        <v>0</v>
      </c>
      <c r="BB29" s="7" t="b">
        <f t="shared" si="4"/>
        <v>0</v>
      </c>
      <c r="BC29" s="7" t="b">
        <f t="shared" si="5"/>
        <v>0</v>
      </c>
      <c r="BD29" s="7" t="b">
        <f t="shared" si="6"/>
        <v>1</v>
      </c>
      <c r="BE29" s="7" t="b">
        <f t="shared" si="7"/>
        <v>0</v>
      </c>
      <c r="BF29" s="7" t="b">
        <f t="shared" si="8"/>
        <v>0</v>
      </c>
      <c r="BG29" s="7" t="b">
        <f t="shared" si="9"/>
        <v>0</v>
      </c>
    </row>
    <row r="30" spans="2:59" ht="24" customHeight="1" x14ac:dyDescent="0.2">
      <c r="B30" s="362">
        <f ca="1">Planung!$E24</f>
        <v>19</v>
      </c>
      <c r="C30" s="369">
        <f ca="1">Planung!$F24</f>
        <v>0.47222222222222221</v>
      </c>
      <c r="D30" s="370">
        <f ca="1">Planung!$G24</f>
        <v>3</v>
      </c>
      <c r="E30" s="370" t="str">
        <f ca="1">Planung!$H24</f>
        <v>A</v>
      </c>
      <c r="F30" s="374" t="str">
        <f ca="1">Planung!$L24</f>
        <v>1. FC Riedwald</v>
      </c>
      <c r="G30" s="145" t="s">
        <v>4</v>
      </c>
      <c r="H30" s="377" t="str">
        <f ca="1">Planung!$N24</f>
        <v>FC Barcelona</v>
      </c>
      <c r="I30" s="365">
        <v>25</v>
      </c>
      <c r="J30" s="633" t="str">
        <f>Sprache!$E$99</f>
        <v xml:space="preserve"> : </v>
      </c>
      <c r="K30" s="564">
        <v>16</v>
      </c>
      <c r="L30" s="639">
        <v>25</v>
      </c>
      <c r="M30" s="636" t="str">
        <f>Sprache!$E$99</f>
        <v xml:space="preserve"> : </v>
      </c>
      <c r="N30" s="631">
        <v>21</v>
      </c>
      <c r="O30" s="639"/>
      <c r="P30" s="636" t="str">
        <f>Sprache!$E$99</f>
        <v xml:space="preserve"> : </v>
      </c>
      <c r="Q30" s="631"/>
      <c r="R30" s="652">
        <f t="shared" ca="1" si="0"/>
        <v>2</v>
      </c>
      <c r="S30" s="646" t="str">
        <f>Sprache!$E$99</f>
        <v xml:space="preserve"> : </v>
      </c>
      <c r="T30" s="647">
        <f t="shared" ca="1" si="1"/>
        <v>0</v>
      </c>
      <c r="U30" s="613" t="str">
        <f>IF(Planung!$O24="","",Planung!$O24)</f>
        <v/>
      </c>
      <c r="W30" s="873" t="str">
        <f>Sprache!$E$40</f>
        <v>Ende der Vorrunde:</v>
      </c>
      <c r="X30" s="873"/>
      <c r="Y30" s="873"/>
      <c r="Z30" s="873"/>
      <c r="AA30" s="873"/>
      <c r="AB30" s="873"/>
      <c r="AC30" s="873"/>
      <c r="AD30" s="873"/>
      <c r="AE30" s="873"/>
      <c r="AF30" s="873"/>
      <c r="AG30" s="873"/>
      <c r="AH30" s="873"/>
      <c r="AI30" s="873"/>
      <c r="AJ30" s="873"/>
      <c r="AK30" s="872">
        <f ca="1">Planung!$S$13</f>
        <v>0.49305555555555558</v>
      </c>
      <c r="AL30" s="872"/>
      <c r="AM30" s="872"/>
      <c r="AN30" s="872"/>
      <c r="AO30" s="872"/>
      <c r="AP30" s="872"/>
      <c r="AQ30" s="872"/>
      <c r="AR30" s="872"/>
      <c r="BA30" s="7" t="b">
        <f t="shared" ca="1" si="3"/>
        <v>0</v>
      </c>
      <c r="BB30" s="7" t="b">
        <f t="shared" si="4"/>
        <v>0</v>
      </c>
      <c r="BC30" s="7" t="b">
        <f t="shared" si="5"/>
        <v>0</v>
      </c>
      <c r="BD30" s="7" t="b">
        <f t="shared" si="6"/>
        <v>1</v>
      </c>
      <c r="BE30" s="7" t="b">
        <f t="shared" si="7"/>
        <v>0</v>
      </c>
      <c r="BF30" s="7" t="b">
        <f t="shared" si="8"/>
        <v>0</v>
      </c>
      <c r="BG30" s="7" t="b">
        <f t="shared" si="9"/>
        <v>0</v>
      </c>
    </row>
    <row r="31" spans="2:59" ht="24" customHeight="1" x14ac:dyDescent="0.2">
      <c r="B31" s="362">
        <f ca="1">Planung!$E25</f>
        <v>20</v>
      </c>
      <c r="C31" s="369">
        <f ca="1">Planung!$F25</f>
        <v>0.47222222222222221</v>
      </c>
      <c r="D31" s="370">
        <f ca="1">Planung!$G25</f>
        <v>4</v>
      </c>
      <c r="E31" s="370" t="str">
        <f ca="1">Planung!$H25</f>
        <v>B</v>
      </c>
      <c r="F31" s="374" t="str">
        <f ca="1">Planung!$L25</f>
        <v>Mainz 05</v>
      </c>
      <c r="G31" s="145" t="s">
        <v>4</v>
      </c>
      <c r="H31" s="377" t="str">
        <f ca="1">Planung!$N25</f>
        <v>Inter Mailand</v>
      </c>
      <c r="I31" s="365">
        <v>25</v>
      </c>
      <c r="J31" s="633" t="str">
        <f>Sprache!$E$99</f>
        <v xml:space="preserve"> : </v>
      </c>
      <c r="K31" s="564">
        <v>2</v>
      </c>
      <c r="L31" s="639">
        <v>25</v>
      </c>
      <c r="M31" s="636" t="str">
        <f>Sprache!$E$99</f>
        <v xml:space="preserve"> : </v>
      </c>
      <c r="N31" s="631">
        <v>22</v>
      </c>
      <c r="O31" s="639"/>
      <c r="P31" s="636" t="str">
        <f>Sprache!$E$99</f>
        <v xml:space="preserve"> : </v>
      </c>
      <c r="Q31" s="631"/>
      <c r="R31" s="652">
        <f t="shared" ca="1" si="0"/>
        <v>2</v>
      </c>
      <c r="S31" s="646" t="str">
        <f>Sprache!$E$99</f>
        <v xml:space="preserve"> : </v>
      </c>
      <c r="T31" s="647">
        <f t="shared" ca="1" si="1"/>
        <v>0</v>
      </c>
      <c r="U31" s="613" t="str">
        <f>IF(Planung!$O25="","",Planung!$O25)</f>
        <v/>
      </c>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BA31" s="7" t="b">
        <f t="shared" ca="1" si="3"/>
        <v>0</v>
      </c>
      <c r="BB31" s="7" t="b">
        <f t="shared" si="4"/>
        <v>0</v>
      </c>
      <c r="BC31" s="7" t="b">
        <f t="shared" si="5"/>
        <v>0</v>
      </c>
      <c r="BD31" s="7" t="b">
        <f t="shared" si="6"/>
        <v>1</v>
      </c>
      <c r="BE31" s="7" t="b">
        <f t="shared" si="7"/>
        <v>0</v>
      </c>
      <c r="BF31" s="7" t="b">
        <f t="shared" si="8"/>
        <v>0</v>
      </c>
      <c r="BG31" s="7" t="b">
        <f t="shared" si="9"/>
        <v>0</v>
      </c>
    </row>
    <row r="32" spans="2:59" ht="24" customHeight="1" x14ac:dyDescent="0.4">
      <c r="B32" s="362">
        <f ca="1">Planung!$E26</f>
        <v>21</v>
      </c>
      <c r="C32" s="369">
        <f ca="1">Planung!$F26</f>
        <v>0.49652777777777779</v>
      </c>
      <c r="D32" s="370">
        <f ca="1">Planung!$G26</f>
        <v>1</v>
      </c>
      <c r="E32" s="370" t="str">
        <f ca="1">Planung!$H26</f>
        <v/>
      </c>
      <c r="F32" s="374" t="str">
        <f ca="1">Planung!$L26</f>
        <v/>
      </c>
      <c r="G32" s="145" t="s">
        <v>4</v>
      </c>
      <c r="H32" s="377" t="str">
        <f ca="1">Planung!$N26</f>
        <v/>
      </c>
      <c r="I32" s="365"/>
      <c r="J32" s="633" t="str">
        <f>Sprache!$E$99</f>
        <v xml:space="preserve"> : </v>
      </c>
      <c r="K32" s="564"/>
      <c r="L32" s="639"/>
      <c r="M32" s="636" t="str">
        <f>Sprache!$E$99</f>
        <v xml:space="preserve"> : </v>
      </c>
      <c r="N32" s="631"/>
      <c r="O32" s="639"/>
      <c r="P32" s="636" t="str">
        <f>Sprache!$E$99</f>
        <v xml:space="preserve"> : </v>
      </c>
      <c r="Q32" s="631"/>
      <c r="R32" s="652" t="str">
        <f t="shared" ca="1" si="0"/>
        <v/>
      </c>
      <c r="S32" s="646" t="str">
        <f>Sprache!$E$99</f>
        <v xml:space="preserve"> : </v>
      </c>
      <c r="T32" s="647" t="str">
        <f t="shared" ca="1" si="1"/>
        <v/>
      </c>
      <c r="U32" s="613" t="str">
        <f>IF(Planung!$O26="","",Planung!$O26)</f>
        <v/>
      </c>
      <c r="W32" s="188"/>
      <c r="X32" s="188"/>
      <c r="Y32" s="188"/>
      <c r="Z32" s="188"/>
      <c r="AA32" s="188"/>
      <c r="AB32" s="188"/>
      <c r="AC32" s="188"/>
      <c r="AD32" s="188"/>
      <c r="AE32" s="188"/>
      <c r="AF32" s="188"/>
      <c r="AG32" s="188"/>
      <c r="AH32" s="188"/>
      <c r="AI32" s="188"/>
      <c r="AJ32" s="188"/>
      <c r="AK32" s="188"/>
      <c r="AL32" s="234"/>
      <c r="AM32" s="234"/>
      <c r="AN32" s="234"/>
      <c r="AO32" s="234"/>
      <c r="AP32" s="234"/>
      <c r="AQ32" s="234"/>
      <c r="AR32" s="188"/>
      <c r="BA32" s="7" t="b">
        <f t="shared" ca="1" si="3"/>
        <v>1</v>
      </c>
      <c r="BB32" s="7" t="b">
        <f t="shared" si="4"/>
        <v>1</v>
      </c>
      <c r="BC32" s="7" t="b">
        <f t="shared" si="5"/>
        <v>1</v>
      </c>
      <c r="BD32" s="7" t="b">
        <f t="shared" si="6"/>
        <v>1</v>
      </c>
      <c r="BE32" s="7" t="b">
        <f t="shared" si="7"/>
        <v>0</v>
      </c>
      <c r="BF32" s="7" t="b">
        <f t="shared" si="8"/>
        <v>0</v>
      </c>
      <c r="BG32" s="7" t="b">
        <f t="shared" si="9"/>
        <v>0</v>
      </c>
    </row>
    <row r="33" spans="2:59" ht="24" customHeight="1" x14ac:dyDescent="0.2">
      <c r="B33" s="362">
        <f ca="1">Planung!$E27</f>
        <v>21</v>
      </c>
      <c r="C33" s="369">
        <f ca="1">Planung!$F27</f>
        <v>0.49652777777777779</v>
      </c>
      <c r="D33" s="370">
        <f ca="1">Planung!$G27</f>
        <v>1</v>
      </c>
      <c r="E33" s="370" t="str">
        <f ca="1">Planung!$H27</f>
        <v/>
      </c>
      <c r="F33" s="374" t="str">
        <f ca="1">Planung!$L27</f>
        <v/>
      </c>
      <c r="G33" s="145" t="s">
        <v>4</v>
      </c>
      <c r="H33" s="377" t="str">
        <f ca="1">Planung!$N27</f>
        <v/>
      </c>
      <c r="I33" s="365"/>
      <c r="J33" s="633" t="str">
        <f>Sprache!$E$99</f>
        <v xml:space="preserve"> : </v>
      </c>
      <c r="K33" s="564"/>
      <c r="L33" s="639"/>
      <c r="M33" s="636" t="str">
        <f>Sprache!$E$99</f>
        <v xml:space="preserve"> : </v>
      </c>
      <c r="N33" s="631"/>
      <c r="O33" s="639"/>
      <c r="P33" s="636" t="str">
        <f>Sprache!$E$99</f>
        <v xml:space="preserve"> : </v>
      </c>
      <c r="Q33" s="631"/>
      <c r="R33" s="652" t="str">
        <f t="shared" ca="1" si="0"/>
        <v/>
      </c>
      <c r="S33" s="646" t="str">
        <f>Sprache!$E$99</f>
        <v xml:space="preserve"> : </v>
      </c>
      <c r="T33" s="647" t="str">
        <f t="shared" ca="1" si="1"/>
        <v/>
      </c>
      <c r="U33" s="613" t="str">
        <f>IF(Planung!$O27="","",Planung!$O27)</f>
        <v/>
      </c>
      <c r="W33" s="189"/>
      <c r="X33" s="188"/>
      <c r="Y33" s="188"/>
      <c r="Z33" s="188"/>
      <c r="AA33" s="188"/>
      <c r="AB33" s="188"/>
      <c r="AC33" s="188"/>
      <c r="AD33" s="188"/>
      <c r="AE33" s="188"/>
      <c r="AF33" s="188"/>
      <c r="AG33" s="188"/>
      <c r="AH33" s="188"/>
      <c r="AI33" s="188"/>
      <c r="AJ33" s="188"/>
      <c r="AK33" s="188"/>
      <c r="AL33" s="188"/>
      <c r="AM33" s="188"/>
      <c r="AN33" s="188"/>
      <c r="AO33" s="188"/>
      <c r="AP33" s="188"/>
      <c r="AQ33" s="188"/>
      <c r="AR33" s="188"/>
      <c r="BA33" s="7" t="b">
        <f t="shared" ca="1" si="3"/>
        <v>1</v>
      </c>
      <c r="BB33" s="7" t="b">
        <f t="shared" si="4"/>
        <v>1</v>
      </c>
      <c r="BC33" s="7" t="b">
        <f t="shared" si="5"/>
        <v>1</v>
      </c>
      <c r="BD33" s="7" t="b">
        <f t="shared" si="6"/>
        <v>1</v>
      </c>
      <c r="BE33" s="7" t="b">
        <f t="shared" si="7"/>
        <v>0</v>
      </c>
      <c r="BF33" s="7" t="b">
        <f t="shared" si="8"/>
        <v>0</v>
      </c>
      <c r="BG33" s="7" t="b">
        <f t="shared" si="9"/>
        <v>0</v>
      </c>
    </row>
    <row r="34" spans="2:59" ht="24" customHeight="1" x14ac:dyDescent="0.2">
      <c r="B34" s="362">
        <f ca="1">Planung!$E28</f>
        <v>21</v>
      </c>
      <c r="C34" s="369">
        <f ca="1">Planung!$F28</f>
        <v>0.49652777777777779</v>
      </c>
      <c r="D34" s="370">
        <f ca="1">Planung!$G28</f>
        <v>1</v>
      </c>
      <c r="E34" s="370" t="str">
        <f ca="1">Planung!$H28</f>
        <v/>
      </c>
      <c r="F34" s="374" t="str">
        <f ca="1">Planung!$L28</f>
        <v/>
      </c>
      <c r="G34" s="145" t="s">
        <v>4</v>
      </c>
      <c r="H34" s="377" t="str">
        <f ca="1">Planung!$N28</f>
        <v/>
      </c>
      <c r="I34" s="365"/>
      <c r="J34" s="633" t="str">
        <f>Sprache!$E$99</f>
        <v xml:space="preserve"> : </v>
      </c>
      <c r="K34" s="564"/>
      <c r="L34" s="639"/>
      <c r="M34" s="636" t="str">
        <f>Sprache!$E$99</f>
        <v xml:space="preserve"> : </v>
      </c>
      <c r="N34" s="631"/>
      <c r="O34" s="639"/>
      <c r="P34" s="636" t="str">
        <f>Sprache!$E$99</f>
        <v xml:space="preserve"> : </v>
      </c>
      <c r="Q34" s="631"/>
      <c r="R34" s="652" t="str">
        <f t="shared" ca="1" si="0"/>
        <v/>
      </c>
      <c r="S34" s="646" t="str">
        <f>Sprache!$E$99</f>
        <v xml:space="preserve"> : </v>
      </c>
      <c r="T34" s="647" t="str">
        <f t="shared" ca="1" si="1"/>
        <v/>
      </c>
      <c r="U34" s="613" t="str">
        <f>IF(Planung!$O28="","",Planung!$O28)</f>
        <v/>
      </c>
      <c r="W34" s="190"/>
      <c r="X34" s="190"/>
      <c r="Y34" s="190"/>
      <c r="Z34" s="190"/>
      <c r="AA34" s="190"/>
      <c r="AB34" s="190"/>
      <c r="AC34" s="190"/>
      <c r="AD34" s="190"/>
      <c r="AE34" s="190"/>
      <c r="AF34" s="190"/>
      <c r="AG34" s="190"/>
      <c r="AH34" s="190"/>
      <c r="AI34" s="190"/>
      <c r="AJ34" s="190"/>
      <c r="AK34" s="190"/>
      <c r="AL34" s="191"/>
      <c r="AM34" s="191"/>
      <c r="AN34" s="191"/>
      <c r="AO34" s="191"/>
      <c r="AP34" s="191"/>
      <c r="AQ34" s="191"/>
      <c r="AR34" s="192"/>
      <c r="BA34" s="7" t="b">
        <f t="shared" ca="1" si="3"/>
        <v>1</v>
      </c>
      <c r="BB34" s="7" t="b">
        <f t="shared" si="4"/>
        <v>1</v>
      </c>
      <c r="BC34" s="7" t="b">
        <f t="shared" si="5"/>
        <v>1</v>
      </c>
      <c r="BD34" s="7" t="b">
        <f t="shared" si="6"/>
        <v>1</v>
      </c>
      <c r="BE34" s="7" t="b">
        <f t="shared" si="7"/>
        <v>0</v>
      </c>
      <c r="BF34" s="7" t="b">
        <f t="shared" si="8"/>
        <v>0</v>
      </c>
      <c r="BG34" s="7" t="b">
        <f t="shared" si="9"/>
        <v>0</v>
      </c>
    </row>
    <row r="35" spans="2:59" ht="24" customHeight="1" x14ac:dyDescent="0.2">
      <c r="B35" s="362">
        <f ca="1">Planung!$E29</f>
        <v>21</v>
      </c>
      <c r="C35" s="369">
        <f ca="1">Planung!$F29</f>
        <v>0.49652777777777779</v>
      </c>
      <c r="D35" s="370">
        <f ca="1">Planung!$G29</f>
        <v>1</v>
      </c>
      <c r="E35" s="370" t="str">
        <f ca="1">Planung!$H29</f>
        <v/>
      </c>
      <c r="F35" s="374" t="str">
        <f ca="1">Planung!$L29</f>
        <v/>
      </c>
      <c r="G35" s="145" t="s">
        <v>4</v>
      </c>
      <c r="H35" s="377" t="str">
        <f ca="1">Planung!$N29</f>
        <v/>
      </c>
      <c r="I35" s="365"/>
      <c r="J35" s="633" t="str">
        <f>Sprache!$E$99</f>
        <v xml:space="preserve"> : </v>
      </c>
      <c r="K35" s="564"/>
      <c r="L35" s="639"/>
      <c r="M35" s="636" t="str">
        <f>Sprache!$E$99</f>
        <v xml:space="preserve"> : </v>
      </c>
      <c r="N35" s="631"/>
      <c r="O35" s="639"/>
      <c r="P35" s="636" t="str">
        <f>Sprache!$E$99</f>
        <v xml:space="preserve"> : </v>
      </c>
      <c r="Q35" s="631"/>
      <c r="R35" s="652" t="str">
        <f t="shared" ca="1" si="0"/>
        <v/>
      </c>
      <c r="S35" s="646" t="str">
        <f>Sprache!$E$99</f>
        <v xml:space="preserve"> : </v>
      </c>
      <c r="T35" s="647" t="str">
        <f t="shared" ca="1" si="1"/>
        <v/>
      </c>
      <c r="U35" s="613" t="str">
        <f>IF(Planung!$O29="","",Planung!$O29)</f>
        <v/>
      </c>
      <c r="W35" s="233"/>
      <c r="X35" s="233"/>
      <c r="Y35" s="193"/>
      <c r="Z35" s="193"/>
      <c r="AA35" s="193"/>
      <c r="AB35" s="193"/>
      <c r="AC35" s="193"/>
      <c r="AD35" s="193"/>
      <c r="AE35" s="193"/>
      <c r="AF35" s="193"/>
      <c r="AG35" s="232"/>
      <c r="AH35" s="232"/>
      <c r="AI35" s="232"/>
      <c r="AJ35" s="193"/>
      <c r="AK35" s="193"/>
      <c r="AL35" s="194"/>
      <c r="AM35" s="194"/>
      <c r="AN35" s="194"/>
      <c r="AO35" s="194"/>
      <c r="AP35" s="194"/>
      <c r="AQ35" s="194"/>
      <c r="AR35" s="192"/>
      <c r="BA35" s="7" t="b">
        <f t="shared" ca="1" si="3"/>
        <v>1</v>
      </c>
      <c r="BB35" s="7" t="b">
        <f t="shared" si="4"/>
        <v>1</v>
      </c>
      <c r="BC35" s="7" t="b">
        <f t="shared" si="5"/>
        <v>1</v>
      </c>
      <c r="BD35" s="7" t="b">
        <f t="shared" si="6"/>
        <v>1</v>
      </c>
      <c r="BE35" s="7" t="b">
        <f t="shared" si="7"/>
        <v>0</v>
      </c>
      <c r="BF35" s="7" t="b">
        <f t="shared" si="8"/>
        <v>0</v>
      </c>
      <c r="BG35" s="7" t="b">
        <f t="shared" si="9"/>
        <v>0</v>
      </c>
    </row>
    <row r="36" spans="2:59" ht="24" customHeight="1" x14ac:dyDescent="0.2">
      <c r="B36" s="362">
        <f ca="1">Planung!$E30</f>
        <v>21</v>
      </c>
      <c r="C36" s="369">
        <f ca="1">Planung!$F30</f>
        <v>0.49652777777777779</v>
      </c>
      <c r="D36" s="370">
        <f ca="1">Planung!$G30</f>
        <v>1</v>
      </c>
      <c r="E36" s="370" t="str">
        <f ca="1">Planung!$H30</f>
        <v/>
      </c>
      <c r="F36" s="374" t="str">
        <f ca="1">Planung!$L30</f>
        <v/>
      </c>
      <c r="G36" s="145" t="s">
        <v>4</v>
      </c>
      <c r="H36" s="377" t="str">
        <f ca="1">Planung!$N30</f>
        <v/>
      </c>
      <c r="I36" s="365"/>
      <c r="J36" s="633" t="str">
        <f>Sprache!$E$99</f>
        <v xml:space="preserve"> : </v>
      </c>
      <c r="K36" s="564"/>
      <c r="L36" s="639"/>
      <c r="M36" s="636" t="str">
        <f>Sprache!$E$99</f>
        <v xml:space="preserve"> : </v>
      </c>
      <c r="N36" s="631"/>
      <c r="O36" s="639"/>
      <c r="P36" s="636" t="str">
        <f>Sprache!$E$99</f>
        <v xml:space="preserve"> : </v>
      </c>
      <c r="Q36" s="631"/>
      <c r="R36" s="652" t="str">
        <f t="shared" ca="1" si="0"/>
        <v/>
      </c>
      <c r="S36" s="646" t="str">
        <f>Sprache!$E$99</f>
        <v xml:space="preserve"> : </v>
      </c>
      <c r="T36" s="647" t="str">
        <f t="shared" ca="1" si="1"/>
        <v/>
      </c>
      <c r="U36" s="613" t="str">
        <f>IF(Planung!$O30="","",Planung!$O30)</f>
        <v/>
      </c>
      <c r="W36" s="190"/>
      <c r="X36" s="195"/>
      <c r="Y36" s="196"/>
      <c r="Z36" s="196"/>
      <c r="AA36" s="196"/>
      <c r="AB36" s="196"/>
      <c r="AC36" s="196"/>
      <c r="AD36" s="196"/>
      <c r="AE36" s="196"/>
      <c r="AF36" s="196"/>
      <c r="AG36" s="197"/>
      <c r="AH36" s="196"/>
      <c r="AI36" s="195"/>
      <c r="AJ36" s="196"/>
      <c r="AK36" s="198"/>
      <c r="AL36" s="196"/>
      <c r="AM36" s="196"/>
      <c r="AN36" s="196"/>
      <c r="AO36" s="196"/>
      <c r="AP36" s="196"/>
      <c r="AQ36" s="196"/>
      <c r="AR36" s="195"/>
      <c r="BA36" s="7" t="b">
        <f t="shared" ca="1" si="3"/>
        <v>1</v>
      </c>
      <c r="BB36" s="7" t="b">
        <f t="shared" si="4"/>
        <v>1</v>
      </c>
      <c r="BC36" s="7" t="b">
        <f t="shared" si="5"/>
        <v>1</v>
      </c>
      <c r="BD36" s="7" t="b">
        <f t="shared" si="6"/>
        <v>1</v>
      </c>
      <c r="BE36" s="7" t="b">
        <f t="shared" si="7"/>
        <v>0</v>
      </c>
      <c r="BF36" s="7" t="b">
        <f t="shared" si="8"/>
        <v>0</v>
      </c>
      <c r="BG36" s="7" t="b">
        <f t="shared" si="9"/>
        <v>0</v>
      </c>
    </row>
    <row r="37" spans="2:59" ht="24" customHeight="1" x14ac:dyDescent="0.2">
      <c r="B37" s="362">
        <f ca="1">Planung!$E31</f>
        <v>21</v>
      </c>
      <c r="C37" s="369">
        <f ca="1">Planung!$F31</f>
        <v>0.49652777777777779</v>
      </c>
      <c r="D37" s="370">
        <f ca="1">Planung!$G31</f>
        <v>1</v>
      </c>
      <c r="E37" s="370" t="str">
        <f ca="1">Planung!$H31</f>
        <v/>
      </c>
      <c r="F37" s="374" t="str">
        <f ca="1">Planung!$L31</f>
        <v/>
      </c>
      <c r="G37" s="145" t="s">
        <v>4</v>
      </c>
      <c r="H37" s="377" t="str">
        <f ca="1">Planung!$N31</f>
        <v/>
      </c>
      <c r="I37" s="365"/>
      <c r="J37" s="633" t="str">
        <f>Sprache!$E$99</f>
        <v xml:space="preserve"> : </v>
      </c>
      <c r="K37" s="564"/>
      <c r="L37" s="639"/>
      <c r="M37" s="636" t="str">
        <f>Sprache!$E$99</f>
        <v xml:space="preserve"> : </v>
      </c>
      <c r="N37" s="631"/>
      <c r="O37" s="639"/>
      <c r="P37" s="636" t="str">
        <f>Sprache!$E$99</f>
        <v xml:space="preserve"> : </v>
      </c>
      <c r="Q37" s="631"/>
      <c r="R37" s="652" t="str">
        <f t="shared" ca="1" si="0"/>
        <v/>
      </c>
      <c r="S37" s="646" t="str">
        <f>Sprache!$E$99</f>
        <v xml:space="preserve"> : </v>
      </c>
      <c r="T37" s="647" t="str">
        <f t="shared" ca="1" si="1"/>
        <v/>
      </c>
      <c r="U37" s="613" t="str">
        <f>IF(Planung!$O31="","",Planung!$O31)</f>
        <v/>
      </c>
      <c r="W37" s="190"/>
      <c r="X37" s="195"/>
      <c r="Y37" s="196"/>
      <c r="Z37" s="196"/>
      <c r="AA37" s="196"/>
      <c r="AB37" s="196"/>
      <c r="AC37" s="196"/>
      <c r="AD37" s="196"/>
      <c r="AE37" s="196"/>
      <c r="AF37" s="196"/>
      <c r="AG37" s="197"/>
      <c r="AH37" s="196"/>
      <c r="AI37" s="195"/>
      <c r="AJ37" s="196"/>
      <c r="AK37" s="198"/>
      <c r="AL37" s="196"/>
      <c r="AM37" s="196"/>
      <c r="AN37" s="196"/>
      <c r="AO37" s="196"/>
      <c r="AP37" s="196"/>
      <c r="AQ37" s="196"/>
      <c r="AR37" s="195"/>
      <c r="BA37" s="7" t="b">
        <f t="shared" ca="1" si="3"/>
        <v>1</v>
      </c>
      <c r="BB37" s="7" t="b">
        <f t="shared" si="4"/>
        <v>1</v>
      </c>
      <c r="BC37" s="7" t="b">
        <f t="shared" si="5"/>
        <v>1</v>
      </c>
      <c r="BD37" s="7" t="b">
        <f t="shared" si="6"/>
        <v>1</v>
      </c>
      <c r="BE37" s="7" t="b">
        <f t="shared" si="7"/>
        <v>0</v>
      </c>
      <c r="BF37" s="7" t="b">
        <f t="shared" si="8"/>
        <v>0</v>
      </c>
      <c r="BG37" s="7" t="b">
        <f t="shared" si="9"/>
        <v>0</v>
      </c>
    </row>
    <row r="38" spans="2:59" ht="24" customHeight="1" x14ac:dyDescent="0.2">
      <c r="B38" s="362">
        <f ca="1">Planung!$E32</f>
        <v>21</v>
      </c>
      <c r="C38" s="369">
        <f ca="1">Planung!$F32</f>
        <v>0.49652777777777779</v>
      </c>
      <c r="D38" s="370">
        <f ca="1">Planung!$G32</f>
        <v>1</v>
      </c>
      <c r="E38" s="370" t="str">
        <f ca="1">Planung!$H32</f>
        <v/>
      </c>
      <c r="F38" s="374" t="str">
        <f ca="1">Planung!$L32</f>
        <v/>
      </c>
      <c r="G38" s="145" t="s">
        <v>4</v>
      </c>
      <c r="H38" s="377" t="str">
        <f ca="1">Planung!$N32</f>
        <v/>
      </c>
      <c r="I38" s="365"/>
      <c r="J38" s="633" t="str">
        <f>Sprache!$E$99</f>
        <v xml:space="preserve"> : </v>
      </c>
      <c r="K38" s="564"/>
      <c r="L38" s="639"/>
      <c r="M38" s="636" t="str">
        <f>Sprache!$E$99</f>
        <v xml:space="preserve"> : </v>
      </c>
      <c r="N38" s="631"/>
      <c r="O38" s="639"/>
      <c r="P38" s="636" t="str">
        <f>Sprache!$E$99</f>
        <v xml:space="preserve"> : </v>
      </c>
      <c r="Q38" s="631"/>
      <c r="R38" s="652" t="str">
        <f t="shared" ca="1" si="0"/>
        <v/>
      </c>
      <c r="S38" s="646" t="str">
        <f>Sprache!$E$99</f>
        <v xml:space="preserve"> : </v>
      </c>
      <c r="T38" s="647" t="str">
        <f t="shared" ca="1" si="1"/>
        <v/>
      </c>
      <c r="U38" s="613" t="str">
        <f>IF(Planung!$O32="","",Planung!$O32)</f>
        <v/>
      </c>
      <c r="W38" s="190"/>
      <c r="X38" s="195"/>
      <c r="Y38" s="196"/>
      <c r="Z38" s="196"/>
      <c r="AA38" s="196"/>
      <c r="AB38" s="196"/>
      <c r="AC38" s="196"/>
      <c r="AD38" s="196"/>
      <c r="AE38" s="196"/>
      <c r="AF38" s="196"/>
      <c r="AG38" s="197"/>
      <c r="AH38" s="196"/>
      <c r="AI38" s="195"/>
      <c r="AJ38" s="196"/>
      <c r="AK38" s="198"/>
      <c r="AL38" s="196"/>
      <c r="AM38" s="196"/>
      <c r="AN38" s="196"/>
      <c r="AO38" s="196"/>
      <c r="AP38" s="196"/>
      <c r="AQ38" s="196"/>
      <c r="AR38" s="195"/>
      <c r="BA38" s="7" t="b">
        <f t="shared" ca="1" si="3"/>
        <v>1</v>
      </c>
      <c r="BB38" s="7" t="b">
        <f t="shared" si="4"/>
        <v>1</v>
      </c>
      <c r="BC38" s="7" t="b">
        <f t="shared" si="5"/>
        <v>1</v>
      </c>
      <c r="BD38" s="7" t="b">
        <f t="shared" si="6"/>
        <v>1</v>
      </c>
      <c r="BE38" s="7" t="b">
        <f t="shared" si="7"/>
        <v>0</v>
      </c>
      <c r="BF38" s="7" t="b">
        <f t="shared" si="8"/>
        <v>0</v>
      </c>
      <c r="BG38" s="7" t="b">
        <f t="shared" si="9"/>
        <v>0</v>
      </c>
    </row>
    <row r="39" spans="2:59" ht="24" customHeight="1" x14ac:dyDescent="0.2">
      <c r="B39" s="362">
        <f ca="1">Planung!$E33</f>
        <v>21</v>
      </c>
      <c r="C39" s="369">
        <f ca="1">Planung!$F33</f>
        <v>0.49652777777777779</v>
      </c>
      <c r="D39" s="370">
        <f ca="1">Planung!$G33</f>
        <v>1</v>
      </c>
      <c r="E39" s="370" t="str">
        <f ca="1">Planung!$H33</f>
        <v/>
      </c>
      <c r="F39" s="374" t="str">
        <f ca="1">Planung!$L33</f>
        <v/>
      </c>
      <c r="G39" s="145" t="s">
        <v>4</v>
      </c>
      <c r="H39" s="377" t="str">
        <f ca="1">Planung!$N33</f>
        <v/>
      </c>
      <c r="I39" s="365"/>
      <c r="J39" s="633" t="str">
        <f>Sprache!$E$99</f>
        <v xml:space="preserve"> : </v>
      </c>
      <c r="K39" s="564"/>
      <c r="L39" s="639"/>
      <c r="M39" s="636" t="str">
        <f>Sprache!$E$99</f>
        <v xml:space="preserve"> : </v>
      </c>
      <c r="N39" s="631"/>
      <c r="O39" s="639"/>
      <c r="P39" s="636" t="str">
        <f>Sprache!$E$99</f>
        <v xml:space="preserve"> : </v>
      </c>
      <c r="Q39" s="631"/>
      <c r="R39" s="652" t="str">
        <f t="shared" ca="1" si="0"/>
        <v/>
      </c>
      <c r="S39" s="646" t="str">
        <f>Sprache!$E$99</f>
        <v xml:space="preserve"> : </v>
      </c>
      <c r="T39" s="647" t="str">
        <f t="shared" ca="1" si="1"/>
        <v/>
      </c>
      <c r="U39" s="613" t="str">
        <f>IF(Planung!$O33="","",Planung!$O33)</f>
        <v/>
      </c>
      <c r="W39" s="190"/>
      <c r="X39" s="195"/>
      <c r="Y39" s="196"/>
      <c r="Z39" s="196"/>
      <c r="AA39" s="196"/>
      <c r="AB39" s="196"/>
      <c r="AC39" s="196"/>
      <c r="AD39" s="196"/>
      <c r="AE39" s="196"/>
      <c r="AF39" s="196"/>
      <c r="AG39" s="197"/>
      <c r="AH39" s="196"/>
      <c r="AI39" s="195"/>
      <c r="AJ39" s="196"/>
      <c r="AK39" s="198"/>
      <c r="AL39" s="196"/>
      <c r="AM39" s="196"/>
      <c r="AN39" s="196"/>
      <c r="AO39" s="196"/>
      <c r="AP39" s="196"/>
      <c r="AQ39" s="196"/>
      <c r="AR39" s="195"/>
      <c r="BA39" s="7" t="b">
        <f t="shared" ca="1" si="3"/>
        <v>1</v>
      </c>
      <c r="BB39" s="7" t="b">
        <f t="shared" si="4"/>
        <v>1</v>
      </c>
      <c r="BC39" s="7" t="b">
        <f t="shared" si="5"/>
        <v>1</v>
      </c>
      <c r="BD39" s="7" t="b">
        <f t="shared" si="6"/>
        <v>1</v>
      </c>
      <c r="BE39" s="7" t="b">
        <f t="shared" si="7"/>
        <v>0</v>
      </c>
      <c r="BF39" s="7" t="b">
        <f t="shared" si="8"/>
        <v>0</v>
      </c>
      <c r="BG39" s="7" t="b">
        <f t="shared" si="9"/>
        <v>0</v>
      </c>
    </row>
    <row r="40" spans="2:59" ht="24" customHeight="1" x14ac:dyDescent="0.2">
      <c r="B40" s="362">
        <f ca="1">Planung!$E34</f>
        <v>21</v>
      </c>
      <c r="C40" s="369">
        <f ca="1">Planung!$F34</f>
        <v>0.49652777777777779</v>
      </c>
      <c r="D40" s="370">
        <f ca="1">Planung!$G34</f>
        <v>1</v>
      </c>
      <c r="E40" s="370" t="str">
        <f ca="1">Planung!$H34</f>
        <v/>
      </c>
      <c r="F40" s="374" t="str">
        <f ca="1">Planung!$L34</f>
        <v/>
      </c>
      <c r="G40" s="145" t="s">
        <v>4</v>
      </c>
      <c r="H40" s="377" t="str">
        <f ca="1">Planung!$N34</f>
        <v/>
      </c>
      <c r="I40" s="365"/>
      <c r="J40" s="633" t="str">
        <f>Sprache!$E$99</f>
        <v xml:space="preserve"> : </v>
      </c>
      <c r="K40" s="564"/>
      <c r="L40" s="639"/>
      <c r="M40" s="636" t="str">
        <f>Sprache!$E$99</f>
        <v xml:space="preserve"> : </v>
      </c>
      <c r="N40" s="631"/>
      <c r="O40" s="639"/>
      <c r="P40" s="636" t="str">
        <f>Sprache!$E$99</f>
        <v xml:space="preserve"> : </v>
      </c>
      <c r="Q40" s="631"/>
      <c r="R40" s="652" t="str">
        <f t="shared" ca="1" si="0"/>
        <v/>
      </c>
      <c r="S40" s="646" t="str">
        <f>Sprache!$E$99</f>
        <v xml:space="preserve"> : </v>
      </c>
      <c r="T40" s="647" t="str">
        <f t="shared" ca="1" si="1"/>
        <v/>
      </c>
      <c r="U40" s="613" t="str">
        <f>IF(Planung!$O34="","",Planung!$O34)</f>
        <v/>
      </c>
      <c r="W40" s="190"/>
      <c r="X40" s="195"/>
      <c r="Y40" s="196"/>
      <c r="Z40" s="196"/>
      <c r="AA40" s="196"/>
      <c r="AB40" s="196"/>
      <c r="AC40" s="196"/>
      <c r="AD40" s="196"/>
      <c r="AE40" s="196"/>
      <c r="AF40" s="196"/>
      <c r="AG40" s="197"/>
      <c r="AH40" s="196"/>
      <c r="AI40" s="195"/>
      <c r="AJ40" s="196"/>
      <c r="AK40" s="198"/>
      <c r="AL40" s="196"/>
      <c r="AM40" s="196"/>
      <c r="AN40" s="196"/>
      <c r="AO40" s="196"/>
      <c r="AP40" s="196"/>
      <c r="AQ40" s="196"/>
      <c r="AR40" s="195"/>
      <c r="BA40" s="7" t="b">
        <f t="shared" ca="1" si="3"/>
        <v>1</v>
      </c>
      <c r="BB40" s="7" t="b">
        <f t="shared" si="4"/>
        <v>1</v>
      </c>
      <c r="BC40" s="7" t="b">
        <f t="shared" si="5"/>
        <v>1</v>
      </c>
      <c r="BD40" s="7" t="b">
        <f t="shared" si="6"/>
        <v>1</v>
      </c>
      <c r="BE40" s="7" t="b">
        <f t="shared" si="7"/>
        <v>0</v>
      </c>
      <c r="BF40" s="7" t="b">
        <f t="shared" si="8"/>
        <v>0</v>
      </c>
      <c r="BG40" s="7" t="b">
        <f t="shared" si="9"/>
        <v>0</v>
      </c>
    </row>
    <row r="41" spans="2:59" ht="24" customHeight="1" thickBot="1" x14ac:dyDescent="0.25">
      <c r="B41" s="363">
        <f ca="1">Planung!$E35</f>
        <v>21</v>
      </c>
      <c r="C41" s="371">
        <f ca="1">Planung!$F35</f>
        <v>0.49652777777777779</v>
      </c>
      <c r="D41" s="372">
        <f ca="1">Planung!$G35</f>
        <v>1</v>
      </c>
      <c r="E41" s="372" t="str">
        <f ca="1">Planung!$H35</f>
        <v/>
      </c>
      <c r="F41" s="375" t="str">
        <f ca="1">Planung!$L35</f>
        <v/>
      </c>
      <c r="G41" s="156" t="s">
        <v>4</v>
      </c>
      <c r="H41" s="378" t="str">
        <f ca="1">Planung!$N35</f>
        <v/>
      </c>
      <c r="I41" s="366"/>
      <c r="J41" s="634" t="str">
        <f>Sprache!$E$99</f>
        <v xml:space="preserve"> : </v>
      </c>
      <c r="K41" s="565"/>
      <c r="L41" s="640"/>
      <c r="M41" s="637" t="str">
        <f>Sprache!$E$99</f>
        <v xml:space="preserve"> : </v>
      </c>
      <c r="N41" s="642"/>
      <c r="O41" s="640"/>
      <c r="P41" s="637" t="str">
        <f>Sprache!$E$99</f>
        <v xml:space="preserve"> : </v>
      </c>
      <c r="Q41" s="642"/>
      <c r="R41" s="653" t="str">
        <f t="shared" ca="1" si="0"/>
        <v/>
      </c>
      <c r="S41" s="648" t="str">
        <f>Sprache!$E$99</f>
        <v xml:space="preserve"> : </v>
      </c>
      <c r="T41" s="649" t="str">
        <f t="shared" ca="1" si="1"/>
        <v/>
      </c>
      <c r="U41" s="614" t="str">
        <f>IF(Planung!$O35="","",Planung!$O35)</f>
        <v/>
      </c>
      <c r="W41" s="190"/>
      <c r="X41" s="195"/>
      <c r="Y41" s="196"/>
      <c r="Z41" s="196"/>
      <c r="AA41" s="196"/>
      <c r="AB41" s="196"/>
      <c r="AC41" s="196"/>
      <c r="AD41" s="196"/>
      <c r="AE41" s="196"/>
      <c r="AF41" s="196"/>
      <c r="AG41" s="197"/>
      <c r="AH41" s="196"/>
      <c r="AI41" s="195"/>
      <c r="AJ41" s="196"/>
      <c r="AK41" s="198"/>
      <c r="AL41" s="196"/>
      <c r="AM41" s="196"/>
      <c r="AN41" s="196"/>
      <c r="AO41" s="196"/>
      <c r="AP41" s="196"/>
      <c r="AQ41" s="196"/>
      <c r="AR41" s="195"/>
      <c r="BA41" s="7" t="b">
        <f t="shared" ca="1" si="3"/>
        <v>1</v>
      </c>
      <c r="BB41" s="7" t="b">
        <f t="shared" si="4"/>
        <v>1</v>
      </c>
      <c r="BC41" s="7" t="b">
        <f t="shared" si="5"/>
        <v>1</v>
      </c>
      <c r="BD41" s="7" t="b">
        <f t="shared" si="6"/>
        <v>1</v>
      </c>
      <c r="BE41" s="7" t="b">
        <f t="shared" si="7"/>
        <v>0</v>
      </c>
      <c r="BF41" s="7" t="b">
        <f t="shared" si="8"/>
        <v>0</v>
      </c>
      <c r="BG41" s="7" t="b">
        <f t="shared" si="9"/>
        <v>0</v>
      </c>
    </row>
    <row r="42" spans="2:59" ht="24" customHeight="1" thickTop="1" x14ac:dyDescent="0.2">
      <c r="B42" s="201"/>
      <c r="C42" s="202"/>
      <c r="D42" s="203"/>
      <c r="E42" s="203"/>
      <c r="F42" s="204"/>
      <c r="G42" s="201"/>
      <c r="H42" s="204"/>
      <c r="I42" s="205"/>
      <c r="J42" s="201"/>
      <c r="K42" s="206"/>
      <c r="L42" s="206"/>
      <c r="M42" s="206"/>
      <c r="N42" s="206"/>
      <c r="O42" s="206"/>
      <c r="P42" s="206"/>
      <c r="Q42" s="206"/>
      <c r="R42" s="206"/>
      <c r="S42" s="206"/>
      <c r="T42" s="206"/>
      <c r="W42" s="190"/>
      <c r="X42" s="195"/>
      <c r="Y42" s="196"/>
      <c r="Z42" s="196"/>
      <c r="AA42" s="196"/>
      <c r="AB42" s="196"/>
      <c r="AC42" s="196"/>
      <c r="AD42" s="196"/>
      <c r="AE42" s="196"/>
      <c r="AF42" s="196"/>
      <c r="AG42" s="197"/>
      <c r="AH42" s="196"/>
      <c r="AI42" s="195"/>
      <c r="AJ42" s="196"/>
      <c r="AK42" s="198"/>
      <c r="AL42" s="196"/>
      <c r="AM42" s="196"/>
      <c r="AN42" s="196"/>
      <c r="AO42" s="196"/>
      <c r="AP42" s="196"/>
      <c r="AQ42" s="196"/>
      <c r="AR42" s="195"/>
    </row>
    <row r="43" spans="2:59" x14ac:dyDescent="0.2"/>
  </sheetData>
  <sheetProtection sheet="1" selectLockedCells="1"/>
  <mergeCells count="25">
    <mergeCell ref="W1:X1"/>
    <mergeCell ref="F11:H11"/>
    <mergeCell ref="I11:K11"/>
    <mergeCell ref="AG11:AI11"/>
    <mergeCell ref="W11:X11"/>
    <mergeCell ref="W10:X10"/>
    <mergeCell ref="L11:N11"/>
    <mergeCell ref="AC11:AE11"/>
    <mergeCell ref="O11:Q11"/>
    <mergeCell ref="R11:T11"/>
    <mergeCell ref="H2:AB2"/>
    <mergeCell ref="AL2:AM2"/>
    <mergeCell ref="AK30:AR30"/>
    <mergeCell ref="W30:AJ30"/>
    <mergeCell ref="AU10:AV10"/>
    <mergeCell ref="AU20:AV20"/>
    <mergeCell ref="W21:X21"/>
    <mergeCell ref="AG21:AI21"/>
    <mergeCell ref="W20:X20"/>
    <mergeCell ref="AC21:AE21"/>
    <mergeCell ref="H3:AB3"/>
    <mergeCell ref="H4:AB4"/>
    <mergeCell ref="H5:AB5"/>
    <mergeCell ref="I7:X8"/>
    <mergeCell ref="AU7:AX8"/>
  </mergeCells>
  <conditionalFormatting sqref="B12:T41">
    <cfRule type="expression" dxfId="36" priority="7">
      <formula>OR($F12="",$H12="")</formula>
    </cfRule>
  </conditionalFormatting>
  <conditionalFormatting sqref="W12:AR17 W22:AR27">
    <cfRule type="expression" dxfId="35" priority="6">
      <formula>$X12=""</formula>
    </cfRule>
  </conditionalFormatting>
  <conditionalFormatting sqref="W12:AK17 AR12:AR17 AR22:AR27 W22:AK27">
    <cfRule type="expression" dxfId="34" priority="5">
      <formula>OR(AND($W12=$W11,$X11&lt;&gt;""),AND($W12=$W13,$X13&lt;&gt;""))</formula>
    </cfRule>
  </conditionalFormatting>
  <conditionalFormatting sqref="I12:I41 K12:K41">
    <cfRule type="expression" dxfId="33" priority="3">
      <formula>$BE12</formula>
    </cfRule>
  </conditionalFormatting>
  <conditionalFormatting sqref="L12:L41 N12:N41">
    <cfRule type="expression" dxfId="32" priority="2">
      <formula>$BF12</formula>
    </cfRule>
  </conditionalFormatting>
  <conditionalFormatting sqref="O12:O41 Q12:Q41">
    <cfRule type="expression" dxfId="31" priority="1">
      <formula>$BG12</formula>
    </cfRule>
  </conditionalFormatting>
  <dataValidations count="2">
    <dataValidation type="whole" allowBlank="1" showErrorMessage="1" errorTitle="Error" error="Maximal 999 !" sqref="I12:I42 K12:T42" xr:uid="{D9E07FCF-67B7-4BAF-9BC8-AE233331B860}">
      <formula1>0</formula1>
      <formula2>999</formula2>
    </dataValidation>
    <dataValidation type="whole" allowBlank="1" showInputMessage="1" showErrorMessage="1" sqref="AW12:AW17 AW22:AW27" xr:uid="{F8B159EB-3E39-407B-B2B3-70A1B1FF45BA}">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8BE99-1B0D-4846-8A87-2EA6DA8B630B}">
  <dimension ref="A1:AE33"/>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6" customWidth="1"/>
    <col min="2" max="2" width="6.7109375" style="476" customWidth="1"/>
    <col min="3" max="3" width="9.28515625" style="476" customWidth="1"/>
    <col min="4" max="4" width="10.42578125" style="476" customWidth="1"/>
    <col min="5" max="5" width="6.42578125" style="476" customWidth="1"/>
    <col min="6" max="6" width="8.7109375" style="476" customWidth="1"/>
    <col min="7" max="7" width="2" style="476" customWidth="1"/>
    <col min="8" max="8" width="8.7109375" style="476" customWidth="1"/>
    <col min="9" max="9" width="24.7109375" style="476" customWidth="1"/>
    <col min="10" max="10" width="2.85546875" style="476" customWidth="1"/>
    <col min="11" max="11" width="24.7109375" style="476" customWidth="1"/>
    <col min="12" max="12" width="4.7109375" style="476" customWidth="1"/>
    <col min="13" max="13" width="2.42578125" style="476" customWidth="1"/>
    <col min="14" max="15" width="4.7109375" style="476" customWidth="1"/>
    <col min="16" max="16" width="2.7109375" style="477" customWidth="1"/>
    <col min="17" max="18" width="4.7109375" style="476" customWidth="1"/>
    <col min="19" max="19" width="2.7109375" style="476" customWidth="1"/>
    <col min="20" max="20" width="4.7109375" style="476" customWidth="1"/>
    <col min="21" max="21" width="24.7109375" style="476" customWidth="1"/>
    <col min="22" max="22" width="9.140625" style="476" customWidth="1"/>
    <col min="23" max="23" width="8.42578125" style="476" hidden="1" customWidth="1"/>
    <col min="24" max="24" width="6.140625" style="476" hidden="1" customWidth="1"/>
    <col min="25" max="25" width="5.85546875" style="476" hidden="1" customWidth="1"/>
    <col min="26" max="26" width="6.140625" style="476" hidden="1" customWidth="1"/>
    <col min="27" max="27" width="6.42578125" style="476" hidden="1" customWidth="1"/>
    <col min="28" max="28" width="3.28515625" style="476" hidden="1" customWidth="1"/>
    <col min="29" max="30" width="14.140625" style="476" hidden="1" customWidth="1"/>
    <col min="31" max="31" width="11.85546875" style="476" hidden="1" customWidth="1"/>
    <col min="32" max="16384" width="24.7109375" style="476" hidden="1"/>
  </cols>
  <sheetData>
    <row r="1" spans="2:31" ht="13.5" thickBot="1" x14ac:dyDescent="0.25"/>
    <row r="2" spans="2:31" ht="36" customHeight="1" thickTop="1" x14ac:dyDescent="0.2">
      <c r="F2" s="913" t="str">
        <f>Vorrunde!$H$2</f>
        <v>Internationales U10-Turnier am 18.08.2025</v>
      </c>
      <c r="G2" s="914"/>
      <c r="H2" s="914"/>
      <c r="I2" s="914"/>
      <c r="J2" s="914"/>
      <c r="K2" s="914"/>
      <c r="L2" s="914"/>
      <c r="M2" s="914"/>
      <c r="N2" s="914"/>
      <c r="O2" s="914"/>
      <c r="P2" s="914"/>
      <c r="Q2" s="914"/>
      <c r="R2" s="914"/>
      <c r="S2" s="914"/>
      <c r="T2" s="914"/>
      <c r="U2" s="915"/>
    </row>
    <row r="3" spans="2:31" ht="30" customHeight="1" x14ac:dyDescent="0.2">
      <c r="F3" s="916" t="str">
        <f>Vorrunde!$H$3</f>
        <v>Veranstalter:  1. FC Riedwald</v>
      </c>
      <c r="G3" s="917"/>
      <c r="H3" s="917"/>
      <c r="I3" s="917"/>
      <c r="J3" s="917"/>
      <c r="K3" s="917"/>
      <c r="L3" s="917"/>
      <c r="M3" s="917"/>
      <c r="N3" s="917"/>
      <c r="O3" s="917"/>
      <c r="P3" s="917"/>
      <c r="Q3" s="917"/>
      <c r="R3" s="917"/>
      <c r="S3" s="917"/>
      <c r="T3" s="917"/>
      <c r="U3" s="918"/>
    </row>
    <row r="4" spans="2:31" ht="30" customHeight="1" x14ac:dyDescent="0.2">
      <c r="F4" s="919" t="str">
        <f>Vorrunde!$H$4</f>
        <v>Sporthalle Wiesengrund, Wendiger Str. 51, 65432 Riedwald</v>
      </c>
      <c r="G4" s="920"/>
      <c r="H4" s="920"/>
      <c r="I4" s="920"/>
      <c r="J4" s="920"/>
      <c r="K4" s="920"/>
      <c r="L4" s="920"/>
      <c r="M4" s="920"/>
      <c r="N4" s="920"/>
      <c r="O4" s="920"/>
      <c r="P4" s="920"/>
      <c r="Q4" s="920"/>
      <c r="R4" s="920"/>
      <c r="S4" s="920"/>
      <c r="T4" s="920"/>
      <c r="U4" s="921"/>
    </row>
    <row r="5" spans="2:31" ht="30" customHeight="1" thickBot="1" x14ac:dyDescent="0.25">
      <c r="F5" s="922" t="str">
        <f>Vorrunde!$H$5</f>
        <v>Beginn:  9:00 Uhr</v>
      </c>
      <c r="G5" s="923"/>
      <c r="H5" s="923"/>
      <c r="I5" s="923"/>
      <c r="J5" s="923"/>
      <c r="K5" s="923"/>
      <c r="L5" s="923"/>
      <c r="M5" s="923"/>
      <c r="N5" s="923"/>
      <c r="O5" s="923"/>
      <c r="P5" s="923"/>
      <c r="Q5" s="923"/>
      <c r="R5" s="923"/>
      <c r="S5" s="923"/>
      <c r="T5" s="923"/>
      <c r="U5" s="924"/>
    </row>
    <row r="6" spans="2:31" ht="40.5" customHeight="1" thickTop="1" x14ac:dyDescent="0.2"/>
    <row r="7" spans="2:31" ht="30" customHeight="1" x14ac:dyDescent="0.2">
      <c r="H7" s="911" t="str">
        <f>Sprache!$E$6</f>
        <v>Tie Break Vorrunde</v>
      </c>
      <c r="I7" s="911"/>
      <c r="J7" s="911"/>
      <c r="K7" s="911"/>
      <c r="L7" s="911"/>
      <c r="M7" s="911"/>
      <c r="N7" s="911"/>
      <c r="O7" s="911"/>
      <c r="P7" s="911"/>
      <c r="Q7" s="911"/>
      <c r="R7" s="911"/>
      <c r="S7" s="911"/>
      <c r="T7" s="911"/>
    </row>
    <row r="8" spans="2:31" ht="30" customHeight="1" x14ac:dyDescent="0.2">
      <c r="H8" s="911"/>
      <c r="I8" s="911"/>
      <c r="J8" s="911"/>
      <c r="K8" s="911"/>
      <c r="L8" s="911"/>
      <c r="M8" s="911"/>
      <c r="N8" s="911"/>
      <c r="O8" s="911"/>
      <c r="P8" s="911"/>
      <c r="Q8" s="911"/>
      <c r="R8" s="911"/>
      <c r="S8" s="911"/>
      <c r="T8" s="911"/>
    </row>
    <row r="9" spans="2:31" ht="15.95" customHeight="1" x14ac:dyDescent="0.2"/>
    <row r="10" spans="2:31" ht="24" customHeight="1" thickBot="1" x14ac:dyDescent="0.3">
      <c r="C10" s="903"/>
      <c r="D10" s="903"/>
      <c r="E10" s="478"/>
      <c r="F10" s="912" t="str">
        <f>Sprache!$E$66</f>
        <v>z.B.  A2 - A4</v>
      </c>
      <c r="G10" s="912"/>
      <c r="H10" s="912"/>
      <c r="I10" s="478"/>
      <c r="J10" s="478"/>
      <c r="K10" s="478"/>
      <c r="L10" s="479"/>
      <c r="M10" s="479"/>
      <c r="N10" s="479"/>
      <c r="O10" s="480"/>
      <c r="P10" s="481"/>
      <c r="Q10" s="482"/>
      <c r="R10" s="482"/>
      <c r="S10" s="482"/>
      <c r="T10" s="482"/>
      <c r="U10" s="483"/>
    </row>
    <row r="11" spans="2:31" ht="24" customHeight="1" thickTop="1" x14ac:dyDescent="0.2">
      <c r="C11" s="484" t="str">
        <f>Sprache!$E$33</f>
        <v>Spiel-Nr.</v>
      </c>
      <c r="D11" s="485" t="str">
        <f>Sprache!$E$39</f>
        <v>Beginn</v>
      </c>
      <c r="E11" s="485" t="str">
        <f>Sprache!$E$48</f>
        <v>Feld</v>
      </c>
      <c r="F11" s="904" t="str">
        <f>Sprache!$E$65</f>
        <v>Team-Kürzel</v>
      </c>
      <c r="G11" s="905"/>
      <c r="H11" s="906"/>
      <c r="I11" s="904" t="str">
        <f>Sprache!$E$14</f>
        <v>Spielpaarung</v>
      </c>
      <c r="J11" s="905"/>
      <c r="K11" s="906"/>
      <c r="L11" s="907" t="str">
        <f>Sprache!$E$61</f>
        <v>1. Satz</v>
      </c>
      <c r="M11" s="908"/>
      <c r="N11" s="909"/>
      <c r="O11" s="907" t="str">
        <f>Sprache!$E$62</f>
        <v>2. Satz</v>
      </c>
      <c r="P11" s="908"/>
      <c r="Q11" s="909"/>
      <c r="R11" s="907" t="str">
        <f>Sprache!$E$63</f>
        <v>3. Satz</v>
      </c>
      <c r="S11" s="908"/>
      <c r="T11" s="910"/>
      <c r="U11" s="486" t="str">
        <f>Sprache!$E$121</f>
        <v>Sieger</v>
      </c>
      <c r="W11" s="487" t="str">
        <f>Sprache!$E$63&amp;"?"</f>
        <v>3. Satz?</v>
      </c>
      <c r="AC11" s="487" t="s">
        <v>325</v>
      </c>
      <c r="AD11" s="487" t="s">
        <v>326</v>
      </c>
      <c r="AE11" s="487" t="s">
        <v>327</v>
      </c>
    </row>
    <row r="12" spans="2:31" ht="24" customHeight="1" x14ac:dyDescent="0.2">
      <c r="B12" s="488"/>
      <c r="C12" s="489" t="s">
        <v>6</v>
      </c>
      <c r="D12" s="490"/>
      <c r="E12" s="491"/>
      <c r="F12" s="492"/>
      <c r="G12" s="493" t="s">
        <v>4</v>
      </c>
      <c r="H12" s="494"/>
      <c r="I12" s="495" t="str">
        <f>IF($F12="","",IFERROR(VLOOKUP($F12,Planung!$B$7:$C$35,2,0),""))</f>
        <v/>
      </c>
      <c r="J12" s="496" t="s">
        <v>4</v>
      </c>
      <c r="K12" s="497" t="str">
        <f>IF($H12="","",IFERROR(VLOOKUP($H12,Planung!$B$7:$C$35,2,0),""))</f>
        <v/>
      </c>
      <c r="L12" s="498"/>
      <c r="M12" s="499" t="str">
        <f>Sprache!$E$99</f>
        <v xml:space="preserve"> : </v>
      </c>
      <c r="N12" s="500"/>
      <c r="O12" s="498"/>
      <c r="P12" s="499" t="str">
        <f>Sprache!$E$99</f>
        <v xml:space="preserve"> : </v>
      </c>
      <c r="Q12" s="500"/>
      <c r="R12" s="501"/>
      <c r="S12" s="499" t="str">
        <f>Sprache!$E$99</f>
        <v xml:space="preserve"> : </v>
      </c>
      <c r="T12" s="502"/>
      <c r="U12" s="503" t="str">
        <f>IF(OR($AC12,AND($AD12,OR($O12&lt;&gt;"",$Q12&lt;&gt;""))),"",IF($X12+$Z12&gt;$Y12+$AA12,$I12,IF($X12+$Z12&lt;$Y12+$AA12,$K12,"")))</f>
        <v/>
      </c>
      <c r="V12" s="504"/>
      <c r="W12" s="505" t="b">
        <f t="shared" ref="W12:W16" si="0">AND(NOT(OR($AC12,$AD12)),$X12=1,$Y12=1)</f>
        <v>0</v>
      </c>
      <c r="X12" s="505">
        <f t="shared" ref="X12:X16" si="1">IF($AC12,0,($L12&gt;$N12)+IF($AD12,0,$O12&gt;$Q12))</f>
        <v>0</v>
      </c>
      <c r="Y12" s="505">
        <f t="shared" ref="Y12:Y16" si="2">IF($AC12,0,($L12&lt;$N12)+IF($AD12,0,$O12&lt;$Q12))</f>
        <v>0</v>
      </c>
      <c r="Z12" s="505">
        <f t="shared" ref="Z12:Z16" si="3">($O12&lt;&gt;"")*($Q12&lt;&gt;"")*($R12&lt;&gt;"")*($T12&lt;&gt;"")*(X12=1)*(Y12=1)*($R12&gt;$T12)</f>
        <v>0</v>
      </c>
      <c r="AA12" s="505">
        <f t="shared" ref="AA12:AA16" si="4">($O12&lt;&gt;"")*($Q12&lt;&gt;"")*($R12&lt;&gt;"")*($T12&lt;&gt;"")*(X12=1)*(Y12=1)*($R12&lt;$T12)</f>
        <v>0</v>
      </c>
      <c r="AB12" s="506"/>
      <c r="AC12" s="505" t="b">
        <f t="shared" ref="AC12:AC16" si="5">OR($I12="",$K12="",$L12="",$N12="",AND($L12&lt;&gt;"",$L12=$N12))</f>
        <v>1</v>
      </c>
      <c r="AD12" s="505" t="b">
        <f t="shared" ref="AD12:AD16" si="6">OR(AC12,$O12="",$Q12="",AND($O12&lt;&gt;"",$O12=$Q12))</f>
        <v>1</v>
      </c>
      <c r="AE12" s="505" t="b">
        <f t="shared" ref="AE12:AE16" si="7">OR($R12="",$T12="",$R12=$T12)</f>
        <v>1</v>
      </c>
    </row>
    <row r="13" spans="2:31" ht="24" customHeight="1" x14ac:dyDescent="0.2">
      <c r="B13" s="488"/>
      <c r="C13" s="507" t="s">
        <v>7</v>
      </c>
      <c r="D13" s="508"/>
      <c r="E13" s="508"/>
      <c r="F13" s="492"/>
      <c r="G13" s="493" t="s">
        <v>4</v>
      </c>
      <c r="H13" s="494"/>
      <c r="I13" s="509" t="str">
        <f>IF($F13="","",IFERROR(VLOOKUP($F13,Planung!$B$7:$C$35,2,0),""))</f>
        <v/>
      </c>
      <c r="J13" s="510" t="s">
        <v>4</v>
      </c>
      <c r="K13" s="511" t="str">
        <f>IF($H13="","",IFERROR(VLOOKUP($H13,Planung!$B$7:$C$35,2,0),""))</f>
        <v/>
      </c>
      <c r="L13" s="492"/>
      <c r="M13" s="512" t="str">
        <f>Sprache!$E$99</f>
        <v xml:space="preserve"> : </v>
      </c>
      <c r="N13" s="494"/>
      <c r="O13" s="492"/>
      <c r="P13" s="512" t="str">
        <f>Sprache!$E$99</f>
        <v xml:space="preserve"> : </v>
      </c>
      <c r="Q13" s="494"/>
      <c r="R13" s="492"/>
      <c r="S13" s="512" t="str">
        <f>Sprache!$E$99</f>
        <v xml:space="preserve"> : </v>
      </c>
      <c r="T13" s="513"/>
      <c r="U13" s="514" t="str">
        <f t="shared" ref="U13:U17" si="8">IF(OR($AC13,AND($AD13,OR($O13&lt;&gt;"",$Q13&lt;&gt;""))),"",IF($X13+$Z13&gt;$Y13+$AA13,$I13,IF($X13+$Z13&lt;$Y13+$AA13,$K13,"")))</f>
        <v/>
      </c>
      <c r="V13" s="504"/>
      <c r="W13" s="505" t="b">
        <f t="shared" si="0"/>
        <v>0</v>
      </c>
      <c r="X13" s="505">
        <f t="shared" si="1"/>
        <v>0</v>
      </c>
      <c r="Y13" s="505">
        <f t="shared" si="2"/>
        <v>0</v>
      </c>
      <c r="Z13" s="505">
        <f t="shared" si="3"/>
        <v>0</v>
      </c>
      <c r="AA13" s="505">
        <f t="shared" si="4"/>
        <v>0</v>
      </c>
      <c r="AB13" s="506"/>
      <c r="AC13" s="505" t="b">
        <f t="shared" si="5"/>
        <v>1</v>
      </c>
      <c r="AD13" s="505" t="b">
        <f t="shared" si="6"/>
        <v>1</v>
      </c>
      <c r="AE13" s="505" t="b">
        <f t="shared" si="7"/>
        <v>1</v>
      </c>
    </row>
    <row r="14" spans="2:31" ht="24" customHeight="1" x14ac:dyDescent="0.2">
      <c r="B14" s="488"/>
      <c r="C14" s="507" t="s">
        <v>8</v>
      </c>
      <c r="D14" s="508"/>
      <c r="E14" s="508"/>
      <c r="F14" s="492"/>
      <c r="G14" s="493" t="s">
        <v>4</v>
      </c>
      <c r="H14" s="494"/>
      <c r="I14" s="509" t="str">
        <f>IF($F14="","",IFERROR(VLOOKUP($F14,Planung!$B$7:$C$35,2,0),""))</f>
        <v/>
      </c>
      <c r="J14" s="510" t="s">
        <v>4</v>
      </c>
      <c r="K14" s="511" t="str">
        <f>IF($H14="","",IFERROR(VLOOKUP($H14,Planung!$B$7:$C$35,2,0),""))</f>
        <v/>
      </c>
      <c r="L14" s="492"/>
      <c r="M14" s="512" t="str">
        <f>Sprache!$E$99</f>
        <v xml:space="preserve"> : </v>
      </c>
      <c r="N14" s="494"/>
      <c r="O14" s="492"/>
      <c r="P14" s="512" t="str">
        <f>Sprache!$E$99</f>
        <v xml:space="preserve"> : </v>
      </c>
      <c r="Q14" s="494"/>
      <c r="R14" s="492"/>
      <c r="S14" s="512" t="str">
        <f>Sprache!$E$99</f>
        <v xml:space="preserve"> : </v>
      </c>
      <c r="T14" s="513"/>
      <c r="U14" s="514" t="str">
        <f t="shared" si="8"/>
        <v/>
      </c>
      <c r="V14" s="504"/>
      <c r="W14" s="505" t="b">
        <f t="shared" si="0"/>
        <v>0</v>
      </c>
      <c r="X14" s="505">
        <f t="shared" si="1"/>
        <v>0</v>
      </c>
      <c r="Y14" s="505">
        <f t="shared" si="2"/>
        <v>0</v>
      </c>
      <c r="Z14" s="505">
        <f t="shared" si="3"/>
        <v>0</v>
      </c>
      <c r="AA14" s="505">
        <f t="shared" si="4"/>
        <v>0</v>
      </c>
      <c r="AB14" s="506"/>
      <c r="AC14" s="505" t="b">
        <f t="shared" si="5"/>
        <v>1</v>
      </c>
      <c r="AD14" s="505" t="b">
        <f t="shared" si="6"/>
        <v>1</v>
      </c>
      <c r="AE14" s="505" t="b">
        <f t="shared" si="7"/>
        <v>1</v>
      </c>
    </row>
    <row r="15" spans="2:31" ht="24" customHeight="1" x14ac:dyDescent="0.2">
      <c r="B15" s="488"/>
      <c r="C15" s="507" t="s">
        <v>9</v>
      </c>
      <c r="D15" s="508"/>
      <c r="E15" s="508"/>
      <c r="F15" s="492"/>
      <c r="G15" s="493" t="s">
        <v>4</v>
      </c>
      <c r="H15" s="494"/>
      <c r="I15" s="509" t="str">
        <f>IF($F15="","",IFERROR(VLOOKUP($F15,Planung!$B$7:$C$35,2,0),""))</f>
        <v/>
      </c>
      <c r="J15" s="510" t="s">
        <v>4</v>
      </c>
      <c r="K15" s="511" t="str">
        <f>IF($H15="","",IFERROR(VLOOKUP($H15,Planung!$B$7:$C$35,2,0),""))</f>
        <v/>
      </c>
      <c r="L15" s="492"/>
      <c r="M15" s="512" t="str">
        <f>Sprache!$E$99</f>
        <v xml:space="preserve"> : </v>
      </c>
      <c r="N15" s="494"/>
      <c r="O15" s="492"/>
      <c r="P15" s="512" t="str">
        <f>Sprache!$E$99</f>
        <v xml:space="preserve"> : </v>
      </c>
      <c r="Q15" s="494"/>
      <c r="R15" s="492"/>
      <c r="S15" s="512" t="str">
        <f>Sprache!$E$99</f>
        <v xml:space="preserve"> : </v>
      </c>
      <c r="T15" s="513"/>
      <c r="U15" s="514" t="str">
        <f t="shared" si="8"/>
        <v/>
      </c>
      <c r="V15" s="504"/>
      <c r="W15" s="505" t="b">
        <f t="shared" si="0"/>
        <v>0</v>
      </c>
      <c r="X15" s="505">
        <f t="shared" si="1"/>
        <v>0</v>
      </c>
      <c r="Y15" s="505">
        <f t="shared" si="2"/>
        <v>0</v>
      </c>
      <c r="Z15" s="505">
        <f t="shared" si="3"/>
        <v>0</v>
      </c>
      <c r="AA15" s="505">
        <f t="shared" si="4"/>
        <v>0</v>
      </c>
      <c r="AB15" s="506"/>
      <c r="AC15" s="505" t="b">
        <f t="shared" si="5"/>
        <v>1</v>
      </c>
      <c r="AD15" s="505" t="b">
        <f t="shared" si="6"/>
        <v>1</v>
      </c>
      <c r="AE15" s="505" t="b">
        <f t="shared" si="7"/>
        <v>1</v>
      </c>
    </row>
    <row r="16" spans="2:31" ht="24" customHeight="1" x14ac:dyDescent="0.2">
      <c r="B16" s="488"/>
      <c r="C16" s="507" t="s">
        <v>10</v>
      </c>
      <c r="D16" s="508"/>
      <c r="E16" s="508"/>
      <c r="F16" s="492"/>
      <c r="G16" s="493" t="s">
        <v>4</v>
      </c>
      <c r="H16" s="494"/>
      <c r="I16" s="509" t="str">
        <f>IF($F16="","",IFERROR(VLOOKUP($F16,Planung!$B$7:$C$35,2,0),""))</f>
        <v/>
      </c>
      <c r="J16" s="510" t="s">
        <v>4</v>
      </c>
      <c r="K16" s="511" t="str">
        <f>IF($H16="","",IFERROR(VLOOKUP($H16,Planung!$B$7:$C$35,2,0),""))</f>
        <v/>
      </c>
      <c r="L16" s="492"/>
      <c r="M16" s="512" t="str">
        <f>Sprache!$E$99</f>
        <v xml:space="preserve"> : </v>
      </c>
      <c r="N16" s="494"/>
      <c r="O16" s="492"/>
      <c r="P16" s="512" t="str">
        <f>Sprache!$E$99</f>
        <v xml:space="preserve"> : </v>
      </c>
      <c r="Q16" s="494"/>
      <c r="R16" s="492"/>
      <c r="S16" s="512" t="str">
        <f>Sprache!$E$99</f>
        <v xml:space="preserve"> : </v>
      </c>
      <c r="T16" s="513"/>
      <c r="U16" s="514" t="str">
        <f t="shared" si="8"/>
        <v/>
      </c>
      <c r="V16" s="504"/>
      <c r="W16" s="505" t="b">
        <f t="shared" si="0"/>
        <v>0</v>
      </c>
      <c r="X16" s="505">
        <f t="shared" si="1"/>
        <v>0</v>
      </c>
      <c r="Y16" s="505">
        <f t="shared" si="2"/>
        <v>0</v>
      </c>
      <c r="Z16" s="505">
        <f t="shared" si="3"/>
        <v>0</v>
      </c>
      <c r="AA16" s="505">
        <f t="shared" si="4"/>
        <v>0</v>
      </c>
      <c r="AB16" s="506"/>
      <c r="AC16" s="505" t="b">
        <f t="shared" si="5"/>
        <v>1</v>
      </c>
      <c r="AD16" s="505" t="b">
        <f t="shared" si="6"/>
        <v>1</v>
      </c>
      <c r="AE16" s="505" t="b">
        <f t="shared" si="7"/>
        <v>1</v>
      </c>
    </row>
    <row r="17" spans="2:31" ht="24" customHeight="1" thickBot="1" x14ac:dyDescent="0.25">
      <c r="B17" s="488"/>
      <c r="C17" s="515" t="s">
        <v>11</v>
      </c>
      <c r="D17" s="516"/>
      <c r="E17" s="516"/>
      <c r="F17" s="517"/>
      <c r="G17" s="518" t="s">
        <v>4</v>
      </c>
      <c r="H17" s="519"/>
      <c r="I17" s="520" t="str">
        <f>IF($F17="","",IFERROR(VLOOKUP($F17,Planung!$B$7:$C$35,2,0),""))</f>
        <v/>
      </c>
      <c r="J17" s="521" t="s">
        <v>4</v>
      </c>
      <c r="K17" s="522" t="str">
        <f>IF($H17="","",IFERROR(VLOOKUP($H17,Planung!$B$7:$C$35,2,0),""))</f>
        <v/>
      </c>
      <c r="L17" s="517"/>
      <c r="M17" s="523" t="str">
        <f>Sprache!$E$99</f>
        <v xml:space="preserve"> : </v>
      </c>
      <c r="N17" s="519"/>
      <c r="O17" s="517"/>
      <c r="P17" s="523" t="str">
        <f>Sprache!$E$99</f>
        <v xml:space="preserve"> : </v>
      </c>
      <c r="Q17" s="519"/>
      <c r="R17" s="517"/>
      <c r="S17" s="523" t="str">
        <f>Sprache!$E$99</f>
        <v xml:space="preserve"> : </v>
      </c>
      <c r="T17" s="524"/>
      <c r="U17" s="525" t="str">
        <f t="shared" si="8"/>
        <v/>
      </c>
      <c r="V17" s="504"/>
      <c r="W17" s="505" t="b">
        <f>AND(NOT(OR($AC17,$AD17)),$X17=1,$Y17=1)</f>
        <v>0</v>
      </c>
      <c r="X17" s="505">
        <f>IF($AC17,0,($L17&gt;$N17)+IF($AD17,0,$O17&gt;$Q17))</f>
        <v>0</v>
      </c>
      <c r="Y17" s="505">
        <f>IF($AC17,0,($L17&lt;$N17)+IF($AD17,0,$O17&lt;$Q17))</f>
        <v>0</v>
      </c>
      <c r="Z17" s="505">
        <f>($O17&lt;&gt;"")*($Q17&lt;&gt;"")*($R17&lt;&gt;"")*($T17&lt;&gt;"")*(X17=1)*(Y17=1)*($R17&gt;$T17)</f>
        <v>0</v>
      </c>
      <c r="AA17" s="505">
        <f>($O17&lt;&gt;"")*($Q17&lt;&gt;"")*($R17&lt;&gt;"")*($T17&lt;&gt;"")*(X17=1)*(Y17=1)*($R17&lt;$T17)</f>
        <v>0</v>
      </c>
      <c r="AB17" s="506"/>
      <c r="AC17" s="505" t="b">
        <f>OR($I17="",$K17="",$L17="",$N17="",AND($L17&lt;&gt;"",$L17=$N17))</f>
        <v>1</v>
      </c>
      <c r="AD17" s="505" t="b">
        <f>OR(AC17,$O17="",$Q17="",AND($O17&lt;&gt;"",$O17=$Q17))</f>
        <v>1</v>
      </c>
      <c r="AE17" s="505" t="b">
        <f>OR($R17="",$T17="",$R17=$T17)</f>
        <v>1</v>
      </c>
    </row>
    <row r="18" spans="2:31" ht="36" customHeight="1" thickTop="1" x14ac:dyDescent="0.25">
      <c r="B18" s="526"/>
      <c r="C18" s="527"/>
      <c r="D18" s="528"/>
      <c r="E18" s="529"/>
      <c r="F18" s="530"/>
      <c r="G18" s="531"/>
      <c r="H18" s="532"/>
      <c r="I18" s="533" t="s">
        <v>247</v>
      </c>
      <c r="J18" s="534"/>
      <c r="K18" s="533" t="s">
        <v>247</v>
      </c>
      <c r="L18" s="535"/>
      <c r="M18" s="536"/>
      <c r="N18" s="537"/>
      <c r="O18" s="538"/>
      <c r="P18" s="538"/>
      <c r="Q18" s="538"/>
      <c r="R18" s="538"/>
      <c r="S18" s="538"/>
      <c r="T18" s="538"/>
      <c r="U18" s="504"/>
      <c r="V18" s="504"/>
    </row>
    <row r="19" spans="2:31" ht="24" customHeight="1" x14ac:dyDescent="0.2"/>
    <row r="20" spans="2:31" ht="24" customHeight="1" x14ac:dyDescent="0.2">
      <c r="H20" s="911" t="str">
        <f>Sprache!$E$64</f>
        <v>Tie Break Endrunde 4</v>
      </c>
      <c r="I20" s="911"/>
      <c r="J20" s="911"/>
      <c r="K20" s="911"/>
      <c r="L20" s="911"/>
      <c r="M20" s="911"/>
      <c r="N20" s="911"/>
      <c r="O20" s="911"/>
      <c r="P20" s="911"/>
      <c r="Q20" s="911"/>
      <c r="R20" s="911"/>
      <c r="S20" s="911"/>
      <c r="T20" s="911"/>
    </row>
    <row r="21" spans="2:31" ht="24" customHeight="1" x14ac:dyDescent="0.2">
      <c r="H21" s="911"/>
      <c r="I21" s="911"/>
      <c r="J21" s="911"/>
      <c r="K21" s="911"/>
      <c r="L21" s="911"/>
      <c r="M21" s="911"/>
      <c r="N21" s="911"/>
      <c r="O21" s="911"/>
      <c r="P21" s="911"/>
      <c r="Q21" s="911"/>
      <c r="R21" s="911"/>
      <c r="S21" s="911"/>
      <c r="T21" s="911"/>
    </row>
    <row r="22" spans="2:31" ht="11.25" customHeight="1" x14ac:dyDescent="0.2"/>
    <row r="23" spans="2:31" ht="24" customHeight="1" thickBot="1" x14ac:dyDescent="0.3">
      <c r="C23" s="903"/>
      <c r="D23" s="903"/>
      <c r="E23" s="478"/>
      <c r="F23" s="912" t="str">
        <f>Sprache!$E$69</f>
        <v>z.B.  1A - 2B</v>
      </c>
      <c r="G23" s="912"/>
      <c r="H23" s="912"/>
      <c r="I23" s="478"/>
      <c r="J23" s="478"/>
      <c r="K23" s="478"/>
      <c r="L23" s="479"/>
      <c r="M23" s="479"/>
      <c r="N23" s="479"/>
      <c r="O23" s="480"/>
      <c r="P23" s="481"/>
      <c r="Q23" s="482"/>
      <c r="R23" s="482"/>
      <c r="S23" s="482"/>
      <c r="T23" s="482"/>
      <c r="U23" s="483"/>
    </row>
    <row r="24" spans="2:31" ht="24" customHeight="1" thickTop="1" x14ac:dyDescent="0.2">
      <c r="C24" s="484" t="str">
        <f>Sprache!$E$33</f>
        <v>Spiel-Nr.</v>
      </c>
      <c r="D24" s="485" t="str">
        <f>Sprache!$E$39</f>
        <v>Beginn</v>
      </c>
      <c r="E24" s="485" t="str">
        <f>Sprache!$E$48</f>
        <v>Feld</v>
      </c>
      <c r="F24" s="904" t="str">
        <f>Sprache!$E$65</f>
        <v>Team-Kürzel</v>
      </c>
      <c r="G24" s="905"/>
      <c r="H24" s="906"/>
      <c r="I24" s="904" t="str">
        <f>Sprache!$E$14</f>
        <v>Spielpaarung</v>
      </c>
      <c r="J24" s="905"/>
      <c r="K24" s="906"/>
      <c r="L24" s="907" t="str">
        <f>Sprache!$E$61</f>
        <v>1. Satz</v>
      </c>
      <c r="M24" s="908"/>
      <c r="N24" s="909"/>
      <c r="O24" s="907" t="str">
        <f>Sprache!$E$62</f>
        <v>2. Satz</v>
      </c>
      <c r="P24" s="908"/>
      <c r="Q24" s="909"/>
      <c r="R24" s="907" t="str">
        <f>Sprache!$E$63</f>
        <v>3. Satz</v>
      </c>
      <c r="S24" s="908"/>
      <c r="T24" s="910"/>
      <c r="U24" s="486" t="str">
        <f>Sprache!$E$121</f>
        <v>Sieger</v>
      </c>
      <c r="W24" s="487" t="str">
        <f>Sprache!$E$63&amp;"?"</f>
        <v>3. Satz?</v>
      </c>
      <c r="AC24" s="487" t="s">
        <v>325</v>
      </c>
      <c r="AD24" s="487" t="s">
        <v>326</v>
      </c>
      <c r="AE24" s="487" t="s">
        <v>327</v>
      </c>
    </row>
    <row r="25" spans="2:31" ht="24" customHeight="1" x14ac:dyDescent="0.2">
      <c r="C25" s="489" t="s">
        <v>6</v>
      </c>
      <c r="D25" s="490"/>
      <c r="E25" s="491"/>
      <c r="F25" s="492"/>
      <c r="G25" s="493" t="s">
        <v>4</v>
      </c>
      <c r="H25" s="494"/>
      <c r="I25" s="495" t="str">
        <f>IF($F25="","",IFERROR(VLOOKUP($F25,'Endrunde 4'!$AR$12:$AS$29,2,0),""))</f>
        <v/>
      </c>
      <c r="J25" s="496" t="s">
        <v>4</v>
      </c>
      <c r="K25" s="497" t="str">
        <f>IF($H25="","",IFERROR(VLOOKUP($H25,'Endrunde 4'!$AR$12:$AS$29,2,0),""))</f>
        <v/>
      </c>
      <c r="L25" s="498"/>
      <c r="M25" s="499" t="str">
        <f>Sprache!$E$99</f>
        <v xml:space="preserve"> : </v>
      </c>
      <c r="N25" s="500"/>
      <c r="O25" s="498"/>
      <c r="P25" s="499" t="str">
        <f>Sprache!$E$99</f>
        <v xml:space="preserve"> : </v>
      </c>
      <c r="Q25" s="500"/>
      <c r="R25" s="501"/>
      <c r="S25" s="499" t="str">
        <f>Sprache!$E$99</f>
        <v xml:space="preserve"> : </v>
      </c>
      <c r="T25" s="502"/>
      <c r="U25" s="503" t="str">
        <f>IF(OR($AC25,AND($AD25,OR($O25&lt;&gt;"",$Q25&lt;&gt;""))),"",IF($X25+$Z25&gt;$Y25+$AA25,$I25,IF($X25+$Z25&lt;$Y25+$AA25,$K25,"")))</f>
        <v/>
      </c>
      <c r="V25" s="504"/>
      <c r="W25" s="505" t="b">
        <f t="shared" ref="W25:W29" si="9">AND(NOT(OR($AC25,$AD25)),$X25=1,$Y25=1)</f>
        <v>0</v>
      </c>
      <c r="X25" s="505">
        <f t="shared" ref="X25:X29" si="10">IF($AC25,0,($L25&gt;$N25)+IF($AD25,0,$O25&gt;$Q25))</f>
        <v>0</v>
      </c>
      <c r="Y25" s="505">
        <f t="shared" ref="Y25:Y29" si="11">IF($AC25,0,($L25&lt;$N25)+IF($AD25,0,$O25&lt;$Q25))</f>
        <v>0</v>
      </c>
      <c r="Z25" s="505">
        <f t="shared" ref="Z25:Z29" si="12">($O25&lt;&gt;"")*($Q25&lt;&gt;"")*($R25&lt;&gt;"")*($T25&lt;&gt;"")*(X25=1)*(Y25=1)*($R25&gt;$T25)</f>
        <v>0</v>
      </c>
      <c r="AA25" s="505">
        <f t="shared" ref="AA25:AA29" si="13">($O25&lt;&gt;"")*($Q25&lt;&gt;"")*($R25&lt;&gt;"")*($T25&lt;&gt;"")*(X25=1)*(Y25=1)*($R25&lt;$T25)</f>
        <v>0</v>
      </c>
      <c r="AB25" s="506"/>
      <c r="AC25" s="505" t="b">
        <f t="shared" ref="AC25:AC29" si="14">OR($I25="",$K25="",$L25="",$N25="",AND($L25&lt;&gt;"",$L25=$N25))</f>
        <v>1</v>
      </c>
      <c r="AD25" s="505" t="b">
        <f t="shared" ref="AD25:AD29" si="15">OR(AC25,$O25="",$Q25="",AND($O25&lt;&gt;"",$O25=$Q25))</f>
        <v>1</v>
      </c>
      <c r="AE25" s="505" t="b">
        <f t="shared" ref="AE25:AE29" si="16">OR($R25="",$T25="",$R25=$T25)</f>
        <v>1</v>
      </c>
    </row>
    <row r="26" spans="2:31" ht="24" customHeight="1" x14ac:dyDescent="0.2">
      <c r="C26" s="507" t="s">
        <v>7</v>
      </c>
      <c r="D26" s="508"/>
      <c r="E26" s="508"/>
      <c r="F26" s="492"/>
      <c r="G26" s="493" t="s">
        <v>4</v>
      </c>
      <c r="H26" s="494"/>
      <c r="I26" s="509" t="str">
        <f>IF($F26="","",IFERROR(VLOOKUP($F26,'Endrunde 4'!$AR$12:$AS$29,2,0),""))</f>
        <v/>
      </c>
      <c r="J26" s="510" t="s">
        <v>4</v>
      </c>
      <c r="K26" s="511" t="str">
        <f>IF($H26="","",IFERROR(VLOOKUP($H26,'Endrunde 4'!$AR$12:$AS$29,2,0),""))</f>
        <v/>
      </c>
      <c r="L26" s="492"/>
      <c r="M26" s="512" t="str">
        <f>Sprache!$E$99</f>
        <v xml:space="preserve"> : </v>
      </c>
      <c r="N26" s="494"/>
      <c r="O26" s="492"/>
      <c r="P26" s="512" t="str">
        <f>Sprache!$E$99</f>
        <v xml:space="preserve"> : </v>
      </c>
      <c r="Q26" s="494"/>
      <c r="R26" s="492"/>
      <c r="S26" s="512" t="str">
        <f>Sprache!$E$99</f>
        <v xml:space="preserve"> : </v>
      </c>
      <c r="T26" s="513"/>
      <c r="U26" s="514" t="str">
        <f t="shared" ref="U26:U30" si="17">IF(OR($AC26,AND($AD26,OR($O26&lt;&gt;"",$Q26&lt;&gt;""))),"",IF($X26+$Z26&gt;$Y26+$AA26,$I26,IF($X26+$Z26&lt;$Y26+$AA26,$K26,"")))</f>
        <v/>
      </c>
      <c r="V26" s="504"/>
      <c r="W26" s="505" t="b">
        <f t="shared" si="9"/>
        <v>0</v>
      </c>
      <c r="X26" s="505">
        <f t="shared" si="10"/>
        <v>0</v>
      </c>
      <c r="Y26" s="505">
        <f t="shared" si="11"/>
        <v>0</v>
      </c>
      <c r="Z26" s="505">
        <f t="shared" si="12"/>
        <v>0</v>
      </c>
      <c r="AA26" s="505">
        <f t="shared" si="13"/>
        <v>0</v>
      </c>
      <c r="AB26" s="506"/>
      <c r="AC26" s="505" t="b">
        <f t="shared" si="14"/>
        <v>1</v>
      </c>
      <c r="AD26" s="505" t="b">
        <f t="shared" si="15"/>
        <v>1</v>
      </c>
      <c r="AE26" s="505" t="b">
        <f t="shared" si="16"/>
        <v>1</v>
      </c>
    </row>
    <row r="27" spans="2:31" ht="24" customHeight="1" x14ac:dyDescent="0.2">
      <c r="C27" s="507" t="s">
        <v>8</v>
      </c>
      <c r="D27" s="508"/>
      <c r="E27" s="508"/>
      <c r="F27" s="492"/>
      <c r="G27" s="493" t="s">
        <v>4</v>
      </c>
      <c r="H27" s="494"/>
      <c r="I27" s="509" t="str">
        <f>IF($F27="","",IFERROR(VLOOKUP($F27,'Endrunde 4'!$AR$12:$AS$29,2,0),""))</f>
        <v/>
      </c>
      <c r="J27" s="510" t="s">
        <v>4</v>
      </c>
      <c r="K27" s="511" t="str">
        <f>IF($H27="","",IFERROR(VLOOKUP($H27,'Endrunde 4'!$AR$12:$AS$29,2,0),""))</f>
        <v/>
      </c>
      <c r="L27" s="492"/>
      <c r="M27" s="512" t="str">
        <f>Sprache!$E$99</f>
        <v xml:space="preserve"> : </v>
      </c>
      <c r="N27" s="494"/>
      <c r="O27" s="492"/>
      <c r="P27" s="512" t="str">
        <f>Sprache!$E$99</f>
        <v xml:space="preserve"> : </v>
      </c>
      <c r="Q27" s="494"/>
      <c r="R27" s="492"/>
      <c r="S27" s="512" t="str">
        <f>Sprache!$E$99</f>
        <v xml:space="preserve"> : </v>
      </c>
      <c r="T27" s="513"/>
      <c r="U27" s="514" t="str">
        <f t="shared" si="17"/>
        <v/>
      </c>
      <c r="V27" s="504"/>
      <c r="W27" s="505" t="b">
        <f t="shared" si="9"/>
        <v>0</v>
      </c>
      <c r="X27" s="505">
        <f t="shared" si="10"/>
        <v>0</v>
      </c>
      <c r="Y27" s="505">
        <f t="shared" si="11"/>
        <v>0</v>
      </c>
      <c r="Z27" s="505">
        <f t="shared" si="12"/>
        <v>0</v>
      </c>
      <c r="AA27" s="505">
        <f t="shared" si="13"/>
        <v>0</v>
      </c>
      <c r="AB27" s="506"/>
      <c r="AC27" s="505" t="b">
        <f t="shared" si="14"/>
        <v>1</v>
      </c>
      <c r="AD27" s="505" t="b">
        <f t="shared" si="15"/>
        <v>1</v>
      </c>
      <c r="AE27" s="505" t="b">
        <f t="shared" si="16"/>
        <v>1</v>
      </c>
    </row>
    <row r="28" spans="2:31" ht="24" customHeight="1" x14ac:dyDescent="0.2">
      <c r="C28" s="507" t="s">
        <v>9</v>
      </c>
      <c r="D28" s="508"/>
      <c r="E28" s="508"/>
      <c r="F28" s="492"/>
      <c r="G28" s="493" t="s">
        <v>4</v>
      </c>
      <c r="H28" s="494"/>
      <c r="I28" s="509" t="str">
        <f>IF($F28="","",IFERROR(VLOOKUP($F28,'Endrunde 4'!$AR$12:$AS$29,2,0),""))</f>
        <v/>
      </c>
      <c r="J28" s="510" t="s">
        <v>4</v>
      </c>
      <c r="K28" s="511" t="str">
        <f>IF($H28="","",IFERROR(VLOOKUP($H28,'Endrunde 4'!$AR$12:$AS$29,2,0),""))</f>
        <v/>
      </c>
      <c r="L28" s="492"/>
      <c r="M28" s="512" t="str">
        <f>Sprache!$E$99</f>
        <v xml:space="preserve"> : </v>
      </c>
      <c r="N28" s="494"/>
      <c r="O28" s="492"/>
      <c r="P28" s="512" t="str">
        <f>Sprache!$E$99</f>
        <v xml:space="preserve"> : </v>
      </c>
      <c r="Q28" s="494"/>
      <c r="R28" s="492"/>
      <c r="S28" s="512" t="str">
        <f>Sprache!$E$99</f>
        <v xml:space="preserve"> : </v>
      </c>
      <c r="T28" s="513"/>
      <c r="U28" s="514" t="str">
        <f t="shared" si="17"/>
        <v/>
      </c>
      <c r="V28" s="504"/>
      <c r="W28" s="505" t="b">
        <f t="shared" si="9"/>
        <v>0</v>
      </c>
      <c r="X28" s="505">
        <f t="shared" si="10"/>
        <v>0</v>
      </c>
      <c r="Y28" s="505">
        <f t="shared" si="11"/>
        <v>0</v>
      </c>
      <c r="Z28" s="505">
        <f t="shared" si="12"/>
        <v>0</v>
      </c>
      <c r="AA28" s="505">
        <f t="shared" si="13"/>
        <v>0</v>
      </c>
      <c r="AB28" s="506"/>
      <c r="AC28" s="505" t="b">
        <f t="shared" si="14"/>
        <v>1</v>
      </c>
      <c r="AD28" s="505" t="b">
        <f t="shared" si="15"/>
        <v>1</v>
      </c>
      <c r="AE28" s="505" t="b">
        <f t="shared" si="16"/>
        <v>1</v>
      </c>
    </row>
    <row r="29" spans="2:31" ht="24" customHeight="1" x14ac:dyDescent="0.2">
      <c r="C29" s="507" t="s">
        <v>10</v>
      </c>
      <c r="D29" s="508"/>
      <c r="E29" s="508"/>
      <c r="F29" s="492"/>
      <c r="G29" s="493" t="s">
        <v>4</v>
      </c>
      <c r="H29" s="494"/>
      <c r="I29" s="509" t="str">
        <f>IF($F29="","",IFERROR(VLOOKUP($F29,'Endrunde 4'!$AR$12:$AS$29,2,0),""))</f>
        <v/>
      </c>
      <c r="J29" s="510" t="s">
        <v>4</v>
      </c>
      <c r="K29" s="511" t="str">
        <f>IF($H29="","",IFERROR(VLOOKUP($H29,'Endrunde 4'!$AR$12:$AS$29,2,0),""))</f>
        <v/>
      </c>
      <c r="L29" s="492"/>
      <c r="M29" s="512" t="str">
        <f>Sprache!$E$99</f>
        <v xml:space="preserve"> : </v>
      </c>
      <c r="N29" s="494"/>
      <c r="O29" s="492"/>
      <c r="P29" s="512" t="str">
        <f>Sprache!$E$99</f>
        <v xml:space="preserve"> : </v>
      </c>
      <c r="Q29" s="494"/>
      <c r="R29" s="492"/>
      <c r="S29" s="512" t="str">
        <f>Sprache!$E$99</f>
        <v xml:space="preserve"> : </v>
      </c>
      <c r="T29" s="513"/>
      <c r="U29" s="514" t="str">
        <f t="shared" si="17"/>
        <v/>
      </c>
      <c r="V29" s="504"/>
      <c r="W29" s="505" t="b">
        <f t="shared" si="9"/>
        <v>0</v>
      </c>
      <c r="X29" s="505">
        <f t="shared" si="10"/>
        <v>0</v>
      </c>
      <c r="Y29" s="505">
        <f t="shared" si="11"/>
        <v>0</v>
      </c>
      <c r="Z29" s="505">
        <f t="shared" si="12"/>
        <v>0</v>
      </c>
      <c r="AA29" s="505">
        <f t="shared" si="13"/>
        <v>0</v>
      </c>
      <c r="AB29" s="506"/>
      <c r="AC29" s="505" t="b">
        <f t="shared" si="14"/>
        <v>1</v>
      </c>
      <c r="AD29" s="505" t="b">
        <f t="shared" si="15"/>
        <v>1</v>
      </c>
      <c r="AE29" s="505" t="b">
        <f t="shared" si="16"/>
        <v>1</v>
      </c>
    </row>
    <row r="30" spans="2:31" ht="24" customHeight="1" thickBot="1" x14ac:dyDescent="0.25">
      <c r="C30" s="515" t="s">
        <v>11</v>
      </c>
      <c r="D30" s="516"/>
      <c r="E30" s="516"/>
      <c r="F30" s="517"/>
      <c r="G30" s="518" t="s">
        <v>4</v>
      </c>
      <c r="H30" s="519"/>
      <c r="I30" s="520" t="str">
        <f>IF($F30="","",IFERROR(VLOOKUP($F30,'Endrunde 4'!$AR$12:$AS$29,2,0),""))</f>
        <v/>
      </c>
      <c r="J30" s="521" t="s">
        <v>4</v>
      </c>
      <c r="K30" s="522" t="str">
        <f>IF($H30="","",IFERROR(VLOOKUP($H30,'Endrunde 4'!$AR$12:$AS$29,2,0),""))</f>
        <v/>
      </c>
      <c r="L30" s="517"/>
      <c r="M30" s="523" t="str">
        <f>Sprache!$E$99</f>
        <v xml:space="preserve"> : </v>
      </c>
      <c r="N30" s="519"/>
      <c r="O30" s="517"/>
      <c r="P30" s="523" t="str">
        <f>Sprache!$E$99</f>
        <v xml:space="preserve"> : </v>
      </c>
      <c r="Q30" s="519"/>
      <c r="R30" s="517"/>
      <c r="S30" s="523" t="str">
        <f>Sprache!$E$99</f>
        <v xml:space="preserve"> : </v>
      </c>
      <c r="T30" s="524"/>
      <c r="U30" s="525" t="str">
        <f t="shared" si="17"/>
        <v/>
      </c>
      <c r="V30" s="504"/>
      <c r="W30" s="505" t="b">
        <f>AND(NOT(OR($AC30,$AD30)),$X30=1,$Y30=1)</f>
        <v>0</v>
      </c>
      <c r="X30" s="505">
        <f>IF($AC30,0,($L30&gt;$N30)+IF($AD30,0,$O30&gt;$Q30))</f>
        <v>0</v>
      </c>
      <c r="Y30" s="505">
        <f>IF($AC30,0,($L30&lt;$N30)+IF($AD30,0,$O30&lt;$Q30))</f>
        <v>0</v>
      </c>
      <c r="Z30" s="505">
        <f>($O30&lt;&gt;"")*($Q30&lt;&gt;"")*($R30&lt;&gt;"")*($T30&lt;&gt;"")*(X30=1)*(Y30=1)*($R30&gt;$T30)</f>
        <v>0</v>
      </c>
      <c r="AA30" s="505">
        <f>($O30&lt;&gt;"")*($Q30&lt;&gt;"")*($R30&lt;&gt;"")*($T30&lt;&gt;"")*(X30=1)*(Y30=1)*($R30&lt;$T30)</f>
        <v>0</v>
      </c>
      <c r="AB30" s="506"/>
      <c r="AC30" s="505" t="b">
        <f>OR($I30="",$K30="",$L30="",$N30="",AND($L30&lt;&gt;"",$L30=$N30))</f>
        <v>1</v>
      </c>
      <c r="AD30" s="505" t="b">
        <f>OR(AC30,$O30="",$Q30="",AND($O30&lt;&gt;"",$O30=$Q30))</f>
        <v>1</v>
      </c>
      <c r="AE30" s="505" t="b">
        <f>OR($R30="",$T30="",$R30=$T30)</f>
        <v>1</v>
      </c>
    </row>
    <row r="31" spans="2:31" ht="39.75" customHeight="1" thickTop="1" x14ac:dyDescent="0.2"/>
    <row r="32" spans="2:31" ht="12.75" customHeight="1" x14ac:dyDescent="0.2"/>
    <row r="33" ht="12.75" customHeight="1" x14ac:dyDescent="0.2"/>
  </sheetData>
  <sheetProtection sheet="1" selectLockedCells="1"/>
  <mergeCells count="20">
    <mergeCell ref="C10:D10"/>
    <mergeCell ref="F10:H10"/>
    <mergeCell ref="F2:U2"/>
    <mergeCell ref="F3:U3"/>
    <mergeCell ref="F4:U4"/>
    <mergeCell ref="F5:U5"/>
    <mergeCell ref="H7:T8"/>
    <mergeCell ref="R24:T24"/>
    <mergeCell ref="F11:H11"/>
    <mergeCell ref="I11:K11"/>
    <mergeCell ref="L11:N11"/>
    <mergeCell ref="O11:Q11"/>
    <mergeCell ref="R11:T11"/>
    <mergeCell ref="H20:T21"/>
    <mergeCell ref="F23:H23"/>
    <mergeCell ref="C23:D23"/>
    <mergeCell ref="F24:H24"/>
    <mergeCell ref="I24:K24"/>
    <mergeCell ref="L24:N24"/>
    <mergeCell ref="O24:Q24"/>
  </mergeCells>
  <conditionalFormatting sqref="R12:T17">
    <cfRule type="expression" dxfId="30" priority="3">
      <formula>NOT($W12)</formula>
    </cfRule>
  </conditionalFormatting>
  <conditionalFormatting sqref="R25:T30">
    <cfRule type="expression" dxfId="29" priority="2">
      <formula>NOT($W25)</formula>
    </cfRule>
  </conditionalFormatting>
  <dataValidations count="1">
    <dataValidation allowBlank="1" showInputMessage="1" showErrorMessage="1" errorTitle="Unzulässige Teilnehmernummer" error="Es müssen Zahlen von 1 bis 9 eingetragen werden!" sqref="F12:F18 H12:H18 F25:F30 H25:H30" xr:uid="{481A70DA-7163-4470-8845-CE9376B67CB7}"/>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C3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85546875" style="9" customWidth="1"/>
    <col min="4" max="4" width="11.42578125" style="9" customWidth="1"/>
    <col min="5" max="5" width="8.42578125" style="9" customWidth="1"/>
    <col min="6"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0" width="8" style="9" customWidth="1"/>
    <col min="21" max="21" width="6.140625" style="9" customWidth="1"/>
    <col min="22" max="22" width="11.42578125" style="9" customWidth="1"/>
    <col min="23" max="23" width="16.42578125" style="9" hidden="1" customWidth="1"/>
    <col min="24" max="24" width="16.140625" style="9" hidden="1" customWidth="1"/>
    <col min="25" max="26" width="11.42578125" style="9" hidden="1" customWidth="1"/>
    <col min="27" max="27" width="10.42578125" style="9" hidden="1" customWidth="1"/>
    <col min="28" max="28" width="5" style="9" hidden="1" customWidth="1"/>
    <col min="29" max="29" width="4.42578125" style="9" hidden="1" customWidth="1"/>
    <col min="30" max="16384" width="11.42578125" style="9" hidden="1"/>
  </cols>
  <sheetData>
    <row r="1" spans="2:29" ht="13.5" thickBot="1" x14ac:dyDescent="0.25"/>
    <row r="2" spans="2:29" ht="36" customHeight="1" thickTop="1" x14ac:dyDescent="0.2">
      <c r="E2" s="944" t="str">
        <f>Vorrunde!$H$2</f>
        <v>Internationales U10-Turnier am 18.08.2025</v>
      </c>
      <c r="F2" s="945"/>
      <c r="G2" s="945"/>
      <c r="H2" s="945"/>
      <c r="I2" s="945"/>
      <c r="J2" s="945"/>
      <c r="K2" s="945"/>
      <c r="L2" s="945"/>
      <c r="M2" s="945"/>
      <c r="N2" s="945"/>
      <c r="O2" s="945"/>
      <c r="P2" s="945"/>
      <c r="Q2" s="945"/>
      <c r="R2" s="945"/>
      <c r="S2" s="945"/>
      <c r="T2" s="946"/>
    </row>
    <row r="3" spans="2:29" ht="30" customHeight="1" x14ac:dyDescent="0.2">
      <c r="E3" s="947" t="str">
        <f>Vorrunde!$H$3</f>
        <v>Veranstalter:  1. FC Riedwald</v>
      </c>
      <c r="F3" s="948"/>
      <c r="G3" s="948"/>
      <c r="H3" s="948"/>
      <c r="I3" s="948"/>
      <c r="J3" s="948"/>
      <c r="K3" s="948"/>
      <c r="L3" s="948"/>
      <c r="M3" s="948"/>
      <c r="N3" s="948"/>
      <c r="O3" s="948"/>
      <c r="P3" s="948"/>
      <c r="Q3" s="948"/>
      <c r="R3" s="948"/>
      <c r="S3" s="948"/>
      <c r="T3" s="949"/>
    </row>
    <row r="4" spans="2:29" ht="30" customHeight="1" x14ac:dyDescent="0.2">
      <c r="E4" s="950" t="str">
        <f>Vorrunde!$H$4</f>
        <v>Sporthalle Wiesengrund, Wendiger Str. 51, 65432 Riedwald</v>
      </c>
      <c r="F4" s="951"/>
      <c r="G4" s="951"/>
      <c r="H4" s="951"/>
      <c r="I4" s="951"/>
      <c r="J4" s="951"/>
      <c r="K4" s="951"/>
      <c r="L4" s="951"/>
      <c r="M4" s="951"/>
      <c r="N4" s="951"/>
      <c r="O4" s="951"/>
      <c r="P4" s="951"/>
      <c r="Q4" s="951"/>
      <c r="R4" s="951"/>
      <c r="S4" s="951"/>
      <c r="T4" s="952"/>
    </row>
    <row r="5" spans="2:29" ht="30" customHeight="1" thickBot="1" x14ac:dyDescent="0.25">
      <c r="E5" s="953" t="str">
        <f>Vorrunde!$H$5</f>
        <v>Beginn:  9:00 Uhr</v>
      </c>
      <c r="F5" s="954"/>
      <c r="G5" s="954"/>
      <c r="H5" s="954"/>
      <c r="I5" s="954"/>
      <c r="J5" s="954"/>
      <c r="K5" s="954"/>
      <c r="L5" s="954"/>
      <c r="M5" s="954"/>
      <c r="N5" s="954"/>
      <c r="O5" s="954"/>
      <c r="P5" s="954"/>
      <c r="Q5" s="954"/>
      <c r="R5" s="954"/>
      <c r="S5" s="954"/>
      <c r="T5" s="955"/>
    </row>
    <row r="6" spans="2:29" ht="18" customHeight="1" thickTop="1" thickBot="1" x14ac:dyDescent="0.25"/>
    <row r="7" spans="2:29" ht="30" customHeight="1" thickTop="1" x14ac:dyDescent="0.2">
      <c r="G7" s="957" t="str">
        <f>Sprache!$E$19</f>
        <v>Endrunde</v>
      </c>
      <c r="H7" s="958"/>
      <c r="I7" s="958"/>
      <c r="J7" s="958"/>
      <c r="K7" s="958"/>
      <c r="L7" s="958"/>
      <c r="M7" s="958"/>
      <c r="N7" s="958"/>
      <c r="O7" s="958"/>
      <c r="P7" s="958"/>
      <c r="Q7" s="958"/>
      <c r="R7" s="959"/>
    </row>
    <row r="8" spans="2:29" ht="30" customHeight="1" thickBot="1" x14ac:dyDescent="0.25">
      <c r="G8" s="960"/>
      <c r="H8" s="961"/>
      <c r="I8" s="961"/>
      <c r="J8" s="961"/>
      <c r="K8" s="961"/>
      <c r="L8" s="961"/>
      <c r="M8" s="961"/>
      <c r="N8" s="961"/>
      <c r="O8" s="961"/>
      <c r="P8" s="961"/>
      <c r="Q8" s="961"/>
      <c r="R8" s="962"/>
    </row>
    <row r="9" spans="2:29" ht="12.6" customHeight="1" thickTop="1" x14ac:dyDescent="0.2">
      <c r="T9" s="833" t="str">
        <f>Sprache!$E$20</f>
        <v>Zusätzl. Pause (min)</v>
      </c>
    </row>
    <row r="10" spans="2:29" ht="27.95" customHeight="1" thickBot="1" x14ac:dyDescent="0.35">
      <c r="C10" s="943" t="str">
        <f>Sprache!$E$55&amp;IF(MIN(Calc1!$F$13,Calc2!$F$13)*2&lt;2,""," 1 - "&amp;MIN(Calc1!$F$13,Calc2!$F$13)*2)</f>
        <v>Spiele um die Plätze  1 - 10</v>
      </c>
      <c r="D10" s="943"/>
      <c r="E10" s="943"/>
      <c r="F10" s="943"/>
      <c r="T10" s="833"/>
    </row>
    <row r="11" spans="2:29" ht="24" customHeight="1" thickTop="1" thickBot="1" x14ac:dyDescent="0.25">
      <c r="B11" s="281"/>
      <c r="C11" s="330" t="str">
        <f>Sprache!$E$9</f>
        <v>Nr.</v>
      </c>
      <c r="D11" s="277" t="str">
        <f>Sprache!$E$39</f>
        <v>Beginn</v>
      </c>
      <c r="E11" s="267" t="str">
        <f>Sprache!$E$48</f>
        <v>Feld</v>
      </c>
      <c r="F11" s="267"/>
      <c r="G11" s="938" t="str">
        <f>Sprache!$E$14</f>
        <v>Spielpaarung</v>
      </c>
      <c r="H11" s="939"/>
      <c r="I11" s="940"/>
      <c r="J11" s="942" t="str">
        <f>Sprache!$E$61</f>
        <v>1. Satz</v>
      </c>
      <c r="K11" s="939"/>
      <c r="L11" s="940"/>
      <c r="M11" s="956" t="str">
        <f>Sprache!$E$62</f>
        <v>2. Satz</v>
      </c>
      <c r="N11" s="896"/>
      <c r="O11" s="896"/>
      <c r="P11" s="896" t="str">
        <f>Sprache!$E$63</f>
        <v>3. Satz</v>
      </c>
      <c r="Q11" s="896"/>
      <c r="R11" s="899"/>
      <c r="S11" s="622" t="str">
        <f>Sprache!$E$68</f>
        <v>Schiedsrichter</v>
      </c>
      <c r="T11" s="834"/>
      <c r="W11" s="567" t="s">
        <v>356</v>
      </c>
      <c r="X11" s="567" t="s">
        <v>357</v>
      </c>
      <c r="Y11" s="566" t="s">
        <v>355</v>
      </c>
      <c r="Z11" s="566" t="s">
        <v>359</v>
      </c>
      <c r="AA11" s="566" t="s">
        <v>358</v>
      </c>
      <c r="AB11" s="925" t="s">
        <v>321</v>
      </c>
      <c r="AC11" s="925"/>
    </row>
    <row r="12" spans="2:29" s="252" customFormat="1" ht="24" customHeight="1" x14ac:dyDescent="0.2">
      <c r="B12" s="317"/>
      <c r="C12" s="329">
        <f t="array" aca="1" ref="C12" ca="1">31-SUM(((Planung!$L$6:$L$35="")+(Planung!$N$6:$N$35="")&gt;0)*1)</f>
        <v>21</v>
      </c>
      <c r="D12" s="278">
        <f ca="1">IF(Planung!$V$15,"",Planung!$S$13+(Planung!$S$9+Planung!$Q$35)/1440)</f>
        <v>0.49652777777777779</v>
      </c>
      <c r="E12" s="275">
        <f>IF(Planung!$V$15,"",1)</f>
        <v>1</v>
      </c>
      <c r="F12" s="263" t="s">
        <v>202</v>
      </c>
      <c r="G12" s="264" t="str">
        <f ca="1">Vorrunde!$X$17</f>
        <v/>
      </c>
      <c r="H12" s="265" t="s">
        <v>4</v>
      </c>
      <c r="I12" s="266" t="str">
        <f ca="1">Vorrunde!$X$27</f>
        <v/>
      </c>
      <c r="J12" s="268"/>
      <c r="K12" s="272" t="str">
        <f>Sprache!$E$99</f>
        <v xml:space="preserve"> : </v>
      </c>
      <c r="L12" s="284"/>
      <c r="M12" s="285"/>
      <c r="N12" s="272" t="str">
        <f>Sprache!$E$99</f>
        <v xml:space="preserve"> : </v>
      </c>
      <c r="O12" s="550"/>
      <c r="P12" s="309"/>
      <c r="Q12" s="541" t="str">
        <f>Sprache!$E$99</f>
        <v xml:space="preserve"> : </v>
      </c>
      <c r="R12" s="269"/>
      <c r="S12" s="623"/>
      <c r="T12" s="544"/>
      <c r="W12" s="252" t="str">
        <f ca="1">IF(AB12&gt;AC12,$G12,IF(AB12&lt;AC12,$I12,""))</f>
        <v/>
      </c>
      <c r="X12" s="252" t="str">
        <f ca="1">IF(AB12&lt;AC12,$G12,IF(AB12&gt;AC12,$I12,""))</f>
        <v/>
      </c>
      <c r="Y12" s="252" t="b">
        <f>AND($J12&lt;&gt;"",$L12&lt;&gt;"",$M12&lt;&gt;"",$O12&lt;&gt;"",$J12&lt;&gt;$L12,$M12&lt;&gt;$O12,($J12&gt;$L12)+($M12&gt;$O12)=1)</f>
        <v>0</v>
      </c>
      <c r="Z12" s="568" t="b">
        <f ca="1">AND($J12&lt;&gt;"",$L12&lt;&gt;"",$J12&lt;&gt;$L12,OR(AND($M12="",$O12=""),AND($M12&lt;&gt;"",$O12&lt;&gt;"",$M12&lt;&gt;$O12)),$G12&lt;&gt;"",$I12&lt;&gt;"",$G12&lt;&gt;$I12)</f>
        <v>0</v>
      </c>
      <c r="AA12" s="252" t="b">
        <f>AND(Y12,$P12&lt;&gt;"",$R12&lt;&gt;"",$P12&lt;&gt;$R12)</f>
        <v>0</v>
      </c>
      <c r="AB12" s="568">
        <f ca="1">(($J12&gt;$L12)+($M12&gt;$O12)+($P12&gt;$R12)*AA12)*Z12</f>
        <v>0</v>
      </c>
      <c r="AC12" s="568">
        <f ca="1">(($J12&lt;$L12)+($M12&lt;$O12)+($P12&lt;$R12)*AA12)*Z12</f>
        <v>0</v>
      </c>
    </row>
    <row r="13" spans="2:29" s="252" customFormat="1" ht="24" customHeight="1" x14ac:dyDescent="0.2">
      <c r="B13" s="317"/>
      <c r="C13" s="319">
        <f t="array" aca="1" ref="C13" ca="1">ROW(32:32)-SUM(((Planung!$L$6:$L$35="")+(Planung!$N$6:$N$35="")&gt;0)*1)-SUM((($G$12:$G12="")+($I$12:$I12="")&gt;0)*1)</f>
        <v>21</v>
      </c>
      <c r="D13" s="279">
        <f t="array" aca="1" ref="D13" ca="1">IF(Planung!$V$15,"",$D$12+QUOTIENT(($C13-$C$12),Planung!$V$11)*(Planung!$S$7+Planung!$S$9)/1440+SUM($T$12:$T12)/1440)</f>
        <v>0.49652777777777779</v>
      </c>
      <c r="E13" s="275">
        <f ca="1">IF(Planung!$V$15,"",MOD($C13-$C$12,Planung!$V$11)+1)</f>
        <v>1</v>
      </c>
      <c r="F13" s="261" t="s">
        <v>203</v>
      </c>
      <c r="G13" s="257" t="str">
        <f ca="1">Vorrunde!$X$16</f>
        <v>VFB Essenheim</v>
      </c>
      <c r="H13" s="89" t="s">
        <v>4</v>
      </c>
      <c r="I13" s="259" t="str">
        <f ca="1">Vorrunde!$X$26</f>
        <v>Inter Mailand</v>
      </c>
      <c r="J13" s="270">
        <v>25</v>
      </c>
      <c r="K13" s="272" t="str">
        <f>Sprache!$E$99</f>
        <v xml:space="preserve"> : </v>
      </c>
      <c r="L13" s="253">
        <v>22</v>
      </c>
      <c r="M13" s="286">
        <v>25</v>
      </c>
      <c r="N13" s="272" t="str">
        <f>Sprache!$E$99</f>
        <v xml:space="preserve"> : </v>
      </c>
      <c r="O13" s="551">
        <v>21</v>
      </c>
      <c r="P13" s="270"/>
      <c r="Q13" s="542" t="str">
        <f>Sprache!$E$99</f>
        <v xml:space="preserve"> : </v>
      </c>
      <c r="R13" s="254"/>
      <c r="S13" s="610"/>
      <c r="T13" s="545"/>
      <c r="W13" s="252" t="str">
        <f t="shared" ref="W13:W17" ca="1" si="0">IF($AB13&gt;$AC13,$G13,IF($AB13&lt;$AC13,$I13,""))</f>
        <v>VFB Essenheim</v>
      </c>
      <c r="X13" s="252" t="str">
        <f t="shared" ref="X13:X17" ca="1" si="1">IF($AB13&lt;$AC13,$G13,IF($AB13&gt;$AC13,$I13,""))</f>
        <v>Inter Mailand</v>
      </c>
      <c r="Y13" s="252" t="b">
        <f t="shared" ref="Y13:Y17" si="2">AND($J13&lt;&gt;"",$L13&lt;&gt;"",$M13&lt;&gt;"",$O13&lt;&gt;"",$J13&lt;&gt;$L13,$M13&lt;&gt;$O13,($J13&gt;$L13)+($M13&gt;$O13)=1)</f>
        <v>0</v>
      </c>
      <c r="Z13" s="568" t="b">
        <f t="shared" ref="Z13:Z17" ca="1" si="3">AND($J13&lt;&gt;"",$L13&lt;&gt;"",$J13&lt;&gt;$L13,OR(AND($M13="",$O13=""),AND($M13&lt;&gt;"",$O13&lt;&gt;"",$M13&lt;&gt;$O13)),$G13&lt;&gt;"",$I13&lt;&gt;"",$G13&lt;&gt;$I13)</f>
        <v>1</v>
      </c>
      <c r="AA13" s="252" t="b">
        <f t="shared" ref="AA13:AA17" si="4">AND($Y13,$P13&lt;&gt;"",$R13&lt;&gt;"",$P13&lt;&gt;$R13)</f>
        <v>0</v>
      </c>
      <c r="AB13" s="568">
        <f t="shared" ref="AB13:AB17" ca="1" si="5">(($J13&gt;$L13)+($M13&gt;$O13)+($P13&gt;$R13)*$AA13)*$Z13</f>
        <v>2</v>
      </c>
      <c r="AC13" s="568">
        <f t="shared" ref="AC13:AC17" ca="1" si="6">(($J13&lt;$L13)+($M13&lt;$O13)+($P13&lt;$R13)*$AA13)*$Z13</f>
        <v>0</v>
      </c>
    </row>
    <row r="14" spans="2:29" s="252" customFormat="1" ht="24" customHeight="1" x14ac:dyDescent="0.2">
      <c r="B14" s="317"/>
      <c r="C14" s="319">
        <f t="array" aca="1" ref="C14" ca="1">ROW(33:33)-SUM(((Planung!$L$6:$L$35="")+(Planung!$N$6:$N$35="")&gt;0)*1)-SUM((($G$12:$G13="")+($I$12:$I13="")&gt;0)*1)</f>
        <v>22</v>
      </c>
      <c r="D14" s="279">
        <f t="array" aca="1" ref="D14" ca="1">IF(Planung!$V$15,"",$D$12+QUOTIENT(($C14-$C$12),Planung!$V$11)*(Planung!$S$7+Planung!$S$9)/1440+SUM($T$12:$T13)/1440)</f>
        <v>0.49652777777777779</v>
      </c>
      <c r="E14" s="275">
        <f ca="1">IF(Planung!$V$15,"",MOD($C14-$C$12,Planung!$V$11)+1)</f>
        <v>2</v>
      </c>
      <c r="F14" s="261" t="s">
        <v>204</v>
      </c>
      <c r="G14" s="257" t="str">
        <f ca="1">Vorrunde!$X$15</f>
        <v>FC Barcelona</v>
      </c>
      <c r="H14" s="89" t="s">
        <v>4</v>
      </c>
      <c r="I14" s="259" t="str">
        <f ca="1">Vorrunde!$X$25</f>
        <v>SSV Wildbach</v>
      </c>
      <c r="J14" s="270">
        <v>19</v>
      </c>
      <c r="K14" s="272" t="str">
        <f>Sprache!$E$99</f>
        <v xml:space="preserve"> : </v>
      </c>
      <c r="L14" s="253">
        <v>25</v>
      </c>
      <c r="M14" s="286">
        <v>25</v>
      </c>
      <c r="N14" s="272" t="str">
        <f>Sprache!$E$99</f>
        <v xml:space="preserve"> : </v>
      </c>
      <c r="O14" s="551">
        <v>20</v>
      </c>
      <c r="P14" s="270">
        <v>12</v>
      </c>
      <c r="Q14" s="542" t="str">
        <f>Sprache!$E$99</f>
        <v xml:space="preserve"> : </v>
      </c>
      <c r="R14" s="254">
        <v>15</v>
      </c>
      <c r="S14" s="610"/>
      <c r="T14" s="545"/>
      <c r="W14" s="252" t="str">
        <f t="shared" ca="1" si="0"/>
        <v>SSV Wildbach</v>
      </c>
      <c r="X14" s="252" t="str">
        <f t="shared" ca="1" si="1"/>
        <v>FC Barcelona</v>
      </c>
      <c r="Y14" s="252" t="b">
        <f t="shared" si="2"/>
        <v>1</v>
      </c>
      <c r="Z14" s="568" t="b">
        <f t="shared" ca="1" si="3"/>
        <v>1</v>
      </c>
      <c r="AA14" s="252" t="b">
        <f t="shared" si="4"/>
        <v>1</v>
      </c>
      <c r="AB14" s="568">
        <f t="shared" ca="1" si="5"/>
        <v>1</v>
      </c>
      <c r="AC14" s="568">
        <f t="shared" ca="1" si="6"/>
        <v>2</v>
      </c>
    </row>
    <row r="15" spans="2:29" s="252" customFormat="1" ht="24" customHeight="1" x14ac:dyDescent="0.2">
      <c r="B15" s="317"/>
      <c r="C15" s="319">
        <f t="array" aca="1" ref="C15" ca="1">ROW(34:34)-SUM(((Planung!$L$6:$L$35="")+(Planung!$N$6:$N$35="")&gt;0)*1)-SUM((($G$12:$G14="")+($I$12:$I14="")&gt;0)*1)</f>
        <v>23</v>
      </c>
      <c r="D15" s="279">
        <f t="array" aca="1" ref="D15" ca="1">IF(Planung!$V$15,"",$D$12+QUOTIENT(($C15-$C$12),Planung!$V$11)*(Planung!$S$7+Planung!$S$9)/1440+SUM($T$12:$T14)/1440)</f>
        <v>0.49652777777777779</v>
      </c>
      <c r="E15" s="275">
        <f ca="1">IF(Planung!$V$15,"",MOD($C15-$C$12,Planung!$V$11)+1)</f>
        <v>3</v>
      </c>
      <c r="F15" s="261" t="s">
        <v>205</v>
      </c>
      <c r="G15" s="257" t="str">
        <f ca="1">Vorrunde!$X$14</f>
        <v>1. FC Riedwald</v>
      </c>
      <c r="H15" s="89" t="s">
        <v>4</v>
      </c>
      <c r="I15" s="259" t="str">
        <f ca="1">Vorrunde!$X$24</f>
        <v>FC Grönlingen</v>
      </c>
      <c r="J15" s="270">
        <v>25</v>
      </c>
      <c r="K15" s="273" t="str">
        <f>Sprache!$E$99</f>
        <v xml:space="preserve"> : </v>
      </c>
      <c r="L15" s="253">
        <v>23</v>
      </c>
      <c r="M15" s="286">
        <v>25</v>
      </c>
      <c r="N15" s="273" t="str">
        <f>Sprache!$E$99</f>
        <v xml:space="preserve"> : </v>
      </c>
      <c r="O15" s="551">
        <v>21</v>
      </c>
      <c r="P15" s="270"/>
      <c r="Q15" s="542" t="str">
        <f>Sprache!$E$99</f>
        <v xml:space="preserve"> : </v>
      </c>
      <c r="R15" s="254"/>
      <c r="S15" s="610"/>
      <c r="T15" s="545"/>
      <c r="W15" s="252" t="str">
        <f t="shared" ca="1" si="0"/>
        <v>1. FC Riedwald</v>
      </c>
      <c r="X15" s="252" t="str">
        <f t="shared" ca="1" si="1"/>
        <v>FC Grönlingen</v>
      </c>
      <c r="Y15" s="252" t="b">
        <f t="shared" si="2"/>
        <v>0</v>
      </c>
      <c r="Z15" s="568" t="b">
        <f t="shared" ca="1" si="3"/>
        <v>1</v>
      </c>
      <c r="AA15" s="252" t="b">
        <f t="shared" si="4"/>
        <v>0</v>
      </c>
      <c r="AB15" s="568">
        <f t="shared" ca="1" si="5"/>
        <v>2</v>
      </c>
      <c r="AC15" s="568">
        <f t="shared" ca="1" si="6"/>
        <v>0</v>
      </c>
    </row>
    <row r="16" spans="2:29" s="252" customFormat="1" ht="24" customHeight="1" x14ac:dyDescent="0.2">
      <c r="B16" s="317"/>
      <c r="C16" s="319">
        <f t="array" aca="1" ref="C16" ca="1">ROW(35:35)-SUM(((Planung!$L$6:$L$35="")+(Planung!$N$6:$N$35="")&gt;0)*1)-SUM((($G$12:$G15="")+($I$12:$I15="")&gt;0)*1)</f>
        <v>24</v>
      </c>
      <c r="D16" s="279">
        <f t="array" aca="1" ref="D16" ca="1">IF(Planung!$V$15,"",$D$12+QUOTIENT(($C16-$C$12),Planung!$V$11)*(Planung!$S$7+Planung!$S$9)/1440+SUM($T$12:$T15)/1440)</f>
        <v>0.49652777777777779</v>
      </c>
      <c r="E16" s="275">
        <f ca="1">IF(Planung!$V$15,"",MOD($C16-$C$12,Planung!$V$11)+1)</f>
        <v>4</v>
      </c>
      <c r="F16" s="261" t="s">
        <v>206</v>
      </c>
      <c r="G16" s="257" t="str">
        <f ca="1">Vorrunde!$X$13</f>
        <v>Maibach 1822 eV</v>
      </c>
      <c r="H16" s="89" t="s">
        <v>4</v>
      </c>
      <c r="I16" s="259" t="str">
        <f ca="1">Vorrunde!$X$23</f>
        <v>Manchester City</v>
      </c>
      <c r="J16" s="270">
        <v>26</v>
      </c>
      <c r="K16" s="273" t="str">
        <f>Sprache!$E$99</f>
        <v xml:space="preserve"> : </v>
      </c>
      <c r="L16" s="253">
        <v>24</v>
      </c>
      <c r="M16" s="286">
        <v>25</v>
      </c>
      <c r="N16" s="273" t="str">
        <f>Sprache!$E$99</f>
        <v xml:space="preserve"> : </v>
      </c>
      <c r="O16" s="551">
        <v>23</v>
      </c>
      <c r="P16" s="552"/>
      <c r="Q16" s="543" t="str">
        <f>Sprache!$E$99</f>
        <v xml:space="preserve"> : </v>
      </c>
      <c r="R16" s="548"/>
      <c r="S16" s="624"/>
      <c r="T16" s="546"/>
      <c r="W16" s="252" t="str">
        <f t="shared" ca="1" si="0"/>
        <v>Maibach 1822 eV</v>
      </c>
      <c r="X16" s="252" t="str">
        <f t="shared" ca="1" si="1"/>
        <v>Manchester City</v>
      </c>
      <c r="Y16" s="252" t="b">
        <f t="shared" si="2"/>
        <v>0</v>
      </c>
      <c r="Z16" s="568" t="b">
        <f t="shared" ca="1" si="3"/>
        <v>1</v>
      </c>
      <c r="AA16" s="252" t="b">
        <f t="shared" si="4"/>
        <v>0</v>
      </c>
      <c r="AB16" s="568">
        <f t="shared" ca="1" si="5"/>
        <v>2</v>
      </c>
      <c r="AC16" s="568">
        <f t="shared" ca="1" si="6"/>
        <v>0</v>
      </c>
    </row>
    <row r="17" spans="2:29" s="252" customFormat="1" ht="24" customHeight="1" thickBot="1" x14ac:dyDescent="0.25">
      <c r="B17" s="317"/>
      <c r="C17" s="320">
        <f t="array" aca="1" ref="C17" ca="1">ROW(36:36)-SUM(((Planung!$L$6:$L$35="")+(Planung!$N$6:$N$35="")&gt;0)*1)-SUM((($G$12:$G16="")+($I$12:$I16="")&gt;0)*1)</f>
        <v>25</v>
      </c>
      <c r="D17" s="280">
        <f t="array" aca="1" ref="D17" ca="1">IF(Planung!$V$15,"",$D$12+QUOTIENT(($C17-$C$12),Planung!$V$11)*(Planung!$S$7+Planung!$S$9)/1440+SUM($T$12:$T16)/1440)</f>
        <v>0.52083333333333337</v>
      </c>
      <c r="E17" s="276">
        <f ca="1">IF(Planung!$V$15,"",MOD($C17-$C$12,Planung!$V$11)+1)</f>
        <v>1</v>
      </c>
      <c r="F17" s="262" t="s">
        <v>207</v>
      </c>
      <c r="G17" s="258" t="str">
        <f ca="1">Vorrunde!$X$12</f>
        <v>Eintracht Frankfurt</v>
      </c>
      <c r="H17" s="90" t="s">
        <v>4</v>
      </c>
      <c r="I17" s="260" t="str">
        <f ca="1">Vorrunde!$X$22</f>
        <v>Mainz 05</v>
      </c>
      <c r="J17" s="271">
        <v>14</v>
      </c>
      <c r="K17" s="274" t="str">
        <f>Sprache!$E$99</f>
        <v xml:space="preserve"> : </v>
      </c>
      <c r="L17" s="255">
        <v>25</v>
      </c>
      <c r="M17" s="287">
        <v>12</v>
      </c>
      <c r="N17" s="274" t="str">
        <f>Sprache!$E$99</f>
        <v xml:space="preserve"> : </v>
      </c>
      <c r="O17" s="553">
        <v>25</v>
      </c>
      <c r="P17" s="271"/>
      <c r="Q17" s="560" t="str">
        <f>Sprache!$E$99</f>
        <v xml:space="preserve"> : </v>
      </c>
      <c r="R17" s="256"/>
      <c r="S17" s="625"/>
      <c r="T17" s="556"/>
      <c r="W17" s="252" t="str">
        <f t="shared" ca="1" si="0"/>
        <v>Mainz 05</v>
      </c>
      <c r="X17" s="252" t="str">
        <f t="shared" ca="1" si="1"/>
        <v>Eintracht Frankfurt</v>
      </c>
      <c r="Y17" s="252" t="b">
        <f t="shared" si="2"/>
        <v>0</v>
      </c>
      <c r="Z17" s="568" t="b">
        <f t="shared" ca="1" si="3"/>
        <v>1</v>
      </c>
      <c r="AA17" s="252" t="b">
        <f t="shared" si="4"/>
        <v>0</v>
      </c>
      <c r="AB17" s="568">
        <f t="shared" ca="1" si="5"/>
        <v>0</v>
      </c>
      <c r="AC17" s="568">
        <f t="shared" ca="1" si="6"/>
        <v>2</v>
      </c>
    </row>
    <row r="18" spans="2:29" ht="13.5" thickTop="1" x14ac:dyDescent="0.2"/>
    <row r="19" spans="2:29" ht="24" customHeight="1" x14ac:dyDescent="0.2">
      <c r="C19" s="288"/>
      <c r="D19" s="288"/>
      <c r="E19" s="288"/>
      <c r="F19" s="288"/>
      <c r="G19" s="941" t="str">
        <f>Sprache!$E$29</f>
        <v>Turnierende:</v>
      </c>
      <c r="H19" s="941"/>
      <c r="I19" s="289">
        <f ca="1">IF(Planung!$S$13="","",$D$17+Planung!$S$7/1440)</f>
        <v>0.54166666666666674</v>
      </c>
      <c r="J19" s="290"/>
      <c r="K19" s="290"/>
      <c r="L19" s="290"/>
      <c r="M19" s="290"/>
      <c r="N19" s="290"/>
      <c r="O19" s="290"/>
      <c r="P19" s="290"/>
      <c r="Q19" s="290"/>
      <c r="R19" s="290"/>
      <c r="S19" s="290"/>
      <c r="T19" s="290"/>
    </row>
    <row r="20" spans="2:29" x14ac:dyDescent="0.2">
      <c r="D20" s="282"/>
    </row>
    <row r="21" spans="2:29" ht="13.5" thickBot="1" x14ac:dyDescent="0.25">
      <c r="D21" s="282"/>
    </row>
    <row r="22" spans="2:29" ht="22.5" customHeight="1" thickBot="1" x14ac:dyDescent="0.25">
      <c r="F22" s="380" t="str">
        <f>Sprache!$E$107</f>
        <v>Rang</v>
      </c>
      <c r="G22" s="928" t="str">
        <f>"  "&amp;Sprache!$E$10</f>
        <v xml:space="preserve">  Teilnehmer bzw. Mannschaft</v>
      </c>
      <c r="H22" s="928"/>
      <c r="I22" s="929"/>
    </row>
    <row r="23" spans="2:29" ht="24" customHeight="1" thickTop="1" x14ac:dyDescent="0.2">
      <c r="E23" s="283">
        <v>1</v>
      </c>
      <c r="F23" s="331">
        <v>1</v>
      </c>
      <c r="G23" s="932" t="str">
        <f ca="1">W17</f>
        <v>Mainz 05</v>
      </c>
      <c r="H23" s="932"/>
      <c r="I23" s="933"/>
    </row>
    <row r="24" spans="2:29" ht="24" customHeight="1" x14ac:dyDescent="0.2">
      <c r="E24" s="283">
        <v>2</v>
      </c>
      <c r="F24" s="332">
        <v>2</v>
      </c>
      <c r="G24" s="934" t="str">
        <f ca="1">X17</f>
        <v>Eintracht Frankfurt</v>
      </c>
      <c r="H24" s="934"/>
      <c r="I24" s="935"/>
    </row>
    <row r="25" spans="2:29" ht="24" customHeight="1" x14ac:dyDescent="0.2">
      <c r="E25" s="283">
        <v>3</v>
      </c>
      <c r="F25" s="333">
        <v>3</v>
      </c>
      <c r="G25" s="936" t="str">
        <f ca="1">W16</f>
        <v>Maibach 1822 eV</v>
      </c>
      <c r="H25" s="936"/>
      <c r="I25" s="937"/>
    </row>
    <row r="26" spans="2:29" ht="24" customHeight="1" x14ac:dyDescent="0.2">
      <c r="E26" s="283">
        <v>4</v>
      </c>
      <c r="F26" s="334">
        <v>4</v>
      </c>
      <c r="G26" s="930" t="str">
        <f ca="1">X16</f>
        <v>Manchester City</v>
      </c>
      <c r="H26" s="930"/>
      <c r="I26" s="931"/>
    </row>
    <row r="27" spans="2:29" ht="24" customHeight="1" x14ac:dyDescent="0.2">
      <c r="E27" s="283">
        <v>5</v>
      </c>
      <c r="F27" s="334">
        <v>5</v>
      </c>
      <c r="G27" s="930" t="str">
        <f ca="1">W15</f>
        <v>1. FC Riedwald</v>
      </c>
      <c r="H27" s="930"/>
      <c r="I27" s="931"/>
    </row>
    <row r="28" spans="2:29" ht="24" customHeight="1" x14ac:dyDescent="0.2">
      <c r="E28" s="283">
        <v>6</v>
      </c>
      <c r="F28" s="334">
        <v>6</v>
      </c>
      <c r="G28" s="930" t="str">
        <f ca="1">X15</f>
        <v>FC Grönlingen</v>
      </c>
      <c r="H28" s="930"/>
      <c r="I28" s="931"/>
    </row>
    <row r="29" spans="2:29" ht="24" customHeight="1" x14ac:dyDescent="0.2">
      <c r="E29" s="283">
        <v>7</v>
      </c>
      <c r="F29" s="334">
        <v>7</v>
      </c>
      <c r="G29" s="930" t="str">
        <f ca="1">W14</f>
        <v>SSV Wildbach</v>
      </c>
      <c r="H29" s="930"/>
      <c r="I29" s="931"/>
    </row>
    <row r="30" spans="2:29" ht="24" customHeight="1" x14ac:dyDescent="0.2">
      <c r="E30" s="283">
        <v>8</v>
      </c>
      <c r="F30" s="334">
        <v>8</v>
      </c>
      <c r="G30" s="930" t="str">
        <f ca="1">X14</f>
        <v>FC Barcelona</v>
      </c>
      <c r="H30" s="930"/>
      <c r="I30" s="931"/>
    </row>
    <row r="31" spans="2:29" ht="24" customHeight="1" x14ac:dyDescent="0.2">
      <c r="E31" s="283">
        <v>9</v>
      </c>
      <c r="F31" s="334">
        <v>9</v>
      </c>
      <c r="G31" s="930" t="str">
        <f ca="1">W13</f>
        <v>VFB Essenheim</v>
      </c>
      <c r="H31" s="930"/>
      <c r="I31" s="931"/>
    </row>
    <row r="32" spans="2:29" ht="24" customHeight="1" x14ac:dyDescent="0.2">
      <c r="E32" s="283">
        <v>10</v>
      </c>
      <c r="F32" s="334">
        <v>10</v>
      </c>
      <c r="G32" s="930" t="str">
        <f ca="1">X13</f>
        <v>Inter Mailand</v>
      </c>
      <c r="H32" s="930"/>
      <c r="I32" s="931"/>
    </row>
    <row r="33" spans="5:9" ht="24" customHeight="1" x14ac:dyDescent="0.2">
      <c r="E33" s="283">
        <v>11</v>
      </c>
      <c r="F33" s="334">
        <v>11</v>
      </c>
      <c r="G33" s="930" t="str">
        <f ca="1">W12</f>
        <v/>
      </c>
      <c r="H33" s="930"/>
      <c r="I33" s="931"/>
    </row>
    <row r="34" spans="5:9" ht="24" customHeight="1" thickBot="1" x14ac:dyDescent="0.25">
      <c r="E34" s="283">
        <v>12</v>
      </c>
      <c r="F34" s="335">
        <v>12</v>
      </c>
      <c r="G34" s="926" t="str">
        <f ca="1">X12</f>
        <v/>
      </c>
      <c r="H34" s="926"/>
      <c r="I34" s="927"/>
    </row>
    <row r="35" spans="5:9" ht="13.5" thickTop="1" x14ac:dyDescent="0.2"/>
    <row r="36" spans="5:9" x14ac:dyDescent="0.2"/>
    <row r="37" spans="5:9" x14ac:dyDescent="0.2"/>
  </sheetData>
  <sheetProtection sheet="1" selectLockedCells="1"/>
  <mergeCells count="26">
    <mergeCell ref="J11:L11"/>
    <mergeCell ref="C10:F10"/>
    <mergeCell ref="E2:T2"/>
    <mergeCell ref="E3:T3"/>
    <mergeCell ref="E4:T4"/>
    <mergeCell ref="E5:T5"/>
    <mergeCell ref="T9:T11"/>
    <mergeCell ref="M11:O11"/>
    <mergeCell ref="P11:R11"/>
    <mergeCell ref="G7:R8"/>
    <mergeCell ref="AB11:AC11"/>
    <mergeCell ref="G34:I34"/>
    <mergeCell ref="G22:I22"/>
    <mergeCell ref="G28:I28"/>
    <mergeCell ref="G29:I29"/>
    <mergeCell ref="G30:I30"/>
    <mergeCell ref="G31:I31"/>
    <mergeCell ref="G32:I32"/>
    <mergeCell ref="G33:I33"/>
    <mergeCell ref="G23:I23"/>
    <mergeCell ref="G24:I24"/>
    <mergeCell ref="G25:I25"/>
    <mergeCell ref="G26:I26"/>
    <mergeCell ref="G27:I27"/>
    <mergeCell ref="G11:I11"/>
    <mergeCell ref="G19:H19"/>
  </mergeCells>
  <conditionalFormatting sqref="C12:R17">
    <cfRule type="expression" dxfId="28" priority="4">
      <formula>OR($G12="",$I12="")</formula>
    </cfRule>
  </conditionalFormatting>
  <conditionalFormatting sqref="J12:O17">
    <cfRule type="expression" dxfId="27" priority="3">
      <formula>OR(AND($J12&lt;&gt;"",$J12=$L12),AND($M12&lt;&gt;"",$M12=$O12))</formula>
    </cfRule>
  </conditionalFormatting>
  <conditionalFormatting sqref="P12:R17">
    <cfRule type="expression" dxfId="26" priority="1">
      <formula>NOT($Y12)</formula>
    </cfRule>
    <cfRule type="expression" dxfId="25" priority="2">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17BB91E0-A3CE-4ED3-B5A3-AE335022FDB6}">
            <xm:f>$F26&gt;2*#REF!-MOD((#REF!+Calc2!$F$13),2)</xm:f>
            <x14:dxf>
              <numFmt numFmtId="165" formatCode=";;;"/>
            </x14:dxf>
          </x14:cfRule>
          <xm:sqref>F26:F34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C42"/>
  <sheetViews>
    <sheetView showGridLines="0" showRowColHeaders="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7.85546875" hidden="1" customWidth="1"/>
    <col min="24" max="24" width="17.5703125" hidden="1" customWidth="1"/>
    <col min="25" max="25" width="11" hidden="1" customWidth="1"/>
    <col min="26" max="27" width="11.42578125" hidden="1" customWidth="1"/>
    <col min="28" max="28" width="5.42578125" hidden="1" customWidth="1"/>
    <col min="29" max="29" width="5.7109375" hidden="1" customWidth="1"/>
    <col min="30" max="16384" width="11.42578125" hidden="1"/>
  </cols>
  <sheetData>
    <row r="1" spans="1:29" ht="13.5" thickBot="1" x14ac:dyDescent="0.25"/>
    <row r="2" spans="1:29" ht="36.75" thickTop="1" x14ac:dyDescent="0.2">
      <c r="E2" s="944" t="str">
        <f>Vorrunde!$H$2</f>
        <v>Internationales U10-Turnier am 18.08.2025</v>
      </c>
      <c r="F2" s="945"/>
      <c r="G2" s="945"/>
      <c r="H2" s="945"/>
      <c r="I2" s="945"/>
      <c r="J2" s="945"/>
      <c r="K2" s="945"/>
      <c r="L2" s="945"/>
      <c r="M2" s="945"/>
      <c r="N2" s="945"/>
      <c r="O2" s="945"/>
      <c r="P2" s="945"/>
      <c r="Q2" s="945"/>
      <c r="R2" s="945"/>
      <c r="S2" s="945"/>
      <c r="T2" s="946"/>
    </row>
    <row r="3" spans="1:29" ht="30" customHeight="1" x14ac:dyDescent="0.2">
      <c r="E3" s="947" t="str">
        <f>Vorrunde!$H$3</f>
        <v>Veranstalter:  1. FC Riedwald</v>
      </c>
      <c r="F3" s="948"/>
      <c r="G3" s="948"/>
      <c r="H3" s="948"/>
      <c r="I3" s="948"/>
      <c r="J3" s="948"/>
      <c r="K3" s="948"/>
      <c r="L3" s="948"/>
      <c r="M3" s="948"/>
      <c r="N3" s="948"/>
      <c r="O3" s="948"/>
      <c r="P3" s="948"/>
      <c r="Q3" s="948"/>
      <c r="R3" s="948"/>
      <c r="S3" s="948"/>
      <c r="T3" s="949"/>
    </row>
    <row r="4" spans="1:29" ht="30" customHeight="1" x14ac:dyDescent="0.2">
      <c r="E4" s="950" t="str">
        <f>Vorrunde!$H$4</f>
        <v>Sporthalle Wiesengrund, Wendiger Str. 51, 65432 Riedwald</v>
      </c>
      <c r="F4" s="951"/>
      <c r="G4" s="951"/>
      <c r="H4" s="951"/>
      <c r="I4" s="951"/>
      <c r="J4" s="951"/>
      <c r="K4" s="951"/>
      <c r="L4" s="951"/>
      <c r="M4" s="951"/>
      <c r="N4" s="951"/>
      <c r="O4" s="951"/>
      <c r="P4" s="951"/>
      <c r="Q4" s="951"/>
      <c r="R4" s="951"/>
      <c r="S4" s="951"/>
      <c r="T4" s="952"/>
    </row>
    <row r="5" spans="1:29" ht="30" customHeight="1" thickBot="1" x14ac:dyDescent="0.25">
      <c r="E5" s="953" t="str">
        <f>Vorrunde!$H$5</f>
        <v>Beginn:  9:00 Uhr</v>
      </c>
      <c r="F5" s="954"/>
      <c r="G5" s="954"/>
      <c r="H5" s="954"/>
      <c r="I5" s="954"/>
      <c r="J5" s="954"/>
      <c r="K5" s="954"/>
      <c r="L5" s="954"/>
      <c r="M5" s="954"/>
      <c r="N5" s="954"/>
      <c r="O5" s="954"/>
      <c r="P5" s="954"/>
      <c r="Q5" s="954"/>
      <c r="R5" s="954"/>
      <c r="S5" s="954"/>
      <c r="T5" s="955"/>
    </row>
    <row r="6" spans="1:29" ht="18" customHeight="1" thickTop="1" thickBot="1" x14ac:dyDescent="0.25"/>
    <row r="7" spans="1:29" ht="30" customHeight="1" thickTop="1" x14ac:dyDescent="0.2">
      <c r="G7" s="957" t="str">
        <f>Sprache!$E$19</f>
        <v>Endrunde</v>
      </c>
      <c r="H7" s="958"/>
      <c r="I7" s="958"/>
      <c r="J7" s="958"/>
      <c r="K7" s="958"/>
      <c r="L7" s="958"/>
      <c r="M7" s="958"/>
      <c r="N7" s="958"/>
      <c r="O7" s="958"/>
      <c r="P7" s="958"/>
      <c r="Q7" s="959"/>
    </row>
    <row r="8" spans="1:29" ht="30" customHeight="1" thickBot="1" x14ac:dyDescent="0.25">
      <c r="G8" s="960"/>
      <c r="H8" s="961"/>
      <c r="I8" s="961"/>
      <c r="J8" s="961"/>
      <c r="K8" s="961"/>
      <c r="L8" s="961"/>
      <c r="M8" s="961"/>
      <c r="N8" s="961"/>
      <c r="O8" s="961"/>
      <c r="P8" s="961"/>
      <c r="Q8" s="962"/>
    </row>
    <row r="9" spans="1:29" ht="12.6" customHeight="1" thickTop="1" x14ac:dyDescent="0.2">
      <c r="T9" s="833" t="str">
        <f>Sprache!$E$20</f>
        <v>Zusätzl. Pause (min)</v>
      </c>
    </row>
    <row r="10" spans="1:29" ht="27.95" customHeight="1" thickBot="1" x14ac:dyDescent="0.35">
      <c r="C10" s="943" t="str">
        <f>Sprache!$E$55&amp;IF(MIN(Calc1!$F$13,Calc2!$F$13)*2&lt;6,""," 5 - "&amp;MIN(Calc1!$F$13,Calc2!$F$13)*2)</f>
        <v>Spiele um die Plätze  5 - 10</v>
      </c>
      <c r="D10" s="943"/>
      <c r="E10" s="943"/>
      <c r="F10" s="943"/>
      <c r="T10" s="833"/>
    </row>
    <row r="11" spans="1:29" ht="24" customHeight="1" thickTop="1" thickBot="1" x14ac:dyDescent="0.25">
      <c r="B11" s="281"/>
      <c r="C11" s="330" t="str">
        <f>Sprache!$E$9</f>
        <v>Nr.</v>
      </c>
      <c r="D11" s="277" t="str">
        <f>Sprache!$E$39</f>
        <v>Beginn</v>
      </c>
      <c r="E11" s="267" t="str">
        <f>Sprache!$E$48</f>
        <v>Feld</v>
      </c>
      <c r="F11" s="267"/>
      <c r="G11" s="896" t="str">
        <f>Sprache!$E$14</f>
        <v>Spielpaarung</v>
      </c>
      <c r="H11" s="896"/>
      <c r="I11" s="896"/>
      <c r="J11" s="896" t="str">
        <f>Sprache!$E$61</f>
        <v>1. Satz</v>
      </c>
      <c r="K11" s="896"/>
      <c r="L11" s="896"/>
      <c r="M11" s="896" t="str">
        <f>Sprache!$E$62</f>
        <v>2. Satz</v>
      </c>
      <c r="N11" s="896"/>
      <c r="O11" s="896"/>
      <c r="P11" s="896" t="str">
        <f>Sprache!$E$63</f>
        <v>3. Satz</v>
      </c>
      <c r="Q11" s="896"/>
      <c r="R11" s="899"/>
      <c r="S11" s="622" t="str">
        <f>Sprache!$E$68</f>
        <v>Schiedsrichter</v>
      </c>
      <c r="T11" s="834"/>
      <c r="W11" s="567" t="s">
        <v>356</v>
      </c>
      <c r="X11" s="567" t="s">
        <v>357</v>
      </c>
      <c r="Y11" s="566" t="s">
        <v>355</v>
      </c>
      <c r="Z11" s="566" t="s">
        <v>359</v>
      </c>
      <c r="AA11" s="566" t="s">
        <v>358</v>
      </c>
      <c r="AB11" s="925" t="s">
        <v>321</v>
      </c>
      <c r="AC11" s="925"/>
    </row>
    <row r="12" spans="1:29" ht="24" customHeight="1" x14ac:dyDescent="0.2">
      <c r="A12" s="252"/>
      <c r="B12" s="317"/>
      <c r="C12" s="321">
        <f t="array" aca="1" ref="C12" ca="1">31-SUM(((Planung!$L$6:$L$35="")+(Planung!$N$6:$N$35="")&gt;0)*1)</f>
        <v>21</v>
      </c>
      <c r="D12" s="324">
        <f ca="1">IF(Planung!$V$15,"",Planung!$S$13+(Planung!$S$9+Planung!$Q$35)/1440)</f>
        <v>0.49652777777777779</v>
      </c>
      <c r="E12" s="305">
        <f>IF(Planung!$V$15,"",1)</f>
        <v>1</v>
      </c>
      <c r="F12" s="306" t="s">
        <v>202</v>
      </c>
      <c r="G12" s="307" t="str">
        <f ca="1">Vorrunde!$X$17</f>
        <v/>
      </c>
      <c r="H12" s="88" t="s">
        <v>4</v>
      </c>
      <c r="I12" s="308" t="str">
        <f ca="1">Vorrunde!$X$27</f>
        <v/>
      </c>
      <c r="J12" s="309"/>
      <c r="K12" s="310" t="str">
        <f>Sprache!$E$99</f>
        <v xml:space="preserve"> : </v>
      </c>
      <c r="L12" s="550"/>
      <c r="M12" s="309"/>
      <c r="N12" s="310" t="str">
        <f>Sprache!$E$99</f>
        <v xml:space="preserve"> : </v>
      </c>
      <c r="O12" s="550"/>
      <c r="P12" s="268"/>
      <c r="Q12" s="541" t="str">
        <f>Sprache!$E$99</f>
        <v xml:space="preserve"> : </v>
      </c>
      <c r="R12" s="269"/>
      <c r="S12" s="623"/>
      <c r="T12" s="544"/>
      <c r="U12" s="252"/>
      <c r="W12" s="252" t="str">
        <f ca="1">IF($AB12&gt;$AC12,$G12,IF($AB12&lt;$AC12,$I12,""))</f>
        <v/>
      </c>
      <c r="X12" s="252" t="str">
        <f ca="1">IF($AB12&lt;$AC12,$G12,IF($AB12&gt;$AC12,$I12,""))</f>
        <v/>
      </c>
      <c r="Y12" s="252" t="b">
        <f>AND($J12&lt;&gt;"",$L12&lt;&gt;"",$M12&lt;&gt;"",$O12&lt;&gt;"",$J12&lt;&gt;$L12,$M12&lt;&gt;$O12,($J12&gt;$L12)+($M12&gt;$O12)=1)</f>
        <v>0</v>
      </c>
      <c r="Z12" s="568" t="b">
        <f ca="1">AND($J12&lt;&gt;"",$L12&lt;&gt;"",$J12&lt;&gt;$L12,OR(AND($M12="",$O12=""),AND($M12&lt;&gt;"",$O12&lt;&gt;"",$M12&lt;&gt;$O12)),$G12&lt;&gt;"",$I12&lt;&gt;"",$G12&lt;&gt;$I12)</f>
        <v>0</v>
      </c>
      <c r="AA12" s="252" t="b">
        <f>AND($Y12,$P12&lt;&gt;"",$R12&lt;&gt;"",$P12&lt;&gt;$R12)</f>
        <v>0</v>
      </c>
      <c r="AB12" s="568">
        <f ca="1">(($J12&gt;$L12)+($M12&gt;$O12)+($P12&gt;$R12)*$AA12)*$Z12</f>
        <v>0</v>
      </c>
      <c r="AC12" s="568">
        <f ca="1">(($J12&lt;$L12)+($M12&lt;$O12)+($P12&lt;$R12)*$AA12)*$Z12</f>
        <v>0</v>
      </c>
    </row>
    <row r="13" spans="1:29" ht="24" customHeight="1" x14ac:dyDescent="0.2">
      <c r="A13" s="252"/>
      <c r="B13" s="317"/>
      <c r="C13" s="322">
        <f t="array" aca="1" ref="C13" ca="1">ROW(32:32)-SUM(((Planung!$L$6:$L$35="")+(Planung!$N$6:$N$35="")&gt;0)*1)-SUM((($G$12:$G12="")+($I$12:$I12="")&gt;0)*1)</f>
        <v>21</v>
      </c>
      <c r="D13" s="325">
        <f t="array" aca="1" ref="D13" ca="1">IF(Planung!$V$15,"",$D$12+QUOTIENT(($C13-$C$12),Planung!$V$11)*(Planung!$S$7+Planung!$S$9)/1440+SUM($T$12:$T12)/1440)</f>
        <v>0.49652777777777779</v>
      </c>
      <c r="E13" s="442">
        <f ca="1">IF(Planung!$V$15,"",MOD($C13-$C$12,Planung!$V$11)+1)</f>
        <v>1</v>
      </c>
      <c r="F13" s="261" t="s">
        <v>203</v>
      </c>
      <c r="G13" s="257" t="str">
        <f ca="1">Vorrunde!$X$16</f>
        <v>VFB Essenheim</v>
      </c>
      <c r="H13" s="89" t="s">
        <v>4</v>
      </c>
      <c r="I13" s="259" t="str">
        <f ca="1">Vorrunde!$X$26</f>
        <v>Inter Mailand</v>
      </c>
      <c r="J13" s="270">
        <v>19</v>
      </c>
      <c r="K13" s="272" t="str">
        <f>Sprache!$E$99</f>
        <v xml:space="preserve"> : </v>
      </c>
      <c r="L13" s="551">
        <v>25</v>
      </c>
      <c r="M13" s="270">
        <v>25</v>
      </c>
      <c r="N13" s="272" t="str">
        <f>Sprache!$E$99</f>
        <v xml:space="preserve"> : </v>
      </c>
      <c r="O13" s="551">
        <v>17</v>
      </c>
      <c r="P13" s="270">
        <v>18</v>
      </c>
      <c r="Q13" s="542" t="str">
        <f>Sprache!$E$99</f>
        <v xml:space="preserve"> : </v>
      </c>
      <c r="R13" s="254">
        <v>15</v>
      </c>
      <c r="S13" s="610"/>
      <c r="T13" s="545"/>
      <c r="U13" s="252"/>
      <c r="W13" s="559" t="str">
        <f t="shared" ref="W13:W15" ca="1" si="0">IF($AB13&gt;$AC13,$G13,IF($AB13&lt;$AC13,$I13,""))</f>
        <v>VFB Essenheim</v>
      </c>
      <c r="X13" s="559" t="str">
        <f t="shared" ref="X13:X15" ca="1" si="1">IF($AB13&lt;$AC13,$G13,IF($AB13&gt;$AC13,$I13,""))</f>
        <v>Inter Mailand</v>
      </c>
      <c r="Y13" s="252" t="b">
        <f t="shared" ref="Y13:Y15" si="2">AND($J13&lt;&gt;"",$L13&lt;&gt;"",$M13&lt;&gt;"",$O13&lt;&gt;"",$J13&lt;&gt;$L13,$M13&lt;&gt;$O13,($J13&gt;$L13)+($M13&gt;$O13)=1)</f>
        <v>1</v>
      </c>
      <c r="Z13" s="568" t="b">
        <f t="shared" ref="Z13:Z15" ca="1" si="3">AND($J13&lt;&gt;"",$L13&lt;&gt;"",$J13&lt;&gt;$L13,OR(AND($M13="",$O13=""),AND($M13&lt;&gt;"",$O13&lt;&gt;"",$M13&lt;&gt;$O13)),$G13&lt;&gt;"",$I13&lt;&gt;"",$G13&lt;&gt;$I13)</f>
        <v>1</v>
      </c>
      <c r="AA13" s="252" t="b">
        <f t="shared" ref="AA13:AA15" si="4">AND($Y13,$P13&lt;&gt;"",$R13&lt;&gt;"",$P13&lt;&gt;$R13)</f>
        <v>1</v>
      </c>
      <c r="AB13" s="568">
        <f t="shared" ref="AB13:AB15" ca="1" si="5">(($J13&gt;$L13)+($M13&gt;$O13)+($P13&gt;$R13)*$AA13)*$Z13</f>
        <v>2</v>
      </c>
      <c r="AC13" s="568">
        <f t="shared" ref="AC13:AC15" ca="1" si="6">(($J13&lt;$L13)+($M13&lt;$O13)+($P13&lt;$R13)*$AA13)*$Z13</f>
        <v>1</v>
      </c>
    </row>
    <row r="14" spans="1:29" ht="24" customHeight="1" x14ac:dyDescent="0.2">
      <c r="A14" s="252"/>
      <c r="B14" s="317"/>
      <c r="C14" s="322">
        <f t="array" aca="1" ref="C14" ca="1">ROW(33:33)-SUM(((Planung!$L$6:$L$35="")+(Planung!$N$6:$N$35="")&gt;0)*1)-SUM((($G$12:$G13="")+($I$12:$I13="")&gt;0)*1)</f>
        <v>22</v>
      </c>
      <c r="D14" s="325">
        <f t="array" aca="1" ref="D14" ca="1">IF(Planung!$V$15,"",$D$12+QUOTIENT(($C14-$C$12),Planung!$V$11)*(Planung!$S$7+Planung!$S$9)/1440+SUM($T$12:$T13)/1440)</f>
        <v>0.49652777777777779</v>
      </c>
      <c r="E14" s="442">
        <f ca="1">IF(Planung!$V$15,"",MOD($C14-$C$12,Planung!$V$11)+1)</f>
        <v>2</v>
      </c>
      <c r="F14" s="261" t="s">
        <v>204</v>
      </c>
      <c r="G14" s="257" t="str">
        <f ca="1">Vorrunde!$X$15</f>
        <v>FC Barcelona</v>
      </c>
      <c r="H14" s="89" t="s">
        <v>4</v>
      </c>
      <c r="I14" s="259" t="str">
        <f ca="1">Vorrunde!$X$25</f>
        <v>SSV Wildbach</v>
      </c>
      <c r="J14" s="270">
        <v>15</v>
      </c>
      <c r="K14" s="272" t="str">
        <f>Sprache!$E$99</f>
        <v xml:space="preserve"> : </v>
      </c>
      <c r="L14" s="551">
        <v>25</v>
      </c>
      <c r="M14" s="270">
        <v>20</v>
      </c>
      <c r="N14" s="272" t="str">
        <f>Sprache!$E$99</f>
        <v xml:space="preserve"> : </v>
      </c>
      <c r="O14" s="551">
        <v>25</v>
      </c>
      <c r="P14" s="270"/>
      <c r="Q14" s="542" t="str">
        <f>Sprache!$E$99</f>
        <v xml:space="preserve"> : </v>
      </c>
      <c r="R14" s="254"/>
      <c r="S14" s="610"/>
      <c r="T14" s="545"/>
      <c r="U14" s="252"/>
      <c r="W14" s="559" t="str">
        <f t="shared" ca="1" si="0"/>
        <v>SSV Wildbach</v>
      </c>
      <c r="X14" s="559" t="str">
        <f t="shared" ca="1" si="1"/>
        <v>FC Barcelona</v>
      </c>
      <c r="Y14" s="252" t="b">
        <f t="shared" si="2"/>
        <v>0</v>
      </c>
      <c r="Z14" s="568" t="b">
        <f t="shared" ca="1" si="3"/>
        <v>1</v>
      </c>
      <c r="AA14" s="252" t="b">
        <f t="shared" si="4"/>
        <v>0</v>
      </c>
      <c r="AB14" s="568">
        <f t="shared" ca="1" si="5"/>
        <v>0</v>
      </c>
      <c r="AC14" s="568">
        <f t="shared" ca="1" si="6"/>
        <v>2</v>
      </c>
    </row>
    <row r="15" spans="1:29" ht="24" customHeight="1" thickBot="1" x14ac:dyDescent="0.25">
      <c r="A15" s="252"/>
      <c r="B15" s="317"/>
      <c r="C15" s="323">
        <f t="array" aca="1" ref="C15" ca="1">ROW(34:34)-SUM(((Planung!$L$6:$L$35="")+(Planung!$N$6:$N$35="")&gt;0)*1)-SUM((($G$12:$G14="")+($I$12:$I14="")&gt;0)*1)</f>
        <v>23</v>
      </c>
      <c r="D15" s="326">
        <f t="array" aca="1" ref="D15" ca="1">IF(Planung!$V$15,"",$D$12+QUOTIENT(($C15-$C$12),Planung!$V$11)*(Planung!$S$7+Planung!$S$9)/1440+SUM($T$12:$T14)/1440)</f>
        <v>0.49652777777777779</v>
      </c>
      <c r="E15" s="303">
        <f ca="1">IF(Planung!$V$15,"",MOD($C15-$C$12,Planung!$V$11)+1)</f>
        <v>3</v>
      </c>
      <c r="F15" s="262" t="s">
        <v>205</v>
      </c>
      <c r="G15" s="258" t="str">
        <f ca="1">Vorrunde!$X$14</f>
        <v>1. FC Riedwald</v>
      </c>
      <c r="H15" s="90" t="s">
        <v>4</v>
      </c>
      <c r="I15" s="260" t="str">
        <f ca="1">Vorrunde!$X$24</f>
        <v>FC Grönlingen</v>
      </c>
      <c r="J15" s="271">
        <v>26</v>
      </c>
      <c r="K15" s="304" t="str">
        <f>Sprache!$E$99</f>
        <v xml:space="preserve"> : </v>
      </c>
      <c r="L15" s="553">
        <v>24</v>
      </c>
      <c r="M15" s="271">
        <v>25</v>
      </c>
      <c r="N15" s="304" t="str">
        <f>Sprache!$E$99</f>
        <v xml:space="preserve"> : </v>
      </c>
      <c r="O15" s="553">
        <v>22</v>
      </c>
      <c r="P15" s="271"/>
      <c r="Q15" s="560" t="str">
        <f>Sprache!$E$99</f>
        <v xml:space="preserve"> : </v>
      </c>
      <c r="R15" s="256"/>
      <c r="S15" s="625"/>
      <c r="T15" s="557"/>
      <c r="U15" s="252"/>
      <c r="W15" s="559" t="str">
        <f t="shared" ca="1" si="0"/>
        <v>1. FC Riedwald</v>
      </c>
      <c r="X15" s="559" t="str">
        <f t="shared" ca="1" si="1"/>
        <v>FC Grönlingen</v>
      </c>
      <c r="Y15" s="252" t="b">
        <f t="shared" si="2"/>
        <v>0</v>
      </c>
      <c r="Z15" s="568" t="b">
        <f t="shared" ca="1" si="3"/>
        <v>1</v>
      </c>
      <c r="AA15" s="252" t="b">
        <f t="shared" si="4"/>
        <v>0</v>
      </c>
      <c r="AB15" s="568">
        <f t="shared" ca="1" si="5"/>
        <v>2</v>
      </c>
      <c r="AC15" s="568">
        <f t="shared" ca="1" si="6"/>
        <v>0</v>
      </c>
    </row>
    <row r="16" spans="1:29" ht="27.95" customHeight="1" thickTop="1" thickBot="1" x14ac:dyDescent="0.35">
      <c r="A16" s="252"/>
      <c r="B16" s="318"/>
      <c r="C16" s="975" t="str">
        <f>Sprache!$E$53</f>
        <v>Halbfinale</v>
      </c>
      <c r="D16" s="975"/>
      <c r="E16" s="975"/>
      <c r="F16" s="975"/>
      <c r="G16" s="336" t="s">
        <v>247</v>
      </c>
      <c r="H16" s="63"/>
      <c r="I16" s="336" t="s">
        <v>247</v>
      </c>
      <c r="J16" s="292"/>
      <c r="K16" s="292"/>
      <c r="L16" s="292"/>
      <c r="M16" s="292"/>
      <c r="N16" s="292"/>
      <c r="O16" s="292"/>
      <c r="P16" s="292"/>
      <c r="Q16" s="292"/>
      <c r="R16" s="292"/>
      <c r="S16" s="214"/>
      <c r="T16" s="294"/>
      <c r="U16" s="252"/>
      <c r="W16" s="559"/>
      <c r="X16" s="559"/>
      <c r="Y16" s="252"/>
      <c r="Z16" s="568"/>
      <c r="AA16" s="252"/>
      <c r="AB16" s="568"/>
      <c r="AC16" s="568"/>
    </row>
    <row r="17" spans="1:29" ht="24" customHeight="1" thickTop="1" x14ac:dyDescent="0.2">
      <c r="A17" s="252"/>
      <c r="B17" s="317"/>
      <c r="C17" s="327">
        <f t="array" aca="1" ref="C17" ca="1">ROW(35:35)-SUM(((Planung!$L$6:$L$35="")+(Planung!$N$6:$N$35="")&gt;0)*1)-SUM((($G$12:$G16="")+($I$12:$I16="")&gt;0)*1)</f>
        <v>24</v>
      </c>
      <c r="D17" s="328">
        <f t="array" aca="1" ref="D17" ca="1">IF(Planung!$V$15,"",$D$12+QUOTIENT(($C17-$C$12),Planung!$V$11)*(Planung!$S$7+Planung!$S$9)/1440+SUM($T$12:$T16)/1440)</f>
        <v>0.49652777777777779</v>
      </c>
      <c r="E17" s="295">
        <f ca="1">IF(Planung!$V$15,"",MOD($C17-$C$12,Planung!$V$11)+1)</f>
        <v>4</v>
      </c>
      <c r="F17" s="296" t="s">
        <v>221</v>
      </c>
      <c r="G17" s="297" t="str">
        <f ca="1">Vorrunde!$X$12</f>
        <v>Eintracht Frankfurt</v>
      </c>
      <c r="H17" s="298" t="s">
        <v>4</v>
      </c>
      <c r="I17" s="299" t="str">
        <f ca="1">Vorrunde!$X$23</f>
        <v>Manchester City</v>
      </c>
      <c r="J17" s="300">
        <v>15</v>
      </c>
      <c r="K17" s="301" t="str">
        <f>Sprache!$E$99</f>
        <v xml:space="preserve"> : </v>
      </c>
      <c r="L17" s="558">
        <v>25</v>
      </c>
      <c r="M17" s="300">
        <v>20</v>
      </c>
      <c r="N17" s="301" t="str">
        <f>Sprache!$E$99</f>
        <v xml:space="preserve"> : </v>
      </c>
      <c r="O17" s="558">
        <v>25</v>
      </c>
      <c r="P17" s="300"/>
      <c r="Q17" s="561" t="str">
        <f>Sprache!$E$99</f>
        <v xml:space="preserve"> : </v>
      </c>
      <c r="R17" s="302"/>
      <c r="S17" s="629"/>
      <c r="T17" s="544"/>
      <c r="U17" s="252"/>
      <c r="W17" s="559" t="str">
        <f t="shared" ref="W17:W18" ca="1" si="7">IF($AB17&gt;$AC17,$G17,IF($AB17&lt;$AC17,$I17,""))</f>
        <v>Manchester City</v>
      </c>
      <c r="X17" s="559" t="str">
        <f t="shared" ref="X17:X18" ca="1" si="8">IF($AB17&lt;$AC17,$G17,IF($AB17&gt;$AC17,$I17,""))</f>
        <v>Eintracht Frankfurt</v>
      </c>
      <c r="Y17" s="252" t="b">
        <f t="shared" ref="Y17:Y18" si="9">AND($J17&lt;&gt;"",$L17&lt;&gt;"",$M17&lt;&gt;"",$O17&lt;&gt;"",$J17&lt;&gt;$L17,$M17&lt;&gt;$O17,($J17&gt;$L17)+($M17&gt;$O17)=1)</f>
        <v>0</v>
      </c>
      <c r="Z17" s="568" t="b">
        <f t="shared" ref="Z17:Z18" ca="1" si="10">AND($J17&lt;&gt;"",$L17&lt;&gt;"",$J17&lt;&gt;$L17,OR(AND($M17="",$O17=""),AND($M17&lt;&gt;"",$O17&lt;&gt;"",$M17&lt;&gt;$O17)),$G17&lt;&gt;"",$I17&lt;&gt;"",$G17&lt;&gt;$I17)</f>
        <v>1</v>
      </c>
      <c r="AA17" s="252" t="b">
        <f t="shared" ref="AA17:AA18" si="11">AND($Y17,$P17&lt;&gt;"",$R17&lt;&gt;"",$P17&lt;&gt;$R17)</f>
        <v>0</v>
      </c>
      <c r="AB17" s="568">
        <f t="shared" ref="AB17:AB18" ca="1" si="12">(($J17&gt;$L17)+($M17&gt;$O17)+($P17&gt;$R17)*$AA17)*$Z17</f>
        <v>0</v>
      </c>
      <c r="AC17" s="568">
        <f t="shared" ref="AC17:AC18" ca="1" si="13">(($J17&lt;$L17)+($M17&lt;$O17)+($P17&lt;$R17)*$AA17)*$Z17</f>
        <v>2</v>
      </c>
    </row>
    <row r="18" spans="1:29" ht="24" customHeight="1" thickBot="1" x14ac:dyDescent="0.25">
      <c r="A18" s="252"/>
      <c r="B18" s="317"/>
      <c r="C18" s="323">
        <f ca="1">$C$17+1</f>
        <v>25</v>
      </c>
      <c r="D18" s="326">
        <f t="array" aca="1" ref="D18" ca="1">IF(Planung!$V$15,"",$D$12+QUOTIENT(($C18-$C$12),Planung!$V$11)*(Planung!$S$7+Planung!$S$9)/1440+SUM($T$12:$T17)/1440)</f>
        <v>0.52083333333333337</v>
      </c>
      <c r="E18" s="303">
        <f ca="1">IF(Planung!$V$15,"",MOD($C18-$C$12,Planung!$V$11)+1)</f>
        <v>1</v>
      </c>
      <c r="F18" s="262" t="s">
        <v>222</v>
      </c>
      <c r="G18" s="258" t="str">
        <f ca="1">Vorrunde!$X$22</f>
        <v>Mainz 05</v>
      </c>
      <c r="H18" s="90" t="s">
        <v>4</v>
      </c>
      <c r="I18" s="260" t="str">
        <f ca="1">Vorrunde!$X$13</f>
        <v>Maibach 1822 eV</v>
      </c>
      <c r="J18" s="271">
        <v>26</v>
      </c>
      <c r="K18" s="304" t="str">
        <f>Sprache!$E$99</f>
        <v xml:space="preserve"> : </v>
      </c>
      <c r="L18" s="553">
        <v>24</v>
      </c>
      <c r="M18" s="271">
        <v>25</v>
      </c>
      <c r="N18" s="304" t="str">
        <f>Sprache!$E$99</f>
        <v xml:space="preserve"> : </v>
      </c>
      <c r="O18" s="553">
        <v>22</v>
      </c>
      <c r="P18" s="271"/>
      <c r="Q18" s="560" t="str">
        <f>Sprache!$E$99</f>
        <v xml:space="preserve"> : </v>
      </c>
      <c r="R18" s="256"/>
      <c r="S18" s="628"/>
      <c r="T18" s="557"/>
      <c r="U18" s="252"/>
      <c r="W18" s="559" t="str">
        <f t="shared" ca="1" si="7"/>
        <v>Mainz 05</v>
      </c>
      <c r="X18" s="559" t="str">
        <f t="shared" ca="1" si="8"/>
        <v>Maibach 1822 eV</v>
      </c>
      <c r="Y18" s="252" t="b">
        <f t="shared" si="9"/>
        <v>0</v>
      </c>
      <c r="Z18" s="568" t="b">
        <f t="shared" ca="1" si="10"/>
        <v>1</v>
      </c>
      <c r="AA18" s="252" t="b">
        <f t="shared" si="11"/>
        <v>0</v>
      </c>
      <c r="AB18" s="568">
        <f t="shared" ca="1" si="12"/>
        <v>2</v>
      </c>
      <c r="AC18" s="568">
        <f t="shared" ca="1" si="13"/>
        <v>0</v>
      </c>
    </row>
    <row r="19" spans="1:29" ht="27.95" customHeight="1" thickTop="1" thickBot="1" x14ac:dyDescent="0.35">
      <c r="A19" s="252"/>
      <c r="B19" s="318"/>
      <c r="C19" s="975" t="str">
        <f>Sprache!$E$54</f>
        <v>Endspiele</v>
      </c>
      <c r="D19" s="975"/>
      <c r="E19" s="975"/>
      <c r="F19" s="975"/>
      <c r="G19" s="379"/>
      <c r="H19" s="63"/>
      <c r="I19" s="379"/>
      <c r="J19" s="292"/>
      <c r="K19" s="292"/>
      <c r="L19" s="292"/>
      <c r="M19" s="292"/>
      <c r="N19" s="292"/>
      <c r="O19" s="292"/>
      <c r="P19" s="292"/>
      <c r="Q19" s="292"/>
      <c r="R19" s="292"/>
      <c r="S19" s="214"/>
      <c r="T19" s="294"/>
      <c r="U19" s="252"/>
      <c r="W19" s="559"/>
      <c r="X19" s="559"/>
      <c r="Y19" s="252"/>
      <c r="Z19" s="568"/>
      <c r="AA19" s="252"/>
      <c r="AB19" s="568"/>
      <c r="AC19" s="568"/>
    </row>
    <row r="20" spans="1:29" ht="24" customHeight="1" thickTop="1" x14ac:dyDescent="0.2">
      <c r="A20" s="252"/>
      <c r="B20" s="317"/>
      <c r="C20" s="327">
        <f ca="1">$C$17+2</f>
        <v>26</v>
      </c>
      <c r="D20" s="328">
        <f ca="1">IF(Planung!$V$15,"",$D$18+($T$18+Planung!$S$9+Planung!$S$7)/1440)</f>
        <v>0.54513888888888895</v>
      </c>
      <c r="E20" s="295">
        <f>IF(Planung!$V$15,"",1)</f>
        <v>1</v>
      </c>
      <c r="F20" s="296" t="str">
        <f>Sprache!$E$108</f>
        <v>3. Platz</v>
      </c>
      <c r="G20" s="297" t="str">
        <f ca="1">X17</f>
        <v>Eintracht Frankfurt</v>
      </c>
      <c r="H20" s="298" t="s">
        <v>4</v>
      </c>
      <c r="I20" s="299" t="str">
        <f ca="1">X18</f>
        <v>Maibach 1822 eV</v>
      </c>
      <c r="J20" s="300">
        <v>19</v>
      </c>
      <c r="K20" s="301" t="str">
        <f>Sprache!$E$99</f>
        <v xml:space="preserve"> : </v>
      </c>
      <c r="L20" s="558">
        <v>25</v>
      </c>
      <c r="M20" s="300">
        <v>25</v>
      </c>
      <c r="N20" s="301" t="str">
        <f>Sprache!$E$99</f>
        <v xml:space="preserve"> : </v>
      </c>
      <c r="O20" s="558">
        <v>17</v>
      </c>
      <c r="P20" s="300">
        <v>14</v>
      </c>
      <c r="Q20" s="561" t="str">
        <f>Sprache!$E$99</f>
        <v xml:space="preserve"> : </v>
      </c>
      <c r="R20" s="302">
        <v>16</v>
      </c>
      <c r="S20" s="629"/>
      <c r="T20" s="544"/>
      <c r="U20" s="252"/>
      <c r="W20" s="559" t="str">
        <f t="shared" ref="W20:W21" ca="1" si="14">IF($AB20&gt;$AC20,$G20,IF($AB20&lt;$AC20,$I20,""))</f>
        <v>Maibach 1822 eV</v>
      </c>
      <c r="X20" s="559" t="str">
        <f t="shared" ref="X20:X21" ca="1" si="15">IF($AB20&lt;$AC20,$G20,IF($AB20&gt;$AC20,$I20,""))</f>
        <v>Eintracht Frankfurt</v>
      </c>
      <c r="Y20" s="252" t="b">
        <f t="shared" ref="Y20:Y21" si="16">AND($J20&lt;&gt;"",$L20&lt;&gt;"",$M20&lt;&gt;"",$O20&lt;&gt;"",$J20&lt;&gt;$L20,$M20&lt;&gt;$O20,($J20&gt;$L20)+($M20&gt;$O20)=1)</f>
        <v>1</v>
      </c>
      <c r="Z20" s="568" t="b">
        <f t="shared" ref="Z20:Z21" ca="1" si="17">AND($J20&lt;&gt;"",$L20&lt;&gt;"",$J20&lt;&gt;$L20,OR(AND($M20="",$O20=""),AND($M20&lt;&gt;"",$O20&lt;&gt;"",$M20&lt;&gt;$O20)),$G20&lt;&gt;"",$I20&lt;&gt;"",$G20&lt;&gt;$I20)</f>
        <v>1</v>
      </c>
      <c r="AA20" s="252" t="b">
        <f t="shared" ref="AA20:AA21" si="18">AND($Y20,$P20&lt;&gt;"",$R20&lt;&gt;"",$P20&lt;&gt;$R20)</f>
        <v>1</v>
      </c>
      <c r="AB20" s="568">
        <f t="shared" ref="AB20:AB21" ca="1" si="19">(($J20&gt;$L20)+($M20&gt;$O20)+($P20&gt;$R20)*$AA20)*$Z20</f>
        <v>1</v>
      </c>
      <c r="AC20" s="568">
        <f t="shared" ref="AC20:AC21" ca="1" si="20">(($J20&lt;$L20)+($M20&lt;$O20)+($P20&lt;$R20)*$AA20)*$Z20</f>
        <v>2</v>
      </c>
    </row>
    <row r="21" spans="1:29" ht="24" customHeight="1" thickBot="1" x14ac:dyDescent="0.25">
      <c r="A21" s="252"/>
      <c r="B21" s="317"/>
      <c r="C21" s="323">
        <f ca="1">$C$17+3</f>
        <v>27</v>
      </c>
      <c r="D21" s="326">
        <f ca="1">IF(Planung!$V$15,"",$D$20+($T$20+Planung!$S$9+Planung!$S$7)/1440)</f>
        <v>0.56944444444444453</v>
      </c>
      <c r="E21" s="303">
        <f>IF(Planung!$V$15,"",1)</f>
        <v>1</v>
      </c>
      <c r="F21" s="262" t="str">
        <f>Sprache!$E$109</f>
        <v>Finale</v>
      </c>
      <c r="G21" s="258" t="str">
        <f ca="1">W17</f>
        <v>Manchester City</v>
      </c>
      <c r="H21" s="90" t="s">
        <v>4</v>
      </c>
      <c r="I21" s="260" t="str">
        <f ca="1">W18</f>
        <v>Mainz 05</v>
      </c>
      <c r="J21" s="271">
        <v>15</v>
      </c>
      <c r="K21" s="304" t="str">
        <f>Sprache!$E$99</f>
        <v xml:space="preserve"> : </v>
      </c>
      <c r="L21" s="553">
        <v>25</v>
      </c>
      <c r="M21" s="271">
        <v>20</v>
      </c>
      <c r="N21" s="304" t="str">
        <f>Sprache!$E$99</f>
        <v xml:space="preserve"> : </v>
      </c>
      <c r="O21" s="553">
        <v>25</v>
      </c>
      <c r="P21" s="271"/>
      <c r="Q21" s="560" t="str">
        <f>Sprache!$E$99</f>
        <v xml:space="preserve"> : </v>
      </c>
      <c r="R21" s="256"/>
      <c r="S21" s="628"/>
      <c r="T21" s="556"/>
      <c r="U21" s="252"/>
      <c r="W21" s="559" t="str">
        <f t="shared" ca="1" si="14"/>
        <v>Mainz 05</v>
      </c>
      <c r="X21" s="559" t="str">
        <f t="shared" ca="1" si="15"/>
        <v>Manchester City</v>
      </c>
      <c r="Y21" s="252" t="b">
        <f t="shared" si="16"/>
        <v>0</v>
      </c>
      <c r="Z21" s="568" t="b">
        <f t="shared" ca="1" si="17"/>
        <v>1</v>
      </c>
      <c r="AA21" s="252" t="b">
        <f t="shared" si="18"/>
        <v>0</v>
      </c>
      <c r="AB21" s="568">
        <f t="shared" ca="1" si="19"/>
        <v>0</v>
      </c>
      <c r="AC21" s="568">
        <f t="shared" ca="1" si="20"/>
        <v>2</v>
      </c>
    </row>
    <row r="22" spans="1:29" ht="12.75" customHeight="1" thickTop="1" x14ac:dyDescent="0.2"/>
    <row r="23" spans="1:29" ht="24" customHeight="1" x14ac:dyDescent="0.2">
      <c r="C23" s="288"/>
      <c r="D23" s="288"/>
      <c r="E23" s="288"/>
      <c r="F23" s="288"/>
      <c r="G23" s="941" t="str">
        <f>Sprache!$E$29</f>
        <v>Turnierende:</v>
      </c>
      <c r="H23" s="941"/>
      <c r="I23" s="289">
        <f ca="1">IF(Planung!$S$13="","",$D$21+Planung!$S$7/1440)</f>
        <v>0.5902777777777779</v>
      </c>
      <c r="J23" s="290"/>
      <c r="K23" s="290"/>
      <c r="L23" s="290"/>
      <c r="M23" s="290"/>
      <c r="N23" s="290"/>
      <c r="O23" s="290"/>
      <c r="P23" s="290"/>
      <c r="Q23" s="290"/>
      <c r="R23" s="290"/>
      <c r="S23" s="290"/>
      <c r="T23" s="290"/>
    </row>
    <row r="24" spans="1:29" ht="12.75" customHeight="1" x14ac:dyDescent="0.2">
      <c r="D24" s="282"/>
    </row>
    <row r="25" spans="1:29" ht="12.75" customHeight="1" x14ac:dyDescent="0.2">
      <c r="D25" s="282"/>
    </row>
    <row r="26" spans="1:29" ht="24" customHeight="1" thickBot="1" x14ac:dyDescent="0.25">
      <c r="F26" s="291" t="str">
        <f>Sprache!$E$107</f>
        <v>Rang</v>
      </c>
      <c r="G26" s="969" t="str">
        <f>"  "&amp;Sprache!$E$10</f>
        <v xml:space="preserve">  Teilnehmer bzw. Mannschaft</v>
      </c>
      <c r="H26" s="969"/>
      <c r="I26" s="970"/>
    </row>
    <row r="27" spans="1:29" ht="24" customHeight="1" thickTop="1" x14ac:dyDescent="0.2">
      <c r="E27" s="283">
        <v>1</v>
      </c>
      <c r="F27" s="331">
        <v>1</v>
      </c>
      <c r="G27" s="971" t="str">
        <f ca="1">W21</f>
        <v>Mainz 05</v>
      </c>
      <c r="H27" s="971"/>
      <c r="I27" s="972"/>
    </row>
    <row r="28" spans="1:29" ht="24" customHeight="1" x14ac:dyDescent="0.2">
      <c r="E28" s="283">
        <v>2</v>
      </c>
      <c r="F28" s="332">
        <v>2</v>
      </c>
      <c r="G28" s="973" t="str">
        <f ca="1">X21</f>
        <v>Manchester City</v>
      </c>
      <c r="H28" s="973"/>
      <c r="I28" s="974"/>
    </row>
    <row r="29" spans="1:29" ht="24" customHeight="1" x14ac:dyDescent="0.2">
      <c r="E29" s="283">
        <v>3</v>
      </c>
      <c r="F29" s="333">
        <v>3</v>
      </c>
      <c r="G29" s="967" t="str">
        <f ca="1">W20</f>
        <v>Maibach 1822 eV</v>
      </c>
      <c r="H29" s="967"/>
      <c r="I29" s="968"/>
    </row>
    <row r="30" spans="1:29" ht="24" customHeight="1" x14ac:dyDescent="0.2">
      <c r="E30" s="283">
        <v>4</v>
      </c>
      <c r="F30" s="334">
        <v>4</v>
      </c>
      <c r="G30" s="963" t="str">
        <f ca="1">X20</f>
        <v>Eintracht Frankfurt</v>
      </c>
      <c r="H30" s="963"/>
      <c r="I30" s="964"/>
    </row>
    <row r="31" spans="1:29" ht="24" customHeight="1" x14ac:dyDescent="0.2">
      <c r="E31" s="283">
        <v>5</v>
      </c>
      <c r="F31" s="334">
        <v>5</v>
      </c>
      <c r="G31" s="963" t="str">
        <f ca="1">W15</f>
        <v>1. FC Riedwald</v>
      </c>
      <c r="H31" s="963"/>
      <c r="I31" s="964"/>
    </row>
    <row r="32" spans="1:29" ht="24" customHeight="1" x14ac:dyDescent="0.2">
      <c r="E32" s="283">
        <v>6</v>
      </c>
      <c r="F32" s="334">
        <v>6</v>
      </c>
      <c r="G32" s="963" t="str">
        <f ca="1">X15</f>
        <v>FC Grönlingen</v>
      </c>
      <c r="H32" s="963"/>
      <c r="I32" s="964"/>
    </row>
    <row r="33" spans="5:9" ht="24" customHeight="1" x14ac:dyDescent="0.2">
      <c r="E33" s="283">
        <v>7</v>
      </c>
      <c r="F33" s="334">
        <v>7</v>
      </c>
      <c r="G33" s="963" t="str">
        <f ca="1">W14</f>
        <v>SSV Wildbach</v>
      </c>
      <c r="H33" s="963"/>
      <c r="I33" s="964"/>
    </row>
    <row r="34" spans="5:9" ht="24" customHeight="1" x14ac:dyDescent="0.2">
      <c r="E34" s="283">
        <v>8</v>
      </c>
      <c r="F34" s="334">
        <v>8</v>
      </c>
      <c r="G34" s="963" t="str">
        <f ca="1">X14</f>
        <v>FC Barcelona</v>
      </c>
      <c r="H34" s="963"/>
      <c r="I34" s="964"/>
    </row>
    <row r="35" spans="5:9" ht="24" customHeight="1" x14ac:dyDescent="0.2">
      <c r="E35" s="283">
        <v>9</v>
      </c>
      <c r="F35" s="334">
        <v>9</v>
      </c>
      <c r="G35" s="963" t="str">
        <f ca="1">W13</f>
        <v>VFB Essenheim</v>
      </c>
      <c r="H35" s="963"/>
      <c r="I35" s="964"/>
    </row>
    <row r="36" spans="5:9" ht="24" customHeight="1" x14ac:dyDescent="0.2">
      <c r="E36" s="283">
        <v>10</v>
      </c>
      <c r="F36" s="334">
        <v>10</v>
      </c>
      <c r="G36" s="963" t="str">
        <f ca="1">X13</f>
        <v>Inter Mailand</v>
      </c>
      <c r="H36" s="963"/>
      <c r="I36" s="964"/>
    </row>
    <row r="37" spans="5:9" ht="24" customHeight="1" x14ac:dyDescent="0.2">
      <c r="E37" s="283">
        <v>11</v>
      </c>
      <c r="F37" s="334">
        <v>11</v>
      </c>
      <c r="G37" s="963" t="str">
        <f ca="1">W12</f>
        <v/>
      </c>
      <c r="H37" s="963"/>
      <c r="I37" s="964"/>
    </row>
    <row r="38" spans="5:9" ht="24" customHeight="1" thickBot="1" x14ac:dyDescent="0.25">
      <c r="E38" s="283">
        <v>12</v>
      </c>
      <c r="F38" s="335">
        <v>12</v>
      </c>
      <c r="G38" s="965" t="str">
        <f ca="1">X12</f>
        <v/>
      </c>
      <c r="H38" s="965"/>
      <c r="I38" s="966"/>
    </row>
    <row r="39" spans="5:9" ht="13.5" thickTop="1" x14ac:dyDescent="0.2"/>
    <row r="40" spans="5:9" x14ac:dyDescent="0.2"/>
    <row r="41" spans="5:9" x14ac:dyDescent="0.2"/>
    <row r="42" spans="5:9" x14ac:dyDescent="0.2"/>
  </sheetData>
  <sheetProtection sheet="1" selectLockedCells="1"/>
  <mergeCells count="28">
    <mergeCell ref="C16:F16"/>
    <mergeCell ref="C19:F19"/>
    <mergeCell ref="T9:T11"/>
    <mergeCell ref="G11:I11"/>
    <mergeCell ref="J11:L11"/>
    <mergeCell ref="M11:O11"/>
    <mergeCell ref="P11:R11"/>
    <mergeCell ref="E2:T2"/>
    <mergeCell ref="E3:T3"/>
    <mergeCell ref="E4:T4"/>
    <mergeCell ref="E5:T5"/>
    <mergeCell ref="C10:F10"/>
    <mergeCell ref="G7:Q8"/>
    <mergeCell ref="AB11:AC11"/>
    <mergeCell ref="G36:I36"/>
    <mergeCell ref="G37:I37"/>
    <mergeCell ref="G38:I38"/>
    <mergeCell ref="G30:I30"/>
    <mergeCell ref="G31:I31"/>
    <mergeCell ref="G32:I32"/>
    <mergeCell ref="G33:I33"/>
    <mergeCell ref="G34:I34"/>
    <mergeCell ref="G35:I35"/>
    <mergeCell ref="G29:I29"/>
    <mergeCell ref="G26:I26"/>
    <mergeCell ref="G27:I27"/>
    <mergeCell ref="G28:I28"/>
    <mergeCell ref="G23:H23"/>
  </mergeCells>
  <conditionalFormatting sqref="C12:R15">
    <cfRule type="expression" dxfId="23" priority="7">
      <formula>OR($G12="",$I12="")</formula>
    </cfRule>
  </conditionalFormatting>
  <conditionalFormatting sqref="J12:O15 J17:O18 J20:O21">
    <cfRule type="expression" dxfId="22" priority="6">
      <formula>OR(AND($J12&lt;&gt;"",$J12=$L12),AND($M12&lt;&gt;"",$M12=$O12))</formula>
    </cfRule>
  </conditionalFormatting>
  <conditionalFormatting sqref="P12:R15 P17:R18 P20:R21">
    <cfRule type="expression" dxfId="21" priority="4">
      <formula>NOT($Y12)</formula>
    </cfRule>
    <cfRule type="expression" dxfId="20" priority="5">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2" id="{2F853DF4-ED67-4F75-899F-808BA77A2FD7}">
            <xm:f>$F30&gt;2*#REF!-MOD((#REF!+Calc2!$F$13),2)</xm:f>
            <x14:dxf>
              <numFmt numFmtId="165" formatCode=";;;"/>
            </x14:dxf>
          </x14:cfRule>
          <xm:sqref>F30:F38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XFD31"/>
  <sheetViews>
    <sheetView showGridLines="0" showRowColHeaders="0" workbookViewId="0">
      <selection activeCell="J12" sqref="J12"/>
    </sheetView>
  </sheetViews>
  <sheetFormatPr baseColWidth="10" defaultColWidth="0" defaultRowHeight="0" customHeight="1"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8.42578125" hidden="1" customWidth="1"/>
    <col min="24" max="24" width="18.28515625" hidden="1" customWidth="1"/>
    <col min="25" max="25" width="10.5703125" hidden="1" customWidth="1"/>
    <col min="26" max="26" width="9.28515625" hidden="1" customWidth="1"/>
    <col min="27" max="27" width="8.85546875" hidden="1" customWidth="1"/>
    <col min="28" max="28" width="5.85546875" hidden="1" customWidth="1"/>
    <col min="29" max="29" width="5.28515625" hidden="1" customWidth="1"/>
    <col min="30" max="16384" width="11.42578125" hidden="1"/>
  </cols>
  <sheetData>
    <row r="1" spans="1:29" ht="13.5" thickBot="1" x14ac:dyDescent="0.25"/>
    <row r="2" spans="1:29" ht="36.75" thickTop="1" x14ac:dyDescent="0.2">
      <c r="E2" s="944" t="str">
        <f>Vorrunde!$H$2</f>
        <v>Internationales U10-Turnier am 18.08.2025</v>
      </c>
      <c r="F2" s="945"/>
      <c r="G2" s="945"/>
      <c r="H2" s="945"/>
      <c r="I2" s="945"/>
      <c r="J2" s="945"/>
      <c r="K2" s="945"/>
      <c r="L2" s="945"/>
      <c r="M2" s="945"/>
      <c r="N2" s="945"/>
      <c r="O2" s="945"/>
      <c r="P2" s="945"/>
      <c r="Q2" s="945"/>
      <c r="R2" s="945"/>
      <c r="S2" s="945"/>
      <c r="T2" s="946"/>
    </row>
    <row r="3" spans="1:29" ht="30" customHeight="1" x14ac:dyDescent="0.2">
      <c r="E3" s="947" t="str">
        <f>Vorrunde!$H$3</f>
        <v>Veranstalter:  1. FC Riedwald</v>
      </c>
      <c r="F3" s="948"/>
      <c r="G3" s="948"/>
      <c r="H3" s="948"/>
      <c r="I3" s="948"/>
      <c r="J3" s="948"/>
      <c r="K3" s="948"/>
      <c r="L3" s="948"/>
      <c r="M3" s="948"/>
      <c r="N3" s="948"/>
      <c r="O3" s="948"/>
      <c r="P3" s="948"/>
      <c r="Q3" s="948"/>
      <c r="R3" s="948"/>
      <c r="S3" s="948"/>
      <c r="T3" s="949"/>
    </row>
    <row r="4" spans="1:29" ht="30" customHeight="1" x14ac:dyDescent="0.2">
      <c r="E4" s="950" t="str">
        <f>Vorrunde!$H$4</f>
        <v>Sporthalle Wiesengrund, Wendiger Str. 51, 65432 Riedwald</v>
      </c>
      <c r="F4" s="951"/>
      <c r="G4" s="951"/>
      <c r="H4" s="951"/>
      <c r="I4" s="951"/>
      <c r="J4" s="951"/>
      <c r="K4" s="951"/>
      <c r="L4" s="951"/>
      <c r="M4" s="951"/>
      <c r="N4" s="951"/>
      <c r="O4" s="951"/>
      <c r="P4" s="951"/>
      <c r="Q4" s="951"/>
      <c r="R4" s="951"/>
      <c r="S4" s="951"/>
      <c r="T4" s="952"/>
    </row>
    <row r="5" spans="1:29" ht="30" customHeight="1" thickBot="1" x14ac:dyDescent="0.25">
      <c r="E5" s="953" t="str">
        <f>Vorrunde!$H$5</f>
        <v>Beginn:  9:00 Uhr</v>
      </c>
      <c r="F5" s="954"/>
      <c r="G5" s="954"/>
      <c r="H5" s="954"/>
      <c r="I5" s="954"/>
      <c r="J5" s="954"/>
      <c r="K5" s="954"/>
      <c r="L5" s="954"/>
      <c r="M5" s="954"/>
      <c r="N5" s="954"/>
      <c r="O5" s="954"/>
      <c r="P5" s="954"/>
      <c r="Q5" s="954"/>
      <c r="R5" s="954"/>
      <c r="S5" s="954"/>
      <c r="T5" s="955"/>
    </row>
    <row r="6" spans="1:29" ht="18" customHeight="1" thickTop="1" thickBot="1" x14ac:dyDescent="0.25"/>
    <row r="7" spans="1:29" ht="30" customHeight="1" thickTop="1" x14ac:dyDescent="0.2">
      <c r="G7" s="957" t="str">
        <f>Sprache!$E$19</f>
        <v>Endrunde</v>
      </c>
      <c r="H7" s="958"/>
      <c r="I7" s="958"/>
      <c r="J7" s="958"/>
      <c r="K7" s="958"/>
      <c r="L7" s="958"/>
      <c r="M7" s="958"/>
      <c r="N7" s="958"/>
      <c r="O7" s="958"/>
      <c r="P7" s="958"/>
      <c r="Q7" s="959"/>
    </row>
    <row r="8" spans="1:29" ht="30" customHeight="1" thickBot="1" x14ac:dyDescent="0.25">
      <c r="G8" s="960"/>
      <c r="H8" s="961"/>
      <c r="I8" s="961"/>
      <c r="J8" s="961"/>
      <c r="K8" s="961"/>
      <c r="L8" s="961"/>
      <c r="M8" s="961"/>
      <c r="N8" s="961"/>
      <c r="O8" s="961"/>
      <c r="P8" s="961"/>
      <c r="Q8" s="962"/>
    </row>
    <row r="9" spans="1:29" ht="12.6" customHeight="1" thickTop="1" x14ac:dyDescent="0.2">
      <c r="T9" s="833" t="str">
        <f>Sprache!$E$20</f>
        <v>Zusätzl. Pause (min)</v>
      </c>
    </row>
    <row r="10" spans="1:29" ht="27.95" customHeight="1" thickBot="1" x14ac:dyDescent="0.35">
      <c r="C10" s="943" t="str">
        <f>Sprache!$E$53</f>
        <v>Halbfinale</v>
      </c>
      <c r="D10" s="943"/>
      <c r="E10" s="943"/>
      <c r="F10" s="943"/>
      <c r="T10" s="833"/>
    </row>
    <row r="11" spans="1:29" ht="24" customHeight="1" thickTop="1" thickBot="1" x14ac:dyDescent="0.25">
      <c r="B11" s="281"/>
      <c r="C11" s="330" t="str">
        <f>Sprache!$E$9</f>
        <v>Nr.</v>
      </c>
      <c r="D11" s="277" t="str">
        <f>Sprache!$E$39</f>
        <v>Beginn</v>
      </c>
      <c r="E11" s="267" t="str">
        <f>Sprache!$E$48</f>
        <v>Feld</v>
      </c>
      <c r="F11" s="267"/>
      <c r="G11" s="896" t="str">
        <f>Sprache!$E$14</f>
        <v>Spielpaarung</v>
      </c>
      <c r="H11" s="896"/>
      <c r="I11" s="896"/>
      <c r="J11" s="896" t="str">
        <f>Sprache!$E$61</f>
        <v>1. Satz</v>
      </c>
      <c r="K11" s="896"/>
      <c r="L11" s="896"/>
      <c r="M11" s="896" t="str">
        <f>Sprache!$E$62</f>
        <v>2. Satz</v>
      </c>
      <c r="N11" s="896"/>
      <c r="O11" s="896"/>
      <c r="P11" s="896" t="str">
        <f>Sprache!$E$63</f>
        <v>3. Satz</v>
      </c>
      <c r="Q11" s="896"/>
      <c r="R11" s="899"/>
      <c r="S11" s="622" t="str">
        <f>Sprache!$E$68</f>
        <v>Schiedsrichter</v>
      </c>
      <c r="T11" s="834"/>
      <c r="W11" s="567" t="s">
        <v>356</v>
      </c>
      <c r="X11" s="567" t="s">
        <v>357</v>
      </c>
      <c r="Y11" s="566" t="s">
        <v>355</v>
      </c>
      <c r="Z11" s="566" t="s">
        <v>359</v>
      </c>
      <c r="AA11" s="566" t="s">
        <v>358</v>
      </c>
      <c r="AB11" s="925" t="s">
        <v>321</v>
      </c>
      <c r="AC11" s="925"/>
    </row>
    <row r="12" spans="1:29" ht="24" customHeight="1" x14ac:dyDescent="0.2">
      <c r="A12" s="252"/>
      <c r="B12" s="317"/>
      <c r="C12" s="401">
        <f t="array" aca="1" ref="C12" ca="1">31-SUM(((Planung!$L$6:$L$35="")+(Planung!$N$6:$N$35="")&gt;0)*1)</f>
        <v>21</v>
      </c>
      <c r="D12" s="402">
        <f ca="1">IF(Planung!$V$15,"",Planung!$S$13+(Planung!$S$9+Planung!$Q$35)/1440)</f>
        <v>0.49652777777777779</v>
      </c>
      <c r="E12" s="275">
        <f>IF(Planung!$V$15,"",1)</f>
        <v>1</v>
      </c>
      <c r="F12" s="263" t="s">
        <v>221</v>
      </c>
      <c r="G12" s="264" t="str">
        <f ca="1">Vorrunde!$X$12</f>
        <v>Eintracht Frankfurt</v>
      </c>
      <c r="H12" s="265" t="s">
        <v>4</v>
      </c>
      <c r="I12" s="266" t="str">
        <f ca="1">Vorrunde!$X$23</f>
        <v>Manchester City</v>
      </c>
      <c r="J12" s="268">
        <v>13</v>
      </c>
      <c r="K12" s="272" t="str">
        <f>Sprache!$E$99</f>
        <v xml:space="preserve"> : </v>
      </c>
      <c r="L12" s="562">
        <v>25</v>
      </c>
      <c r="M12" s="268">
        <v>8</v>
      </c>
      <c r="N12" s="272" t="str">
        <f>Sprache!$E$99</f>
        <v xml:space="preserve"> : </v>
      </c>
      <c r="O12" s="562">
        <v>25</v>
      </c>
      <c r="P12" s="268"/>
      <c r="Q12" s="541" t="str">
        <f>Sprache!$E$99</f>
        <v xml:space="preserve"> : </v>
      </c>
      <c r="R12" s="269"/>
      <c r="S12" s="623"/>
      <c r="T12" s="544"/>
      <c r="U12" s="252"/>
      <c r="W12" s="252" t="str">
        <f ca="1">IF($AB12&gt;$AC12,$G12,IF($AB12&lt;$AC12,$I12,""))</f>
        <v>Manchester City</v>
      </c>
      <c r="X12" s="252" t="str">
        <f ca="1">IF($AB12&lt;$AC12,$G12,IF($AB12&gt;$AC12,$I12,""))</f>
        <v>Eintracht Frankfurt</v>
      </c>
      <c r="Y12" s="252" t="b">
        <f>AND($J12&lt;&gt;"",$L12&lt;&gt;"",$M12&lt;&gt;"",$O12&lt;&gt;"",$J12&lt;&gt;$L12,$M12&lt;&gt;$O12,($J12&gt;$L12)+($M12&gt;$O12)=1)</f>
        <v>0</v>
      </c>
      <c r="Z12" s="568" t="b">
        <f ca="1">AND($J12&lt;&gt;"",$L12&lt;&gt;"",$J12&lt;&gt;$L12,OR(AND($M12="",$O12=""),AND($M12&lt;&gt;"",$O12&lt;&gt;"",$M12&lt;&gt;$O12)),$G12&lt;&gt;"",$I12&lt;&gt;"",$G12&lt;&gt;$I12)</f>
        <v>1</v>
      </c>
      <c r="AA12" s="252" t="b">
        <f>AND($Y12,$P12&lt;&gt;"",$R12&lt;&gt;"",$P12&lt;&gt;$R12)</f>
        <v>0</v>
      </c>
      <c r="AB12" s="568">
        <f ca="1">(($J12&gt;$L12)+($M12&gt;$O12)+($P12&gt;$R12)*$AA12)*$Z12</f>
        <v>0</v>
      </c>
      <c r="AC12" s="568">
        <f ca="1">(($J12&lt;$L12)+($M12&lt;$O12)+($P12&lt;$R12)*$AA12)*$Z12</f>
        <v>2</v>
      </c>
    </row>
    <row r="13" spans="1:29" ht="24" customHeight="1" thickBot="1" x14ac:dyDescent="0.25">
      <c r="A13" s="252"/>
      <c r="B13" s="317"/>
      <c r="C13" s="323">
        <f ca="1">$C$12+1</f>
        <v>22</v>
      </c>
      <c r="D13" s="326">
        <f ca="1">IF(Planung!$V$15,"",$D$12+QUOTIENT(1,Planung!$V$11)*(Planung!$S$7+Planung!$S$9)/1440+$T12/1440)</f>
        <v>0.49652777777777779</v>
      </c>
      <c r="E13" s="303">
        <f>IF(Planung!$V$15,"",MOD(1,Planung!$V$11)+1)</f>
        <v>2</v>
      </c>
      <c r="F13" s="262" t="s">
        <v>222</v>
      </c>
      <c r="G13" s="258" t="str">
        <f ca="1">Vorrunde!$X$22</f>
        <v>Mainz 05</v>
      </c>
      <c r="H13" s="90" t="s">
        <v>4</v>
      </c>
      <c r="I13" s="260" t="str">
        <f ca="1">Vorrunde!$X$13</f>
        <v>Maibach 1822 eV</v>
      </c>
      <c r="J13" s="271">
        <v>25</v>
      </c>
      <c r="K13" s="304" t="str">
        <f>Sprache!$E$99</f>
        <v xml:space="preserve"> : </v>
      </c>
      <c r="L13" s="553">
        <v>21</v>
      </c>
      <c r="M13" s="271">
        <v>22</v>
      </c>
      <c r="N13" s="304" t="str">
        <f>Sprache!$E$99</f>
        <v xml:space="preserve"> : </v>
      </c>
      <c r="O13" s="553">
        <v>25</v>
      </c>
      <c r="P13" s="271">
        <v>13</v>
      </c>
      <c r="Q13" s="560" t="str">
        <f>Sprache!$E$99</f>
        <v xml:space="preserve"> : </v>
      </c>
      <c r="R13" s="256">
        <v>15</v>
      </c>
      <c r="S13" s="625"/>
      <c r="T13" s="557"/>
      <c r="U13" s="252"/>
      <c r="W13" s="252" t="str">
        <f ca="1">IF($AB13&gt;$AC13,$G13,IF($AB13&lt;$AC13,$I13,""))</f>
        <v>Maibach 1822 eV</v>
      </c>
      <c r="X13" s="252" t="str">
        <f ca="1">IF($AB13&lt;$AC13,$G13,IF($AB13&gt;$AC13,$I13,""))</f>
        <v>Mainz 05</v>
      </c>
      <c r="Y13" s="252" t="b">
        <f>AND($J13&lt;&gt;"",$L13&lt;&gt;"",$M13&lt;&gt;"",$O13&lt;&gt;"",$J13&lt;&gt;$L13,$M13&lt;&gt;$O13,($J13&gt;$L13)+($M13&gt;$O13)=1)</f>
        <v>1</v>
      </c>
      <c r="Z13" s="568" t="b">
        <f ca="1">AND($J13&lt;&gt;"",$L13&lt;&gt;"",$J13&lt;&gt;$L13,OR(AND($M13="",$O13=""),AND($M13&lt;&gt;"",$O13&lt;&gt;"",$M13&lt;&gt;$O13)),$G13&lt;&gt;"",$I13&lt;&gt;"",$G13&lt;&gt;$I13)</f>
        <v>1</v>
      </c>
      <c r="AA13" s="252" t="b">
        <f>AND($Y13,$P13&lt;&gt;"",$R13&lt;&gt;"",$P13&lt;&gt;$R13)</f>
        <v>1</v>
      </c>
      <c r="AB13" s="568">
        <f ca="1">(($J13&gt;$L13)+($M13&gt;$O13)+($P13&gt;$R13)*$AA13)*$Z13</f>
        <v>1</v>
      </c>
      <c r="AC13" s="568">
        <f ca="1">(($J13&lt;$L13)+($M13&lt;$O13)+($P13&lt;$R13)*$AA13)*$Z13</f>
        <v>2</v>
      </c>
    </row>
    <row r="14" spans="1:29" ht="27.95" customHeight="1" thickTop="1" thickBot="1" x14ac:dyDescent="0.35">
      <c r="A14" s="252"/>
      <c r="B14" s="318"/>
      <c r="C14" s="975" t="str">
        <f>Sprache!$E$54</f>
        <v>Endspiele</v>
      </c>
      <c r="D14" s="975"/>
      <c r="E14" s="975"/>
      <c r="F14" s="975"/>
      <c r="G14" s="379"/>
      <c r="H14" s="63"/>
      <c r="I14" s="379"/>
      <c r="J14" s="292"/>
      <c r="K14" s="292"/>
      <c r="L14" s="292"/>
      <c r="M14" s="292"/>
      <c r="N14" s="292"/>
      <c r="O14" s="292"/>
      <c r="P14" s="292"/>
      <c r="Q14" s="292"/>
      <c r="R14" s="292"/>
      <c r="S14" s="214"/>
      <c r="T14" s="294"/>
      <c r="U14" s="252"/>
      <c r="W14" s="559"/>
      <c r="X14" s="559"/>
      <c r="Y14" s="559"/>
    </row>
    <row r="15" spans="1:29" ht="24" customHeight="1" thickTop="1" x14ac:dyDescent="0.2">
      <c r="A15" s="252"/>
      <c r="B15" s="317"/>
      <c r="C15" s="327">
        <f ca="1">$C$12+2</f>
        <v>23</v>
      </c>
      <c r="D15" s="328">
        <f ca="1">IF(Planung!$V$15,"",$D$13+($T$13+Planung!$S$9+Planung!$S$7)/1440)</f>
        <v>0.52083333333333337</v>
      </c>
      <c r="E15" s="295">
        <f>IF(Planung!$V$15,"",1)</f>
        <v>1</v>
      </c>
      <c r="F15" s="296" t="str">
        <f>Sprache!$E$108</f>
        <v>3. Platz</v>
      </c>
      <c r="G15" s="297" t="str">
        <f ca="1">X12</f>
        <v>Eintracht Frankfurt</v>
      </c>
      <c r="H15" s="298" t="s">
        <v>4</v>
      </c>
      <c r="I15" s="299" t="str">
        <f ca="1">X13</f>
        <v>Mainz 05</v>
      </c>
      <c r="J15" s="300">
        <v>19</v>
      </c>
      <c r="K15" s="301" t="str">
        <f>Sprache!$E$99</f>
        <v xml:space="preserve"> : </v>
      </c>
      <c r="L15" s="558">
        <v>25</v>
      </c>
      <c r="M15" s="300">
        <v>16</v>
      </c>
      <c r="N15" s="301" t="str">
        <f>Sprache!$E$99</f>
        <v xml:space="preserve"> : </v>
      </c>
      <c r="O15" s="558">
        <v>25</v>
      </c>
      <c r="P15" s="300"/>
      <c r="Q15" s="561" t="str">
        <f>Sprache!$E$99</f>
        <v xml:space="preserve"> : </v>
      </c>
      <c r="R15" s="302"/>
      <c r="S15" s="629"/>
      <c r="T15" s="544"/>
      <c r="U15" s="252"/>
      <c r="W15" s="252" t="str">
        <f ca="1">IF($AB15&gt;$AC15,$G15,IF($AB15&lt;$AC15,$I15,""))</f>
        <v>Mainz 05</v>
      </c>
      <c r="X15" s="252" t="str">
        <f ca="1">IF($AB15&lt;$AC15,$G15,IF($AB15&gt;$AC15,$I15,""))</f>
        <v>Eintracht Frankfurt</v>
      </c>
      <c r="Y15" s="252" t="b">
        <f>AND($J15&lt;&gt;"",$L15&lt;&gt;"",$M15&lt;&gt;"",$O15&lt;&gt;"",$J15&lt;&gt;$L15,$M15&lt;&gt;$O15,($J15&gt;$L15)+($M15&gt;$O15)=1)</f>
        <v>0</v>
      </c>
      <c r="Z15" s="568" t="b">
        <f ca="1">AND($J15&lt;&gt;"",$L15&lt;&gt;"",$J15&lt;&gt;$L15,OR(AND($M15="",$O15=""),AND($M15&lt;&gt;"",$O15&lt;&gt;"",$M15&lt;&gt;$O15)),$G15&lt;&gt;"",$I15&lt;&gt;"",$G15&lt;&gt;$I15)</f>
        <v>1</v>
      </c>
      <c r="AA15" s="252" t="b">
        <f>AND($Y15,$P15&lt;&gt;"",$R15&lt;&gt;"",$P15&lt;&gt;$R15)</f>
        <v>0</v>
      </c>
      <c r="AB15" s="568">
        <f ca="1">(($J15&gt;$L15)+($M15&gt;$O15)+($P15&gt;$R15)*$AA15)*$Z15</f>
        <v>0</v>
      </c>
      <c r="AC15" s="568">
        <f ca="1">(($J15&lt;$L15)+($M15&lt;$O15)+($P15&lt;$R15)*$AA15)*$Z15</f>
        <v>2</v>
      </c>
    </row>
    <row r="16" spans="1:29" ht="24" customHeight="1" thickBot="1" x14ac:dyDescent="0.25">
      <c r="A16" s="252"/>
      <c r="B16" s="317"/>
      <c r="C16" s="323">
        <f ca="1">$C$12+3</f>
        <v>24</v>
      </c>
      <c r="D16" s="326">
        <f ca="1">IF(Planung!$V$15,"",$D$15+($T$15+Planung!$S$9+Planung!$S$7)/1440)</f>
        <v>0.54513888888888895</v>
      </c>
      <c r="E16" s="303">
        <f>IF(Planung!$V$15,"",1)</f>
        <v>1</v>
      </c>
      <c r="F16" s="262" t="str">
        <f>Sprache!$E$109</f>
        <v>Finale</v>
      </c>
      <c r="G16" s="258" t="str">
        <f ca="1">W12</f>
        <v>Manchester City</v>
      </c>
      <c r="H16" s="90" t="s">
        <v>4</v>
      </c>
      <c r="I16" s="260" t="str">
        <f ca="1">W13</f>
        <v>Maibach 1822 eV</v>
      </c>
      <c r="J16" s="271">
        <v>21</v>
      </c>
      <c r="K16" s="304" t="str">
        <f>Sprache!$E$99</f>
        <v xml:space="preserve"> : </v>
      </c>
      <c r="L16" s="553">
        <v>25</v>
      </c>
      <c r="M16" s="271">
        <v>25</v>
      </c>
      <c r="N16" s="304" t="str">
        <f>Sprache!$E$99</f>
        <v xml:space="preserve"> : </v>
      </c>
      <c r="O16" s="553">
        <v>23</v>
      </c>
      <c r="P16" s="271">
        <v>13</v>
      </c>
      <c r="Q16" s="560" t="str">
        <f>Sprache!$E$99</f>
        <v xml:space="preserve"> : </v>
      </c>
      <c r="R16" s="256">
        <v>15</v>
      </c>
      <c r="S16" s="628"/>
      <c r="T16" s="556"/>
      <c r="U16" s="252"/>
      <c r="W16" s="252" t="str">
        <f ca="1">IF($AB16&gt;$AC16,$G16,IF($AB16&lt;$AC16,$I16,""))</f>
        <v>Maibach 1822 eV</v>
      </c>
      <c r="X16" s="252" t="str">
        <f ca="1">IF($AB16&lt;$AC16,$G16,IF($AB16&gt;$AC16,$I16,""))</f>
        <v>Manchester City</v>
      </c>
      <c r="Y16" s="252" t="b">
        <f>AND($J16&lt;&gt;"",$L16&lt;&gt;"",$M16&lt;&gt;"",$O16&lt;&gt;"",$J16&lt;&gt;$L16,$M16&lt;&gt;$O16,($J16&gt;$L16)+($M16&gt;$O16)=1)</f>
        <v>1</v>
      </c>
      <c r="Z16" s="568" t="b">
        <f ca="1">AND($J16&lt;&gt;"",$L16&lt;&gt;"",$J16&lt;&gt;$L16,OR(AND($M16="",$O16=""),AND($M16&lt;&gt;"",$O16&lt;&gt;"",$M16&lt;&gt;$O16)),$G16&lt;&gt;"",$I16&lt;&gt;"",$G16&lt;&gt;$I16)</f>
        <v>1</v>
      </c>
      <c r="AA16" s="252" t="b">
        <f>AND($Y16,$P16&lt;&gt;"",$R16&lt;&gt;"",$P16&lt;&gt;$R16)</f>
        <v>1</v>
      </c>
      <c r="AB16" s="568">
        <f ca="1">(($J16&gt;$L16)+($M16&gt;$O16)+($P16&gt;$R16)*$AA16)*$Z16</f>
        <v>1</v>
      </c>
      <c r="AC16" s="568">
        <f ca="1">(($J16&lt;$L16)+($M16&lt;$O16)+($P16&lt;$R16)*$AA16)*$Z16</f>
        <v>2</v>
      </c>
    </row>
    <row r="17" spans="3:16384" ht="12.75" customHeight="1" thickTop="1" x14ac:dyDescent="0.2"/>
    <row r="18" spans="3:16384" ht="24" customHeight="1" x14ac:dyDescent="0.2">
      <c r="C18" s="288"/>
      <c r="D18" s="288"/>
      <c r="E18" s="288"/>
      <c r="F18" s="288"/>
      <c r="G18" s="941" t="str">
        <f>Sprache!$E$29</f>
        <v>Turnierende:</v>
      </c>
      <c r="H18" s="941"/>
      <c r="I18" s="289">
        <f ca="1">IF(Planung!$S$13="","",$D$16+Planung!$S$7/1440)</f>
        <v>0.56597222222222232</v>
      </c>
      <c r="J18" s="290"/>
      <c r="K18" s="290"/>
      <c r="L18" s="290"/>
      <c r="M18" s="290"/>
      <c r="N18" s="290"/>
      <c r="O18" s="290"/>
      <c r="P18" s="290"/>
      <c r="Q18" s="290"/>
      <c r="R18" s="290"/>
      <c r="S18" s="290"/>
      <c r="T18" s="290"/>
    </row>
    <row r="19" spans="3:16384" ht="12.75" customHeight="1" x14ac:dyDescent="0.2">
      <c r="D19" s="282"/>
    </row>
    <row r="20" spans="3:16384" ht="12.75" customHeight="1" x14ac:dyDescent="0.2">
      <c r="D20" s="282"/>
    </row>
    <row r="21" spans="3:16384" ht="24" customHeight="1" thickBot="1" x14ac:dyDescent="0.25">
      <c r="F21" s="291" t="str">
        <f>Sprache!$E$107</f>
        <v>Rang</v>
      </c>
      <c r="G21" s="969" t="str">
        <f>"  "&amp;Sprache!$E$10</f>
        <v xml:space="preserve">  Teilnehmer bzw. Mannschaft</v>
      </c>
      <c r="H21" s="969"/>
      <c r="I21" s="970"/>
    </row>
    <row r="22" spans="3:16384" ht="24" customHeight="1" thickTop="1" x14ac:dyDescent="0.2">
      <c r="E22" s="283">
        <v>1</v>
      </c>
      <c r="F22" s="331">
        <v>1</v>
      </c>
      <c r="G22" s="971" t="str">
        <f ca="1">W16</f>
        <v>Maibach 1822 eV</v>
      </c>
      <c r="H22" s="971"/>
      <c r="I22" s="972"/>
    </row>
    <row r="23" spans="3:16384" ht="24" customHeight="1" x14ac:dyDescent="0.2">
      <c r="E23" s="283">
        <v>2</v>
      </c>
      <c r="F23" s="332">
        <v>2</v>
      </c>
      <c r="G23" s="973" t="str">
        <f ca="1">X16</f>
        <v>Manchester City</v>
      </c>
      <c r="H23" s="973"/>
      <c r="I23" s="974"/>
    </row>
    <row r="24" spans="3:16384" ht="24" customHeight="1" x14ac:dyDescent="0.2">
      <c r="E24" s="283">
        <v>3</v>
      </c>
      <c r="F24" s="333">
        <v>3</v>
      </c>
      <c r="G24" s="967" t="str">
        <f ca="1">W15</f>
        <v>Mainz 05</v>
      </c>
      <c r="H24" s="967"/>
      <c r="I24" s="968"/>
    </row>
    <row r="25" spans="3:16384" ht="24" customHeight="1" thickBot="1" x14ac:dyDescent="0.25">
      <c r="E25" s="283">
        <v>4</v>
      </c>
      <c r="F25" s="335">
        <v>4</v>
      </c>
      <c r="G25" s="965" t="str">
        <f ca="1">X15</f>
        <v>Eintracht Frankfurt</v>
      </c>
      <c r="H25" s="965"/>
      <c r="I25" s="966"/>
    </row>
    <row r="26" spans="3:16384" s="9" customFormat="1" ht="13.5" thickTop="1" x14ac:dyDescent="0.2">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pans="3:16384" s="9" customFormat="1" ht="12.75" x14ac:dyDescent="0.2">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pans="3:16384" s="9" customFormat="1" ht="12.75" x14ac:dyDescent="0.2">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c r="XFD28"/>
    </row>
    <row r="29" spans="3:16384" s="9" customFormat="1" ht="12.75" x14ac:dyDescent="0.2">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c r="XFD29"/>
    </row>
    <row r="30" spans="3:16384" ht="12.75" customHeight="1" x14ac:dyDescent="0.2"/>
    <row r="31" spans="3:16384" ht="12.75" customHeight="1" x14ac:dyDescent="0.2"/>
  </sheetData>
  <sheetProtection sheet="1" selectLockedCells="1"/>
  <mergeCells count="19">
    <mergeCell ref="E2:T2"/>
    <mergeCell ref="E3:T3"/>
    <mergeCell ref="E4:T4"/>
    <mergeCell ref="E5:T5"/>
    <mergeCell ref="G7:Q8"/>
    <mergeCell ref="AB11:AC11"/>
    <mergeCell ref="G25:I25"/>
    <mergeCell ref="C14:F14"/>
    <mergeCell ref="G21:I21"/>
    <mergeCell ref="G22:I22"/>
    <mergeCell ref="G23:I23"/>
    <mergeCell ref="G24:I24"/>
    <mergeCell ref="G18:H18"/>
    <mergeCell ref="T9:T11"/>
    <mergeCell ref="C10:F10"/>
    <mergeCell ref="G11:I11"/>
    <mergeCell ref="J11:L11"/>
    <mergeCell ref="M11:O11"/>
    <mergeCell ref="P11:R11"/>
  </mergeCells>
  <conditionalFormatting sqref="J12:O13 J15:O16">
    <cfRule type="expression" dxfId="18" priority="7">
      <formula>OR(AND($J12&lt;&gt;"",$J12=$L12),AND($M12&lt;&gt;"",$M12=$O12))</formula>
    </cfRule>
  </conditionalFormatting>
  <conditionalFormatting sqref="J12:R13 J15:R16">
    <cfRule type="expression" dxfId="17" priority="6">
      <formula>OR($G12="",$I12="")</formula>
    </cfRule>
  </conditionalFormatting>
  <conditionalFormatting sqref="P12:R13 P15:R16">
    <cfRule type="expression" dxfId="16" priority="4">
      <formula>NOT($Y12)</formula>
    </cfRule>
    <cfRule type="expression" dxfId="15" priority="5">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C98BB549-126A-4A9E-B6DC-B74627468A8F}">
            <xm:f>$F25&gt;2*#REF!-MOD((#REF!+Calc2!$F$13),2)</xm:f>
            <x14:dxf>
              <numFmt numFmtId="165" formatCode=";;;"/>
            </x14:dxf>
          </x14:cfRule>
          <xm:sqref>F25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47"/>
  <sheetViews>
    <sheetView showGridLines="0" showRowColHeaders="0" zoomScaleNormal="100" workbookViewId="0">
      <selection activeCell="L12" sqref="L12"/>
    </sheetView>
  </sheetViews>
  <sheetFormatPr baseColWidth="10" defaultColWidth="0" defaultRowHeight="0" customHeight="1" zeroHeight="1" x14ac:dyDescent="0.2"/>
  <cols>
    <col min="1" max="1" width="1.140625" style="9" customWidth="1"/>
    <col min="2" max="2" width="1.85546875" style="9" customWidth="1"/>
    <col min="3" max="3" width="6.85546875" style="9" customWidth="1"/>
    <col min="4" max="4" width="11.42578125" style="9" customWidth="1"/>
    <col min="5" max="5" width="8.42578125" style="9" customWidth="1"/>
    <col min="6" max="6" width="4.7109375" style="9" customWidth="1"/>
    <col min="7" max="7" width="2.42578125" style="9" customWidth="1"/>
    <col min="8" max="8" width="4.7109375" style="9" customWidth="1"/>
    <col min="9" max="9" width="26.7109375" style="9" customWidth="1"/>
    <col min="10" max="10" width="2.85546875" style="9" customWidth="1"/>
    <col min="11" max="11" width="26.7109375" style="9" customWidth="1"/>
    <col min="12" max="12" width="4.7109375" style="9" customWidth="1"/>
    <col min="13" max="13" width="2.140625" style="9" customWidth="1"/>
    <col min="14" max="15" width="4.7109375" style="9" customWidth="1"/>
    <col min="16" max="16" width="2.140625" style="9" customWidth="1"/>
    <col min="17" max="18" width="4.7109375" style="9" customWidth="1"/>
    <col min="19" max="19" width="2.140625" style="9" customWidth="1"/>
    <col min="20" max="21" width="4.7109375" style="9" customWidth="1"/>
    <col min="22" max="22" width="2.140625" style="9" customWidth="1"/>
    <col min="23" max="23" width="4.7109375" style="9" customWidth="1"/>
    <col min="24" max="24" width="15.7109375" style="9" customWidth="1"/>
    <col min="25" max="25" width="8" style="9" customWidth="1"/>
    <col min="26" max="26" width="3.42578125" style="9" customWidth="1"/>
    <col min="27" max="27" width="4.5703125" style="9" customWidth="1"/>
    <col min="28" max="28" width="26.7109375" style="9" customWidth="1"/>
    <col min="29" max="33" width="4.7109375" style="9" customWidth="1"/>
    <col min="34" max="34" width="2.140625" style="9" customWidth="1"/>
    <col min="35" max="35" width="4.7109375" style="9" customWidth="1"/>
    <col min="36" max="36" width="5.7109375" style="9" customWidth="1"/>
    <col min="37" max="37" width="6.7109375" style="9" customWidth="1"/>
    <col min="38" max="38" width="1.140625" style="9" customWidth="1"/>
    <col min="39" max="39" width="6.7109375" style="9" customWidth="1"/>
    <col min="40" max="40" width="7.42578125" style="9" customWidth="1"/>
    <col min="41" max="41" width="8.85546875" style="9" customWidth="1"/>
    <col min="42" max="42" width="1.85546875" style="9" customWidth="1"/>
    <col min="43" max="43" width="1.42578125" style="9" customWidth="1"/>
    <col min="44" max="44" width="6.7109375" style="9" customWidth="1"/>
    <col min="45" max="45" width="28.7109375" style="9" customWidth="1"/>
    <col min="46" max="46" width="1.42578125" style="9" customWidth="1"/>
    <col min="47" max="47" width="12.42578125" style="9" customWidth="1"/>
    <col min="48" max="48" width="5.28515625" style="9" customWidth="1"/>
    <col min="49" max="55" width="0" style="9" hidden="1" customWidth="1"/>
    <col min="56" max="16384" width="11.42578125" style="9" hidden="1"/>
  </cols>
  <sheetData>
    <row r="1" spans="2:55" ht="13.5" thickBot="1" x14ac:dyDescent="0.25"/>
    <row r="2" spans="2:55" ht="36" customHeight="1" thickTop="1" x14ac:dyDescent="0.2">
      <c r="F2" s="447"/>
      <c r="G2" s="447"/>
      <c r="H2" s="447"/>
      <c r="I2" s="448"/>
      <c r="J2" s="944" t="str">
        <f>Vorrunde!$H$2</f>
        <v>Internationales U10-Turnier am 18.08.2025</v>
      </c>
      <c r="K2" s="945"/>
      <c r="L2" s="945"/>
      <c r="M2" s="945"/>
      <c r="N2" s="945"/>
      <c r="O2" s="945"/>
      <c r="P2" s="945"/>
      <c r="Q2" s="945"/>
      <c r="R2" s="945"/>
      <c r="S2" s="945"/>
      <c r="T2" s="945"/>
      <c r="U2" s="945"/>
      <c r="V2" s="945"/>
      <c r="W2" s="945"/>
      <c r="X2" s="945"/>
      <c r="Y2" s="945"/>
      <c r="Z2" s="945"/>
      <c r="AA2" s="945"/>
      <c r="AB2" s="945"/>
      <c r="AC2" s="946"/>
      <c r="AD2" s="817"/>
      <c r="AE2" s="447"/>
      <c r="AF2" s="447"/>
      <c r="AG2" s="447"/>
      <c r="AH2" s="447"/>
      <c r="AI2" s="447"/>
      <c r="AJ2" s="447"/>
      <c r="AK2" s="447"/>
      <c r="AL2" s="447"/>
      <c r="AM2" s="447"/>
    </row>
    <row r="3" spans="2:55" ht="30" customHeight="1" x14ac:dyDescent="0.2">
      <c r="F3" s="449"/>
      <c r="G3" s="449"/>
      <c r="H3" s="449"/>
      <c r="I3" s="450"/>
      <c r="J3" s="947" t="str">
        <f>Vorrunde!$H$3</f>
        <v>Veranstalter:  1. FC Riedwald</v>
      </c>
      <c r="K3" s="948"/>
      <c r="L3" s="948"/>
      <c r="M3" s="948"/>
      <c r="N3" s="948"/>
      <c r="O3" s="948"/>
      <c r="P3" s="948"/>
      <c r="Q3" s="948"/>
      <c r="R3" s="948"/>
      <c r="S3" s="948"/>
      <c r="T3" s="948"/>
      <c r="U3" s="948"/>
      <c r="V3" s="948"/>
      <c r="W3" s="948"/>
      <c r="X3" s="948"/>
      <c r="Y3" s="948"/>
      <c r="Z3" s="948"/>
      <c r="AA3" s="948"/>
      <c r="AB3" s="948"/>
      <c r="AC3" s="949"/>
      <c r="AD3" s="818"/>
      <c r="AE3" s="449"/>
      <c r="AF3" s="449"/>
      <c r="AG3" s="449"/>
      <c r="AH3" s="449"/>
      <c r="AI3" s="449"/>
      <c r="AJ3" s="449"/>
      <c r="AK3" s="449"/>
      <c r="AL3" s="449"/>
      <c r="AM3" s="449"/>
    </row>
    <row r="4" spans="2:55" ht="30" customHeight="1" x14ac:dyDescent="0.2">
      <c r="F4" s="451"/>
      <c r="G4" s="451"/>
      <c r="H4" s="451"/>
      <c r="I4" s="452"/>
      <c r="J4" s="950" t="str">
        <f>Vorrunde!$H$4</f>
        <v>Sporthalle Wiesengrund, Wendiger Str. 51, 65432 Riedwald</v>
      </c>
      <c r="K4" s="951"/>
      <c r="L4" s="951"/>
      <c r="M4" s="951"/>
      <c r="N4" s="951"/>
      <c r="O4" s="951"/>
      <c r="P4" s="951"/>
      <c r="Q4" s="951"/>
      <c r="R4" s="951"/>
      <c r="S4" s="951"/>
      <c r="T4" s="951"/>
      <c r="U4" s="951"/>
      <c r="V4" s="951"/>
      <c r="W4" s="951"/>
      <c r="X4" s="951"/>
      <c r="Y4" s="951"/>
      <c r="Z4" s="951"/>
      <c r="AA4" s="951"/>
      <c r="AB4" s="951"/>
      <c r="AC4" s="952"/>
      <c r="AD4" s="819"/>
      <c r="AE4" s="451"/>
      <c r="AF4" s="451"/>
      <c r="AG4" s="451"/>
      <c r="AH4" s="451"/>
      <c r="AI4" s="451"/>
      <c r="AJ4" s="451"/>
      <c r="AK4" s="451"/>
      <c r="AL4" s="451"/>
      <c r="AM4" s="451"/>
    </row>
    <row r="5" spans="2:55" ht="30" customHeight="1" thickBot="1" x14ac:dyDescent="0.25">
      <c r="F5" s="451"/>
      <c r="G5" s="451"/>
      <c r="H5" s="451"/>
      <c r="I5" s="452"/>
      <c r="J5" s="953" t="str">
        <f>Vorrunde!$H$5</f>
        <v>Beginn:  9:00 Uhr</v>
      </c>
      <c r="K5" s="954"/>
      <c r="L5" s="954"/>
      <c r="M5" s="954"/>
      <c r="N5" s="954"/>
      <c r="O5" s="954"/>
      <c r="P5" s="954"/>
      <c r="Q5" s="954"/>
      <c r="R5" s="954"/>
      <c r="S5" s="954"/>
      <c r="T5" s="954"/>
      <c r="U5" s="954"/>
      <c r="V5" s="954"/>
      <c r="W5" s="954"/>
      <c r="X5" s="954"/>
      <c r="Y5" s="954"/>
      <c r="Z5" s="954"/>
      <c r="AA5" s="954"/>
      <c r="AB5" s="954"/>
      <c r="AC5" s="955"/>
      <c r="AD5" s="819"/>
      <c r="AE5" s="451"/>
      <c r="AF5" s="451"/>
      <c r="AG5" s="451"/>
      <c r="AH5" s="451"/>
      <c r="AI5" s="451"/>
      <c r="AJ5" s="451"/>
      <c r="AK5" s="451"/>
      <c r="AL5" s="451"/>
      <c r="AM5" s="451"/>
    </row>
    <row r="6" spans="2:55" ht="18" customHeight="1" thickTop="1" thickBot="1" x14ac:dyDescent="0.25"/>
    <row r="7" spans="2:55" ht="30" customHeight="1" thickTop="1" x14ac:dyDescent="0.2">
      <c r="K7" s="820"/>
      <c r="L7" s="957" t="str">
        <f>Sprache!$E$19</f>
        <v>Endrunde</v>
      </c>
      <c r="M7" s="958"/>
      <c r="N7" s="958"/>
      <c r="O7" s="958"/>
      <c r="P7" s="958"/>
      <c r="Q7" s="958"/>
      <c r="R7" s="958"/>
      <c r="S7" s="958"/>
      <c r="T7" s="958"/>
      <c r="U7" s="958"/>
      <c r="V7" s="958"/>
      <c r="W7" s="958"/>
      <c r="X7" s="958"/>
      <c r="Y7" s="958"/>
      <c r="Z7" s="958"/>
      <c r="AA7" s="959"/>
      <c r="AB7" s="821"/>
    </row>
    <row r="8" spans="2:55" ht="30" customHeight="1" thickBot="1" x14ac:dyDescent="0.25">
      <c r="K8" s="820"/>
      <c r="L8" s="960"/>
      <c r="M8" s="961"/>
      <c r="N8" s="961"/>
      <c r="O8" s="961"/>
      <c r="P8" s="961"/>
      <c r="Q8" s="961"/>
      <c r="R8" s="961"/>
      <c r="S8" s="961"/>
      <c r="T8" s="961"/>
      <c r="U8" s="961"/>
      <c r="V8" s="961"/>
      <c r="W8" s="961"/>
      <c r="X8" s="961"/>
      <c r="Y8" s="961"/>
      <c r="Z8" s="961"/>
      <c r="AA8" s="962"/>
      <c r="AB8" s="821"/>
    </row>
    <row r="9" spans="2:55" ht="12.6" customHeight="1" thickTop="1" x14ac:dyDescent="0.2"/>
    <row r="10" spans="2:55" ht="27.95" customHeight="1" thickBot="1" x14ac:dyDescent="0.45">
      <c r="C10" s="943" t="str">
        <f>Sprache!$E$55&amp;IF(MIN(Calc1!$F$13,Calc2!$F$13)*2&lt;2,""," 1 - "&amp;MIN(Calc1!$F$13,Calc2!$F$13)*2)</f>
        <v>Spiele um die Plätze  1 - 10</v>
      </c>
      <c r="D10" s="943"/>
      <c r="E10" s="943"/>
      <c r="F10" s="943"/>
      <c r="G10" s="411"/>
      <c r="H10" s="411"/>
      <c r="Y10" s="833" t="str">
        <f>Sprache!$E$20</f>
        <v>Zusätzl. Pause (min)</v>
      </c>
      <c r="AA10" s="979" t="str">
        <f>Sprache!$E$57</f>
        <v>Gruppenerste und -zweite</v>
      </c>
      <c r="AB10" s="979"/>
      <c r="AC10" s="979"/>
      <c r="AD10" s="979"/>
      <c r="AE10" s="979"/>
      <c r="AF10" s="979"/>
      <c r="AG10" s="805"/>
      <c r="AH10" s="805"/>
      <c r="AI10" s="805"/>
      <c r="AJ10" s="805"/>
      <c r="AK10" s="124"/>
      <c r="AL10" s="124"/>
      <c r="AM10" s="124"/>
      <c r="AN10" s="124"/>
      <c r="AO10" s="124"/>
      <c r="AR10" s="980" t="str">
        <f>$AA10</f>
        <v>Gruppenerste und -zweite</v>
      </c>
      <c r="AS10" s="980"/>
      <c r="AT10" s="981"/>
      <c r="AU10" s="475" t="str">
        <f>Sprache!$E$71</f>
        <v>Bonus</v>
      </c>
    </row>
    <row r="11" spans="2:55" ht="24" customHeight="1" thickTop="1" thickBot="1" x14ac:dyDescent="0.25">
      <c r="B11" s="281"/>
      <c r="C11" s="330" t="str">
        <f>Sprache!$E$9</f>
        <v>Nr.</v>
      </c>
      <c r="D11" s="277" t="str">
        <f>Sprache!$E$39</f>
        <v>Beginn</v>
      </c>
      <c r="E11" s="267" t="str">
        <f>Sprache!$E$48</f>
        <v>Feld</v>
      </c>
      <c r="F11" s="415"/>
      <c r="G11" s="412"/>
      <c r="H11" s="277"/>
      <c r="I11" s="938" t="str">
        <f>Sprache!$E$14</f>
        <v>Spielpaarung</v>
      </c>
      <c r="J11" s="939"/>
      <c r="K11" s="940"/>
      <c r="L11" s="956" t="str">
        <f>Sprache!$E$61</f>
        <v>1. Satz</v>
      </c>
      <c r="M11" s="896"/>
      <c r="N11" s="896"/>
      <c r="O11" s="896" t="str">
        <f>Sprache!$E$62</f>
        <v>2. Satz</v>
      </c>
      <c r="P11" s="896"/>
      <c r="Q11" s="896"/>
      <c r="R11" s="896" t="str">
        <f>Sprache!$E$63</f>
        <v>3. Satz</v>
      </c>
      <c r="S11" s="896"/>
      <c r="T11" s="984"/>
      <c r="U11" s="898" t="str">
        <f>Sprache!$E$25</f>
        <v>Sätze</v>
      </c>
      <c r="V11" s="896"/>
      <c r="W11" s="899"/>
      <c r="X11" s="622" t="str">
        <f>Sprache!$E$68</f>
        <v>Schiedsrichter</v>
      </c>
      <c r="Y11" s="834"/>
      <c r="AA11" s="982"/>
      <c r="AB11" s="983"/>
      <c r="AC11" s="126" t="str">
        <f>Sprache!$E$21</f>
        <v>SP</v>
      </c>
      <c r="AD11" s="127" t="str">
        <f>Sprache!$E$22</f>
        <v>G</v>
      </c>
      <c r="AE11" s="127" t="str">
        <f>Sprache!$E$23</f>
        <v>U</v>
      </c>
      <c r="AF11" s="410" t="str">
        <f>Sprache!$E$24</f>
        <v>V</v>
      </c>
      <c r="AG11" s="880" t="str">
        <f>Sprache!$E$25</f>
        <v>Sätze</v>
      </c>
      <c r="AH11" s="881"/>
      <c r="AI11" s="882"/>
      <c r="AJ11" s="780" t="str">
        <f>Sprache!$E$26</f>
        <v>Diff.</v>
      </c>
      <c r="AK11" s="877" t="str">
        <f>Sprache!$E$60</f>
        <v>Bälle</v>
      </c>
      <c r="AL11" s="878"/>
      <c r="AM11" s="879"/>
      <c r="AN11" s="127" t="str">
        <f>IF(Einstellungen!$G$24,Sprache!$E$26,Sprache!$E$67)</f>
        <v>Diff.</v>
      </c>
      <c r="AO11" s="129" t="str">
        <f>IF(Einstellungen!$G$9,Sprache!$E$27,Sprache!$E$80)</f>
        <v>Pkt</v>
      </c>
      <c r="AR11" s="416"/>
      <c r="AS11" s="417" t="str">
        <f>Sprache!$E$10</f>
        <v>Teilnehmer bzw. Mannschaft</v>
      </c>
      <c r="AT11" s="554" t="str">
        <f>Sprache!$E$49</f>
        <v>Tie-Break</v>
      </c>
    </row>
    <row r="12" spans="2:55" s="252" customFormat="1" ht="24" customHeight="1" x14ac:dyDescent="0.2">
      <c r="B12" s="317"/>
      <c r="C12" s="329">
        <f t="array" aca="1" ref="C12" ca="1">31-SUM(((Planung!$L$6:$L$35="")+(Planung!$N$6:$N$35="")&gt;0)*1)</f>
        <v>21</v>
      </c>
      <c r="D12" s="278">
        <f ca="1">IF(Planung!$V$15,"",Planung!$S$13+(Planung!$S$9+Planung!$Q$35)/1440)</f>
        <v>0.49652777777777779</v>
      </c>
      <c r="E12" s="275">
        <f>IF(Planung!$V$15,"",1)</f>
        <v>1</v>
      </c>
      <c r="F12" s="433" t="s">
        <v>305</v>
      </c>
      <c r="G12" s="434" t="s">
        <v>4</v>
      </c>
      <c r="H12" s="435" t="s">
        <v>308</v>
      </c>
      <c r="I12" s="413" t="str">
        <f t="shared" ref="I12:I29" ca="1" si="0">IF($F12="","",IF(VLOOKUP($F12,$AR$12:$AS$29,2,0)="","",VLOOKUP($F12,$AR$12:$AS$29,2,0)))</f>
        <v>VFB Essenheim</v>
      </c>
      <c r="J12" s="265" t="s">
        <v>4</v>
      </c>
      <c r="K12" s="266" t="str">
        <f t="shared" ref="K12:K29" ca="1" si="1">IF($H12="","",IF(VLOOKUP($H12,$AR$12:$AS$29,2,0)="","",VLOOKUP($H12,$AR$12:$AS$29,2,0)))</f>
        <v/>
      </c>
      <c r="L12" s="796"/>
      <c r="M12" s="272" t="str">
        <f>Sprache!$E$99</f>
        <v xml:space="preserve"> : </v>
      </c>
      <c r="N12" s="798"/>
      <c r="O12" s="797"/>
      <c r="P12" s="541" t="str">
        <f>Sprache!$E$99</f>
        <v xml:space="preserve"> : </v>
      </c>
      <c r="Q12" s="798"/>
      <c r="R12" s="797"/>
      <c r="S12" s="541" t="str">
        <f>Sprache!$E$99</f>
        <v xml:space="preserve"> : </v>
      </c>
      <c r="T12" s="802"/>
      <c r="U12" s="650" t="str">
        <f ca="1">IF(AW12,"",(L12&lt;&gt;"")*(N12&lt;&gt;"")*NOT(AX12)*(L12&gt;N12)+(O12&lt;&gt;"")*(Q12&lt;&gt;"")*NOT(AY12)*(O12&gt;Q12)+(R12&lt;&gt;"")*(T12&lt;&gt;"")*NOT(AZ12)*(R12&gt;T12))</f>
        <v/>
      </c>
      <c r="V12" s="806" t="str">
        <f>Sprache!$E$99</f>
        <v xml:space="preserve"> : </v>
      </c>
      <c r="W12" s="651" t="str">
        <f ca="1">IF(AW12,"",(L12&lt;&gt;"")*(N12&lt;&gt;"")*NOT(AX12)*(L12&lt;N12)+(O12&lt;&gt;"")*(Q12&lt;&gt;"")*NOT(AY12)*(O12&lt;Q12)+(R12&lt;&gt;"")*(T12&lt;&gt;"")*NOT(AZ12)*(R12&lt;T12))</f>
        <v/>
      </c>
      <c r="X12" s="623"/>
      <c r="Y12" s="544"/>
      <c r="AA12" s="418">
        <f ca="1">IF(CalcE1!$K$13=0,"",1)</f>
        <v>1</v>
      </c>
      <c r="AB12" s="312" t="str">
        <f ca="1">IF(Calc1!$F$14&lt;3,"",IF(CalcE1!$K$13=0,CalcE1!$Q$64,VLOOKUP(CalcE1!$B$4,CalcE1!$C$4:$N$12,4,0)))</f>
        <v>Manchester City</v>
      </c>
      <c r="AC12" s="419">
        <f ca="1">IF(CalcE1!$K$13=0,"",VLOOKUP(CalcE1!$B$4,CalcE1!$C$4:$N$12,9,0))</f>
        <v>3</v>
      </c>
      <c r="AD12" s="133">
        <f ca="1">IF(CalcE1!$K$13=0,"",VLOOKUP(CalcE1!$B$4,CalcE1!$C$4:$N$12,10,0))</f>
        <v>1</v>
      </c>
      <c r="AE12" s="133">
        <f ca="1">IF(CalcE1!$K$13=0,"",VLOOKUP(CalcE1!$B$4,CalcE1!$C$4:$N$12,11,0))</f>
        <v>2</v>
      </c>
      <c r="AF12" s="133">
        <f ca="1">IF(CalcE1!$K$13=0,"",VLOOKUP(CalcE1!$B$4,CalcE1!$C$4:$N$12,12,0))</f>
        <v>0</v>
      </c>
      <c r="AG12" s="135">
        <f ca="1">IF(CalcE1!$K$13=0,"",VLOOKUP(CalcE1!B4,CalcE1!$C$4:$AT$12,44,0))</f>
        <v>4</v>
      </c>
      <c r="AH12" s="420" t="str">
        <f>Sprache!$E$99</f>
        <v xml:space="preserve"> : </v>
      </c>
      <c r="AI12" s="137">
        <f ca="1">IF(CalcE1!$K$13=0,"",VLOOKUP(CalcE1!B4,CalcE1!$C$4:$AS$12,43,0))</f>
        <v>2</v>
      </c>
      <c r="AJ12" s="134">
        <f ca="1">IF(CalcE1!$K$13=0,"",AG12-AI12)</f>
        <v>2</v>
      </c>
      <c r="AK12" s="135">
        <f ca="1">IF(CalcE1!$K$13=0,"",VLOOKUP(CalcE1!$B$4,CalcE1!$C$4:$N$12,5,0))</f>
        <v>136</v>
      </c>
      <c r="AL12" s="420" t="str">
        <f>Sprache!$E$99</f>
        <v xml:space="preserve"> : </v>
      </c>
      <c r="AM12" s="137">
        <f ca="1">IF(CalcE1!$K$13=0,"",VLOOKUP(CalcE1!$B$4,CalcE1!$C$4:$N$12,6,0))</f>
        <v>125</v>
      </c>
      <c r="AN12" s="133">
        <f ca="1">IF(CalcE1!$K$13=0,"",IF(VLOOKUP(CalcE1!B4,CalcE1!$C$4:$AV$12,46,0)=Einstellungen!$F$24,"max",VLOOKUP(CalcE1!B4,CalcE1!$C$4:$AV$12,46,0)))</f>
        <v>11</v>
      </c>
      <c r="AO12" s="138">
        <f ca="1">IF(CalcE1!$K$13=0,"",VLOOKUP(CalcE1!B4,CalcE1!$C$4:$AT$12,Einstellungen!$H$9,0))</f>
        <v>4</v>
      </c>
      <c r="AP12" s="9"/>
      <c r="AQ12" s="9"/>
      <c r="AR12" s="539" t="s">
        <v>299</v>
      </c>
      <c r="AS12" s="421" t="str">
        <f ca="1">IF(Vorrunde!$X$12="","",Vorrunde!$X$12)</f>
        <v>Eintracht Frankfurt</v>
      </c>
      <c r="AT12" s="555">
        <f ca="1">IF($AS12="",0,COUNTIF(Playoffs!$U$25:$U$30,$AS12))</f>
        <v>0</v>
      </c>
      <c r="AU12" s="822"/>
      <c r="AW12" s="7" t="b">
        <f ca="1">OR(I12="",K12="",AND(OR(L12="",N12="",AX12),OR(O12="",Q12="",AY12),OR(R12="",T12="",AZ12)))</f>
        <v>1</v>
      </c>
      <c r="AX12" s="7" t="b">
        <f>ABS(L12-N12)&lt;2</f>
        <v>1</v>
      </c>
      <c r="AY12" s="7" t="b">
        <f>ABS(O12-Q12)&lt;2</f>
        <v>1</v>
      </c>
      <c r="AZ12" s="7" t="b">
        <f>ABS(R12-T12)&lt;2</f>
        <v>1</v>
      </c>
      <c r="BA12" s="7" t="b">
        <f>AND(AX12,L12&lt;&gt;"",N12&lt;&gt;"")</f>
        <v>0</v>
      </c>
      <c r="BB12" s="7" t="b">
        <f>AND(AY12,O12&lt;&gt;"",Q12&lt;&gt;"")</f>
        <v>0</v>
      </c>
      <c r="BC12" s="7" t="b">
        <f>AND(AZ12,R12&lt;&gt;"",T12&lt;&gt;"")</f>
        <v>0</v>
      </c>
    </row>
    <row r="13" spans="2:55" s="252" customFormat="1" ht="24" customHeight="1" x14ac:dyDescent="0.2">
      <c r="B13" s="317"/>
      <c r="C13" s="319">
        <f t="array" aca="1" ref="C13" ca="1">$C$12+ROW(1:1)-SUM((($I$12:$I12="")+($K$12:$K12="")&gt;0)*1)</f>
        <v>21</v>
      </c>
      <c r="D13" s="279">
        <f t="array" aca="1" ref="D13" ca="1">IF(Planung!$V$15,"",$D$12+QUOTIENT(($C13-$C$12),Planung!$V$11)*(Planung!$S$7+Planung!$S$9)/1440+SUM($Y$12:$Y12)/1440)</f>
        <v>0.49652777777777779</v>
      </c>
      <c r="E13" s="275">
        <f ca="1">IF(Planung!$V$15,"",MOD($C13-$C$12,Planung!$V$11)+1)</f>
        <v>1</v>
      </c>
      <c r="F13" s="436" t="s">
        <v>291</v>
      </c>
      <c r="G13" s="437" t="s">
        <v>4</v>
      </c>
      <c r="H13" s="438" t="s">
        <v>304</v>
      </c>
      <c r="I13" s="413" t="str">
        <f t="shared" ca="1" si="0"/>
        <v>1. FC Riedwald</v>
      </c>
      <c r="J13" s="265" t="s">
        <v>4</v>
      </c>
      <c r="K13" s="266" t="str">
        <f t="shared" ca="1" si="1"/>
        <v>SSV Wildbach</v>
      </c>
      <c r="L13" s="793">
        <v>25</v>
      </c>
      <c r="M13" s="272" t="str">
        <f>Sprache!$E$99</f>
        <v xml:space="preserve"> : </v>
      </c>
      <c r="N13" s="799">
        <v>20</v>
      </c>
      <c r="O13" s="793">
        <v>17</v>
      </c>
      <c r="P13" s="542" t="str">
        <f>Sprache!$E$99</f>
        <v xml:space="preserve"> : </v>
      </c>
      <c r="Q13" s="799">
        <v>25</v>
      </c>
      <c r="R13" s="793"/>
      <c r="S13" s="542" t="str">
        <f>Sprache!$E$99</f>
        <v xml:space="preserve"> : </v>
      </c>
      <c r="T13" s="803"/>
      <c r="U13" s="810">
        <f t="shared" ref="U13:U29" ca="1" si="2">IF(AW13,"",(L13&lt;&gt;"")*(N13&lt;&gt;"")*NOT(AX13)*(L13&gt;N13)+(O13&lt;&gt;"")*(Q13&lt;&gt;"")*NOT(AY13)*(O13&gt;Q13)+(R13&lt;&gt;"")*(T13&lt;&gt;"")*NOT(AZ13)*(R13&gt;T13))</f>
        <v>1</v>
      </c>
      <c r="V13" s="807" t="str">
        <f>Sprache!$E$99</f>
        <v xml:space="preserve"> : </v>
      </c>
      <c r="W13" s="811">
        <f t="shared" ref="W13:W29" ca="1" si="3">IF(AW13,"",(L13&lt;&gt;"")*(N13&lt;&gt;"")*NOT(AX13)*(L13&lt;N13)+(O13&lt;&gt;"")*(Q13&lt;&gt;"")*NOT(AY13)*(O13&lt;Q13)+(R13&lt;&gt;"")*(T13&lt;&gt;"")*NOT(AZ13)*(R13&lt;T13))</f>
        <v>1</v>
      </c>
      <c r="X13" s="610"/>
      <c r="Y13" s="545"/>
      <c r="AA13" s="422">
        <f ca="1">IF(CalcE1!$K$13=0,"",IF(VLOOKUP(CalcE1!$B$5,CalcE1!$C$4:$E$12,3,0)=MAX($AA12:$AA12),VLOOKUP(CalcE1!$B$5,CalcE1!$C$4:$E$12,3,0),CalcE1!$B$5))</f>
        <v>2</v>
      </c>
      <c r="AB13" s="314" t="str">
        <f ca="1">IF(Calc1!$F$14&lt;3,"",IF(CalcE1!$K$13=0,CalcE1!$Q$65,VLOOKUP(CalcE1!$B$5,CalcE1!$C$4:$N$12,4,0)))</f>
        <v>Maibach 1822 eV</v>
      </c>
      <c r="AC13" s="148">
        <f ca="1">IF(CalcE1!$K$13=0,"",VLOOKUP(CalcE1!$B$5,CalcE1!$C$4:$N$12,9,0))</f>
        <v>3</v>
      </c>
      <c r="AD13" s="123">
        <f ca="1">IF(CalcE1!$K$13=0,"",VLOOKUP(CalcE1!$B$5,CalcE1!$C$4:$N$12,10,0))</f>
        <v>1</v>
      </c>
      <c r="AE13" s="123">
        <f ca="1">IF(CalcE1!$K$13=0,"",VLOOKUP(CalcE1!$B$5,CalcE1!$C$4:$N$12,11,0))</f>
        <v>1</v>
      </c>
      <c r="AF13" s="123">
        <f ca="1">IF(CalcE1!$K$13=0,"",VLOOKUP(CalcE1!$B$5,CalcE1!$C$4:$N$12,12,0))</f>
        <v>1</v>
      </c>
      <c r="AG13" s="144">
        <f ca="1">IF(CalcE1!$K$13=0,"",VLOOKUP(CalcE1!B5,CalcE1!$C$4:$AT$12,44,0))</f>
        <v>3</v>
      </c>
      <c r="AH13" s="423" t="str">
        <f>Sprache!$E$99</f>
        <v xml:space="preserve"> : </v>
      </c>
      <c r="AI13" s="146">
        <f ca="1">IF(CalcE1!$K$13=0,"",VLOOKUP(CalcE1!B5,CalcE1!$C$4:$AS$12,43,0))</f>
        <v>3</v>
      </c>
      <c r="AJ13" s="143">
        <f ca="1">IF(CalcE1!$K$13=0,"",AG13-AI13)</f>
        <v>0</v>
      </c>
      <c r="AK13" s="144">
        <f ca="1">IF(CalcE1!$K$13=0,"",VLOOKUP(CalcE1!$B$5,CalcE1!$C$4:$N$12,5,0))</f>
        <v>135</v>
      </c>
      <c r="AL13" s="423" t="str">
        <f>Sprache!$E$99</f>
        <v xml:space="preserve"> : </v>
      </c>
      <c r="AM13" s="146">
        <f ca="1">IF(CalcE1!$K$13=0,"",VLOOKUP(CalcE1!$B$5,CalcE1!$C$4:$N$12,6,0))</f>
        <v>123</v>
      </c>
      <c r="AN13" s="123">
        <f ca="1">IF(CalcE1!$K$13=0,"",IF(VLOOKUP(CalcE1!B5,CalcE1!$C$4:$AV$12,46,0)=Einstellungen!$F$24,"max",VLOOKUP(CalcE1!B5,CalcE1!$C$4:$AV$12,46,0)))</f>
        <v>12</v>
      </c>
      <c r="AO13" s="147">
        <f ca="1">IF(CalcE1!$K$13=0,"",VLOOKUP(CalcE1!B5,CalcE1!$C$4:$AT$12,Einstellungen!$H$9,0))</f>
        <v>3</v>
      </c>
      <c r="AP13" s="9"/>
      <c r="AQ13" s="9"/>
      <c r="AR13" s="424" t="s">
        <v>292</v>
      </c>
      <c r="AS13" s="425" t="str">
        <f ca="1">IF(Vorrunde!$X$22="","",Vorrunde!$X$22)</f>
        <v>Mainz 05</v>
      </c>
      <c r="AT13" s="555">
        <f ca="1">IF($AS13="",0,COUNTIF(Playoffs!$U$25:$U$30,$AS13))</f>
        <v>0</v>
      </c>
      <c r="AU13" s="823"/>
      <c r="AW13" s="7" t="b">
        <f t="shared" ref="AW13:AW29" ca="1" si="4">OR(I13="",K13="",AND(OR(L13="",N13="",AX13),OR(O13="",Q13="",AY13),OR(R13="",T13="",AZ13)))</f>
        <v>0</v>
      </c>
      <c r="AX13" s="7" t="b">
        <f t="shared" ref="AX13:AX29" si="5">ABS(L13-N13)&lt;2</f>
        <v>0</v>
      </c>
      <c r="AY13" s="7" t="b">
        <f t="shared" ref="AY13:AY29" si="6">ABS(O13-Q13)&lt;2</f>
        <v>0</v>
      </c>
      <c r="AZ13" s="7" t="b">
        <f t="shared" ref="AZ13:AZ29" si="7">ABS(R13-T13)&lt;2</f>
        <v>1</v>
      </c>
      <c r="BA13" s="7" t="b">
        <f t="shared" ref="BA13:BA29" si="8">AND(AX13,L13&lt;&gt;"",N13&lt;&gt;"")</f>
        <v>0</v>
      </c>
      <c r="BB13" s="7" t="b">
        <f t="shared" ref="BB13:BB29" si="9">AND(AY13,O13&lt;&gt;"",Q13&lt;&gt;"")</f>
        <v>0</v>
      </c>
      <c r="BC13" s="7" t="b">
        <f t="shared" ref="BC13:BC29" si="10">AND(AZ13,R13&lt;&gt;"",T13&lt;&gt;"")</f>
        <v>0</v>
      </c>
    </row>
    <row r="14" spans="2:55" s="252" customFormat="1" ht="24" customHeight="1" x14ac:dyDescent="0.2">
      <c r="B14" s="317"/>
      <c r="C14" s="319">
        <f t="array" aca="1" ref="C14" ca="1">$C$12+ROW(2:2)-SUM((($I$12:$I13="")+($K$12:$K13="")&gt;0)*1)</f>
        <v>22</v>
      </c>
      <c r="D14" s="279">
        <f t="array" aca="1" ref="D14" ca="1">IF(Planung!$V$15,"",$D$12+QUOTIENT(($C14-$C$12),Planung!$V$11)*(Planung!$S$7+Planung!$S$9)/1440+SUM($Y$12:$Y13)/1440)</f>
        <v>0.49652777777777779</v>
      </c>
      <c r="E14" s="275">
        <f ca="1">IF(Planung!$V$15,"",MOD($C14-$C$12,Planung!$V$11)+1)</f>
        <v>2</v>
      </c>
      <c r="F14" s="436" t="s">
        <v>299</v>
      </c>
      <c r="G14" s="437" t="s">
        <v>4</v>
      </c>
      <c r="H14" s="438" t="s">
        <v>301</v>
      </c>
      <c r="I14" s="413" t="str">
        <f t="shared" ca="1" si="0"/>
        <v>Eintracht Frankfurt</v>
      </c>
      <c r="J14" s="265" t="s">
        <v>4</v>
      </c>
      <c r="K14" s="266" t="str">
        <f t="shared" ca="1" si="1"/>
        <v>Manchester City</v>
      </c>
      <c r="L14" s="793">
        <v>19</v>
      </c>
      <c r="M14" s="272" t="str">
        <f>Sprache!$E$99</f>
        <v xml:space="preserve"> : </v>
      </c>
      <c r="N14" s="799">
        <v>25</v>
      </c>
      <c r="O14" s="793">
        <v>16</v>
      </c>
      <c r="P14" s="542" t="str">
        <f>Sprache!$E$99</f>
        <v xml:space="preserve"> : </v>
      </c>
      <c r="Q14" s="799">
        <v>25</v>
      </c>
      <c r="R14" s="793"/>
      <c r="S14" s="542" t="str">
        <f>Sprache!$E$99</f>
        <v xml:space="preserve"> : </v>
      </c>
      <c r="T14" s="803"/>
      <c r="U14" s="810">
        <f t="shared" ca="1" si="2"/>
        <v>0</v>
      </c>
      <c r="V14" s="807" t="str">
        <f>Sprache!$E$99</f>
        <v xml:space="preserve"> : </v>
      </c>
      <c r="W14" s="811">
        <f t="shared" ca="1" si="3"/>
        <v>2</v>
      </c>
      <c r="X14" s="610"/>
      <c r="Y14" s="545"/>
      <c r="AA14" s="422">
        <f ca="1">IF(CalcE1!$K$13=0,"",IF(VLOOKUP(CalcE1!$B$6,CalcE1!$C$4:$E$12,3,0)=MAX($AA12:$AA13),VLOOKUP(CalcE1!$B$6,CalcE1!$C$4:$E$12,3,0),CalcE1!$B$6))</f>
        <v>3</v>
      </c>
      <c r="AB14" s="314" t="str">
        <f ca="1">IF(Calc1!$F$14&lt;3,"",IF(CalcE1!$K$13=0,CalcE1!$Q$66,VLOOKUP(CalcE1!$B$6,CalcE1!$C$4:$N$12,4,0)))</f>
        <v>Mainz 05</v>
      </c>
      <c r="AC14" s="148">
        <f ca="1">IF(CalcE1!$K$13=0,"",VLOOKUP(CalcE1!$B$6,CalcE1!$C$4:$N$12,9,0))</f>
        <v>3</v>
      </c>
      <c r="AD14" s="123">
        <f ca="1">IF(CalcE1!$K$13=0,"",VLOOKUP(CalcE1!$B$6,CalcE1!$C$4:$N$12,10,0))</f>
        <v>1</v>
      </c>
      <c r="AE14" s="123">
        <f ca="1">IF(CalcE1!$K$13=0,"",VLOOKUP(CalcE1!$B$6,CalcE1!$C$4:$N$12,11,0))</f>
        <v>1</v>
      </c>
      <c r="AF14" s="123">
        <f ca="1">IF(CalcE1!$K$13=0,"",VLOOKUP(CalcE1!$B$6,CalcE1!$C$4:$N$12,12,0))</f>
        <v>1</v>
      </c>
      <c r="AG14" s="144">
        <f ca="1">IF(CalcE1!$K$13=0,"",VLOOKUP(CalcE1!B6,CalcE1!$C$4:$AT$12,44,0))</f>
        <v>3</v>
      </c>
      <c r="AH14" s="423" t="str">
        <f>Sprache!$E$99</f>
        <v xml:space="preserve"> : </v>
      </c>
      <c r="AI14" s="146">
        <f ca="1">IF(CalcE1!$K$13=0,"",VLOOKUP(CalcE1!B6,CalcE1!$C$4:$AS$12,43,0))</f>
        <v>3</v>
      </c>
      <c r="AJ14" s="143">
        <f ca="1">IF(CalcE1!$K$13=0,"",AG14-AI14)</f>
        <v>0</v>
      </c>
      <c r="AK14" s="144">
        <f ca="1">IF(CalcE1!$K$13=0,"",VLOOKUP(CalcE1!$B$6,CalcE1!$C$4:$N$12,5,0))</f>
        <v>127</v>
      </c>
      <c r="AL14" s="423" t="str">
        <f>Sprache!$E$99</f>
        <v xml:space="preserve"> : </v>
      </c>
      <c r="AM14" s="146">
        <f ca="1">IF(CalcE1!$K$13=0,"",VLOOKUP(CalcE1!$B$6,CalcE1!$C$4:$N$12,6,0))</f>
        <v>133</v>
      </c>
      <c r="AN14" s="123">
        <f ca="1">IF(CalcE1!$K$13=0,"",IF(VLOOKUP(CalcE1!B6,CalcE1!$C$4:$AV$12,46,0)=Einstellungen!$F$24,"max",VLOOKUP(CalcE1!B6,CalcE1!$C$4:$AV$12,46,0)))</f>
        <v>-6</v>
      </c>
      <c r="AO14" s="147">
        <f ca="1">IF(CalcE1!$K$13=0,"",VLOOKUP(CalcE1!B6,CalcE1!$C$4:$AT$12,Einstellungen!$H$9,0))</f>
        <v>3</v>
      </c>
      <c r="AP14" s="9"/>
      <c r="AQ14" s="9"/>
      <c r="AR14" s="540" t="s">
        <v>300</v>
      </c>
      <c r="AS14" s="425" t="str">
        <f ca="1">IF(Vorrunde!$X$13="","",Vorrunde!$X$13)</f>
        <v>Maibach 1822 eV</v>
      </c>
      <c r="AT14" s="555">
        <f ca="1">IF($AS14="",0,COUNTIF(Playoffs!$U$25:$U$30,$AS14))</f>
        <v>0</v>
      </c>
      <c r="AU14" s="823"/>
      <c r="AW14" s="7" t="b">
        <f t="shared" ca="1" si="4"/>
        <v>0</v>
      </c>
      <c r="AX14" s="7" t="b">
        <f t="shared" si="5"/>
        <v>0</v>
      </c>
      <c r="AY14" s="7" t="b">
        <f t="shared" si="6"/>
        <v>0</v>
      </c>
      <c r="AZ14" s="7" t="b">
        <f t="shared" si="7"/>
        <v>1</v>
      </c>
      <c r="BA14" s="7" t="b">
        <f t="shared" si="8"/>
        <v>0</v>
      </c>
      <c r="BB14" s="7" t="b">
        <f t="shared" si="9"/>
        <v>0</v>
      </c>
      <c r="BC14" s="7" t="b">
        <f t="shared" si="10"/>
        <v>0</v>
      </c>
    </row>
    <row r="15" spans="2:55" s="252" customFormat="1" ht="24" customHeight="1" thickBot="1" x14ac:dyDescent="0.25">
      <c r="B15" s="317"/>
      <c r="C15" s="319">
        <f t="array" aca="1" ref="C15" ca="1">$C$12+ROW(3:3)-SUM((($I$12:$I14="")+($K$12:$K14="")&gt;0)*1)</f>
        <v>23</v>
      </c>
      <c r="D15" s="279">
        <f t="array" aca="1" ref="D15" ca="1">IF(Planung!$V$15,"",$D$12+QUOTIENT(($C15-$C$12),Planung!$V$11)*(Planung!$S$7+Planung!$S$9)/1440+SUM($Y$12:$Y14)/1440)</f>
        <v>0.49652777777777779</v>
      </c>
      <c r="E15" s="275">
        <f ca="1">IF(Planung!$V$15,"",MOD($C15-$C$12,Planung!$V$11)+1)</f>
        <v>3</v>
      </c>
      <c r="F15" s="436" t="s">
        <v>306</v>
      </c>
      <c r="G15" s="437" t="s">
        <v>4</v>
      </c>
      <c r="H15" s="438" t="s">
        <v>307</v>
      </c>
      <c r="I15" s="413" t="str">
        <f t="shared" ca="1" si="0"/>
        <v>Inter Mailand</v>
      </c>
      <c r="J15" s="265" t="s">
        <v>4</v>
      </c>
      <c r="K15" s="266" t="str">
        <f t="shared" ca="1" si="1"/>
        <v/>
      </c>
      <c r="L15" s="793"/>
      <c r="M15" s="273" t="str">
        <f>Sprache!$E$99</f>
        <v xml:space="preserve"> : </v>
      </c>
      <c r="N15" s="799"/>
      <c r="O15" s="793"/>
      <c r="P15" s="542" t="str">
        <f>Sprache!$E$99</f>
        <v xml:space="preserve"> : </v>
      </c>
      <c r="Q15" s="799"/>
      <c r="R15" s="793"/>
      <c r="S15" s="542" t="str">
        <f>Sprache!$E$99</f>
        <v xml:space="preserve"> : </v>
      </c>
      <c r="T15" s="803"/>
      <c r="U15" s="810" t="str">
        <f t="shared" ca="1" si="2"/>
        <v/>
      </c>
      <c r="V15" s="807" t="str">
        <f>Sprache!$E$99</f>
        <v xml:space="preserve"> : </v>
      </c>
      <c r="W15" s="811" t="str">
        <f t="shared" ca="1" si="3"/>
        <v/>
      </c>
      <c r="X15" s="626"/>
      <c r="Y15" s="545"/>
      <c r="AA15" s="426">
        <f ca="1">IF(CalcE1!$K$13=0,"",IF(VLOOKUP(CalcE1!$B$7,CalcE1!$C$4:$E$12,3,0)=MAX($AA12:$AA14),VLOOKUP(CalcE1!$B$7,CalcE1!$C$4:$E$12,3,0),CalcE1!$B$7))</f>
        <v>4</v>
      </c>
      <c r="AB15" s="316" t="str">
        <f ca="1">IF(Calc1!$F$14&lt;3,"",IF(CalcE1!$K$13=0,CalcE1!$Q$67,VLOOKUP(CalcE1!$B$7,CalcE1!$C$4:$N$12,4,0)))</f>
        <v>Eintracht Frankfurt</v>
      </c>
      <c r="AC15" s="159">
        <f ca="1">IF(CalcE1!$K$13=0,"",VLOOKUP(CalcE1!$B$7,CalcE1!$C$4:$N$12,9,0))</f>
        <v>3</v>
      </c>
      <c r="AD15" s="153">
        <f ca="1">IF(CalcE1!$K$13=0,"",VLOOKUP(CalcE1!$B$7,CalcE1!$C$4:$N$12,10,0))</f>
        <v>1</v>
      </c>
      <c r="AE15" s="153">
        <f ca="1">IF(CalcE1!$K$13=0,"",VLOOKUP(CalcE1!$B$7,CalcE1!$C$4:$N$12,11,0))</f>
        <v>0</v>
      </c>
      <c r="AF15" s="153">
        <f ca="1">IF(CalcE1!$K$13=0,"",VLOOKUP(CalcE1!$B$7,CalcE1!$C$4:$N$12,12,0))</f>
        <v>2</v>
      </c>
      <c r="AG15" s="155">
        <f ca="1">IF(CalcE1!$K$13=0,"",VLOOKUP(CalcE1!B7,CalcE1!$C$4:$AT$12,44,0))</f>
        <v>2</v>
      </c>
      <c r="AH15" s="427" t="str">
        <f>Sprache!$E$99</f>
        <v xml:space="preserve"> : </v>
      </c>
      <c r="AI15" s="157">
        <f ca="1">IF(CalcE1!$K$13=0,"",VLOOKUP(CalcE1!B7,CalcE1!$C$4:$AS$12,43,0))</f>
        <v>4</v>
      </c>
      <c r="AJ15" s="154">
        <f ca="1">IF(CalcE1!$K$13=0,"",AG15-AI15)</f>
        <v>-2</v>
      </c>
      <c r="AK15" s="155">
        <f ca="1">IF(CalcE1!$K$13=0,"",VLOOKUP(CalcE1!$B$7,CalcE1!$C$4:$N$12,5,0))</f>
        <v>116</v>
      </c>
      <c r="AL15" s="427" t="str">
        <f>Sprache!$E$99</f>
        <v xml:space="preserve"> : </v>
      </c>
      <c r="AM15" s="157">
        <f ca="1">IF(CalcE1!$K$13=0,"",VLOOKUP(CalcE1!$B$7,CalcE1!$C$4:$N$12,6,0))</f>
        <v>133</v>
      </c>
      <c r="AN15" s="153">
        <f ca="1">IF(CalcE1!$K$13=0,"",IF(VLOOKUP(CalcE1!B7,CalcE1!$C$4:$AV$12,46,0)=Einstellungen!$F$24,"max",VLOOKUP(CalcE1!B7,CalcE1!$C$4:$AV$12,46,0)))</f>
        <v>-17</v>
      </c>
      <c r="AO15" s="158">
        <f ca="1">IF(CalcE1!$K$13=0,"",VLOOKUP(CalcE1!B7,CalcE1!$C$4:$AT$12,Einstellungen!$H$9,0))</f>
        <v>2</v>
      </c>
      <c r="AP15" s="9"/>
      <c r="AQ15" s="9"/>
      <c r="AR15" s="428" t="s">
        <v>301</v>
      </c>
      <c r="AS15" s="429" t="str">
        <f ca="1">IF(Vorrunde!$X$23="","",Vorrunde!$X$23)</f>
        <v>Manchester City</v>
      </c>
      <c r="AT15" s="555">
        <f ca="1">IF($AS15="",0,COUNTIF(Playoffs!$U$25:$U$30,$AS15))</f>
        <v>0</v>
      </c>
      <c r="AU15" s="824"/>
      <c r="AW15" s="7" t="b">
        <f t="shared" ca="1" si="4"/>
        <v>1</v>
      </c>
      <c r="AX15" s="7" t="b">
        <f t="shared" si="5"/>
        <v>1</v>
      </c>
      <c r="AY15" s="7" t="b">
        <f t="shared" si="6"/>
        <v>1</v>
      </c>
      <c r="AZ15" s="7" t="b">
        <f t="shared" si="7"/>
        <v>1</v>
      </c>
      <c r="BA15" s="7" t="b">
        <f t="shared" si="8"/>
        <v>0</v>
      </c>
      <c r="BB15" s="7" t="b">
        <f t="shared" si="9"/>
        <v>0</v>
      </c>
      <c r="BC15" s="7" t="b">
        <f t="shared" si="10"/>
        <v>0</v>
      </c>
    </row>
    <row r="16" spans="2:55" s="252" customFormat="1" ht="24" customHeight="1" thickTop="1" x14ac:dyDescent="0.2">
      <c r="B16" s="317"/>
      <c r="C16" s="319">
        <f t="array" aca="1" ref="C16" ca="1">$C$12+ROW(4:4)-SUM((($I$12:$I15="")+($K$12:$K15="")&gt;0)*1)</f>
        <v>23</v>
      </c>
      <c r="D16" s="279">
        <f t="array" aca="1" ref="D16" ca="1">IF(Planung!$V$15,"",$D$12+QUOTIENT(($C16-$C$12),Planung!$V$11)*(Planung!$S$7+Planung!$S$9)/1440+SUM($Y$12:$Y15)/1440)</f>
        <v>0.49652777777777779</v>
      </c>
      <c r="E16" s="275">
        <f ca="1">IF(Planung!$V$15,"",MOD($C16-$C$12,Planung!$V$11)+1)</f>
        <v>3</v>
      </c>
      <c r="F16" s="436" t="s">
        <v>302</v>
      </c>
      <c r="G16" s="437" t="s">
        <v>4</v>
      </c>
      <c r="H16" s="438" t="s">
        <v>303</v>
      </c>
      <c r="I16" s="413" t="str">
        <f t="shared" ca="1" si="0"/>
        <v>FC Grönlingen</v>
      </c>
      <c r="J16" s="265" t="s">
        <v>4</v>
      </c>
      <c r="K16" s="266" t="str">
        <f t="shared" ca="1" si="1"/>
        <v>FC Barcelona</v>
      </c>
      <c r="L16" s="793">
        <v>25</v>
      </c>
      <c r="M16" s="273" t="str">
        <f>Sprache!$E$99</f>
        <v xml:space="preserve"> : </v>
      </c>
      <c r="N16" s="799">
        <v>23</v>
      </c>
      <c r="O16" s="795">
        <v>25</v>
      </c>
      <c r="P16" s="543" t="str">
        <f>Sprache!$E$99</f>
        <v xml:space="preserve"> : </v>
      </c>
      <c r="Q16" s="801">
        <v>21</v>
      </c>
      <c r="R16" s="795"/>
      <c r="S16" s="543" t="str">
        <f>Sprache!$E$99</f>
        <v xml:space="preserve"> : </v>
      </c>
      <c r="T16" s="804"/>
      <c r="U16" s="812">
        <f t="shared" ca="1" si="2"/>
        <v>2</v>
      </c>
      <c r="V16" s="808" t="str">
        <f>Sprache!$E$99</f>
        <v xml:space="preserve"> : </v>
      </c>
      <c r="W16" s="813">
        <f t="shared" ca="1" si="3"/>
        <v>0</v>
      </c>
      <c r="X16" s="627"/>
      <c r="Y16" s="546"/>
      <c r="AW16" s="7" t="b">
        <f t="shared" ca="1" si="4"/>
        <v>0</v>
      </c>
      <c r="AX16" s="7" t="b">
        <f t="shared" si="5"/>
        <v>0</v>
      </c>
      <c r="AY16" s="7" t="b">
        <f t="shared" si="6"/>
        <v>0</v>
      </c>
      <c r="AZ16" s="7" t="b">
        <f t="shared" si="7"/>
        <v>1</v>
      </c>
      <c r="BA16" s="7" t="b">
        <f t="shared" si="8"/>
        <v>0</v>
      </c>
      <c r="BB16" s="7" t="b">
        <f t="shared" si="9"/>
        <v>0</v>
      </c>
      <c r="BC16" s="7" t="b">
        <f t="shared" si="10"/>
        <v>0</v>
      </c>
    </row>
    <row r="17" spans="2:55" s="252" customFormat="1" ht="24" customHeight="1" thickBot="1" x14ac:dyDescent="0.45">
      <c r="B17" s="317"/>
      <c r="C17" s="319">
        <f t="array" aca="1" ref="C17" ca="1">$C$12+ROW(5:5)-SUM((($I$12:$I16="")+($K$12:$K16="")&gt;0)*1)</f>
        <v>24</v>
      </c>
      <c r="D17" s="279">
        <f t="array" aca="1" ref="D17" ca="1">IF(Planung!$V$15,"",$D$12+QUOTIENT(($C17-$C$12),Planung!$V$11)*(Planung!$S$7+Planung!$S$9)/1440+SUM($Y$12:$Y16)/1440)</f>
        <v>0.49652777777777779</v>
      </c>
      <c r="E17" s="275">
        <f ca="1">IF(Planung!$V$15,"",MOD($C17-$C$12,Planung!$V$11)+1)</f>
        <v>4</v>
      </c>
      <c r="F17" s="436" t="s">
        <v>292</v>
      </c>
      <c r="G17" s="437" t="s">
        <v>4</v>
      </c>
      <c r="H17" s="438" t="s">
        <v>300</v>
      </c>
      <c r="I17" s="413" t="str">
        <f t="shared" ca="1" si="0"/>
        <v>Mainz 05</v>
      </c>
      <c r="J17" s="265" t="s">
        <v>4</v>
      </c>
      <c r="K17" s="266" t="str">
        <f t="shared" ca="1" si="1"/>
        <v>Maibach 1822 eV</v>
      </c>
      <c r="L17" s="793">
        <v>25</v>
      </c>
      <c r="M17" s="273" t="str">
        <f>Sprache!$E$99</f>
        <v xml:space="preserve"> : </v>
      </c>
      <c r="N17" s="799">
        <v>17</v>
      </c>
      <c r="O17" s="795">
        <v>25</v>
      </c>
      <c r="P17" s="543" t="str">
        <f>Sprache!$E$99</f>
        <v xml:space="preserve"> : </v>
      </c>
      <c r="Q17" s="801">
        <v>22</v>
      </c>
      <c r="R17" s="795"/>
      <c r="S17" s="543" t="str">
        <f>Sprache!$E$99</f>
        <v xml:space="preserve"> : </v>
      </c>
      <c r="T17" s="804"/>
      <c r="U17" s="812">
        <f t="shared" ca="1" si="2"/>
        <v>2</v>
      </c>
      <c r="V17" s="808" t="str">
        <f>Sprache!$E$99</f>
        <v xml:space="preserve"> : </v>
      </c>
      <c r="W17" s="813">
        <f t="shared" ca="1" si="3"/>
        <v>0</v>
      </c>
      <c r="X17" s="627"/>
      <c r="Y17" s="546"/>
      <c r="AA17" s="979" t="str">
        <f>Sprache!$E$58</f>
        <v>Gruppendritte und -vierte</v>
      </c>
      <c r="AB17" s="979"/>
      <c r="AC17" s="979"/>
      <c r="AD17" s="979"/>
      <c r="AE17" s="979"/>
      <c r="AF17" s="979"/>
      <c r="AG17" s="805"/>
      <c r="AH17" s="805"/>
      <c r="AI17" s="805"/>
      <c r="AJ17" s="805"/>
      <c r="AK17" s="124"/>
      <c r="AL17" s="124"/>
      <c r="AM17" s="124"/>
      <c r="AN17" s="124"/>
      <c r="AO17" s="124"/>
      <c r="AP17" s="9"/>
      <c r="AQ17" s="9"/>
      <c r="AR17" s="980" t="str">
        <f>$AA17</f>
        <v>Gruppendritte und -vierte</v>
      </c>
      <c r="AS17" s="980"/>
      <c r="AT17" s="981"/>
      <c r="AW17" s="7" t="b">
        <f t="shared" ca="1" si="4"/>
        <v>0</v>
      </c>
      <c r="AX17" s="7" t="b">
        <f t="shared" si="5"/>
        <v>0</v>
      </c>
      <c r="AY17" s="7" t="b">
        <f t="shared" si="6"/>
        <v>0</v>
      </c>
      <c r="AZ17" s="7" t="b">
        <f t="shared" si="7"/>
        <v>1</v>
      </c>
      <c r="BA17" s="7" t="b">
        <f t="shared" si="8"/>
        <v>0</v>
      </c>
      <c r="BB17" s="7" t="b">
        <f t="shared" si="9"/>
        <v>0</v>
      </c>
      <c r="BC17" s="7" t="b">
        <f t="shared" si="10"/>
        <v>0</v>
      </c>
    </row>
    <row r="18" spans="2:55" ht="24" customHeight="1" thickTop="1" thickBot="1" x14ac:dyDescent="0.25">
      <c r="C18" s="319">
        <f t="array" aca="1" ref="C18" ca="1">$C$12+ROW(6:6)-SUM((($I$12:$I17="")+($K$12:$K17="")&gt;0)*1)</f>
        <v>25</v>
      </c>
      <c r="D18" s="279">
        <f t="array" aca="1" ref="D18" ca="1">IF(Planung!$V$15,"",$D$12+QUOTIENT(($C18-$C$12),Planung!$V$11)*(Planung!$S$7+Planung!$S$9)/1440+SUM($Y$12:$Y17)/1440)</f>
        <v>0.52083333333333337</v>
      </c>
      <c r="E18" s="275">
        <f ca="1">IF(Planung!$V$15,"",MOD($C18-$C$12,Planung!$V$11)+1)</f>
        <v>1</v>
      </c>
      <c r="F18" s="436" t="s">
        <v>305</v>
      </c>
      <c r="G18" s="437" t="s">
        <v>4</v>
      </c>
      <c r="H18" s="438" t="s">
        <v>307</v>
      </c>
      <c r="I18" s="413" t="str">
        <f t="shared" ca="1" si="0"/>
        <v>VFB Essenheim</v>
      </c>
      <c r="J18" s="265" t="s">
        <v>4</v>
      </c>
      <c r="K18" s="266" t="str">
        <f t="shared" ca="1" si="1"/>
        <v/>
      </c>
      <c r="L18" s="793"/>
      <c r="M18" s="273" t="str">
        <f>Sprache!$E$99</f>
        <v xml:space="preserve"> : </v>
      </c>
      <c r="N18" s="799"/>
      <c r="O18" s="795"/>
      <c r="P18" s="543" t="str">
        <f>Sprache!$E$99</f>
        <v xml:space="preserve"> : </v>
      </c>
      <c r="Q18" s="801"/>
      <c r="R18" s="795"/>
      <c r="S18" s="543" t="str">
        <f>Sprache!$E$99</f>
        <v xml:space="preserve"> : </v>
      </c>
      <c r="T18" s="804"/>
      <c r="U18" s="812" t="str">
        <f t="shared" ca="1" si="2"/>
        <v/>
      </c>
      <c r="V18" s="808" t="str">
        <f>Sprache!$E$99</f>
        <v xml:space="preserve"> : </v>
      </c>
      <c r="W18" s="813" t="str">
        <f t="shared" ca="1" si="3"/>
        <v/>
      </c>
      <c r="X18" s="627"/>
      <c r="Y18" s="546"/>
      <c r="AA18" s="982"/>
      <c r="AB18" s="983"/>
      <c r="AC18" s="126" t="str">
        <f>Sprache!$E$21</f>
        <v>SP</v>
      </c>
      <c r="AD18" s="127" t="str">
        <f>Sprache!$E$22</f>
        <v>G</v>
      </c>
      <c r="AE18" s="127" t="str">
        <f>Sprache!$E$23</f>
        <v>U</v>
      </c>
      <c r="AF18" s="410" t="str">
        <f>Sprache!$E$24</f>
        <v>V</v>
      </c>
      <c r="AG18" s="880" t="str">
        <f>Sprache!$E$25</f>
        <v>Sätze</v>
      </c>
      <c r="AH18" s="881"/>
      <c r="AI18" s="882"/>
      <c r="AJ18" s="780" t="str">
        <f>Sprache!$E$26</f>
        <v>Diff.</v>
      </c>
      <c r="AK18" s="877" t="str">
        <f>Sprache!$E$60</f>
        <v>Bälle</v>
      </c>
      <c r="AL18" s="878"/>
      <c r="AM18" s="879"/>
      <c r="AN18" s="127" t="str">
        <f>IF(Einstellungen!$G$24,Sprache!$E$26,Sprache!$E$67)</f>
        <v>Diff.</v>
      </c>
      <c r="AO18" s="129" t="str">
        <f>IF(Einstellungen!$G$9,Sprache!$E$27,Sprache!$E$80)</f>
        <v>Pkt</v>
      </c>
      <c r="AR18" s="416"/>
      <c r="AS18" s="417" t="str">
        <f>Sprache!$E$10</f>
        <v>Teilnehmer bzw. Mannschaft</v>
      </c>
      <c r="AT18" s="554" t="str">
        <f>Sprache!$E$49</f>
        <v>Tie-Break</v>
      </c>
      <c r="AW18" s="7" t="b">
        <f t="shared" ca="1" si="4"/>
        <v>1</v>
      </c>
      <c r="AX18" s="7" t="b">
        <f t="shared" si="5"/>
        <v>1</v>
      </c>
      <c r="AY18" s="7" t="b">
        <f t="shared" si="6"/>
        <v>1</v>
      </c>
      <c r="AZ18" s="7" t="b">
        <f t="shared" si="7"/>
        <v>1</v>
      </c>
      <c r="BA18" s="7" t="b">
        <f t="shared" si="8"/>
        <v>0</v>
      </c>
      <c r="BB18" s="7" t="b">
        <f t="shared" si="9"/>
        <v>0</v>
      </c>
      <c r="BC18" s="7" t="b">
        <f t="shared" si="10"/>
        <v>0</v>
      </c>
    </row>
    <row r="19" spans="2:55" ht="24" customHeight="1" x14ac:dyDescent="0.2">
      <c r="C19" s="319">
        <f t="array" aca="1" ref="C19" ca="1">$C$12+ROW(7:7)-SUM((($I$12:$I18="")+($K$12:$K18="")&gt;0)*1)</f>
        <v>25</v>
      </c>
      <c r="D19" s="279">
        <f t="array" aca="1" ref="D19" ca="1">IF(Planung!$V$15,"",$D$12+QUOTIENT(($C19-$C$12),Planung!$V$11)*(Planung!$S$7+Planung!$S$9)/1440+SUM($Y$12:$Y18)/1440)</f>
        <v>0.52083333333333337</v>
      </c>
      <c r="E19" s="275">
        <f ca="1">IF(Planung!$V$15,"",MOD($C19-$C$12,Planung!$V$11)+1)</f>
        <v>1</v>
      </c>
      <c r="F19" s="436" t="s">
        <v>291</v>
      </c>
      <c r="G19" s="437" t="s">
        <v>4</v>
      </c>
      <c r="H19" s="438" t="s">
        <v>303</v>
      </c>
      <c r="I19" s="413" t="str">
        <f t="shared" ca="1" si="0"/>
        <v>1. FC Riedwald</v>
      </c>
      <c r="J19" s="265" t="s">
        <v>4</v>
      </c>
      <c r="K19" s="266" t="str">
        <f t="shared" ca="1" si="1"/>
        <v>FC Barcelona</v>
      </c>
      <c r="L19" s="793">
        <v>19</v>
      </c>
      <c r="M19" s="273" t="str">
        <f>Sprache!$E$99</f>
        <v xml:space="preserve"> : </v>
      </c>
      <c r="N19" s="799">
        <v>25</v>
      </c>
      <c r="O19" s="795">
        <v>25</v>
      </c>
      <c r="P19" s="543" t="str">
        <f>Sprache!$E$99</f>
        <v xml:space="preserve"> : </v>
      </c>
      <c r="Q19" s="801">
        <v>12</v>
      </c>
      <c r="R19" s="795"/>
      <c r="S19" s="543" t="str">
        <f>Sprache!$E$99</f>
        <v xml:space="preserve"> : </v>
      </c>
      <c r="T19" s="804"/>
      <c r="U19" s="812">
        <f t="shared" ca="1" si="2"/>
        <v>1</v>
      </c>
      <c r="V19" s="808" t="str">
        <f>Sprache!$E$99</f>
        <v xml:space="preserve"> : </v>
      </c>
      <c r="W19" s="813">
        <f t="shared" ca="1" si="3"/>
        <v>1</v>
      </c>
      <c r="X19" s="627"/>
      <c r="Y19" s="546"/>
      <c r="AA19" s="418">
        <f ca="1">IF(CalcE2!$K$13=0,"",1)</f>
        <v>1</v>
      </c>
      <c r="AB19" s="312" t="str">
        <f ca="1">IF(Calc1!$F$14&lt;3,"",IF(AND(CalcE2!$K$13=0,AS23&lt;&gt;1),CalcE2!$Q$64,VLOOKUP(CalcE2!$B$4,CalcE2!$C$4:$N$12,4,0)))</f>
        <v>1. FC Riedwald</v>
      </c>
      <c r="AC19" s="419">
        <f ca="1">IF(CalcE2!$K$13=0,"",VLOOKUP(CalcE2!$B$4,CalcE2!$C$4:$N$12,9,0))</f>
        <v>3</v>
      </c>
      <c r="AD19" s="133">
        <f ca="1">IF(CalcE2!$K$13=0,"",VLOOKUP(CalcE2!$B$4,CalcE2!$C$4:$N$12,10,0))</f>
        <v>1</v>
      </c>
      <c r="AE19" s="133">
        <f ca="1">IF(CalcE2!$K$13=0,"",VLOOKUP(CalcE2!$B$4,CalcE2!$C$4:$N$12,11,0))</f>
        <v>2</v>
      </c>
      <c r="AF19" s="133">
        <f ca="1">IF(CalcE2!$K$13=0,"",VLOOKUP(CalcE2!$B$4,CalcE2!$C$4:$N$12,12,0))</f>
        <v>0</v>
      </c>
      <c r="AG19" s="135">
        <f ca="1">IF(CalcE2!$K$13=0,"",VLOOKUP(CalcE2!B4,CalcE2!$C$4:$AT$12,44,0))</f>
        <v>4</v>
      </c>
      <c r="AH19" s="420" t="str">
        <f>Sprache!$E$99</f>
        <v xml:space="preserve"> : </v>
      </c>
      <c r="AI19" s="137">
        <f ca="1">IF(CalcE2!$K$13=0,"",VLOOKUP(CalcE2!B4,CalcE2!$C$4:$AS$12,43,0))</f>
        <v>2</v>
      </c>
      <c r="AJ19" s="134">
        <f ca="1">IF(CalcE2!$K$13=0,"",AG19-AI19)</f>
        <v>2</v>
      </c>
      <c r="AK19" s="135">
        <f ca="1">IF(CalcE2!$K$13=0,"",VLOOKUP(CalcE2!$B$4,CalcE2!$C$4:$N$12,5,0))</f>
        <v>136</v>
      </c>
      <c r="AL19" s="420" t="str">
        <f>Sprache!$E$99</f>
        <v xml:space="preserve"> : </v>
      </c>
      <c r="AM19" s="137">
        <f ca="1">IF(CalcE2!$K$13=0,"",VLOOKUP(CalcE2!$B$4,CalcE2!$C$4:$N$12,6,0))</f>
        <v>121</v>
      </c>
      <c r="AN19" s="133">
        <f ca="1">IF(CalcE2!$K$13=0,"",IF(VLOOKUP(CalcE2!B4,CalcE2!$C$4:$AV$12,46,0)=Einstellungen!$F$24,"max",VLOOKUP(CalcE2!B4,CalcE2!$C$4:$AV$12,46,0)))</f>
        <v>15</v>
      </c>
      <c r="AO19" s="138">
        <f ca="1">IF(CalcE2!$K$13=0,"",VLOOKUP(CalcE2!B4,CalcE2!$C$4:$AT$12,Einstellungen!$H$9,0))</f>
        <v>4</v>
      </c>
      <c r="AR19" s="539" t="s">
        <v>291</v>
      </c>
      <c r="AS19" s="421" t="str">
        <f ca="1">IF(Vorrunde!$X$14="","",Vorrunde!$X$14)</f>
        <v>1. FC Riedwald</v>
      </c>
      <c r="AT19" s="555">
        <f ca="1">IF($AS19="",0,COUNTIF(Playoffs!$U$25:$U$30,$AS19))</f>
        <v>0</v>
      </c>
      <c r="AU19" s="822"/>
      <c r="AW19" s="7" t="b">
        <f t="shared" ca="1" si="4"/>
        <v>0</v>
      </c>
      <c r="AX19" s="7" t="b">
        <f t="shared" si="5"/>
        <v>0</v>
      </c>
      <c r="AY19" s="7" t="b">
        <f t="shared" si="6"/>
        <v>0</v>
      </c>
      <c r="AZ19" s="7" t="b">
        <f t="shared" si="7"/>
        <v>1</v>
      </c>
      <c r="BA19" s="7" t="b">
        <f t="shared" si="8"/>
        <v>0</v>
      </c>
      <c r="BB19" s="7" t="b">
        <f t="shared" si="9"/>
        <v>0</v>
      </c>
      <c r="BC19" s="7" t="b">
        <f t="shared" si="10"/>
        <v>0</v>
      </c>
    </row>
    <row r="20" spans="2:55" ht="24" customHeight="1" x14ac:dyDescent="0.2">
      <c r="C20" s="319">
        <f t="array" aca="1" ref="C20" ca="1">$C$12+ROW(8:8)-SUM((($I$12:$I19="")+($K$12:$K19="")&gt;0)*1)</f>
        <v>26</v>
      </c>
      <c r="D20" s="279">
        <f t="array" aca="1" ref="D20" ca="1">IF(Planung!$V$15,"",$D$12+QUOTIENT(($C20-$C$12),Planung!$V$11)*(Planung!$S$7+Planung!$S$9)/1440+SUM($Y$12:$Y19)/1440)</f>
        <v>0.52083333333333337</v>
      </c>
      <c r="E20" s="275">
        <f ca="1">IF(Planung!$V$15,"",MOD($C20-$C$12,Planung!$V$11)+1)</f>
        <v>2</v>
      </c>
      <c r="F20" s="436" t="s">
        <v>299</v>
      </c>
      <c r="G20" s="437" t="s">
        <v>4</v>
      </c>
      <c r="H20" s="438" t="s">
        <v>300</v>
      </c>
      <c r="I20" s="413" t="str">
        <f t="shared" ca="1" si="0"/>
        <v>Eintracht Frankfurt</v>
      </c>
      <c r="J20" s="265" t="s">
        <v>4</v>
      </c>
      <c r="K20" s="266" t="str">
        <f t="shared" ca="1" si="1"/>
        <v>Maibach 1822 eV</v>
      </c>
      <c r="L20" s="793">
        <v>13</v>
      </c>
      <c r="M20" s="273" t="str">
        <f>Sprache!$E$99</f>
        <v xml:space="preserve"> : </v>
      </c>
      <c r="N20" s="799">
        <v>25</v>
      </c>
      <c r="O20" s="795">
        <v>18</v>
      </c>
      <c r="P20" s="543" t="str">
        <f>Sprache!$E$99</f>
        <v xml:space="preserve"> : </v>
      </c>
      <c r="Q20" s="801">
        <v>25</v>
      </c>
      <c r="R20" s="795"/>
      <c r="S20" s="543" t="str">
        <f>Sprache!$E$99</f>
        <v xml:space="preserve"> : </v>
      </c>
      <c r="T20" s="804"/>
      <c r="U20" s="812">
        <f t="shared" ca="1" si="2"/>
        <v>0</v>
      </c>
      <c r="V20" s="808" t="str">
        <f>Sprache!$E$99</f>
        <v xml:space="preserve"> : </v>
      </c>
      <c r="W20" s="813">
        <f t="shared" ca="1" si="3"/>
        <v>2</v>
      </c>
      <c r="X20" s="627"/>
      <c r="Y20" s="546"/>
      <c r="AA20" s="422">
        <f ca="1">IF(CalcE2!$K$13=0,"",IF(VLOOKUP(CalcE2!$B$5,CalcE2!$C$4:$E$12,3,0)=MAX($AA19:$AA19),VLOOKUP(CalcE2!$B$5,CalcE2!$C$4:$E$12,3,0),CalcE2!$B$5))</f>
        <v>2</v>
      </c>
      <c r="AB20" s="314" t="str">
        <f ca="1">IF(OR(Calc1!$F$14&lt;3,AS23=1),"",IF(CalcE2!$K$13=0,CalcE2!$Q$65,VLOOKUP(CalcE2!$B$5,CalcE2!$C$4:$N$12,4,0)))</f>
        <v>SSV Wildbach</v>
      </c>
      <c r="AC20" s="148">
        <f ca="1">IF(CalcE2!$K$13=0,"",VLOOKUP(CalcE2!$B$5,CalcE2!$C$4:$N$12,9,0))</f>
        <v>3</v>
      </c>
      <c r="AD20" s="123">
        <f ca="1">IF(CalcE2!$K$13=0,"",VLOOKUP(CalcE2!$B$5,CalcE2!$C$4:$N$12,10,0))</f>
        <v>0</v>
      </c>
      <c r="AE20" s="123">
        <f ca="1">IF(CalcE2!$K$13=0,"",VLOOKUP(CalcE2!$B$5,CalcE2!$C$4:$N$12,11,0))</f>
        <v>3</v>
      </c>
      <c r="AF20" s="123">
        <f ca="1">IF(CalcE2!$K$13=0,"",VLOOKUP(CalcE2!$B$5,CalcE2!$C$4:$N$12,12,0))</f>
        <v>0</v>
      </c>
      <c r="AG20" s="144">
        <f ca="1">IF(CalcE2!$K$13=0,"",VLOOKUP(CalcE2!B5,CalcE2!$C$4:$AT$12,44,0))</f>
        <v>3</v>
      </c>
      <c r="AH20" s="423" t="str">
        <f>Sprache!$E$99</f>
        <v xml:space="preserve"> : </v>
      </c>
      <c r="AI20" s="146">
        <f ca="1">IF(CalcE2!$K$13=0,"",VLOOKUP(CalcE2!B5,CalcE2!$C$4:$AS$12,43,0))</f>
        <v>3</v>
      </c>
      <c r="AJ20" s="143">
        <f ca="1">IF(CalcE2!$K$13=0,"",AG20-AI20)</f>
        <v>0</v>
      </c>
      <c r="AK20" s="144">
        <f ca="1">IF(CalcE2!$K$13=0,"",VLOOKUP(CalcE2!$B$5,CalcE2!$C$4:$N$12,5,0))</f>
        <v>138</v>
      </c>
      <c r="AL20" s="423" t="str">
        <f>Sprache!$E$99</f>
        <v xml:space="preserve"> : </v>
      </c>
      <c r="AM20" s="146">
        <f ca="1">IF(CalcE2!$K$13=0,"",VLOOKUP(CalcE2!$B$5,CalcE2!$C$4:$N$12,6,0))</f>
        <v>128</v>
      </c>
      <c r="AN20" s="123">
        <f ca="1">IF(CalcE2!$K$13=0,"",IF(VLOOKUP(CalcE2!B5,CalcE2!$C$4:$AV$12,46,0)=Einstellungen!$F$24,"max",VLOOKUP(CalcE2!B5,CalcE2!$C$4:$AV$12,46,0)))</f>
        <v>10</v>
      </c>
      <c r="AO20" s="147">
        <f ca="1">IF(CalcE2!$K$13=0,"",VLOOKUP(CalcE2!B5,CalcE2!$C$4:$AT$12,Einstellungen!$H$9,0))</f>
        <v>3</v>
      </c>
      <c r="AR20" s="424" t="s">
        <v>302</v>
      </c>
      <c r="AS20" s="425" t="str">
        <f ca="1">IF(Vorrunde!$X$24="","",Vorrunde!$X$24)</f>
        <v>FC Grönlingen</v>
      </c>
      <c r="AT20" s="555">
        <f ca="1">IF($AS20="",0,COUNTIF(Playoffs!$U$25:$U$30,$AS20))</f>
        <v>0</v>
      </c>
      <c r="AU20" s="823"/>
      <c r="AW20" s="7" t="b">
        <f t="shared" ca="1" si="4"/>
        <v>0</v>
      </c>
      <c r="AX20" s="7" t="b">
        <f t="shared" si="5"/>
        <v>0</v>
      </c>
      <c r="AY20" s="7" t="b">
        <f t="shared" si="6"/>
        <v>0</v>
      </c>
      <c r="AZ20" s="7" t="b">
        <f t="shared" si="7"/>
        <v>1</v>
      </c>
      <c r="BA20" s="7" t="b">
        <f t="shared" si="8"/>
        <v>0</v>
      </c>
      <c r="BB20" s="7" t="b">
        <f t="shared" si="9"/>
        <v>0</v>
      </c>
      <c r="BC20" s="7" t="b">
        <f t="shared" si="10"/>
        <v>0</v>
      </c>
    </row>
    <row r="21" spans="2:55" ht="24" customHeight="1" x14ac:dyDescent="0.2">
      <c r="C21" s="319">
        <f t="array" aca="1" ref="C21" ca="1">$C$12+ROW(9:9)-SUM((($I$12:$I20="")+($K$12:$K20="")&gt;0)*1)</f>
        <v>27</v>
      </c>
      <c r="D21" s="279">
        <f t="array" aca="1" ref="D21" ca="1">IF(Planung!$V$15,"",$D$12+QUOTIENT(($C21-$C$12),Planung!$V$11)*(Planung!$S$7+Planung!$S$9)/1440+SUM($Y$12:$Y20)/1440)</f>
        <v>0.52083333333333337</v>
      </c>
      <c r="E21" s="275">
        <f ca="1">IF(Planung!$V$15,"",MOD($C21-$C$12,Planung!$V$11)+1)</f>
        <v>3</v>
      </c>
      <c r="F21" s="436" t="s">
        <v>306</v>
      </c>
      <c r="G21" s="437" t="s">
        <v>4</v>
      </c>
      <c r="H21" s="438" t="s">
        <v>308</v>
      </c>
      <c r="I21" s="413" t="str">
        <f t="shared" ca="1" si="0"/>
        <v>Inter Mailand</v>
      </c>
      <c r="J21" s="265" t="s">
        <v>4</v>
      </c>
      <c r="K21" s="266" t="str">
        <f t="shared" ca="1" si="1"/>
        <v/>
      </c>
      <c r="L21" s="793"/>
      <c r="M21" s="273" t="str">
        <f>Sprache!$E$99</f>
        <v xml:space="preserve"> : </v>
      </c>
      <c r="N21" s="799"/>
      <c r="O21" s="795"/>
      <c r="P21" s="543" t="str">
        <f>Sprache!$E$99</f>
        <v xml:space="preserve"> : </v>
      </c>
      <c r="Q21" s="801"/>
      <c r="R21" s="795"/>
      <c r="S21" s="543" t="str">
        <f>Sprache!$E$99</f>
        <v xml:space="preserve"> : </v>
      </c>
      <c r="T21" s="804"/>
      <c r="U21" s="812" t="str">
        <f t="shared" ca="1" si="2"/>
        <v/>
      </c>
      <c r="V21" s="808" t="str">
        <f>Sprache!$E$99</f>
        <v xml:space="preserve"> : </v>
      </c>
      <c r="W21" s="813" t="str">
        <f t="shared" ca="1" si="3"/>
        <v/>
      </c>
      <c r="X21" s="627"/>
      <c r="Y21" s="546"/>
      <c r="AA21" s="422">
        <f ca="1">IF(CalcE2!$K$13=0,"",IF(VLOOKUP(CalcE2!$B$6,CalcE2!$C$4:$E$12,3,0)=MAX($AA19:$AA20),VLOOKUP(CalcE2!$B$6,CalcE2!$C$4:$E$12,3,0),CalcE2!$B$6))</f>
        <v>3</v>
      </c>
      <c r="AB21" s="314" t="str">
        <f ca="1">IF(OR(Calc1!$F$14&lt;3,AS23=1),"",IF(CalcE2!$K$13=0,CalcE2!$Q$66,VLOOKUP(CalcE2!$B$6,CalcE2!$C$4:$N$12,4,0)))</f>
        <v>FC Grönlingen</v>
      </c>
      <c r="AC21" s="148">
        <f ca="1">IF(CalcE2!$K$13=0,"",VLOOKUP(CalcE2!$B$6,CalcE2!$C$4:$N$12,9,0))</f>
        <v>3</v>
      </c>
      <c r="AD21" s="123">
        <f ca="1">IF(CalcE2!$K$13=0,"",VLOOKUP(CalcE2!$B$6,CalcE2!$C$4:$N$12,10,0))</f>
        <v>1</v>
      </c>
      <c r="AE21" s="123">
        <f ca="1">IF(CalcE2!$K$13=0,"",VLOOKUP(CalcE2!$B$6,CalcE2!$C$4:$N$12,11,0))</f>
        <v>1</v>
      </c>
      <c r="AF21" s="123">
        <f ca="1">IF(CalcE2!$K$13=0,"",VLOOKUP(CalcE2!$B$6,CalcE2!$C$4:$N$12,12,0))</f>
        <v>1</v>
      </c>
      <c r="AG21" s="144">
        <f ca="1">IF(CalcE2!$K$13=0,"",VLOOKUP(CalcE2!B6,CalcE2!$C$4:$AT$12,44,0))</f>
        <v>3</v>
      </c>
      <c r="AH21" s="423" t="str">
        <f>Sprache!$E$99</f>
        <v xml:space="preserve"> : </v>
      </c>
      <c r="AI21" s="146">
        <f ca="1">IF(CalcE2!$K$13=0,"",VLOOKUP(CalcE2!B6,CalcE2!$C$4:$AS$12,43,0))</f>
        <v>3</v>
      </c>
      <c r="AJ21" s="143">
        <f ca="1">IF(CalcE2!$K$13=0,"",AG21-AI21)</f>
        <v>0</v>
      </c>
      <c r="AK21" s="144">
        <f ca="1">IF(CalcE2!$K$13=0,"",VLOOKUP(CalcE2!$B$6,CalcE2!$C$4:$N$12,5,0))</f>
        <v>136</v>
      </c>
      <c r="AL21" s="423" t="str">
        <f>Sprache!$E$99</f>
        <v xml:space="preserve"> : </v>
      </c>
      <c r="AM21" s="146">
        <f ca="1">IF(CalcE2!$K$13=0,"",VLOOKUP(CalcE2!$B$6,CalcE2!$C$4:$N$12,6,0))</f>
        <v>139</v>
      </c>
      <c r="AN21" s="123">
        <f ca="1">IF(CalcE2!$K$13=0,"",IF(VLOOKUP(CalcE2!B6,CalcE2!$C$4:$AV$12,46,0)=Einstellungen!$F$24,"max",VLOOKUP(CalcE2!B6,CalcE2!$C$4:$AV$12,46,0)))</f>
        <v>-3</v>
      </c>
      <c r="AO21" s="147">
        <f ca="1">IF(CalcE2!$K$13=0,"",VLOOKUP(CalcE2!B6,CalcE2!$C$4:$AT$12,Einstellungen!$H$9,0))</f>
        <v>3</v>
      </c>
      <c r="AR21" s="540" t="s">
        <v>303</v>
      </c>
      <c r="AS21" s="425" t="str">
        <f ca="1">IF(Vorrunde!$X$15="","",Vorrunde!$X$15)</f>
        <v>FC Barcelona</v>
      </c>
      <c r="AT21" s="555">
        <f ca="1">IF($AS21="",0,COUNTIF(Playoffs!$U$25:$U$30,$AS21))</f>
        <v>0</v>
      </c>
      <c r="AU21" s="823"/>
      <c r="AW21" s="7" t="b">
        <f t="shared" ca="1" si="4"/>
        <v>1</v>
      </c>
      <c r="AX21" s="7" t="b">
        <f t="shared" si="5"/>
        <v>1</v>
      </c>
      <c r="AY21" s="7" t="b">
        <f t="shared" si="6"/>
        <v>1</v>
      </c>
      <c r="AZ21" s="7" t="b">
        <f t="shared" si="7"/>
        <v>1</v>
      </c>
      <c r="BA21" s="7" t="b">
        <f t="shared" si="8"/>
        <v>0</v>
      </c>
      <c r="BB21" s="7" t="b">
        <f t="shared" si="9"/>
        <v>0</v>
      </c>
      <c r="BC21" s="7" t="b">
        <f t="shared" si="10"/>
        <v>0</v>
      </c>
    </row>
    <row r="22" spans="2:55" ht="24" customHeight="1" thickBot="1" x14ac:dyDescent="0.25">
      <c r="C22" s="319">
        <f t="array" aca="1" ref="C22" ca="1">$C$12+ROW(10:10)-SUM((($I$12:$I21="")+($K$12:$K21="")&gt;0)*1)</f>
        <v>27</v>
      </c>
      <c r="D22" s="279">
        <f t="array" aca="1" ref="D22" ca="1">IF(Planung!$V$15,"",$D$12+QUOTIENT(($C22-$C$12),Planung!$V$11)*(Planung!$S$7+Planung!$S$9)/1440+SUM($Y$12:$Y21)/1440)</f>
        <v>0.52083333333333337</v>
      </c>
      <c r="E22" s="275">
        <f ca="1">IF(Planung!$V$15,"",MOD($C22-$C$12,Planung!$V$11)+1)</f>
        <v>3</v>
      </c>
      <c r="F22" s="436" t="s">
        <v>302</v>
      </c>
      <c r="G22" s="437" t="s">
        <v>4</v>
      </c>
      <c r="H22" s="438" t="s">
        <v>304</v>
      </c>
      <c r="I22" s="413" t="str">
        <f t="shared" ca="1" si="0"/>
        <v>FC Grönlingen</v>
      </c>
      <c r="J22" s="265" t="s">
        <v>4</v>
      </c>
      <c r="K22" s="266" t="str">
        <f t="shared" ca="1" si="1"/>
        <v>SSV Wildbach</v>
      </c>
      <c r="L22" s="793">
        <v>22</v>
      </c>
      <c r="M22" s="273" t="str">
        <f>Sprache!$E$99</f>
        <v xml:space="preserve"> : </v>
      </c>
      <c r="N22" s="799">
        <v>25</v>
      </c>
      <c r="O22" s="795">
        <v>25</v>
      </c>
      <c r="P22" s="543" t="str">
        <f>Sprache!$E$99</f>
        <v xml:space="preserve"> : </v>
      </c>
      <c r="Q22" s="801">
        <v>20</v>
      </c>
      <c r="R22" s="795"/>
      <c r="S22" s="543" t="str">
        <f>Sprache!$E$99</f>
        <v xml:space="preserve"> : </v>
      </c>
      <c r="T22" s="804"/>
      <c r="U22" s="812">
        <f t="shared" ca="1" si="2"/>
        <v>1</v>
      </c>
      <c r="V22" s="808" t="str">
        <f>Sprache!$E$99</f>
        <v xml:space="preserve"> : </v>
      </c>
      <c r="W22" s="813">
        <f t="shared" ca="1" si="3"/>
        <v>1</v>
      </c>
      <c r="X22" s="627"/>
      <c r="Y22" s="546"/>
      <c r="AA22" s="426">
        <f ca="1">IF(CalcE2!$K$13=0,"",IF(VLOOKUP(CalcE2!$B$7,CalcE2!$C$4:$E$12,3,0)=MAX($AA19:$AA21),VLOOKUP(CalcE2!$B$7,CalcE2!$C$4:$E$12,3,0),CalcE2!$B$7))</f>
        <v>4</v>
      </c>
      <c r="AB22" s="316" t="str">
        <f ca="1">IF(OR(Calc1!$F$14&lt;3,AS23=1),"",IF(CalcE2!$K$13=0,CalcE2!$Q$67,VLOOKUP(CalcE2!$B$7,CalcE2!$C$4:$N$12,4,0)))</f>
        <v>FC Barcelona</v>
      </c>
      <c r="AC22" s="159">
        <f ca="1">IF(CalcE2!$K$13=0,"",VLOOKUP(CalcE2!$B$7,CalcE2!$C$4:$N$12,9,0))</f>
        <v>3</v>
      </c>
      <c r="AD22" s="153">
        <f ca="1">IF(CalcE2!$K$13=0,"",VLOOKUP(CalcE2!$B$7,CalcE2!$C$4:$N$12,10,0))</f>
        <v>0</v>
      </c>
      <c r="AE22" s="153">
        <f ca="1">IF(CalcE2!$K$13=0,"",VLOOKUP(CalcE2!$B$7,CalcE2!$C$4:$N$12,11,0))</f>
        <v>2</v>
      </c>
      <c r="AF22" s="153">
        <f ca="1">IF(CalcE2!$K$13=0,"",VLOOKUP(CalcE2!$B$7,CalcE2!$C$4:$N$12,12,0))</f>
        <v>1</v>
      </c>
      <c r="AG22" s="155">
        <f ca="1">IF(CalcE2!$K$13=0,"",VLOOKUP(CalcE2!B7,CalcE2!$C$4:$AT$12,44,0))</f>
        <v>2</v>
      </c>
      <c r="AH22" s="427" t="str">
        <f>Sprache!$E$99</f>
        <v xml:space="preserve"> : </v>
      </c>
      <c r="AI22" s="157">
        <f ca="1">IF(CalcE2!$K$13=0,"",VLOOKUP(CalcE2!B7,CalcE2!$C$4:$AS$12,43,0))</f>
        <v>4</v>
      </c>
      <c r="AJ22" s="154">
        <f ca="1">IF(CalcE2!$K$13=0,"",AG22-AI22)</f>
        <v>-2</v>
      </c>
      <c r="AK22" s="155">
        <f ca="1">IF(CalcE2!$K$13=0,"",VLOOKUP(CalcE2!$B$7,CalcE2!$C$4:$N$12,5,0))</f>
        <v>120</v>
      </c>
      <c r="AL22" s="427" t="str">
        <f>Sprache!$E$99</f>
        <v xml:space="preserve"> : </v>
      </c>
      <c r="AM22" s="157">
        <f ca="1">IF(CalcE2!$K$13=0,"",VLOOKUP(CalcE2!$B$7,CalcE2!$C$4:$N$12,6,0))</f>
        <v>142</v>
      </c>
      <c r="AN22" s="153">
        <f ca="1">IF(CalcE2!$K$13=0,"",IF(VLOOKUP(CalcE2!B7,CalcE2!$C$4:$AV$12,46,0)=Einstellungen!$F$24,"max",VLOOKUP(CalcE2!B7,CalcE2!$C$4:$AV$12,46,0)))</f>
        <v>-22</v>
      </c>
      <c r="AO22" s="158">
        <f ca="1">IF(CalcE2!$K$13=0,"",VLOOKUP(CalcE2!B7,CalcE2!$C$4:$AT$12,Einstellungen!$H$9,0))</f>
        <v>2</v>
      </c>
      <c r="AR22" s="428" t="s">
        <v>304</v>
      </c>
      <c r="AS22" s="429" t="str">
        <f ca="1">IF(Vorrunde!$X$25="","",Vorrunde!$X$25)</f>
        <v>SSV Wildbach</v>
      </c>
      <c r="AT22" s="555">
        <f ca="1">IF($AS22="",0,COUNTIF(Playoffs!$U$25:$U$30,$AS22))</f>
        <v>0</v>
      </c>
      <c r="AU22" s="824"/>
      <c r="AW22" s="7" t="b">
        <f t="shared" ca="1" si="4"/>
        <v>0</v>
      </c>
      <c r="AX22" s="7" t="b">
        <f t="shared" si="5"/>
        <v>0</v>
      </c>
      <c r="AY22" s="7" t="b">
        <f t="shared" si="6"/>
        <v>0</v>
      </c>
      <c r="AZ22" s="7" t="b">
        <f t="shared" si="7"/>
        <v>1</v>
      </c>
      <c r="BA22" s="7" t="b">
        <f t="shared" si="8"/>
        <v>0</v>
      </c>
      <c r="BB22" s="7" t="b">
        <f t="shared" si="9"/>
        <v>0</v>
      </c>
      <c r="BC22" s="7" t="b">
        <f t="shared" si="10"/>
        <v>0</v>
      </c>
    </row>
    <row r="23" spans="2:55" ht="24" customHeight="1" thickTop="1" x14ac:dyDescent="0.2">
      <c r="C23" s="319">
        <f t="array" aca="1" ref="C23" ca="1">$C$12+ROW(11:11)-SUM((($I$12:$I22="")+($K$12:$K22="")&gt;0)*1)</f>
        <v>28</v>
      </c>
      <c r="D23" s="279">
        <f t="array" aca="1" ref="D23" ca="1">IF(Planung!$V$15,"",$D$12+QUOTIENT(($C23-$C$12),Planung!$V$11)*(Planung!$S$7+Planung!$S$9)/1440+SUM($Y$12:$Y22)/1440)</f>
        <v>0.52083333333333337</v>
      </c>
      <c r="E23" s="275">
        <f ca="1">IF(Planung!$V$15,"",MOD($C23-$C$12,Planung!$V$11)+1)</f>
        <v>4</v>
      </c>
      <c r="F23" s="436" t="s">
        <v>292</v>
      </c>
      <c r="G23" s="437" t="s">
        <v>4</v>
      </c>
      <c r="H23" s="438" t="s">
        <v>301</v>
      </c>
      <c r="I23" s="413" t="str">
        <f t="shared" ca="1" si="0"/>
        <v>Mainz 05</v>
      </c>
      <c r="J23" s="265" t="s">
        <v>4</v>
      </c>
      <c r="K23" s="266" t="str">
        <f t="shared" ca="1" si="1"/>
        <v>Manchester City</v>
      </c>
      <c r="L23" s="793">
        <v>19</v>
      </c>
      <c r="M23" s="273" t="str">
        <f>Sprache!$E$99</f>
        <v xml:space="preserve"> : </v>
      </c>
      <c r="N23" s="799">
        <v>25</v>
      </c>
      <c r="O23" s="795">
        <v>25</v>
      </c>
      <c r="P23" s="543" t="str">
        <f>Sprache!$E$99</f>
        <v xml:space="preserve"> : </v>
      </c>
      <c r="Q23" s="801">
        <v>19</v>
      </c>
      <c r="R23" s="795"/>
      <c r="S23" s="543" t="str">
        <f>Sprache!$E$99</f>
        <v xml:space="preserve"> : </v>
      </c>
      <c r="T23" s="804"/>
      <c r="U23" s="812">
        <f t="shared" ca="1" si="2"/>
        <v>1</v>
      </c>
      <c r="V23" s="808" t="str">
        <f>Sprache!$E$99</f>
        <v xml:space="preserve"> : </v>
      </c>
      <c r="W23" s="813">
        <f t="shared" ca="1" si="3"/>
        <v>1</v>
      </c>
      <c r="X23" s="627"/>
      <c r="Y23" s="546"/>
      <c r="AS23" s="454">
        <f t="array" aca="1" ref="AS23" ca="1">SUM((AS19:AS22&lt;&gt;"")*1)</f>
        <v>4</v>
      </c>
      <c r="AW23" s="7" t="b">
        <f t="shared" ca="1" si="4"/>
        <v>0</v>
      </c>
      <c r="AX23" s="7" t="b">
        <f t="shared" si="5"/>
        <v>0</v>
      </c>
      <c r="AY23" s="7" t="b">
        <f t="shared" si="6"/>
        <v>0</v>
      </c>
      <c r="AZ23" s="7" t="b">
        <f t="shared" si="7"/>
        <v>1</v>
      </c>
      <c r="BA23" s="7" t="b">
        <f t="shared" si="8"/>
        <v>0</v>
      </c>
      <c r="BB23" s="7" t="b">
        <f t="shared" si="9"/>
        <v>0</v>
      </c>
      <c r="BC23" s="7" t="b">
        <f t="shared" si="10"/>
        <v>0</v>
      </c>
    </row>
    <row r="24" spans="2:55" ht="24" customHeight="1" thickBot="1" x14ac:dyDescent="0.45">
      <c r="C24" s="319">
        <f t="array" aca="1" ref="C24" ca="1">$C$12+ROW(12:12)-SUM((($I$12:$I23="")+($K$12:$K23="")&gt;0)*1)</f>
        <v>29</v>
      </c>
      <c r="D24" s="279">
        <f t="array" aca="1" ref="D24" ca="1">IF(Planung!$V$15,"",$D$12+QUOTIENT(($C24-$C$12),Planung!$V$11)*(Planung!$S$7+Planung!$S$9)/1440+SUM($Y$12:$Y23)/1440)</f>
        <v>0.54513888888888895</v>
      </c>
      <c r="E24" s="275">
        <f ca="1">IF(Planung!$V$15,"",MOD($C24-$C$12,Planung!$V$11)+1)</f>
        <v>1</v>
      </c>
      <c r="F24" s="436" t="s">
        <v>307</v>
      </c>
      <c r="G24" s="437" t="s">
        <v>4</v>
      </c>
      <c r="H24" s="438" t="s">
        <v>308</v>
      </c>
      <c r="I24" s="413" t="str">
        <f t="shared" ca="1" si="0"/>
        <v/>
      </c>
      <c r="J24" s="265" t="s">
        <v>4</v>
      </c>
      <c r="K24" s="266" t="str">
        <f t="shared" ca="1" si="1"/>
        <v/>
      </c>
      <c r="L24" s="793"/>
      <c r="M24" s="273" t="str">
        <f>Sprache!$E$99</f>
        <v xml:space="preserve"> : </v>
      </c>
      <c r="N24" s="799"/>
      <c r="O24" s="795"/>
      <c r="P24" s="543" t="str">
        <f>Sprache!$E$99</f>
        <v xml:space="preserve"> : </v>
      </c>
      <c r="Q24" s="801"/>
      <c r="R24" s="795"/>
      <c r="S24" s="543" t="str">
        <f>Sprache!$E$99</f>
        <v xml:space="preserve"> : </v>
      </c>
      <c r="T24" s="804"/>
      <c r="U24" s="812" t="str">
        <f t="shared" ca="1" si="2"/>
        <v/>
      </c>
      <c r="V24" s="808" t="str">
        <f>Sprache!$E$99</f>
        <v xml:space="preserve"> : </v>
      </c>
      <c r="W24" s="813" t="str">
        <f t="shared" ca="1" si="3"/>
        <v/>
      </c>
      <c r="X24" s="627"/>
      <c r="Y24" s="546"/>
      <c r="AA24" s="979" t="str">
        <f>Sprache!$E$59</f>
        <v>Gruppenfünfte und -sechste</v>
      </c>
      <c r="AB24" s="979"/>
      <c r="AC24" s="979"/>
      <c r="AD24" s="979"/>
      <c r="AE24" s="979"/>
      <c r="AF24" s="979"/>
      <c r="AG24" s="805"/>
      <c r="AH24" s="805"/>
      <c r="AI24" s="805"/>
      <c r="AJ24" s="805"/>
      <c r="AK24" s="124"/>
      <c r="AL24" s="124"/>
      <c r="AM24" s="124"/>
      <c r="AN24" s="124"/>
      <c r="AO24" s="124"/>
      <c r="AR24" s="980" t="str">
        <f>$AA24</f>
        <v>Gruppenfünfte und -sechste</v>
      </c>
      <c r="AS24" s="980"/>
      <c r="AT24" s="981"/>
      <c r="AW24" s="7" t="b">
        <f t="shared" ca="1" si="4"/>
        <v>1</v>
      </c>
      <c r="AX24" s="7" t="b">
        <f t="shared" si="5"/>
        <v>1</v>
      </c>
      <c r="AY24" s="7" t="b">
        <f t="shared" si="6"/>
        <v>1</v>
      </c>
      <c r="AZ24" s="7" t="b">
        <f t="shared" si="7"/>
        <v>1</v>
      </c>
      <c r="BA24" s="7" t="b">
        <f t="shared" si="8"/>
        <v>0</v>
      </c>
      <c r="BB24" s="7" t="b">
        <f t="shared" si="9"/>
        <v>0</v>
      </c>
      <c r="BC24" s="7" t="b">
        <f t="shared" si="10"/>
        <v>0</v>
      </c>
    </row>
    <row r="25" spans="2:55" ht="24" customHeight="1" thickTop="1" thickBot="1" x14ac:dyDescent="0.25">
      <c r="C25" s="319">
        <f t="array" aca="1" ref="C25" ca="1">$C$12+ROW(13:13)-SUM((($I$12:$I24="")+($K$12:$K24="")&gt;0)*1)</f>
        <v>29</v>
      </c>
      <c r="D25" s="279">
        <f t="array" aca="1" ref="D25" ca="1">IF(Planung!$V$15,"",$D$12+QUOTIENT(($C25-$C$12),Planung!$V$11)*(Planung!$S$7+Planung!$S$9)/1440+SUM($Y$12:$Y24)/1440)</f>
        <v>0.54513888888888895</v>
      </c>
      <c r="E25" s="275">
        <f ca="1">IF(Planung!$V$15,"",MOD($C25-$C$12,Planung!$V$11)+1)</f>
        <v>1</v>
      </c>
      <c r="F25" s="436" t="s">
        <v>303</v>
      </c>
      <c r="G25" s="437" t="s">
        <v>4</v>
      </c>
      <c r="H25" s="438" t="s">
        <v>304</v>
      </c>
      <c r="I25" s="413" t="str">
        <f t="shared" ca="1" si="0"/>
        <v>FC Barcelona</v>
      </c>
      <c r="J25" s="265" t="s">
        <v>4</v>
      </c>
      <c r="K25" s="266" t="str">
        <f t="shared" ca="1" si="1"/>
        <v>SSV Wildbach</v>
      </c>
      <c r="L25" s="793">
        <v>14</v>
      </c>
      <c r="M25" s="273" t="str">
        <f>Sprache!$E$99</f>
        <v xml:space="preserve"> : </v>
      </c>
      <c r="N25" s="799">
        <v>25</v>
      </c>
      <c r="O25" s="795">
        <v>25</v>
      </c>
      <c r="P25" s="543" t="str">
        <f>Sprache!$E$99</f>
        <v xml:space="preserve"> : </v>
      </c>
      <c r="Q25" s="801">
        <v>23</v>
      </c>
      <c r="R25" s="795"/>
      <c r="S25" s="543" t="str">
        <f>Sprache!$E$99</f>
        <v xml:space="preserve"> : </v>
      </c>
      <c r="T25" s="804"/>
      <c r="U25" s="812">
        <f t="shared" ca="1" si="2"/>
        <v>1</v>
      </c>
      <c r="V25" s="808" t="str">
        <f>Sprache!$E$99</f>
        <v xml:space="preserve"> : </v>
      </c>
      <c r="W25" s="813">
        <f t="shared" ca="1" si="3"/>
        <v>1</v>
      </c>
      <c r="X25" s="627"/>
      <c r="Y25" s="546"/>
      <c r="AA25" s="982"/>
      <c r="AB25" s="983"/>
      <c r="AC25" s="126" t="str">
        <f>Sprache!$E$21</f>
        <v>SP</v>
      </c>
      <c r="AD25" s="127" t="str">
        <f>Sprache!$E$22</f>
        <v>G</v>
      </c>
      <c r="AE25" s="127" t="str">
        <f>Sprache!$E$23</f>
        <v>U</v>
      </c>
      <c r="AF25" s="410" t="str">
        <f>Sprache!$E$24</f>
        <v>V</v>
      </c>
      <c r="AG25" s="880" t="str">
        <f>Sprache!$E$25</f>
        <v>Sätze</v>
      </c>
      <c r="AH25" s="881"/>
      <c r="AI25" s="882"/>
      <c r="AJ25" s="780" t="str">
        <f>Sprache!$E$26</f>
        <v>Diff.</v>
      </c>
      <c r="AK25" s="877" t="str">
        <f>Sprache!$E$60</f>
        <v>Bälle</v>
      </c>
      <c r="AL25" s="878"/>
      <c r="AM25" s="879"/>
      <c r="AN25" s="127" t="str">
        <f>IF(Einstellungen!$G$24,Sprache!$E$26,Sprache!$E$67)</f>
        <v>Diff.</v>
      </c>
      <c r="AO25" s="129" t="str">
        <f>IF(Einstellungen!$G$9,Sprache!$E$27,Sprache!$E$80)</f>
        <v>Pkt</v>
      </c>
      <c r="AR25" s="416"/>
      <c r="AS25" s="417" t="str">
        <f>Sprache!$E$10</f>
        <v>Teilnehmer bzw. Mannschaft</v>
      </c>
      <c r="AT25" s="554" t="str">
        <f>Sprache!$E$49</f>
        <v>Tie-Break</v>
      </c>
      <c r="AW25" s="7" t="b">
        <f t="shared" ca="1" si="4"/>
        <v>0</v>
      </c>
      <c r="AX25" s="7" t="b">
        <f t="shared" si="5"/>
        <v>0</v>
      </c>
      <c r="AY25" s="7" t="b">
        <f t="shared" si="6"/>
        <v>0</v>
      </c>
      <c r="AZ25" s="7" t="b">
        <f t="shared" si="7"/>
        <v>1</v>
      </c>
      <c r="BA25" s="7" t="b">
        <f t="shared" si="8"/>
        <v>0</v>
      </c>
      <c r="BB25" s="7" t="b">
        <f t="shared" si="9"/>
        <v>0</v>
      </c>
      <c r="BC25" s="7" t="b">
        <f t="shared" si="10"/>
        <v>0</v>
      </c>
    </row>
    <row r="26" spans="2:55" ht="24" customHeight="1" x14ac:dyDescent="0.2">
      <c r="C26" s="319">
        <f t="array" aca="1" ref="C26" ca="1">$C$12+ROW(14:14)-SUM((($I$12:$I25="")+($K$12:$K25="")&gt;0)*1)</f>
        <v>30</v>
      </c>
      <c r="D26" s="279">
        <f t="array" aca="1" ref="D26" ca="1">IF(Planung!$V$15,"",$D$12+QUOTIENT(($C26-$C$12),Planung!$V$11)*(Planung!$S$7+Planung!$S$9)/1440+SUM($Y$12:$Y25)/1440)</f>
        <v>0.54513888888888895</v>
      </c>
      <c r="E26" s="442">
        <f ca="1">IF(Planung!$V$15,"",MOD($C26-$C$12,Planung!$V$11)+1)</f>
        <v>2</v>
      </c>
      <c r="F26" s="436" t="s">
        <v>300</v>
      </c>
      <c r="G26" s="437" t="s">
        <v>4</v>
      </c>
      <c r="H26" s="438" t="s">
        <v>301</v>
      </c>
      <c r="I26" s="414" t="str">
        <f t="shared" ca="1" si="0"/>
        <v>Maibach 1822 eV</v>
      </c>
      <c r="J26" s="89" t="s">
        <v>4</v>
      </c>
      <c r="K26" s="259" t="str">
        <f t="shared" ca="1" si="1"/>
        <v>Manchester City</v>
      </c>
      <c r="L26" s="793">
        <v>21</v>
      </c>
      <c r="M26" s="273" t="str">
        <f>Sprache!$E$99</f>
        <v xml:space="preserve"> : </v>
      </c>
      <c r="N26" s="799">
        <v>25</v>
      </c>
      <c r="O26" s="795">
        <v>25</v>
      </c>
      <c r="P26" s="543" t="str">
        <f>Sprache!$E$99</f>
        <v xml:space="preserve"> : </v>
      </c>
      <c r="Q26" s="801">
        <v>17</v>
      </c>
      <c r="R26" s="795"/>
      <c r="S26" s="543" t="str">
        <f>Sprache!$E$99</f>
        <v xml:space="preserve"> : </v>
      </c>
      <c r="T26" s="804"/>
      <c r="U26" s="812">
        <f t="shared" ca="1" si="2"/>
        <v>1</v>
      </c>
      <c r="V26" s="808" t="str">
        <f>Sprache!$E$99</f>
        <v xml:space="preserve"> : </v>
      </c>
      <c r="W26" s="814">
        <f t="shared" ca="1" si="3"/>
        <v>1</v>
      </c>
      <c r="X26" s="627"/>
      <c r="Y26" s="546"/>
      <c r="AA26" s="418">
        <f ca="1">IF(CalcE3!$K$13=0,"",1)</f>
        <v>1</v>
      </c>
      <c r="AB26" s="312" t="str">
        <f ca="1">IF(Calc1!$F$14&lt;3,"",IF(AND(CalcE3!$K$13=0,AS30&lt;&gt;1),CalcE3!$Q$64,VLOOKUP(CalcE3!$B$4,CalcE3!$C$4:$N$12,4,0)))</f>
        <v>VFB Essenheim</v>
      </c>
      <c r="AC26" s="419">
        <f ca="1">IF(CalcE3!$K$13=0,"",VLOOKUP(CalcE3!$B$4,CalcE3!$C$4:$N$12,9,0))</f>
        <v>1</v>
      </c>
      <c r="AD26" s="133">
        <f ca="1">IF(CalcE3!$K$13=0,"",VLOOKUP(CalcE3!$B$4,CalcE3!$C$4:$N$12,10,0))</f>
        <v>1</v>
      </c>
      <c r="AE26" s="133">
        <f ca="1">IF(CalcE3!$K$13=0,"",VLOOKUP(CalcE3!$B$4,CalcE3!$C$4:$N$12,11,0))</f>
        <v>0</v>
      </c>
      <c r="AF26" s="133">
        <f ca="1">IF(CalcE3!$K$13=0,"",VLOOKUP(CalcE3!$B$4,CalcE3!$C$4:$N$12,12,0))</f>
        <v>0</v>
      </c>
      <c r="AG26" s="135">
        <f ca="1">IF(CalcE3!$K$13=0,"",VLOOKUP(CalcE3!B4,CalcE3!$C$4:$AT$12,44,0))</f>
        <v>2</v>
      </c>
      <c r="AH26" s="420" t="str">
        <f>Sprache!$E$99</f>
        <v xml:space="preserve"> : </v>
      </c>
      <c r="AI26" s="137">
        <f ca="1">IF(CalcE3!$K$13=0,"",VLOOKUP(CalcE3!B4,CalcE3!$C$4:$AS$12,43,0))</f>
        <v>1</v>
      </c>
      <c r="AJ26" s="134">
        <f ca="1">IF(CalcE3!$K$13=0,"",AG26-AI26)</f>
        <v>1</v>
      </c>
      <c r="AK26" s="135">
        <f ca="1">IF(CalcE3!$K$13=0,"",VLOOKUP(CalcE3!$B$4,CalcE3!$C$4:$N$12,5,0))</f>
        <v>70</v>
      </c>
      <c r="AL26" s="420" t="str">
        <f>Sprache!$E$99</f>
        <v xml:space="preserve"> : </v>
      </c>
      <c r="AM26" s="137">
        <f ca="1">IF(CalcE3!$K$13=0,"",VLOOKUP(CalcE3!$B$4,CalcE3!$C$4:$N$12,6,0))</f>
        <v>65</v>
      </c>
      <c r="AN26" s="133">
        <f ca="1">IF(CalcE3!$K$13=0,"",IF(VLOOKUP(CalcE3!B4,CalcE3!$C$4:$AV$12,46,0)=Einstellungen!$F$24,"max",VLOOKUP(CalcE3!B4,CalcE3!$C$4:$AV$12,46,0)))</f>
        <v>5</v>
      </c>
      <c r="AO26" s="138">
        <f ca="1">IF(CalcE3!$K$13=0,"",VLOOKUP(CalcE3!B4,CalcE3!$C$4:$AT$12,Einstellungen!$H$9,0))</f>
        <v>2</v>
      </c>
      <c r="AR26" s="539" t="s">
        <v>305</v>
      </c>
      <c r="AS26" s="421" t="str">
        <f ca="1">IF(Vorrunde!$X$16="","",Vorrunde!$X$16)</f>
        <v>VFB Essenheim</v>
      </c>
      <c r="AT26" s="555">
        <f ca="1">IF($AS26="",0,COUNTIF(Playoffs!$U$25:$U$30,$AS26))</f>
        <v>0</v>
      </c>
      <c r="AU26" s="822"/>
      <c r="AW26" s="7" t="b">
        <f t="shared" ca="1" si="4"/>
        <v>0</v>
      </c>
      <c r="AX26" s="7" t="b">
        <f t="shared" si="5"/>
        <v>0</v>
      </c>
      <c r="AY26" s="7" t="b">
        <f t="shared" si="6"/>
        <v>0</v>
      </c>
      <c r="AZ26" s="7" t="b">
        <f t="shared" si="7"/>
        <v>1</v>
      </c>
      <c r="BA26" s="7" t="b">
        <f t="shared" si="8"/>
        <v>0</v>
      </c>
      <c r="BB26" s="7" t="b">
        <f t="shared" si="9"/>
        <v>0</v>
      </c>
      <c r="BC26" s="7" t="b">
        <f t="shared" si="10"/>
        <v>0</v>
      </c>
    </row>
    <row r="27" spans="2:55" ht="24" customHeight="1" x14ac:dyDescent="0.2">
      <c r="C27" s="319">
        <f t="array" aca="1" ref="C27" ca="1">$C$12+ROW(15:15)-SUM((($I$12:$I26="")+($K$12:$K26="")&gt;0)*1)</f>
        <v>31</v>
      </c>
      <c r="D27" s="279">
        <f t="array" aca="1" ref="D27" ca="1">IF(Planung!$V$15,"",$D$12+QUOTIENT(($C27-$C$12),Planung!$V$11)*(Planung!$S$7+Planung!$S$9)/1440+SUM($Y$12:$Y26)/1440)</f>
        <v>0.54513888888888895</v>
      </c>
      <c r="E27" s="275">
        <f ca="1">IF(Planung!$V$15,"",MOD($C27-$C$12,Planung!$V$11)+1)</f>
        <v>3</v>
      </c>
      <c r="F27" s="436" t="s">
        <v>305</v>
      </c>
      <c r="G27" s="437" t="s">
        <v>4</v>
      </c>
      <c r="H27" s="438" t="s">
        <v>306</v>
      </c>
      <c r="I27" s="413" t="str">
        <f t="shared" ca="1" si="0"/>
        <v>VFB Essenheim</v>
      </c>
      <c r="J27" s="265" t="s">
        <v>4</v>
      </c>
      <c r="K27" s="266" t="str">
        <f t="shared" ca="1" si="1"/>
        <v>Inter Mailand</v>
      </c>
      <c r="L27" s="793">
        <v>20</v>
      </c>
      <c r="M27" s="273" t="str">
        <f>Sprache!$E$99</f>
        <v xml:space="preserve"> : </v>
      </c>
      <c r="N27" s="799">
        <v>25</v>
      </c>
      <c r="O27" s="795">
        <v>25</v>
      </c>
      <c r="P27" s="543" t="str">
        <f>Sprache!$E$99</f>
        <v xml:space="preserve"> : </v>
      </c>
      <c r="Q27" s="801">
        <v>18</v>
      </c>
      <c r="R27" s="795">
        <v>25</v>
      </c>
      <c r="S27" s="543" t="str">
        <f>Sprache!$E$99</f>
        <v xml:space="preserve"> : </v>
      </c>
      <c r="T27" s="804">
        <v>22</v>
      </c>
      <c r="U27" s="812">
        <f t="shared" ca="1" si="2"/>
        <v>2</v>
      </c>
      <c r="V27" s="808" t="str">
        <f>Sprache!$E$99</f>
        <v xml:space="preserve"> : </v>
      </c>
      <c r="W27" s="814">
        <f t="shared" ca="1" si="3"/>
        <v>1</v>
      </c>
      <c r="X27" s="627"/>
      <c r="Y27" s="546"/>
      <c r="AA27" s="422">
        <f ca="1">IF(CalcE3!$K$13=0,"",IF(VLOOKUP(CalcE3!$B$5,CalcE3!$C$4:$E$12,3,0)=MAX($AA26:$AA26),VLOOKUP(CalcE3!$B$5,CalcE3!$C$4:$E$12,3,0),CalcE3!$B$5))</f>
        <v>2</v>
      </c>
      <c r="AB27" s="314" t="str">
        <f ca="1">IF(OR(Calc1!$F$14&lt;3,AS30=1),"",IF(CalcE3!$K$13=0,CalcE3!$Q$65,VLOOKUP(CalcE3!$B$5,CalcE3!$C$4:$N$12,4,0)))</f>
        <v>Inter Mailand</v>
      </c>
      <c r="AC27" s="148">
        <f ca="1">IF(CalcE3!$K$13=0,"",VLOOKUP(CalcE3!$B$5,CalcE3!$C$4:$N$12,9,0))</f>
        <v>1</v>
      </c>
      <c r="AD27" s="123">
        <f ca="1">IF(CalcE3!$K$13=0,"",VLOOKUP(CalcE3!$B$5,CalcE3!$C$4:$N$12,10,0))</f>
        <v>0</v>
      </c>
      <c r="AE27" s="123">
        <f ca="1">IF(CalcE3!$K$13=0,"",VLOOKUP(CalcE3!$B$5,CalcE3!$C$4:$N$12,11,0))</f>
        <v>0</v>
      </c>
      <c r="AF27" s="123">
        <f ca="1">IF(CalcE3!$K$13=0,"",VLOOKUP(CalcE3!$B$5,CalcE3!$C$4:$N$12,12,0))</f>
        <v>1</v>
      </c>
      <c r="AG27" s="144">
        <f ca="1">IF(CalcE3!$K$13=0,"",VLOOKUP(CalcE3!B5,CalcE3!$C$4:$AT$12,44,0))</f>
        <v>1</v>
      </c>
      <c r="AH27" s="423" t="str">
        <f>Sprache!$E$99</f>
        <v xml:space="preserve"> : </v>
      </c>
      <c r="AI27" s="146">
        <f ca="1">IF(CalcE3!$K$13=0,"",VLOOKUP(CalcE3!B5,CalcE3!$C$4:$AS$12,43,0))</f>
        <v>2</v>
      </c>
      <c r="AJ27" s="143">
        <f ca="1">IF(CalcE3!$K$13=0,"",AG27-AI27)</f>
        <v>-1</v>
      </c>
      <c r="AK27" s="144">
        <f ca="1">IF(CalcE3!$K$13=0,"",VLOOKUP(CalcE3!$B$5,CalcE3!$C$4:$N$12,5,0))</f>
        <v>65</v>
      </c>
      <c r="AL27" s="423" t="str">
        <f>Sprache!$E$99</f>
        <v xml:space="preserve"> : </v>
      </c>
      <c r="AM27" s="146">
        <f ca="1">IF(CalcE3!$K$13=0,"",VLOOKUP(CalcE3!$B$5,CalcE3!$C$4:$N$12,6,0))</f>
        <v>70</v>
      </c>
      <c r="AN27" s="123">
        <f ca="1">IF(CalcE3!$K$13=0,"",IF(VLOOKUP(CalcE3!B5,CalcE3!$C$4:$AV$12,46,0)=Einstellungen!$F$24,"max",VLOOKUP(CalcE3!B5,CalcE3!$C$4:$AV$12,46,0)))</f>
        <v>-5</v>
      </c>
      <c r="AO27" s="147">
        <f ca="1">IF(CalcE3!$K$13=0,"",VLOOKUP(CalcE3!B5,CalcE3!$C$4:$AT$12,Einstellungen!$H$9,0))</f>
        <v>0</v>
      </c>
      <c r="AR27" s="424" t="s">
        <v>306</v>
      </c>
      <c r="AS27" s="425" t="str">
        <f ca="1">IF(Vorrunde!$X$26="","",Vorrunde!$X$26)</f>
        <v>Inter Mailand</v>
      </c>
      <c r="AT27" s="555">
        <f ca="1">IF($AS27="",0,COUNTIF(Playoffs!$U$25:$U$30,$AS27))</f>
        <v>0</v>
      </c>
      <c r="AU27" s="823"/>
      <c r="AW27" s="7" t="b">
        <f t="shared" ca="1" si="4"/>
        <v>0</v>
      </c>
      <c r="AX27" s="7" t="b">
        <f t="shared" si="5"/>
        <v>0</v>
      </c>
      <c r="AY27" s="7" t="b">
        <f t="shared" si="6"/>
        <v>0</v>
      </c>
      <c r="AZ27" s="7" t="b">
        <f t="shared" si="7"/>
        <v>0</v>
      </c>
      <c r="BA27" s="7" t="b">
        <f t="shared" si="8"/>
        <v>0</v>
      </c>
      <c r="BB27" s="7" t="b">
        <f t="shared" si="9"/>
        <v>0</v>
      </c>
      <c r="BC27" s="7" t="b">
        <f t="shared" si="10"/>
        <v>0</v>
      </c>
    </row>
    <row r="28" spans="2:55" ht="24" customHeight="1" thickBot="1" x14ac:dyDescent="0.25">
      <c r="C28" s="319">
        <f t="array" aca="1" ref="C28" ca="1">$C$12+ROW(16:16)-SUM((($I$12:$I27="")+($K$12:$K27="")&gt;0)*1)</f>
        <v>32</v>
      </c>
      <c r="D28" s="279">
        <f t="array" aca="1" ref="D28" ca="1">IF(Planung!$V$15,"",$D$12+QUOTIENT(($C28-$C$12),Planung!$V$11)*(Planung!$S$7+Planung!$S$9)/1440+SUM($Y$12:$Y27)/1440)</f>
        <v>0.54513888888888895</v>
      </c>
      <c r="E28" s="442">
        <f ca="1">IF(Planung!$V$15,"",MOD($C28-$C$12,Planung!$V$11)+1)</f>
        <v>4</v>
      </c>
      <c r="F28" s="436" t="s">
        <v>291</v>
      </c>
      <c r="G28" s="437" t="s">
        <v>4</v>
      </c>
      <c r="H28" s="438" t="s">
        <v>302</v>
      </c>
      <c r="I28" s="414" t="str">
        <f t="shared" ca="1" si="0"/>
        <v>1. FC Riedwald</v>
      </c>
      <c r="J28" s="89" t="s">
        <v>4</v>
      </c>
      <c r="K28" s="259" t="str">
        <f t="shared" ca="1" si="1"/>
        <v>FC Grönlingen</v>
      </c>
      <c r="L28" s="793">
        <v>25</v>
      </c>
      <c r="M28" s="273" t="str">
        <f>Sprache!$E$99</f>
        <v xml:space="preserve"> : </v>
      </c>
      <c r="N28" s="799">
        <v>20</v>
      </c>
      <c r="O28" s="793">
        <v>25</v>
      </c>
      <c r="P28" s="542" t="str">
        <f>Sprache!$E$99</f>
        <v xml:space="preserve"> : </v>
      </c>
      <c r="Q28" s="799">
        <v>19</v>
      </c>
      <c r="R28" s="793"/>
      <c r="S28" s="542" t="str">
        <f>Sprache!$E$99</f>
        <v xml:space="preserve"> : </v>
      </c>
      <c r="T28" s="803"/>
      <c r="U28" s="812">
        <f t="shared" ca="1" si="2"/>
        <v>2</v>
      </c>
      <c r="V28" s="808" t="str">
        <f>Sprache!$E$99</f>
        <v xml:space="preserve"> : </v>
      </c>
      <c r="W28" s="814">
        <f t="shared" ca="1" si="3"/>
        <v>0</v>
      </c>
      <c r="X28" s="626"/>
      <c r="Y28" s="546"/>
      <c r="AA28" s="422">
        <f ca="1">IF(CalcE3!$K$13=0,"",IF(VLOOKUP(CalcE3!$B$6,CalcE3!$C$4:$E$12,3,0)=MAX($AA26:$AA27),VLOOKUP(CalcE3!$B$6,CalcE3!$C$4:$E$12,3,0),CalcE3!$B$6))</f>
        <v>3</v>
      </c>
      <c r="AB28" s="314" t="str">
        <f ca="1">IF(OR(Calc1!$F$14&lt;3,AS30=1),"",IF(CalcE3!$K$13=0,CalcE3!$Q$66,VLOOKUP(CalcE3!$B$6,CalcE3!$C$4:$N$12,4,0)))</f>
        <v/>
      </c>
      <c r="AC28" s="148">
        <f ca="1">IF(CalcE3!$K$13=0,"",VLOOKUP(CalcE3!$B$6,CalcE3!$C$4:$N$12,9,0))</f>
        <v>0</v>
      </c>
      <c r="AD28" s="123">
        <f ca="1">IF(CalcE3!$K$13=0,"",VLOOKUP(CalcE3!$B$6,CalcE3!$C$4:$N$12,10,0))</f>
        <v>0</v>
      </c>
      <c r="AE28" s="123">
        <f ca="1">IF(CalcE3!$K$13=0,"",VLOOKUP(CalcE3!$B$6,CalcE3!$C$4:$N$12,11,0))</f>
        <v>0</v>
      </c>
      <c r="AF28" s="123">
        <f ca="1">IF(CalcE3!$K$13=0,"",VLOOKUP(CalcE3!$B$6,CalcE3!$C$4:$N$12,12,0))</f>
        <v>0</v>
      </c>
      <c r="AG28" s="144">
        <f ca="1">IF(CalcE3!$K$13=0,"",VLOOKUP(CalcE3!B6,CalcE3!$C$4:$AT$12,44,0))</f>
        <v>0</v>
      </c>
      <c r="AH28" s="423" t="str">
        <f>Sprache!$E$99</f>
        <v xml:space="preserve"> : </v>
      </c>
      <c r="AI28" s="146">
        <f ca="1">IF(CalcE3!$K$13=0,"",VLOOKUP(CalcE3!B6,CalcE3!$C$4:$AS$12,43,0))</f>
        <v>0</v>
      </c>
      <c r="AJ28" s="143">
        <f ca="1">IF(CalcE3!$K$13=0,"",AG28-AI28)</f>
        <v>0</v>
      </c>
      <c r="AK28" s="144">
        <f ca="1">IF(CalcE3!$K$13=0,"",VLOOKUP(CalcE3!$B$6,CalcE3!$C$4:$N$12,5,0))</f>
        <v>0</v>
      </c>
      <c r="AL28" s="423" t="str">
        <f>Sprache!$E$99</f>
        <v xml:space="preserve"> : </v>
      </c>
      <c r="AM28" s="146">
        <f ca="1">IF(CalcE3!$K$13=0,"",VLOOKUP(CalcE3!$B$6,CalcE3!$C$4:$N$12,6,0))</f>
        <v>0</v>
      </c>
      <c r="AN28" s="123">
        <f ca="1">IF(CalcE3!$K$13=0,"",IF(VLOOKUP(CalcE3!B6,CalcE3!$C$4:$AV$12,46,0)=Einstellungen!$F$24,"max",VLOOKUP(CalcE3!B6,CalcE3!$C$4:$AV$12,46,0)))</f>
        <v>0</v>
      </c>
      <c r="AO28" s="147">
        <f ca="1">IF(CalcE3!$K$13=0,"",VLOOKUP(CalcE3!B6,CalcE3!$C$4:$AT$12,Einstellungen!$H$9,0))</f>
        <v>0</v>
      </c>
      <c r="AR28" s="540" t="s">
        <v>307</v>
      </c>
      <c r="AS28" s="425" t="str">
        <f ca="1">IF(Vorrunde!$X$17="","",Vorrunde!$X$17)</f>
        <v/>
      </c>
      <c r="AT28" s="555">
        <f ca="1">IF($AS28="",0,COUNTIF(Playoffs!$U$25:$U$30,$AS28))</f>
        <v>0</v>
      </c>
      <c r="AU28" s="823"/>
      <c r="AW28" s="7" t="b">
        <f t="shared" ca="1" si="4"/>
        <v>0</v>
      </c>
      <c r="AX28" s="7" t="b">
        <f t="shared" si="5"/>
        <v>0</v>
      </c>
      <c r="AY28" s="7" t="b">
        <f t="shared" si="6"/>
        <v>0</v>
      </c>
      <c r="AZ28" s="7" t="b">
        <f t="shared" si="7"/>
        <v>1</v>
      </c>
      <c r="BA28" s="7" t="b">
        <f t="shared" si="8"/>
        <v>0</v>
      </c>
      <c r="BB28" s="7" t="b">
        <f t="shared" si="9"/>
        <v>0</v>
      </c>
      <c r="BC28" s="7" t="b">
        <f t="shared" si="10"/>
        <v>0</v>
      </c>
    </row>
    <row r="29" spans="2:55" ht="24" customHeight="1" thickBot="1" x14ac:dyDescent="0.25">
      <c r="C29" s="320">
        <f t="array" aca="1" ref="C29" ca="1">$C$12+ROW(17:17)-SUM((($I$12:$I28="")+($K$12:$K28="")&gt;0)*1)</f>
        <v>33</v>
      </c>
      <c r="D29" s="280">
        <f t="array" aca="1" ref="D29" ca="1">IF(Planung!$V$15,"",$D$12+QUOTIENT(($C29-$C$12),Planung!$V$11)*(Planung!$S$7+Planung!$S$9)/1440+SUM($Y$12:$Y28)/1440)</f>
        <v>0.56944444444444442</v>
      </c>
      <c r="E29" s="276">
        <f ca="1">IF(Planung!$V$15,"",MOD($C29-$C$12,Planung!$V$11)+1)</f>
        <v>1</v>
      </c>
      <c r="F29" s="439" t="s">
        <v>299</v>
      </c>
      <c r="G29" s="440" t="s">
        <v>4</v>
      </c>
      <c r="H29" s="441" t="s">
        <v>292</v>
      </c>
      <c r="I29" s="443" t="str">
        <f t="shared" ca="1" si="0"/>
        <v>Eintracht Frankfurt</v>
      </c>
      <c r="J29" s="444" t="s">
        <v>4</v>
      </c>
      <c r="K29" s="445" t="str">
        <f t="shared" ca="1" si="1"/>
        <v>Mainz 05</v>
      </c>
      <c r="L29" s="794">
        <v>25</v>
      </c>
      <c r="M29" s="304" t="str">
        <f>Sprache!$E$99</f>
        <v xml:space="preserve"> : </v>
      </c>
      <c r="N29" s="800">
        <v>13</v>
      </c>
      <c r="O29" s="794">
        <v>25</v>
      </c>
      <c r="P29" s="560" t="str">
        <f>Sprache!$E$99</f>
        <v xml:space="preserve"> : </v>
      </c>
      <c r="Q29" s="800">
        <v>20</v>
      </c>
      <c r="R29" s="794"/>
      <c r="S29" s="560" t="str">
        <f>Sprache!$E$99</f>
        <v xml:space="preserve"> : </v>
      </c>
      <c r="T29" s="828"/>
      <c r="U29" s="815">
        <f t="shared" ca="1" si="2"/>
        <v>2</v>
      </c>
      <c r="V29" s="809" t="str">
        <f>Sprache!$E$99</f>
        <v xml:space="preserve"> : </v>
      </c>
      <c r="W29" s="816">
        <f t="shared" ca="1" si="3"/>
        <v>0</v>
      </c>
      <c r="X29" s="628"/>
      <c r="Y29" s="547"/>
      <c r="AA29" s="426">
        <f ca="1">IF(CalcE3!$K$13=0,"",IF(VLOOKUP(CalcE3!$B$7,CalcE3!$C$4:$E$12,3,0)=MAX($AA26:$AA28),VLOOKUP(CalcE3!$B$7,CalcE3!$C$4:$E$12,3,0),CalcE3!$B$7))</f>
        <v>3</v>
      </c>
      <c r="AB29" s="316" t="str">
        <f ca="1">IF(OR(Calc1!$F$14&lt;3,AS30=1),"",IF(CalcE3!$K$13=0,CalcE3!$Q$67,VLOOKUP(CalcE3!$B$7,CalcE3!$C$4:$N$12,4,0)))</f>
        <v/>
      </c>
      <c r="AC29" s="159">
        <f ca="1">IF(CalcE3!$K$13=0,"",VLOOKUP(CalcE3!$B$7,CalcE3!$C$4:$N$12,9,0))</f>
        <v>0</v>
      </c>
      <c r="AD29" s="153">
        <f ca="1">IF(CalcE3!$K$13=0,"",VLOOKUP(CalcE3!$B$7,CalcE3!$C$4:$N$12,10,0))</f>
        <v>0</v>
      </c>
      <c r="AE29" s="153">
        <f ca="1">IF(CalcE3!$K$13=0,"",VLOOKUP(CalcE3!$B$7,CalcE3!$C$4:$N$12,11,0))</f>
        <v>0</v>
      </c>
      <c r="AF29" s="153">
        <f ca="1">IF(CalcE3!$K$13=0,"",VLOOKUP(CalcE3!$B$7,CalcE3!$C$4:$N$12,12,0))</f>
        <v>0</v>
      </c>
      <c r="AG29" s="155">
        <f ca="1">IF(CalcE3!$K$13=0,"",VLOOKUP(CalcE3!B7,CalcE3!$C$4:$AT$12,44,0))</f>
        <v>0</v>
      </c>
      <c r="AH29" s="427" t="str">
        <f>Sprache!$E$99</f>
        <v xml:space="preserve"> : </v>
      </c>
      <c r="AI29" s="157">
        <f ca="1">IF(CalcE3!$K$13=0,"",VLOOKUP(CalcE3!B7,CalcE3!$C$4:$AS$12,43,0))</f>
        <v>0</v>
      </c>
      <c r="AJ29" s="154">
        <f ca="1">IF(CalcE3!$K$13=0,"",AG29-AI29)</f>
        <v>0</v>
      </c>
      <c r="AK29" s="155">
        <f ca="1">IF(CalcE3!$K$13=0,"",VLOOKUP(CalcE3!$B$7,CalcE3!$C$4:$N$12,5,0))</f>
        <v>0</v>
      </c>
      <c r="AL29" s="427" t="str">
        <f>Sprache!$E$99</f>
        <v xml:space="preserve"> : </v>
      </c>
      <c r="AM29" s="157">
        <f ca="1">IF(CalcE3!$K$13=0,"",VLOOKUP(CalcE3!$B$7,CalcE3!$C$4:$N$12,6,0))</f>
        <v>0</v>
      </c>
      <c r="AN29" s="153">
        <f ca="1">IF(CalcE3!$K$13=0,"",IF(VLOOKUP(CalcE3!B7,CalcE3!$C$4:$AV$12,46,0)=Einstellungen!$F$24,"max",VLOOKUP(CalcE3!B7,CalcE3!$C$4:$AV$12,46,0)))</f>
        <v>0</v>
      </c>
      <c r="AO29" s="158">
        <f ca="1">IF(CalcE3!$K$13=0,"",VLOOKUP(CalcE3!B7,CalcE3!$C$4:$AT$12,Einstellungen!$H$9,0))</f>
        <v>0</v>
      </c>
      <c r="AR29" s="428" t="s">
        <v>308</v>
      </c>
      <c r="AS29" s="429" t="str">
        <f ca="1">IF(Vorrunde!$X$27="","",Vorrunde!$X$27)</f>
        <v/>
      </c>
      <c r="AT29" s="555">
        <f ca="1">IF($AS29="",0,COUNTIF(Playoffs!$U$25:$U$30,$AS29))</f>
        <v>0</v>
      </c>
      <c r="AU29" s="824"/>
      <c r="AW29" s="7" t="b">
        <f t="shared" ca="1" si="4"/>
        <v>0</v>
      </c>
      <c r="AX29" s="7" t="b">
        <f t="shared" si="5"/>
        <v>0</v>
      </c>
      <c r="AY29" s="7" t="b">
        <f t="shared" si="6"/>
        <v>0</v>
      </c>
      <c r="AZ29" s="7" t="b">
        <f t="shared" si="7"/>
        <v>1</v>
      </c>
      <c r="BA29" s="7" t="b">
        <f t="shared" si="8"/>
        <v>0</v>
      </c>
      <c r="BB29" s="7" t="b">
        <f t="shared" si="9"/>
        <v>0</v>
      </c>
      <c r="BC29" s="7" t="b">
        <f t="shared" si="10"/>
        <v>0</v>
      </c>
    </row>
    <row r="30" spans="2:55" ht="24" customHeight="1" thickTop="1" x14ac:dyDescent="0.2">
      <c r="AS30" s="454">
        <f t="array" aca="1" ref="AS30" ca="1">SUM((AS26:AS29&lt;&gt;"")*1)</f>
        <v>2</v>
      </c>
    </row>
    <row r="31" spans="2:55" ht="24" customHeight="1" x14ac:dyDescent="0.2">
      <c r="C31" s="288"/>
      <c r="D31" s="288"/>
      <c r="E31" s="288"/>
      <c r="F31" s="288"/>
      <c r="G31" s="288"/>
      <c r="H31" s="288"/>
      <c r="I31" s="941" t="str">
        <f>Sprache!$E$29</f>
        <v>Turnierende:</v>
      </c>
      <c r="J31" s="941"/>
      <c r="K31" s="289">
        <f ca="1">IF(Planung!$S$13="","",$D$29+Planung!$S$7/1440)</f>
        <v>0.59027777777777779</v>
      </c>
      <c r="L31" s="290"/>
      <c r="M31" s="290"/>
      <c r="N31" s="290"/>
      <c r="O31" s="290"/>
      <c r="P31" s="290"/>
      <c r="Q31" s="290"/>
      <c r="R31" s="290"/>
      <c r="S31" s="290"/>
      <c r="T31" s="290"/>
      <c r="U31" s="290"/>
      <c r="V31" s="290"/>
      <c r="W31" s="290"/>
      <c r="X31" s="290"/>
      <c r="Y31" s="290"/>
    </row>
    <row r="32" spans="2:55" ht="24" customHeight="1" thickBot="1" x14ac:dyDescent="0.25">
      <c r="D32" s="282"/>
    </row>
    <row r="33" spans="5:28" ht="24" customHeight="1" thickBot="1" x14ac:dyDescent="0.25">
      <c r="F33" s="430"/>
      <c r="G33" s="431"/>
      <c r="H33" s="829" t="str">
        <f>Sprache!$E$107</f>
        <v>Rang</v>
      </c>
      <c r="I33" s="976" t="str">
        <f>"  "&amp;Sprache!$E$10</f>
        <v xml:space="preserve">  Teilnehmer bzw. Mannschaft</v>
      </c>
      <c r="J33" s="977"/>
      <c r="K33" s="978"/>
    </row>
    <row r="34" spans="5:28" ht="24" customHeight="1" thickTop="1" x14ac:dyDescent="0.2">
      <c r="E34" s="283">
        <v>1</v>
      </c>
      <c r="F34" s="432"/>
      <c r="G34" s="432"/>
      <c r="H34" s="331">
        <v>1</v>
      </c>
      <c r="I34" s="932" t="str">
        <f ca="1">IF(CalcE1!$K$13=0,"",$AB$12)</f>
        <v>Manchester City</v>
      </c>
      <c r="J34" s="932"/>
      <c r="K34" s="933"/>
    </row>
    <row r="35" spans="5:28" ht="24" customHeight="1" x14ac:dyDescent="0.2">
      <c r="E35" s="283">
        <v>2</v>
      </c>
      <c r="F35" s="432"/>
      <c r="G35" s="432"/>
      <c r="H35" s="332">
        <v>2</v>
      </c>
      <c r="I35" s="934" t="str">
        <f ca="1">IF(CalcE1!$K$13=0,"",$AB$13)</f>
        <v>Maibach 1822 eV</v>
      </c>
      <c r="J35" s="934"/>
      <c r="K35" s="935"/>
    </row>
    <row r="36" spans="5:28" ht="24" customHeight="1" x14ac:dyDescent="0.2">
      <c r="E36" s="283">
        <v>3</v>
      </c>
      <c r="F36" s="432"/>
      <c r="G36" s="432"/>
      <c r="H36" s="333">
        <v>3</v>
      </c>
      <c r="I36" s="936" t="str">
        <f ca="1">IF(CalcE1!$K$13=0,"",$AB$14)</f>
        <v>Mainz 05</v>
      </c>
      <c r="J36" s="936"/>
      <c r="K36" s="937"/>
    </row>
    <row r="37" spans="5:28" ht="24" customHeight="1" x14ac:dyDescent="0.2">
      <c r="E37" s="283">
        <v>4</v>
      </c>
      <c r="F37" s="432"/>
      <c r="G37" s="432"/>
      <c r="H37" s="334">
        <v>4</v>
      </c>
      <c r="I37" s="930" t="str">
        <f ca="1">IF(CalcE1!$K$13=0,"",$AB$15)</f>
        <v>Eintracht Frankfurt</v>
      </c>
      <c r="J37" s="930"/>
      <c r="K37" s="931"/>
    </row>
    <row r="38" spans="5:28" ht="24" customHeight="1" x14ac:dyDescent="0.2">
      <c r="E38" s="283">
        <v>5</v>
      </c>
      <c r="F38" s="432"/>
      <c r="G38" s="432"/>
      <c r="H38" s="334">
        <v>5</v>
      </c>
      <c r="I38" s="930" t="str">
        <f ca="1">IF(AND(CalcE2!$K$13=0,CalcE2!$F$13&lt;&gt;1),"",$AB$19)</f>
        <v>1. FC Riedwald</v>
      </c>
      <c r="J38" s="930"/>
      <c r="K38" s="931"/>
    </row>
    <row r="39" spans="5:28" ht="24" customHeight="1" x14ac:dyDescent="0.2">
      <c r="E39" s="283">
        <v>6</v>
      </c>
      <c r="F39" s="432"/>
      <c r="G39" s="432"/>
      <c r="H39" s="334">
        <v>6</v>
      </c>
      <c r="I39" s="930" t="str">
        <f ca="1">IF(CalcE2!$K$13=0,"",$AB$20)</f>
        <v>SSV Wildbach</v>
      </c>
      <c r="J39" s="930"/>
      <c r="K39" s="931"/>
    </row>
    <row r="40" spans="5:28" ht="24" customHeight="1" x14ac:dyDescent="0.2">
      <c r="E40" s="283">
        <v>7</v>
      </c>
      <c r="F40" s="432"/>
      <c r="G40" s="432"/>
      <c r="H40" s="334">
        <v>7</v>
      </c>
      <c r="I40" s="930" t="str">
        <f ca="1">IF(CalcE2!$K$13=0,"",$AB$21)</f>
        <v>FC Grönlingen</v>
      </c>
      <c r="J40" s="930"/>
      <c r="K40" s="931"/>
      <c r="AB40" s="446"/>
    </row>
    <row r="41" spans="5:28" ht="24" customHeight="1" x14ac:dyDescent="0.2">
      <c r="E41" s="283">
        <v>8</v>
      </c>
      <c r="F41" s="432"/>
      <c r="G41" s="432"/>
      <c r="H41" s="334">
        <v>8</v>
      </c>
      <c r="I41" s="930" t="str">
        <f ca="1">IF(CalcE2!$K$13=0,"",$AB$22)</f>
        <v>FC Barcelona</v>
      </c>
      <c r="J41" s="930"/>
      <c r="K41" s="931"/>
    </row>
    <row r="42" spans="5:28" ht="24" customHeight="1" x14ac:dyDescent="0.2">
      <c r="E42" s="283">
        <v>9</v>
      </c>
      <c r="F42" s="432"/>
      <c r="G42" s="432"/>
      <c r="H42" s="334">
        <v>9</v>
      </c>
      <c r="I42" s="930" t="str">
        <f ca="1">IF(AND(CalcE3!$K$13=0,CalcE3!$F$13&lt;&gt;1),"",$AB$26)</f>
        <v>VFB Essenheim</v>
      </c>
      <c r="J42" s="930"/>
      <c r="K42" s="931"/>
    </row>
    <row r="43" spans="5:28" ht="24" customHeight="1" x14ac:dyDescent="0.2">
      <c r="E43" s="283">
        <v>10</v>
      </c>
      <c r="F43" s="432"/>
      <c r="G43" s="432"/>
      <c r="H43" s="334">
        <v>10</v>
      </c>
      <c r="I43" s="930" t="str">
        <f ca="1">IF(CalcE3!$K$13=0,"",$AB$27)</f>
        <v>Inter Mailand</v>
      </c>
      <c r="J43" s="930"/>
      <c r="K43" s="931"/>
    </row>
    <row r="44" spans="5:28" ht="24" customHeight="1" x14ac:dyDescent="0.2">
      <c r="E44" s="283">
        <v>11</v>
      </c>
      <c r="F44" s="432"/>
      <c r="G44" s="432"/>
      <c r="H44" s="334">
        <v>11</v>
      </c>
      <c r="I44" s="930" t="str">
        <f ca="1">IF(CalcE3!$K$13=0,"",$AB$28)</f>
        <v/>
      </c>
      <c r="J44" s="930"/>
      <c r="K44" s="931"/>
    </row>
    <row r="45" spans="5:28" ht="24" customHeight="1" thickBot="1" x14ac:dyDescent="0.25">
      <c r="E45" s="283">
        <v>12</v>
      </c>
      <c r="F45" s="432"/>
      <c r="G45" s="432"/>
      <c r="H45" s="335">
        <v>12</v>
      </c>
      <c r="I45" s="926" t="str">
        <f ca="1">IF(CalcE3!$K$13=0,"",$AB$29)</f>
        <v/>
      </c>
      <c r="J45" s="926"/>
      <c r="K45" s="927"/>
    </row>
    <row r="46" spans="5:28" ht="24" customHeight="1" thickTop="1" x14ac:dyDescent="0.2"/>
    <row r="47" spans="5:28" ht="12.75" customHeight="1" x14ac:dyDescent="0.2"/>
  </sheetData>
  <sheetProtection sheet="1" selectLockedCells="1"/>
  <mergeCells count="41">
    <mergeCell ref="AR24:AT24"/>
    <mergeCell ref="AA25:AB25"/>
    <mergeCell ref="AK25:AM25"/>
    <mergeCell ref="R11:T11"/>
    <mergeCell ref="U11:W11"/>
    <mergeCell ref="AG11:AI11"/>
    <mergeCell ref="J2:AC2"/>
    <mergeCell ref="J3:AC3"/>
    <mergeCell ref="J4:AC4"/>
    <mergeCell ref="J5:AC5"/>
    <mergeCell ref="L7:AA8"/>
    <mergeCell ref="I31:J31"/>
    <mergeCell ref="Y10:Y11"/>
    <mergeCell ref="AA10:AF10"/>
    <mergeCell ref="AA11:AB11"/>
    <mergeCell ref="AK11:AM11"/>
    <mergeCell ref="AA18:AB18"/>
    <mergeCell ref="AK18:AM18"/>
    <mergeCell ref="AA24:AF24"/>
    <mergeCell ref="AG18:AI18"/>
    <mergeCell ref="AG25:AI25"/>
    <mergeCell ref="C10:F10"/>
    <mergeCell ref="I11:K11"/>
    <mergeCell ref="L11:N11"/>
    <mergeCell ref="AA17:AF17"/>
    <mergeCell ref="AR17:AT17"/>
    <mergeCell ref="O11:Q11"/>
    <mergeCell ref="AR10:AT10"/>
    <mergeCell ref="I42:K42"/>
    <mergeCell ref="I43:K43"/>
    <mergeCell ref="I44:K44"/>
    <mergeCell ref="I45:K45"/>
    <mergeCell ref="I38:K38"/>
    <mergeCell ref="I41:K41"/>
    <mergeCell ref="I40:K40"/>
    <mergeCell ref="I39:K39"/>
    <mergeCell ref="I37:K37"/>
    <mergeCell ref="I36:K36"/>
    <mergeCell ref="I35:K35"/>
    <mergeCell ref="I34:K34"/>
    <mergeCell ref="I33:K33"/>
  </mergeCells>
  <conditionalFormatting sqref="AA12:AO15 AA19:AO22 AA26:AO29">
    <cfRule type="expression" dxfId="13" priority="18">
      <formula>$AB12=""</formula>
    </cfRule>
    <cfRule type="expression" dxfId="12" priority="19">
      <formula>OR(AND($AA12=$AA11,$AB11&lt;&gt;""),AND($AA12=$AA13,$AB13&lt;&gt;""))</formula>
    </cfRule>
  </conditionalFormatting>
  <conditionalFormatting sqref="C12:W29">
    <cfRule type="expression" dxfId="11" priority="4">
      <formula>OR($I12="",$K12="")</formula>
    </cfRule>
  </conditionalFormatting>
  <conditionalFormatting sqref="L12:L29 N12:N29">
    <cfRule type="expression" dxfId="10" priority="3">
      <formula>$BA12</formula>
    </cfRule>
  </conditionalFormatting>
  <conditionalFormatting sqref="O12:O29 Q12:Q29">
    <cfRule type="expression" dxfId="9" priority="2">
      <formula>$BB12</formula>
    </cfRule>
  </conditionalFormatting>
  <conditionalFormatting sqref="R12:R29 T12:T29">
    <cfRule type="expression" dxfId="8" priority="1">
      <formula>$BC12</formula>
    </cfRule>
  </conditionalFormatting>
  <dataValidations count="1">
    <dataValidation allowBlank="1" showErrorMessage="1" errorTitle="Error" error="Maximal 999 !" sqref="U12:U29 W12:W29" xr:uid="{4E31A0A6-5C75-4057-BE70-0C06E470580C}"/>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648D8133-7717-4F1D-AB74-A1A63E64B3CD}">
            <xm:f>$H34&gt;2*#REF!-MOD((#REF!+Calc2!$F$13),2)</xm:f>
            <x14:dxf>
              <numFmt numFmtId="165" formatCode=";;;"/>
            </x14:dxf>
          </x14:cfRule>
          <xm:sqref>H34:H45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vt:i4>
      </vt:variant>
    </vt:vector>
  </HeadingPairs>
  <TitlesOfParts>
    <vt:vector size="21" baseType="lpstr">
      <vt:lpstr>Planung</vt:lpstr>
      <vt:lpstr>proof</vt:lpstr>
      <vt:lpstr>Pairings</vt:lpstr>
      <vt:lpstr>Vorrunde</vt:lpstr>
      <vt:lpstr>Playoffs</vt:lpstr>
      <vt:lpstr>Endrunde 1</vt:lpstr>
      <vt:lpstr>Endrunde 2</vt:lpstr>
      <vt:lpstr>Endrunde 3</vt:lpstr>
      <vt:lpstr>Endrunde 4</vt:lpstr>
      <vt:lpstr>DirVergleich_A</vt:lpstr>
      <vt:lpstr>DirVergleich_B</vt:lpstr>
      <vt:lpstr>Spielzeiten Endrunde 4</vt:lpstr>
      <vt:lpstr>Sprache</vt:lpstr>
      <vt:lpstr>Einstellungen</vt:lpstr>
      <vt:lpstr>Info</vt:lpstr>
      <vt:lpstr>Calc1</vt:lpstr>
      <vt:lpstr>Calc2</vt:lpstr>
      <vt:lpstr>CalcE1</vt:lpstr>
      <vt:lpstr>CalcE2</vt:lpstr>
      <vt:lpstr>CalcE3</vt:lpstr>
      <vt:lpstr>'Spielzeiten Endrunde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2025-08-15T20:50:28Z</cp:lastPrinted>
  <dcterms:created xsi:type="dcterms:W3CDTF">2010-02-21T20:03:25Z</dcterms:created>
  <dcterms:modified xsi:type="dcterms:W3CDTF">2025-08-18T17:50:47Z</dcterms:modified>
</cp:coreProperties>
</file>