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defaultThemeVersion="166925"/>
  <mc:AlternateContent xmlns:mc="http://schemas.openxmlformats.org/markup-compatibility/2006">
    <mc:Choice Requires="x15">
      <x15ac:absPath xmlns:x15ac="http://schemas.microsoft.com/office/spreadsheetml/2010/11/ac" url="E:\xampp\htdocs\hb\_hermann-baum.de strato\excel\Turnier\download\Volleyball\"/>
    </mc:Choice>
  </mc:AlternateContent>
  <xr:revisionPtr revIDLastSave="0" documentId="13_ncr:1_{4D9436F3-314A-4158-A9D2-02A964758C21}" xr6:coauthVersionLast="36" xr6:coauthVersionMax="47" xr10:uidLastSave="{00000000-0000-0000-0000-000000000000}"/>
  <bookViews>
    <workbookView xWindow="-120" yWindow="-120" windowWidth="29040" windowHeight="15750" tabRatio="712" activeTab="3" xr2:uid="{00000000-000D-0000-FFFF-FFFF00000000}"/>
  </bookViews>
  <sheets>
    <sheet name="Planung" sheetId="22" r:id="rId1"/>
    <sheet name="proof" sheetId="25" state="hidden" r:id="rId2"/>
    <sheet name="Pairings" sheetId="13" state="hidden" r:id="rId3"/>
    <sheet name="Vorrunde" sheetId="6" r:id="rId4"/>
    <sheet name="TieBreak" sheetId="31" state="hidden" r:id="rId5"/>
    <sheet name="Endrunde 1" sheetId="21" r:id="rId6"/>
    <sheet name="Endrunde 2" sheetId="24" r:id="rId7"/>
    <sheet name="DirVergleich_A" sheetId="10" state="hidden" r:id="rId8"/>
    <sheet name="DirVergleich_B" sheetId="20" state="hidden" r:id="rId9"/>
    <sheet name="Endrunde 3" sheetId="26" r:id="rId10"/>
    <sheet name="Endrunde 4" sheetId="27" r:id="rId11"/>
    <sheet name="Sprache" sheetId="9" r:id="rId12"/>
    <sheet name="Einstellungen" sheetId="14" r:id="rId13"/>
    <sheet name="Info" sheetId="16" r:id="rId14"/>
    <sheet name="Calc1" sheetId="3" state="hidden" r:id="rId15"/>
    <sheet name="Calc2" sheetId="17" state="hidden" r:id="rId16"/>
    <sheet name="CalcE1" sheetId="28" state="hidden" r:id="rId17"/>
    <sheet name="CalcE2" sheetId="29" state="hidden" r:id="rId18"/>
    <sheet name="CalcE3" sheetId="30" state="hidden" r:id="rId19"/>
  </sheets>
  <calcPr calcId="191029" concurrentCalc="0"/>
</workbook>
</file>

<file path=xl/calcChain.xml><?xml version="1.0" encoding="utf-8"?>
<calcChain xmlns="http://schemas.openxmlformats.org/spreadsheetml/2006/main">
  <c r="E25" i="9" l="1"/>
  <c r="V21" i="6"/>
  <c r="V11" i="6"/>
  <c r="I6" i="22" a="1"/>
  <c r="I6" i="22"/>
  <c r="L6" i="22"/>
  <c r="V64" i="17"/>
  <c r="F12" i="6"/>
  <c r="K6" i="22" a="1"/>
  <c r="K6" i="22"/>
  <c r="N6" i="22"/>
  <c r="H12" i="6"/>
  <c r="AA64" i="17"/>
  <c r="I7" i="22"/>
  <c r="L7" i="22"/>
  <c r="V65" i="17"/>
  <c r="F13" i="6"/>
  <c r="K7" i="22"/>
  <c r="N7" i="22"/>
  <c r="H13" i="6"/>
  <c r="AA65" i="17"/>
  <c r="I8" i="22"/>
  <c r="L8" i="22"/>
  <c r="V66" i="17"/>
  <c r="I9" i="22"/>
  <c r="L9" i="22"/>
  <c r="V67" i="17"/>
  <c r="I10" i="22"/>
  <c r="L10" i="22"/>
  <c r="V68" i="17"/>
  <c r="I11" i="22"/>
  <c r="L11" i="22"/>
  <c r="V69" i="17"/>
  <c r="I12" i="22"/>
  <c r="L12" i="22"/>
  <c r="V70" i="17"/>
  <c r="I13" i="22"/>
  <c r="L13" i="22"/>
  <c r="V71" i="17"/>
  <c r="I14" i="22"/>
  <c r="L14" i="22"/>
  <c r="V72" i="17"/>
  <c r="I15" i="22"/>
  <c r="L15" i="22"/>
  <c r="V73" i="17"/>
  <c r="I16" i="22"/>
  <c r="L16" i="22"/>
  <c r="V74" i="17"/>
  <c r="I17" i="22"/>
  <c r="L17" i="22"/>
  <c r="V75" i="17"/>
  <c r="I18" i="22"/>
  <c r="L18" i="22"/>
  <c r="V76" i="17"/>
  <c r="I19" i="22"/>
  <c r="L19" i="22"/>
  <c r="V77" i="17"/>
  <c r="I20" i="22"/>
  <c r="L20" i="22"/>
  <c r="V78" i="17"/>
  <c r="I21" i="22"/>
  <c r="L21" i="22"/>
  <c r="V79" i="17"/>
  <c r="I22" i="22"/>
  <c r="L22" i="22"/>
  <c r="V80" i="17"/>
  <c r="I23" i="22"/>
  <c r="L23" i="22"/>
  <c r="V81" i="17"/>
  <c r="I24" i="22"/>
  <c r="L24" i="22"/>
  <c r="V82" i="17"/>
  <c r="I25" i="22"/>
  <c r="L25" i="22"/>
  <c r="V83" i="17"/>
  <c r="I26" i="22"/>
  <c r="L26" i="22"/>
  <c r="V84" i="17"/>
  <c r="I27" i="22"/>
  <c r="L27" i="22"/>
  <c r="V85" i="17"/>
  <c r="I28" i="22"/>
  <c r="L28" i="22"/>
  <c r="V86" i="17"/>
  <c r="I29" i="22"/>
  <c r="L29" i="22"/>
  <c r="V87" i="17"/>
  <c r="I30" i="22"/>
  <c r="L30" i="22"/>
  <c r="V88" i="17"/>
  <c r="I31" i="22"/>
  <c r="L31" i="22"/>
  <c r="V89" i="17"/>
  <c r="I32" i="22"/>
  <c r="L32" i="22"/>
  <c r="V90" i="17"/>
  <c r="I33" i="22"/>
  <c r="L33" i="22"/>
  <c r="V91" i="17"/>
  <c r="I34" i="22"/>
  <c r="L34" i="22"/>
  <c r="V92" i="17"/>
  <c r="I35" i="22"/>
  <c r="L35" i="22"/>
  <c r="V93" i="17"/>
  <c r="F14" i="6"/>
  <c r="K8" i="22"/>
  <c r="N8" i="22"/>
  <c r="H14" i="6"/>
  <c r="AA66" i="17"/>
  <c r="F15" i="6"/>
  <c r="K9" i="22"/>
  <c r="N9" i="22"/>
  <c r="H15" i="6"/>
  <c r="AA67" i="17"/>
  <c r="F16" i="6"/>
  <c r="K10" i="22"/>
  <c r="N10" i="22"/>
  <c r="H16" i="6"/>
  <c r="AA68" i="17"/>
  <c r="F17" i="6"/>
  <c r="K11" i="22"/>
  <c r="N11" i="22"/>
  <c r="H17" i="6"/>
  <c r="AA69" i="17"/>
  <c r="F18" i="6"/>
  <c r="K12" i="22"/>
  <c r="N12" i="22"/>
  <c r="H18" i="6"/>
  <c r="AA70" i="17"/>
  <c r="F19" i="6"/>
  <c r="K13" i="22"/>
  <c r="N13" i="22"/>
  <c r="H19" i="6"/>
  <c r="AA71" i="17"/>
  <c r="F20" i="6"/>
  <c r="K14" i="22"/>
  <c r="N14" i="22"/>
  <c r="H20" i="6"/>
  <c r="AA72" i="17"/>
  <c r="F21" i="6"/>
  <c r="K15" i="22"/>
  <c r="N15" i="22"/>
  <c r="H21" i="6"/>
  <c r="AA73" i="17"/>
  <c r="F22" i="6"/>
  <c r="K16" i="22"/>
  <c r="N16" i="22"/>
  <c r="H22" i="6"/>
  <c r="AA74" i="17"/>
  <c r="F23" i="6"/>
  <c r="K17" i="22"/>
  <c r="N17" i="22"/>
  <c r="H23" i="6"/>
  <c r="AA75" i="17"/>
  <c r="F24" i="6"/>
  <c r="K18" i="22"/>
  <c r="N18" i="22"/>
  <c r="H24" i="6"/>
  <c r="AA76" i="17"/>
  <c r="F25" i="6"/>
  <c r="K19" i="22"/>
  <c r="N19" i="22"/>
  <c r="H25" i="6"/>
  <c r="AA77" i="17"/>
  <c r="F26" i="6"/>
  <c r="K20" i="22"/>
  <c r="N20" i="22"/>
  <c r="H26" i="6"/>
  <c r="AA78" i="17"/>
  <c r="F27" i="6"/>
  <c r="K21" i="22"/>
  <c r="N21" i="22"/>
  <c r="H27" i="6"/>
  <c r="AA79" i="17"/>
  <c r="F28" i="6"/>
  <c r="K22" i="22"/>
  <c r="N22" i="22"/>
  <c r="H28" i="6"/>
  <c r="AA80" i="17"/>
  <c r="F29" i="6"/>
  <c r="K23" i="22"/>
  <c r="N23" i="22"/>
  <c r="H29" i="6"/>
  <c r="AA81" i="17"/>
  <c r="F30" i="6"/>
  <c r="K24" i="22"/>
  <c r="N24" i="22"/>
  <c r="H30" i="6"/>
  <c r="AA82" i="17"/>
  <c r="F31" i="6"/>
  <c r="K25" i="22"/>
  <c r="N25" i="22"/>
  <c r="H31" i="6"/>
  <c r="AA83" i="17"/>
  <c r="F32" i="6"/>
  <c r="K26" i="22"/>
  <c r="N26" i="22"/>
  <c r="H32" i="6"/>
  <c r="AA84" i="17"/>
  <c r="F33" i="6"/>
  <c r="K27" i="22"/>
  <c r="N27" i="22"/>
  <c r="H33" i="6"/>
  <c r="AA85" i="17"/>
  <c r="F34" i="6"/>
  <c r="K28" i="22"/>
  <c r="N28" i="22"/>
  <c r="H34" i="6"/>
  <c r="AA86" i="17"/>
  <c r="F35" i="6"/>
  <c r="K29" i="22"/>
  <c r="N29" i="22"/>
  <c r="H35" i="6"/>
  <c r="AA87" i="17"/>
  <c r="F36" i="6"/>
  <c r="K30" i="22"/>
  <c r="N30" i="22"/>
  <c r="H36" i="6"/>
  <c r="AA88" i="17"/>
  <c r="F37" i="6"/>
  <c r="K31" i="22"/>
  <c r="N31" i="22"/>
  <c r="H37" i="6"/>
  <c r="AA89" i="17"/>
  <c r="F38" i="6"/>
  <c r="K32" i="22"/>
  <c r="N32" i="22"/>
  <c r="H38" i="6"/>
  <c r="AA90" i="17"/>
  <c r="F39" i="6"/>
  <c r="K33" i="22"/>
  <c r="N33" i="22"/>
  <c r="H39" i="6"/>
  <c r="AA91" i="17"/>
  <c r="F40" i="6"/>
  <c r="K34" i="22"/>
  <c r="N34" i="22"/>
  <c r="H40" i="6"/>
  <c r="AA92" i="17"/>
  <c r="F41" i="6"/>
  <c r="K35" i="22"/>
  <c r="N35" i="22"/>
  <c r="H41" i="6"/>
  <c r="AA9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K4" i="17"/>
  <c r="K5" i="17"/>
  <c r="K6" i="17"/>
  <c r="K7" i="17"/>
  <c r="K8" i="17"/>
  <c r="K9" i="17"/>
  <c r="K10" i="17"/>
  <c r="K11" i="17"/>
  <c r="K12" i="17"/>
  <c r="K13" i="17"/>
  <c r="X64" i="17"/>
  <c r="Y64" i="17"/>
  <c r="AG64" i="17"/>
  <c r="AH64" i="17"/>
  <c r="AE64" i="17"/>
  <c r="X65" i="17"/>
  <c r="Y65" i="17"/>
  <c r="AG65" i="17"/>
  <c r="AH65" i="17"/>
  <c r="AE65" i="17"/>
  <c r="X66" i="17"/>
  <c r="Y66" i="17"/>
  <c r="AG66" i="17"/>
  <c r="AH66" i="17"/>
  <c r="AE66" i="17"/>
  <c r="X67" i="17"/>
  <c r="Y67" i="17"/>
  <c r="AG67" i="17"/>
  <c r="AH67" i="17"/>
  <c r="AE67" i="17"/>
  <c r="X68" i="17"/>
  <c r="Y68" i="17"/>
  <c r="AG68" i="17"/>
  <c r="AH68" i="17"/>
  <c r="AE68" i="17"/>
  <c r="X69" i="17"/>
  <c r="Y69" i="17"/>
  <c r="AG69" i="17"/>
  <c r="AH69" i="17"/>
  <c r="AE69" i="17"/>
  <c r="X70" i="17"/>
  <c r="Y70" i="17"/>
  <c r="AG70" i="17"/>
  <c r="AH70" i="17"/>
  <c r="AE70" i="17"/>
  <c r="X71" i="17"/>
  <c r="Y71" i="17"/>
  <c r="AG71" i="17"/>
  <c r="AH71" i="17"/>
  <c r="AE71" i="17"/>
  <c r="X72" i="17"/>
  <c r="Y72" i="17"/>
  <c r="AG72" i="17"/>
  <c r="AH72" i="17"/>
  <c r="AE72" i="17"/>
  <c r="X73" i="17"/>
  <c r="Y73" i="17"/>
  <c r="AG73" i="17"/>
  <c r="AH73" i="17"/>
  <c r="AE73" i="17"/>
  <c r="X74" i="17"/>
  <c r="Y74" i="17"/>
  <c r="AG74" i="17"/>
  <c r="AH74" i="17"/>
  <c r="AE74" i="17"/>
  <c r="X75" i="17"/>
  <c r="Y75" i="17"/>
  <c r="AG75" i="17"/>
  <c r="AH75" i="17"/>
  <c r="AE75" i="17"/>
  <c r="X76" i="17"/>
  <c r="Y76" i="17"/>
  <c r="AG76" i="17"/>
  <c r="AH76" i="17"/>
  <c r="AE76" i="17"/>
  <c r="X77" i="17"/>
  <c r="Y77" i="17"/>
  <c r="AG77" i="17"/>
  <c r="AH77" i="17"/>
  <c r="AE77" i="17"/>
  <c r="X78" i="17"/>
  <c r="Y78" i="17"/>
  <c r="AG78" i="17"/>
  <c r="AH78" i="17"/>
  <c r="AE78" i="17"/>
  <c r="X79" i="17"/>
  <c r="Y79" i="17"/>
  <c r="AG79" i="17"/>
  <c r="AH79" i="17"/>
  <c r="AE79" i="17"/>
  <c r="X80" i="17"/>
  <c r="Y80" i="17"/>
  <c r="AG80" i="17"/>
  <c r="AH80" i="17"/>
  <c r="AE80" i="17"/>
  <c r="X81" i="17"/>
  <c r="Y81" i="17"/>
  <c r="AG81" i="17"/>
  <c r="AH81" i="17"/>
  <c r="AE81" i="17"/>
  <c r="X82" i="17"/>
  <c r="Y82" i="17"/>
  <c r="AG82" i="17"/>
  <c r="AH82" i="17"/>
  <c r="AE82" i="17"/>
  <c r="X83" i="17"/>
  <c r="Y83" i="17"/>
  <c r="AG83" i="17"/>
  <c r="AH83" i="17"/>
  <c r="AE83" i="17"/>
  <c r="AE84" i="17"/>
  <c r="AE85" i="17"/>
  <c r="AE86" i="17"/>
  <c r="AE87" i="17"/>
  <c r="AE88" i="17"/>
  <c r="AE89" i="17"/>
  <c r="AE90" i="17"/>
  <c r="AE91" i="17"/>
  <c r="AE92" i="17"/>
  <c r="AE93" i="17"/>
  <c r="AF64" i="17"/>
  <c r="AF65" i="17"/>
  <c r="AF66" i="17"/>
  <c r="AF67" i="17"/>
  <c r="AF68" i="17"/>
  <c r="AF69" i="17"/>
  <c r="AF70" i="17"/>
  <c r="AF71" i="17"/>
  <c r="AF72" i="17"/>
  <c r="AF73" i="17"/>
  <c r="AF74" i="17"/>
  <c r="AF75" i="17"/>
  <c r="AF76" i="17"/>
  <c r="AF77" i="17"/>
  <c r="AF78" i="17"/>
  <c r="AF79" i="17"/>
  <c r="AF80" i="17"/>
  <c r="AF81" i="17"/>
  <c r="AF82" i="17"/>
  <c r="AF83" i="17"/>
  <c r="AF84" i="17"/>
  <c r="AF85" i="17"/>
  <c r="AF86" i="17"/>
  <c r="AF87" i="17"/>
  <c r="AF88" i="17"/>
  <c r="AF89" i="17"/>
  <c r="AF90" i="17"/>
  <c r="AF91" i="17"/>
  <c r="AF92" i="17"/>
  <c r="AF93" i="17"/>
  <c r="J4" i="17"/>
  <c r="K17" i="17"/>
  <c r="G4" i="17"/>
  <c r="H4" i="17"/>
  <c r="I4" i="17"/>
  <c r="J17" i="17"/>
  <c r="L17" i="17"/>
  <c r="J5" i="17"/>
  <c r="K18" i="17"/>
  <c r="G5" i="17"/>
  <c r="H5" i="17"/>
  <c r="I5" i="17"/>
  <c r="J18" i="17"/>
  <c r="L18" i="17"/>
  <c r="J6" i="17"/>
  <c r="K19" i="17"/>
  <c r="G6" i="17"/>
  <c r="H6" i="17"/>
  <c r="I6" i="17"/>
  <c r="J19" i="17"/>
  <c r="L19" i="17"/>
  <c r="J7" i="17"/>
  <c r="K20" i="17"/>
  <c r="G7" i="17"/>
  <c r="H7" i="17"/>
  <c r="I7" i="17"/>
  <c r="J20" i="17"/>
  <c r="L20" i="17"/>
  <c r="J8" i="17"/>
  <c r="K21" i="17"/>
  <c r="G8" i="17"/>
  <c r="H8" i="17"/>
  <c r="I8" i="17"/>
  <c r="J21" i="17"/>
  <c r="L21" i="17"/>
  <c r="J9" i="17"/>
  <c r="K22" i="17"/>
  <c r="X84" i="17"/>
  <c r="X85" i="17"/>
  <c r="X86" i="17"/>
  <c r="X87" i="17"/>
  <c r="X88" i="17"/>
  <c r="X89" i="17"/>
  <c r="X90" i="17"/>
  <c r="X91" i="17"/>
  <c r="X92" i="17"/>
  <c r="X93" i="17"/>
  <c r="Y84" i="17"/>
  <c r="Y85" i="17"/>
  <c r="Y86" i="17"/>
  <c r="Y87" i="17"/>
  <c r="Y88" i="17"/>
  <c r="Y89" i="17"/>
  <c r="Y90" i="17"/>
  <c r="Y91" i="17"/>
  <c r="Y92" i="17"/>
  <c r="Y93" i="17"/>
  <c r="AG84" i="17"/>
  <c r="AG85" i="17"/>
  <c r="AG86" i="17"/>
  <c r="AG87" i="17"/>
  <c r="AG88" i="17"/>
  <c r="AG89" i="17"/>
  <c r="AG90" i="17"/>
  <c r="AG91" i="17"/>
  <c r="AG92" i="17"/>
  <c r="AG93" i="17"/>
  <c r="AH84" i="17"/>
  <c r="AH85" i="17"/>
  <c r="AH86" i="17"/>
  <c r="AH87" i="17"/>
  <c r="AH88" i="17"/>
  <c r="AH89" i="17"/>
  <c r="AH90" i="17"/>
  <c r="AH91" i="17"/>
  <c r="AH92" i="17"/>
  <c r="AH93" i="17"/>
  <c r="G9" i="17"/>
  <c r="H9" i="17"/>
  <c r="I9" i="17"/>
  <c r="J22" i="17"/>
  <c r="L22" i="17"/>
  <c r="J10" i="17"/>
  <c r="K23" i="17"/>
  <c r="G10" i="17"/>
  <c r="H10" i="17"/>
  <c r="I10" i="17"/>
  <c r="J23" i="17"/>
  <c r="L23" i="17"/>
  <c r="J11" i="17"/>
  <c r="K24" i="17"/>
  <c r="G11" i="17"/>
  <c r="H11" i="17"/>
  <c r="I11" i="17"/>
  <c r="J24" i="17"/>
  <c r="L24" i="17"/>
  <c r="J12" i="17"/>
  <c r="K25" i="17"/>
  <c r="G12" i="17"/>
  <c r="H12" i="17"/>
  <c r="I12" i="17"/>
  <c r="J25" i="17"/>
  <c r="L25" i="17"/>
  <c r="M17" i="17"/>
  <c r="N17" i="17" a="1"/>
  <c r="N17" i="17"/>
  <c r="O17" i="17"/>
  <c r="E30" i="17" a="1"/>
  <c r="E30" i="17"/>
  <c r="F30" i="17" a="1"/>
  <c r="F30" i="17"/>
  <c r="G30" i="17" a="1"/>
  <c r="H30" i="17" a="1"/>
  <c r="I30" i="17" a="1"/>
  <c r="J30" i="17" a="1"/>
  <c r="K30" i="17" a="1"/>
  <c r="L30" i="17" a="1"/>
  <c r="P17" i="17"/>
  <c r="M30" i="17" a="1"/>
  <c r="N30" i="17" a="1"/>
  <c r="O30" i="17" a="1"/>
  <c r="P30" i="17" a="1"/>
  <c r="Q30" i="17" a="1"/>
  <c r="R30" i="17" a="1"/>
  <c r="S30" i="17" a="1"/>
  <c r="T30" i="17" a="1"/>
  <c r="Q17" i="17"/>
  <c r="U30" i="17" a="1"/>
  <c r="V30" i="17" a="1"/>
  <c r="W30" i="17" a="1"/>
  <c r="X30" i="17" a="1"/>
  <c r="Y30" i="17" a="1"/>
  <c r="Z30" i="17" a="1"/>
  <c r="AA30" i="17" a="1"/>
  <c r="AB30" i="17" a="1"/>
  <c r="R17" i="17"/>
  <c r="AC30" i="17" a="1"/>
  <c r="AD30" i="17" a="1"/>
  <c r="AE30" i="17" a="1"/>
  <c r="AF30" i="17" a="1"/>
  <c r="AG30" i="17" a="1"/>
  <c r="AH30" i="17" a="1"/>
  <c r="AI30" i="17" a="1"/>
  <c r="AJ30" i="17" a="1"/>
  <c r="S17" i="17"/>
  <c r="AK30" i="17" a="1"/>
  <c r="AL30" i="17" a="1"/>
  <c r="AM30" i="17" a="1"/>
  <c r="AN30" i="17" a="1"/>
  <c r="AO30" i="17" a="1"/>
  <c r="AP30" i="17" a="1"/>
  <c r="AQ30" i="17" a="1"/>
  <c r="AR30" i="17" a="1"/>
  <c r="T17" i="17"/>
  <c r="AS30" i="17" a="1"/>
  <c r="AT30" i="17" a="1"/>
  <c r="AU30" i="17" a="1"/>
  <c r="AV30" i="17" a="1"/>
  <c r="AW30" i="17" a="1"/>
  <c r="AX30" i="17" a="1"/>
  <c r="AY30" i="17" a="1"/>
  <c r="AZ30" i="17" a="1"/>
  <c r="U17" i="17"/>
  <c r="BA30" i="17" a="1"/>
  <c r="BB30" i="17" a="1"/>
  <c r="BC30" i="17" a="1"/>
  <c r="BD30" i="17" a="1"/>
  <c r="BE30" i="17" a="1"/>
  <c r="BF30" i="17" a="1"/>
  <c r="BG30" i="17" a="1"/>
  <c r="BH30" i="17" a="1"/>
  <c r="V17" i="17"/>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W17" i="17"/>
  <c r="M18" i="17"/>
  <c r="N18" i="17" a="1"/>
  <c r="N18" i="17"/>
  <c r="O18" i="17"/>
  <c r="E31" i="17" a="1"/>
  <c r="E31" i="17"/>
  <c r="F31" i="17" a="1"/>
  <c r="F31" i="17"/>
  <c r="G31" i="17" a="1"/>
  <c r="H31" i="17" a="1"/>
  <c r="I31" i="17" a="1"/>
  <c r="J31" i="17" a="1"/>
  <c r="K31" i="17" a="1"/>
  <c r="L31" i="17" a="1"/>
  <c r="P18" i="17"/>
  <c r="M31" i="17" a="1"/>
  <c r="N31" i="17" a="1"/>
  <c r="O31" i="17" a="1"/>
  <c r="P31" i="17" a="1"/>
  <c r="Q31" i="17" a="1"/>
  <c r="R31" i="17" a="1"/>
  <c r="S31" i="17" a="1"/>
  <c r="T31" i="17" a="1"/>
  <c r="Q18" i="17"/>
  <c r="U31" i="17" a="1"/>
  <c r="V31" i="17" a="1"/>
  <c r="W31" i="17" a="1"/>
  <c r="X31" i="17" a="1"/>
  <c r="Y31" i="17" a="1"/>
  <c r="Z31" i="17" a="1"/>
  <c r="AA31" i="17" a="1"/>
  <c r="AB31" i="17" a="1"/>
  <c r="R18" i="17"/>
  <c r="AC31" i="17" a="1"/>
  <c r="AD31" i="17" a="1"/>
  <c r="AE31" i="17" a="1"/>
  <c r="AF31" i="17" a="1"/>
  <c r="AG31" i="17" a="1"/>
  <c r="AH31" i="17" a="1"/>
  <c r="AI31" i="17" a="1"/>
  <c r="AJ31" i="17" a="1"/>
  <c r="S18" i="17"/>
  <c r="AK31" i="17" a="1"/>
  <c r="AL31" i="17" a="1"/>
  <c r="AM31" i="17" a="1"/>
  <c r="AN31" i="17" a="1"/>
  <c r="AO31" i="17" a="1"/>
  <c r="AP31" i="17" a="1"/>
  <c r="AQ31" i="17" a="1"/>
  <c r="AR31" i="17" a="1"/>
  <c r="T18" i="17"/>
  <c r="AS31" i="17" a="1"/>
  <c r="AT31" i="17" a="1"/>
  <c r="AU31" i="17" a="1"/>
  <c r="AV31" i="17" a="1"/>
  <c r="AW31" i="17" a="1"/>
  <c r="AX31" i="17" a="1"/>
  <c r="AY31" i="17" a="1"/>
  <c r="AZ31" i="17" a="1"/>
  <c r="U18" i="17"/>
  <c r="BA31" i="17" a="1"/>
  <c r="BB31" i="17" a="1"/>
  <c r="BC31" i="17" a="1"/>
  <c r="BD31" i="17" a="1"/>
  <c r="BE31" i="17" a="1"/>
  <c r="BF31" i="17" a="1"/>
  <c r="BG31" i="17" a="1"/>
  <c r="BH31" i="17" a="1"/>
  <c r="V18" i="17"/>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W18" i="17"/>
  <c r="M19" i="17"/>
  <c r="N19" i="17" a="1"/>
  <c r="N19" i="17"/>
  <c r="O19" i="17"/>
  <c r="E32" i="17" a="1"/>
  <c r="E32" i="17"/>
  <c r="F32" i="17" a="1"/>
  <c r="F32" i="17"/>
  <c r="G32" i="17" a="1"/>
  <c r="H32" i="17" a="1"/>
  <c r="I32" i="17" a="1"/>
  <c r="J32" i="17" a="1"/>
  <c r="K32" i="17" a="1"/>
  <c r="L32" i="17" a="1"/>
  <c r="P19" i="17"/>
  <c r="M32" i="17" a="1"/>
  <c r="N32" i="17" a="1"/>
  <c r="O32" i="17" a="1"/>
  <c r="P32" i="17" a="1"/>
  <c r="Q32" i="17" a="1"/>
  <c r="R32" i="17" a="1"/>
  <c r="S32" i="17" a="1"/>
  <c r="T32" i="17" a="1"/>
  <c r="Q19" i="17"/>
  <c r="U32" i="17" a="1"/>
  <c r="V32" i="17" a="1"/>
  <c r="W32" i="17" a="1"/>
  <c r="X32" i="17" a="1"/>
  <c r="Y32" i="17" a="1"/>
  <c r="Z32" i="17" a="1"/>
  <c r="AA32" i="17" a="1"/>
  <c r="AB32" i="17" a="1"/>
  <c r="R19" i="17"/>
  <c r="AC32" i="17" a="1"/>
  <c r="AD32" i="17" a="1"/>
  <c r="AE32" i="17" a="1"/>
  <c r="AF32" i="17" a="1"/>
  <c r="AG32" i="17" a="1"/>
  <c r="AH32" i="17" a="1"/>
  <c r="AI32" i="17" a="1"/>
  <c r="AJ32" i="17" a="1"/>
  <c r="S19" i="17"/>
  <c r="AK32" i="17" a="1"/>
  <c r="AL32" i="17" a="1"/>
  <c r="AM32" i="17" a="1"/>
  <c r="AN32" i="17" a="1"/>
  <c r="AO32" i="17" a="1"/>
  <c r="AP32" i="17" a="1"/>
  <c r="AQ32" i="17" a="1"/>
  <c r="AR32" i="17" a="1"/>
  <c r="T19" i="17"/>
  <c r="AS32" i="17" a="1"/>
  <c r="AT32" i="17" a="1"/>
  <c r="AU32" i="17" a="1"/>
  <c r="AV32" i="17" a="1"/>
  <c r="AW32" i="17" a="1"/>
  <c r="AX32" i="17" a="1"/>
  <c r="AY32" i="17" a="1"/>
  <c r="AZ32" i="17" a="1"/>
  <c r="U19" i="17"/>
  <c r="BA32" i="17" a="1"/>
  <c r="BB32" i="17" a="1"/>
  <c r="BC32" i="17" a="1"/>
  <c r="BD32" i="17" a="1"/>
  <c r="BE32" i="17" a="1"/>
  <c r="BF32" i="17" a="1"/>
  <c r="BG32" i="17" a="1"/>
  <c r="BH32" i="17" a="1"/>
  <c r="V19" i="17"/>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W19" i="17"/>
  <c r="M20" i="17"/>
  <c r="N20" i="17" a="1"/>
  <c r="N20" i="17"/>
  <c r="O20" i="17"/>
  <c r="E33" i="17" a="1"/>
  <c r="E33" i="17"/>
  <c r="F33" i="17" a="1"/>
  <c r="F33" i="17"/>
  <c r="G33" i="17" a="1"/>
  <c r="H33" i="17" a="1"/>
  <c r="I33" i="17" a="1"/>
  <c r="J33" i="17" a="1"/>
  <c r="K33" i="17" a="1"/>
  <c r="L33" i="17" a="1"/>
  <c r="P20" i="17"/>
  <c r="M33" i="17" a="1"/>
  <c r="N33" i="17" a="1"/>
  <c r="O33" i="17" a="1"/>
  <c r="P33" i="17" a="1"/>
  <c r="Q33" i="17" a="1"/>
  <c r="R33" i="17" a="1"/>
  <c r="S33" i="17" a="1"/>
  <c r="T33" i="17" a="1"/>
  <c r="Q20" i="17"/>
  <c r="U33" i="17" a="1"/>
  <c r="V33" i="17" a="1"/>
  <c r="W33" i="17" a="1"/>
  <c r="X33" i="17" a="1"/>
  <c r="Y33" i="17" a="1"/>
  <c r="Z33" i="17" a="1"/>
  <c r="AA33" i="17" a="1"/>
  <c r="AB33" i="17" a="1"/>
  <c r="R20" i="17"/>
  <c r="AC33" i="17" a="1"/>
  <c r="AD33" i="17" a="1"/>
  <c r="AE33" i="17" a="1"/>
  <c r="AF33" i="17" a="1"/>
  <c r="AG33" i="17" a="1"/>
  <c r="AH33" i="17" a="1"/>
  <c r="AI33" i="17" a="1"/>
  <c r="AJ33" i="17" a="1"/>
  <c r="S20" i="17"/>
  <c r="AK33" i="17" a="1"/>
  <c r="AL33" i="17" a="1"/>
  <c r="AM33" i="17" a="1"/>
  <c r="AN33" i="17" a="1"/>
  <c r="AO33" i="17" a="1"/>
  <c r="AP33" i="17" a="1"/>
  <c r="AQ33" i="17" a="1"/>
  <c r="AR33" i="17" a="1"/>
  <c r="T20" i="17"/>
  <c r="AS33" i="17" a="1"/>
  <c r="AT33" i="17" a="1"/>
  <c r="AU33" i="17" a="1"/>
  <c r="AV33" i="17" a="1"/>
  <c r="AW33" i="17" a="1"/>
  <c r="AX33" i="17" a="1"/>
  <c r="AY33" i="17" a="1"/>
  <c r="AZ33" i="17" a="1"/>
  <c r="U20" i="17"/>
  <c r="BA33" i="17" a="1"/>
  <c r="BB33" i="17" a="1"/>
  <c r="BC33" i="17" a="1"/>
  <c r="BD33" i="17" a="1"/>
  <c r="BE33" i="17" a="1"/>
  <c r="BF33" i="17" a="1"/>
  <c r="BG33" i="17" a="1"/>
  <c r="BH33" i="17" a="1"/>
  <c r="V20" i="17"/>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W20" i="17"/>
  <c r="M21" i="17"/>
  <c r="N21" i="17" a="1"/>
  <c r="N21" i="17"/>
  <c r="O21" i="17"/>
  <c r="E34" i="17" a="1"/>
  <c r="E34" i="17"/>
  <c r="F34" i="17" a="1"/>
  <c r="F34" i="17"/>
  <c r="G34" i="17" a="1"/>
  <c r="H34" i="17" a="1"/>
  <c r="I34" i="17" a="1"/>
  <c r="J34" i="17" a="1"/>
  <c r="K34" i="17" a="1"/>
  <c r="L34" i="17" a="1"/>
  <c r="P21" i="17"/>
  <c r="M34" i="17" a="1"/>
  <c r="N34" i="17" a="1"/>
  <c r="O34" i="17" a="1"/>
  <c r="P34" i="17" a="1"/>
  <c r="Q34" i="17" a="1"/>
  <c r="R34" i="17" a="1"/>
  <c r="S34" i="17" a="1"/>
  <c r="T34" i="17" a="1"/>
  <c r="Q21" i="17"/>
  <c r="U34" i="17" a="1"/>
  <c r="V34" i="17" a="1"/>
  <c r="W34" i="17" a="1"/>
  <c r="X34" i="17" a="1"/>
  <c r="Y34" i="17" a="1"/>
  <c r="Z34" i="17" a="1"/>
  <c r="AA34" i="17" a="1"/>
  <c r="AB34" i="17" a="1"/>
  <c r="R21" i="17"/>
  <c r="AC34" i="17" a="1"/>
  <c r="AD34" i="17" a="1"/>
  <c r="AE34" i="17" a="1"/>
  <c r="AF34" i="17" a="1"/>
  <c r="AG34" i="17" a="1"/>
  <c r="AH34" i="17" a="1"/>
  <c r="AI34" i="17" a="1"/>
  <c r="AJ34" i="17" a="1"/>
  <c r="S21" i="17"/>
  <c r="AK34" i="17" a="1"/>
  <c r="AL34" i="17" a="1"/>
  <c r="AM34" i="17" a="1"/>
  <c r="AN34" i="17" a="1"/>
  <c r="AO34" i="17" a="1"/>
  <c r="AP34" i="17" a="1"/>
  <c r="AQ34" i="17" a="1"/>
  <c r="AR34" i="17" a="1"/>
  <c r="T21" i="17"/>
  <c r="AS34" i="17" a="1"/>
  <c r="AT34" i="17" a="1"/>
  <c r="AU34" i="17" a="1"/>
  <c r="AV34" i="17" a="1"/>
  <c r="AW34" i="17" a="1"/>
  <c r="AX34" i="17" a="1"/>
  <c r="AY34" i="17" a="1"/>
  <c r="AZ34" i="17" a="1"/>
  <c r="U21" i="17"/>
  <c r="BA34" i="17" a="1"/>
  <c r="BB34" i="17" a="1"/>
  <c r="BC34" i="17" a="1"/>
  <c r="BD34" i="17" a="1"/>
  <c r="BE34" i="17" a="1"/>
  <c r="BF34" i="17" a="1"/>
  <c r="BG34" i="17" a="1"/>
  <c r="BH34" i="17" a="1"/>
  <c r="V21" i="17"/>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W21" i="17"/>
  <c r="M22" i="17"/>
  <c r="N22" i="17" a="1"/>
  <c r="N22" i="17"/>
  <c r="O22" i="17"/>
  <c r="BT52" i="17"/>
  <c r="BU52" i="17"/>
  <c r="BV52" i="17"/>
  <c r="BW52" i="17"/>
  <c r="BX52" i="17"/>
  <c r="BY52" i="17"/>
  <c r="BZ52"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S56" i="17"/>
  <c r="BT56" i="17"/>
  <c r="BU56" i="17"/>
  <c r="BV56" i="17"/>
  <c r="BX56" i="17"/>
  <c r="BY56" i="17"/>
  <c r="BZ56" i="17"/>
  <c r="CA56" i="17"/>
  <c r="BS57" i="17"/>
  <c r="BT57" i="17"/>
  <c r="BU57" i="17"/>
  <c r="BV57" i="17"/>
  <c r="BW57" i="17"/>
  <c r="BY57" i="17"/>
  <c r="BZ57" i="17"/>
  <c r="CA57" i="17"/>
  <c r="BS58" i="17"/>
  <c r="BT58" i="17"/>
  <c r="BU58" i="17"/>
  <c r="BV58" i="17"/>
  <c r="BW58" i="17"/>
  <c r="BX58" i="17"/>
  <c r="BZ58" i="17"/>
  <c r="CA58" i="17"/>
  <c r="BS59" i="17"/>
  <c r="BT59" i="17"/>
  <c r="BU59" i="17"/>
  <c r="BV59" i="17"/>
  <c r="BW59" i="17"/>
  <c r="BX59" i="17"/>
  <c r="BY59" i="17"/>
  <c r="CA59" i="17"/>
  <c r="BS60" i="17"/>
  <c r="BT60" i="17"/>
  <c r="BU60" i="17"/>
  <c r="BV60" i="17"/>
  <c r="BW60" i="17"/>
  <c r="BX60" i="17"/>
  <c r="BY60" i="17"/>
  <c r="BZ60" i="17"/>
  <c r="E35" i="17" a="1"/>
  <c r="E35" i="17"/>
  <c r="F35" i="17" a="1"/>
  <c r="F35" i="17"/>
  <c r="G35" i="17" a="1"/>
  <c r="H35" i="17" a="1"/>
  <c r="I35" i="17" a="1"/>
  <c r="M23" i="17"/>
  <c r="N23" i="17" a="1"/>
  <c r="N23" i="17"/>
  <c r="O23" i="17"/>
  <c r="J35" i="17" a="1"/>
  <c r="M24" i="17"/>
  <c r="N24" i="17" a="1"/>
  <c r="N24" i="17"/>
  <c r="O24" i="17"/>
  <c r="K35" i="17" a="1"/>
  <c r="M25" i="17"/>
  <c r="N25" i="17" a="1"/>
  <c r="N25" i="17"/>
  <c r="O25" i="17"/>
  <c r="L35" i="17" a="1"/>
  <c r="P22" i="17"/>
  <c r="M35" i="17" a="1"/>
  <c r="N35" i="17" a="1"/>
  <c r="O35" i="17" a="1"/>
  <c r="P35" i="17" a="1"/>
  <c r="Q35" i="17" a="1"/>
  <c r="P23" i="17"/>
  <c r="R35" i="17" a="1"/>
  <c r="P24" i="17"/>
  <c r="S35" i="17" a="1"/>
  <c r="P25" i="17"/>
  <c r="T35" i="17" a="1"/>
  <c r="Q22" i="17"/>
  <c r="U35" i="17" a="1"/>
  <c r="V35" i="17" a="1"/>
  <c r="W35" i="17" a="1"/>
  <c r="X35" i="17" a="1"/>
  <c r="Y35" i="17" a="1"/>
  <c r="Q23" i="17"/>
  <c r="Z35" i="17" a="1"/>
  <c r="Q24" i="17"/>
  <c r="AA35" i="17" a="1"/>
  <c r="Q25" i="17"/>
  <c r="AB35" i="17" a="1"/>
  <c r="R22" i="17"/>
  <c r="AC35" i="17" a="1"/>
  <c r="AD35" i="17" a="1"/>
  <c r="AE35" i="17" a="1"/>
  <c r="AF35" i="17" a="1"/>
  <c r="AG35" i="17" a="1"/>
  <c r="R23" i="17"/>
  <c r="AH35" i="17" a="1"/>
  <c r="R24" i="17"/>
  <c r="AI35" i="17" a="1"/>
  <c r="R25" i="17"/>
  <c r="AJ35" i="17" a="1"/>
  <c r="S22" i="17"/>
  <c r="AK35" i="17" a="1"/>
  <c r="AL35" i="17" a="1"/>
  <c r="AM35" i="17" a="1"/>
  <c r="AN35" i="17" a="1"/>
  <c r="AO35" i="17" a="1"/>
  <c r="S23" i="17"/>
  <c r="AP35" i="17" a="1"/>
  <c r="S24" i="17"/>
  <c r="AQ35" i="17" a="1"/>
  <c r="S25" i="17"/>
  <c r="AR35" i="17" a="1"/>
  <c r="T22" i="17"/>
  <c r="AS35" i="17" a="1"/>
  <c r="AT35" i="17" a="1"/>
  <c r="AU35" i="17" a="1"/>
  <c r="AV35" i="17" a="1"/>
  <c r="AW35" i="17" a="1"/>
  <c r="T23" i="17"/>
  <c r="AX35" i="17" a="1"/>
  <c r="T24" i="17"/>
  <c r="AY35" i="17" a="1"/>
  <c r="T25" i="17"/>
  <c r="AZ35" i="17" a="1"/>
  <c r="U22" i="17"/>
  <c r="BA35" i="17" a="1"/>
  <c r="BB35" i="17" a="1"/>
  <c r="BC35" i="17" a="1"/>
  <c r="BD35" i="17" a="1"/>
  <c r="BE35" i="17" a="1"/>
  <c r="U23" i="17"/>
  <c r="BF35" i="17" a="1"/>
  <c r="U24" i="17"/>
  <c r="BG35" i="17" a="1"/>
  <c r="U25" i="17"/>
  <c r="BH35" i="17" a="1"/>
  <c r="V22" i="17"/>
  <c r="BI35" i="17" a="1"/>
  <c r="BJ35" i="17" a="1"/>
  <c r="BK35" i="17" a="1"/>
  <c r="BL35" i="17" a="1"/>
  <c r="BM35" i="17" a="1"/>
  <c r="V23" i="17"/>
  <c r="BN35" i="17" a="1"/>
  <c r="V24" i="17"/>
  <c r="BO35" i="17" a="1"/>
  <c r="V25" i="17"/>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BT30" i="17"/>
  <c r="BS31" i="17"/>
  <c r="BT41" i="17"/>
  <c r="BU30" i="17"/>
  <c r="BS32" i="17"/>
  <c r="BU41" i="17"/>
  <c r="BV30" i="17"/>
  <c r="BS33" i="17"/>
  <c r="BV41" i="17"/>
  <c r="BW30" i="17"/>
  <c r="BS34" i="17"/>
  <c r="BW41" i="17"/>
  <c r="BX30" i="17"/>
  <c r="BS35" i="17"/>
  <c r="BX41" i="17"/>
  <c r="BY30" i="17"/>
  <c r="BS36" i="17"/>
  <c r="BY41" i="17"/>
  <c r="BZ30" i="17"/>
  <c r="BS37" i="17"/>
  <c r="BZ41" i="17"/>
  <c r="CA30"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S46" i="17"/>
  <c r="BT46" i="17"/>
  <c r="BU46" i="17"/>
  <c r="BV46" i="17"/>
  <c r="BW46" i="17"/>
  <c r="BY35" i="17"/>
  <c r="BX36" i="17"/>
  <c r="BY46" i="17"/>
  <c r="BZ35" i="17"/>
  <c r="BX37" i="17"/>
  <c r="BZ46" i="17"/>
  <c r="CA35" i="17"/>
  <c r="BX38" i="17"/>
  <c r="CA46" i="17"/>
  <c r="BS47" i="17"/>
  <c r="BT47" i="17"/>
  <c r="BU47" i="17"/>
  <c r="BV47" i="17"/>
  <c r="BW47" i="17"/>
  <c r="BX47" i="17"/>
  <c r="BZ36" i="17"/>
  <c r="BY37" i="17"/>
  <c r="BZ47" i="17"/>
  <c r="CA36" i="17"/>
  <c r="BY38" i="17"/>
  <c r="CA47" i="17"/>
  <c r="BS48" i="17"/>
  <c r="BT48" i="17"/>
  <c r="BU48" i="17"/>
  <c r="BV48" i="17"/>
  <c r="BW48" i="17"/>
  <c r="BX48" i="17"/>
  <c r="BY48" i="17"/>
  <c r="CA37" i="17"/>
  <c r="BZ38" i="17"/>
  <c r="CA48" i="17"/>
  <c r="BS49" i="17"/>
  <c r="BT49" i="17"/>
  <c r="BU49" i="17"/>
  <c r="BV49" i="17"/>
  <c r="BW49" i="17"/>
  <c r="BX49" i="17"/>
  <c r="BY49" i="17"/>
  <c r="BZ49"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W22" i="17"/>
  <c r="E36" i="17" a="1"/>
  <c r="E36" i="17"/>
  <c r="F36" i="17" a="1"/>
  <c r="F36" i="17"/>
  <c r="G36" i="17" a="1"/>
  <c r="H36" i="17" a="1"/>
  <c r="I36" i="17" a="1"/>
  <c r="J36" i="17" a="1"/>
  <c r="K36" i="17" a="1"/>
  <c r="L36" i="17" a="1"/>
  <c r="M36" i="17" a="1"/>
  <c r="N36" i="17" a="1"/>
  <c r="O36" i="17" a="1"/>
  <c r="P36" i="17" a="1"/>
  <c r="Q36" i="17" a="1"/>
  <c r="R36" i="17" a="1"/>
  <c r="S36" i="17" a="1"/>
  <c r="T36" i="17" a="1"/>
  <c r="U36" i="17" a="1"/>
  <c r="V36" i="17" a="1"/>
  <c r="W36" i="17" a="1"/>
  <c r="X36" i="17" a="1"/>
  <c r="Y36" i="17" a="1"/>
  <c r="Z36" i="17" a="1"/>
  <c r="AA36" i="17" a="1"/>
  <c r="AB36" i="17" a="1"/>
  <c r="AC36" i="17" a="1"/>
  <c r="AD36" i="17" a="1"/>
  <c r="AE36" i="17" a="1"/>
  <c r="AF36" i="17" a="1"/>
  <c r="AG36" i="17" a="1"/>
  <c r="AH36" i="17" a="1"/>
  <c r="AI36" i="17" a="1"/>
  <c r="AJ36" i="17" a="1"/>
  <c r="AK36" i="17" a="1"/>
  <c r="AL36" i="17" a="1"/>
  <c r="AM36" i="17" a="1"/>
  <c r="AN36" i="17" a="1"/>
  <c r="AO36" i="17" a="1"/>
  <c r="AP36" i="17" a="1"/>
  <c r="AQ36" i="17" a="1"/>
  <c r="AR36" i="17" a="1"/>
  <c r="AS36" i="17" a="1"/>
  <c r="AT36" i="17" a="1"/>
  <c r="AU36" i="17" a="1"/>
  <c r="AV36" i="17" a="1"/>
  <c r="AW36" i="17" a="1"/>
  <c r="AX36" i="17" a="1"/>
  <c r="AY36" i="17" a="1"/>
  <c r="AZ36" i="17" a="1"/>
  <c r="BA36" i="17" a="1"/>
  <c r="BB36" i="17" a="1"/>
  <c r="BC36" i="17" a="1"/>
  <c r="BD36" i="17" a="1"/>
  <c r="BE36" i="17" a="1"/>
  <c r="BF36" i="17" a="1"/>
  <c r="BG36" i="17" a="1"/>
  <c r="BH36" i="17" a="1"/>
  <c r="BI36" i="17" a="1"/>
  <c r="BJ36" i="17" a="1"/>
  <c r="BK36" i="17" a="1"/>
  <c r="BL36" i="17" a="1"/>
  <c r="BM36" i="17" a="1"/>
  <c r="BN36" i="17" a="1"/>
  <c r="BO36" i="17" a="1"/>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E47" i="17" a="1"/>
  <c r="E47" i="17"/>
  <c r="F47" i="17" a="1"/>
  <c r="F47" i="17"/>
  <c r="G47" i="17" a="1"/>
  <c r="H47" i="17" a="1"/>
  <c r="I47" i="17" a="1"/>
  <c r="J47" i="17" a="1"/>
  <c r="K47" i="17" a="1"/>
  <c r="L47" i="17" a="1"/>
  <c r="M47" i="17" a="1"/>
  <c r="N47" i="17" a="1"/>
  <c r="O47" i="17" a="1"/>
  <c r="P47" i="17" a="1"/>
  <c r="Q47" i="17" a="1"/>
  <c r="R47" i="17" a="1"/>
  <c r="S47" i="17" a="1"/>
  <c r="T47" i="17" a="1"/>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W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W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W25" i="17"/>
  <c r="X17" i="17"/>
  <c r="X18" i="17"/>
  <c r="X19" i="17"/>
  <c r="X20" i="17"/>
  <c r="X21" i="17"/>
  <c r="X22" i="17"/>
  <c r="X23" i="17"/>
  <c r="X24" i="17"/>
  <c r="X25" i="17"/>
  <c r="E4" i="17"/>
  <c r="D4" i="17"/>
  <c r="E5" i="17"/>
  <c r="D5" i="17"/>
  <c r="E6" i="17"/>
  <c r="D6" i="17"/>
  <c r="E7" i="17"/>
  <c r="D7" i="17"/>
  <c r="E8" i="17"/>
  <c r="D8" i="17"/>
  <c r="E9" i="17"/>
  <c r="D9" i="17"/>
  <c r="E10" i="17"/>
  <c r="D10" i="17"/>
  <c r="E11" i="17"/>
  <c r="D11" i="17"/>
  <c r="E12" i="17"/>
  <c r="D12" i="17"/>
  <c r="C4" i="17"/>
  <c r="C5" i="17"/>
  <c r="C6" i="17"/>
  <c r="M4" i="17"/>
  <c r="N4" i="17"/>
  <c r="L4" i="17"/>
  <c r="M5" i="17"/>
  <c r="N5" i="17"/>
  <c r="L5" i="17"/>
  <c r="M6" i="17"/>
  <c r="N6" i="17"/>
  <c r="L6" i="17"/>
  <c r="C7" i="17"/>
  <c r="M7" i="17"/>
  <c r="N7" i="17"/>
  <c r="L7" i="17"/>
  <c r="C8" i="17"/>
  <c r="M8" i="17"/>
  <c r="N8" i="17"/>
  <c r="L8" i="17"/>
  <c r="C9" i="17"/>
  <c r="M9" i="17"/>
  <c r="N9" i="17"/>
  <c r="L9" i="17"/>
  <c r="C10" i="17"/>
  <c r="M10" i="17"/>
  <c r="N10" i="17"/>
  <c r="L10" i="17"/>
  <c r="C11" i="17"/>
  <c r="M11" i="17"/>
  <c r="N11" i="17"/>
  <c r="L11" i="17"/>
  <c r="C12" i="17"/>
  <c r="M12" i="17"/>
  <c r="N12" i="17"/>
  <c r="L12" i="17"/>
  <c r="AC27" i="6"/>
  <c r="V27" i="6"/>
  <c r="AC26" i="6"/>
  <c r="V26" i="6"/>
  <c r="AC25" i="6"/>
  <c r="V25" i="6"/>
  <c r="AC24" i="6"/>
  <c r="V24" i="6"/>
  <c r="AC23" i="6"/>
  <c r="V23" i="6"/>
  <c r="AC22" i="6"/>
  <c r="V22" i="6"/>
  <c r="V64" i="3"/>
  <c r="AA64" i="3"/>
  <c r="V65" i="3"/>
  <c r="AA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K4" i="3"/>
  <c r="K5" i="3"/>
  <c r="K6" i="3"/>
  <c r="K7" i="3"/>
  <c r="K8" i="3"/>
  <c r="K9" i="3"/>
  <c r="K10" i="3"/>
  <c r="K11" i="3"/>
  <c r="K12" i="3"/>
  <c r="K13" i="3"/>
  <c r="X64" i="3"/>
  <c r="Y64" i="3"/>
  <c r="AG64" i="3"/>
  <c r="AH64" i="3"/>
  <c r="AE64" i="3"/>
  <c r="X65" i="3"/>
  <c r="Y65" i="3"/>
  <c r="AG65" i="3"/>
  <c r="AH65" i="3"/>
  <c r="AE65" i="3"/>
  <c r="X66" i="3"/>
  <c r="Y66" i="3"/>
  <c r="AG66" i="3"/>
  <c r="AH66" i="3"/>
  <c r="AE66" i="3"/>
  <c r="X67" i="3"/>
  <c r="Y67" i="3"/>
  <c r="AG67" i="3"/>
  <c r="AH67" i="3"/>
  <c r="AE67" i="3"/>
  <c r="X68" i="3"/>
  <c r="Y68" i="3"/>
  <c r="AG68" i="3"/>
  <c r="AH68" i="3"/>
  <c r="AE68" i="3"/>
  <c r="X69" i="3"/>
  <c r="Y69" i="3"/>
  <c r="AG69" i="3"/>
  <c r="AH69" i="3"/>
  <c r="AE69" i="3"/>
  <c r="X70" i="3"/>
  <c r="Y70" i="3"/>
  <c r="AG70" i="3"/>
  <c r="AH70" i="3"/>
  <c r="AE70" i="3"/>
  <c r="X71" i="3"/>
  <c r="Y71" i="3"/>
  <c r="AG71" i="3"/>
  <c r="AH71" i="3"/>
  <c r="AE71" i="3"/>
  <c r="X72" i="3"/>
  <c r="Y72" i="3"/>
  <c r="AG72" i="3"/>
  <c r="AH72" i="3"/>
  <c r="AE72" i="3"/>
  <c r="X73" i="3"/>
  <c r="Y73" i="3"/>
  <c r="AG73" i="3"/>
  <c r="AH73" i="3"/>
  <c r="AE73" i="3"/>
  <c r="X74" i="3"/>
  <c r="Y74" i="3"/>
  <c r="AG74" i="3"/>
  <c r="AH74" i="3"/>
  <c r="AE74" i="3"/>
  <c r="X75" i="3"/>
  <c r="Y75" i="3"/>
  <c r="AG75" i="3"/>
  <c r="AH75" i="3"/>
  <c r="AE75" i="3"/>
  <c r="X76" i="3"/>
  <c r="Y76" i="3"/>
  <c r="AG76" i="3"/>
  <c r="AH76" i="3"/>
  <c r="AE76" i="3"/>
  <c r="X77" i="3"/>
  <c r="Y77" i="3"/>
  <c r="AG77" i="3"/>
  <c r="AH77" i="3"/>
  <c r="AE77" i="3"/>
  <c r="X78" i="3"/>
  <c r="Y78" i="3"/>
  <c r="AG78" i="3"/>
  <c r="AH78" i="3"/>
  <c r="AE78" i="3"/>
  <c r="X79" i="3"/>
  <c r="Y79" i="3"/>
  <c r="AG79" i="3"/>
  <c r="AH79" i="3"/>
  <c r="AE79" i="3"/>
  <c r="X80" i="3"/>
  <c r="Y80" i="3"/>
  <c r="AG80" i="3"/>
  <c r="AH80" i="3"/>
  <c r="AE80" i="3"/>
  <c r="X81" i="3"/>
  <c r="Y81" i="3"/>
  <c r="AG81" i="3"/>
  <c r="AH81" i="3"/>
  <c r="AE81" i="3"/>
  <c r="X82" i="3"/>
  <c r="Y82" i="3"/>
  <c r="AG82" i="3"/>
  <c r="AH82" i="3"/>
  <c r="AE82" i="3"/>
  <c r="X83" i="3"/>
  <c r="Y83" i="3"/>
  <c r="AG83" i="3"/>
  <c r="AH83" i="3"/>
  <c r="AE83" i="3"/>
  <c r="AE84" i="3"/>
  <c r="AE85" i="3"/>
  <c r="AE86" i="3"/>
  <c r="AE87" i="3"/>
  <c r="AE88" i="3"/>
  <c r="AE89" i="3"/>
  <c r="AE90" i="3"/>
  <c r="AE91" i="3"/>
  <c r="AE92" i="3"/>
  <c r="AE9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J4" i="3"/>
  <c r="K17" i="3"/>
  <c r="G4" i="3"/>
  <c r="H4" i="3"/>
  <c r="I4" i="3"/>
  <c r="J17" i="3"/>
  <c r="L17" i="3"/>
  <c r="J5" i="3"/>
  <c r="K18" i="3"/>
  <c r="G5" i="3"/>
  <c r="H5" i="3"/>
  <c r="I5" i="3"/>
  <c r="J18" i="3"/>
  <c r="L18" i="3"/>
  <c r="J6" i="3"/>
  <c r="K19" i="3"/>
  <c r="G6" i="3"/>
  <c r="H6" i="3"/>
  <c r="I6" i="3"/>
  <c r="J19" i="3"/>
  <c r="L19" i="3"/>
  <c r="J7" i="3"/>
  <c r="K20" i="3"/>
  <c r="G7" i="3"/>
  <c r="H7" i="3"/>
  <c r="I7" i="3"/>
  <c r="J20" i="3"/>
  <c r="L20" i="3"/>
  <c r="J8" i="3"/>
  <c r="K21" i="3"/>
  <c r="G8" i="3"/>
  <c r="H8" i="3"/>
  <c r="I8" i="3"/>
  <c r="J21" i="3"/>
  <c r="L21" i="3"/>
  <c r="J9" i="3"/>
  <c r="K22" i="3"/>
  <c r="X84" i="3"/>
  <c r="X85" i="3"/>
  <c r="X86" i="3"/>
  <c r="X87" i="3"/>
  <c r="X88" i="3"/>
  <c r="X89" i="3"/>
  <c r="X90" i="3"/>
  <c r="X91" i="3"/>
  <c r="X92" i="3"/>
  <c r="X93" i="3"/>
  <c r="Y84" i="3"/>
  <c r="Y85" i="3"/>
  <c r="Y86" i="3"/>
  <c r="Y87" i="3"/>
  <c r="Y88" i="3"/>
  <c r="Y89" i="3"/>
  <c r="Y90" i="3"/>
  <c r="Y91" i="3"/>
  <c r="Y92" i="3"/>
  <c r="Y93" i="3"/>
  <c r="AG84" i="3"/>
  <c r="AG85" i="3"/>
  <c r="AG86" i="3"/>
  <c r="AG87" i="3"/>
  <c r="AG88" i="3"/>
  <c r="AG89" i="3"/>
  <c r="AG90" i="3"/>
  <c r="AG91" i="3"/>
  <c r="AG92" i="3"/>
  <c r="AG93" i="3"/>
  <c r="AH84" i="3"/>
  <c r="AH85" i="3"/>
  <c r="AH86" i="3"/>
  <c r="AH87" i="3"/>
  <c r="AH88" i="3"/>
  <c r="AH89" i="3"/>
  <c r="AH90" i="3"/>
  <c r="AH91" i="3"/>
  <c r="AH92" i="3"/>
  <c r="AH93" i="3"/>
  <c r="G9" i="3"/>
  <c r="H9" i="3"/>
  <c r="I9" i="3"/>
  <c r="J22" i="3"/>
  <c r="L22" i="3"/>
  <c r="J10" i="3"/>
  <c r="K23" i="3"/>
  <c r="G10" i="3"/>
  <c r="H10" i="3"/>
  <c r="I10" i="3"/>
  <c r="J23" i="3"/>
  <c r="L23" i="3"/>
  <c r="J11" i="3"/>
  <c r="K24" i="3"/>
  <c r="G11" i="3"/>
  <c r="H11" i="3"/>
  <c r="I11" i="3"/>
  <c r="J24" i="3"/>
  <c r="L24" i="3"/>
  <c r="J12" i="3"/>
  <c r="K25" i="3"/>
  <c r="G12" i="3"/>
  <c r="H12" i="3"/>
  <c r="I12" i="3"/>
  <c r="J25" i="3"/>
  <c r="L25" i="3"/>
  <c r="M17" i="3"/>
  <c r="N17" i="3" a="1"/>
  <c r="N17" i="3"/>
  <c r="O17" i="3"/>
  <c r="E30" i="3" a="1"/>
  <c r="E30" i="3"/>
  <c r="F30" i="3" a="1"/>
  <c r="F30" i="3"/>
  <c r="G30" i="3" a="1"/>
  <c r="H30" i="3" a="1"/>
  <c r="I30" i="3" a="1"/>
  <c r="J30" i="3" a="1"/>
  <c r="K30" i="3" a="1"/>
  <c r="L30" i="3" a="1"/>
  <c r="P17" i="3"/>
  <c r="M30" i="3" a="1"/>
  <c r="N30" i="3" a="1"/>
  <c r="O30" i="3" a="1"/>
  <c r="P30" i="3" a="1"/>
  <c r="Q30" i="3" a="1"/>
  <c r="R30" i="3" a="1"/>
  <c r="S30" i="3" a="1"/>
  <c r="T30" i="3" a="1"/>
  <c r="Q17" i="3"/>
  <c r="U30" i="3" a="1"/>
  <c r="V30" i="3" a="1"/>
  <c r="W30" i="3" a="1"/>
  <c r="X30" i="3" a="1"/>
  <c r="Y30" i="3" a="1"/>
  <c r="Z30" i="3" a="1"/>
  <c r="AA30" i="3" a="1"/>
  <c r="AB30" i="3" a="1"/>
  <c r="R17" i="3"/>
  <c r="AC30" i="3" a="1"/>
  <c r="AD30" i="3" a="1"/>
  <c r="AE30" i="3" a="1"/>
  <c r="AF30" i="3" a="1"/>
  <c r="AG30" i="3" a="1"/>
  <c r="AH30" i="3" a="1"/>
  <c r="AI30" i="3" a="1"/>
  <c r="AJ30" i="3" a="1"/>
  <c r="S17" i="3"/>
  <c r="AK30" i="3" a="1"/>
  <c r="AL30" i="3" a="1"/>
  <c r="AM30" i="3" a="1"/>
  <c r="AN30" i="3" a="1"/>
  <c r="AO30" i="3" a="1"/>
  <c r="AP30" i="3" a="1"/>
  <c r="AQ30" i="3" a="1"/>
  <c r="AR30" i="3" a="1"/>
  <c r="T17" i="3"/>
  <c r="AS30" i="3" a="1"/>
  <c r="AT30" i="3" a="1"/>
  <c r="AU30" i="3" a="1"/>
  <c r="AV30" i="3" a="1"/>
  <c r="AW30" i="3" a="1"/>
  <c r="AX30" i="3" a="1"/>
  <c r="AY30" i="3" a="1"/>
  <c r="AZ30" i="3" a="1"/>
  <c r="U17" i="3"/>
  <c r="BA30" i="3" a="1"/>
  <c r="BB30" i="3" a="1"/>
  <c r="BC30" i="3" a="1"/>
  <c r="BD30" i="3" a="1"/>
  <c r="BE30" i="3" a="1"/>
  <c r="BF30" i="3" a="1"/>
  <c r="BG30" i="3" a="1"/>
  <c r="BH30" i="3" a="1"/>
  <c r="V17" i="3"/>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W17" i="3"/>
  <c r="M18" i="3"/>
  <c r="N18" i="3" a="1"/>
  <c r="N18" i="3"/>
  <c r="O18" i="3"/>
  <c r="E31" i="3" a="1"/>
  <c r="E31" i="3"/>
  <c r="F31" i="3" a="1"/>
  <c r="F31" i="3"/>
  <c r="G31" i="3" a="1"/>
  <c r="H31" i="3" a="1"/>
  <c r="I31" i="3" a="1"/>
  <c r="J31" i="3" a="1"/>
  <c r="K31" i="3" a="1"/>
  <c r="L31" i="3" a="1"/>
  <c r="P18" i="3"/>
  <c r="M31" i="3" a="1"/>
  <c r="N31" i="3" a="1"/>
  <c r="O31" i="3" a="1"/>
  <c r="P31" i="3" a="1"/>
  <c r="Q31" i="3" a="1"/>
  <c r="R31" i="3" a="1"/>
  <c r="S31" i="3" a="1"/>
  <c r="T31" i="3" a="1"/>
  <c r="Q18" i="3"/>
  <c r="U31" i="3" a="1"/>
  <c r="V31" i="3" a="1"/>
  <c r="W31" i="3" a="1"/>
  <c r="X31" i="3" a="1"/>
  <c r="Y31" i="3" a="1"/>
  <c r="Z31" i="3" a="1"/>
  <c r="AA31" i="3" a="1"/>
  <c r="AB31" i="3" a="1"/>
  <c r="R18" i="3"/>
  <c r="AC31" i="3" a="1"/>
  <c r="AD31" i="3" a="1"/>
  <c r="AE31" i="3" a="1"/>
  <c r="AF31" i="3" a="1"/>
  <c r="AG31" i="3" a="1"/>
  <c r="AH31" i="3" a="1"/>
  <c r="AI31" i="3" a="1"/>
  <c r="AJ31" i="3" a="1"/>
  <c r="S18" i="3"/>
  <c r="AK31" i="3" a="1"/>
  <c r="AL31" i="3" a="1"/>
  <c r="AM31" i="3" a="1"/>
  <c r="AN31" i="3" a="1"/>
  <c r="AO31" i="3" a="1"/>
  <c r="AP31" i="3" a="1"/>
  <c r="AQ31" i="3" a="1"/>
  <c r="AR31" i="3" a="1"/>
  <c r="T18" i="3"/>
  <c r="AS31" i="3" a="1"/>
  <c r="AT31" i="3" a="1"/>
  <c r="AU31" i="3" a="1"/>
  <c r="AV31" i="3" a="1"/>
  <c r="AW31" i="3" a="1"/>
  <c r="AX31" i="3" a="1"/>
  <c r="AY31" i="3" a="1"/>
  <c r="AZ31" i="3" a="1"/>
  <c r="U18" i="3"/>
  <c r="BA31" i="3" a="1"/>
  <c r="BB31" i="3" a="1"/>
  <c r="BC31" i="3" a="1"/>
  <c r="BD31" i="3" a="1"/>
  <c r="BE31" i="3" a="1"/>
  <c r="BF31" i="3" a="1"/>
  <c r="BG31" i="3" a="1"/>
  <c r="BH31" i="3" a="1"/>
  <c r="V18" i="3"/>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W18" i="3"/>
  <c r="M19" i="3"/>
  <c r="N19" i="3" a="1"/>
  <c r="N19" i="3"/>
  <c r="O19" i="3"/>
  <c r="E32" i="3" a="1"/>
  <c r="E32" i="3"/>
  <c r="F32" i="3" a="1"/>
  <c r="F32" i="3"/>
  <c r="G32" i="3" a="1"/>
  <c r="H32" i="3" a="1"/>
  <c r="I32" i="3" a="1"/>
  <c r="J32" i="3" a="1"/>
  <c r="K32" i="3" a="1"/>
  <c r="L32" i="3" a="1"/>
  <c r="P19" i="3"/>
  <c r="M32" i="3" a="1"/>
  <c r="N32" i="3" a="1"/>
  <c r="O32" i="3" a="1"/>
  <c r="P32" i="3" a="1"/>
  <c r="Q32" i="3" a="1"/>
  <c r="R32" i="3" a="1"/>
  <c r="S32" i="3" a="1"/>
  <c r="T32" i="3" a="1"/>
  <c r="Q19" i="3"/>
  <c r="U32" i="3" a="1"/>
  <c r="V32" i="3" a="1"/>
  <c r="W32" i="3" a="1"/>
  <c r="X32" i="3" a="1"/>
  <c r="Y32" i="3" a="1"/>
  <c r="Z32" i="3" a="1"/>
  <c r="AA32" i="3" a="1"/>
  <c r="AB32" i="3" a="1"/>
  <c r="R19" i="3"/>
  <c r="AC32" i="3" a="1"/>
  <c r="AD32" i="3" a="1"/>
  <c r="AE32" i="3" a="1"/>
  <c r="AF32" i="3" a="1"/>
  <c r="AG32" i="3" a="1"/>
  <c r="AH32" i="3" a="1"/>
  <c r="AI32" i="3" a="1"/>
  <c r="AJ32" i="3" a="1"/>
  <c r="S19" i="3"/>
  <c r="AK32" i="3" a="1"/>
  <c r="AL32" i="3" a="1"/>
  <c r="AM32" i="3" a="1"/>
  <c r="AN32" i="3" a="1"/>
  <c r="AO32" i="3" a="1"/>
  <c r="AP32" i="3" a="1"/>
  <c r="AQ32" i="3" a="1"/>
  <c r="AR32" i="3" a="1"/>
  <c r="T19" i="3"/>
  <c r="AS32" i="3" a="1"/>
  <c r="AT32" i="3" a="1"/>
  <c r="AU32" i="3" a="1"/>
  <c r="AV32" i="3" a="1"/>
  <c r="AW32" i="3" a="1"/>
  <c r="AX32" i="3" a="1"/>
  <c r="AY32" i="3" a="1"/>
  <c r="AZ32" i="3" a="1"/>
  <c r="U19" i="3"/>
  <c r="BA32" i="3" a="1"/>
  <c r="BB32" i="3" a="1"/>
  <c r="BC32" i="3" a="1"/>
  <c r="BD32" i="3" a="1"/>
  <c r="BE32" i="3" a="1"/>
  <c r="BF32" i="3" a="1"/>
  <c r="BG32" i="3" a="1"/>
  <c r="BH32" i="3" a="1"/>
  <c r="V19" i="3"/>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W19" i="3"/>
  <c r="M20" i="3"/>
  <c r="N20" i="3" a="1"/>
  <c r="N20" i="3"/>
  <c r="O20" i="3"/>
  <c r="E33" i="3" a="1"/>
  <c r="E33" i="3"/>
  <c r="F33" i="3" a="1"/>
  <c r="F33" i="3"/>
  <c r="G33" i="3" a="1"/>
  <c r="H33" i="3" a="1"/>
  <c r="I33" i="3" a="1"/>
  <c r="J33" i="3" a="1"/>
  <c r="K33" i="3" a="1"/>
  <c r="L33" i="3" a="1"/>
  <c r="P20" i="3"/>
  <c r="M33" i="3" a="1"/>
  <c r="N33" i="3" a="1"/>
  <c r="O33" i="3" a="1"/>
  <c r="P33" i="3" a="1"/>
  <c r="Q33" i="3" a="1"/>
  <c r="R33" i="3" a="1"/>
  <c r="S33" i="3" a="1"/>
  <c r="T33" i="3" a="1"/>
  <c r="Q20" i="3"/>
  <c r="U33" i="3" a="1"/>
  <c r="V33" i="3" a="1"/>
  <c r="W33" i="3" a="1"/>
  <c r="X33" i="3" a="1"/>
  <c r="Y33" i="3" a="1"/>
  <c r="Z33" i="3" a="1"/>
  <c r="AA33" i="3" a="1"/>
  <c r="AB33" i="3" a="1"/>
  <c r="R20" i="3"/>
  <c r="AC33" i="3" a="1"/>
  <c r="AD33" i="3" a="1"/>
  <c r="AE33" i="3" a="1"/>
  <c r="AF33" i="3" a="1"/>
  <c r="AG33" i="3" a="1"/>
  <c r="AH33" i="3" a="1"/>
  <c r="AI33" i="3" a="1"/>
  <c r="AJ33" i="3" a="1"/>
  <c r="S20" i="3"/>
  <c r="AK33" i="3" a="1"/>
  <c r="AL33" i="3" a="1"/>
  <c r="AM33" i="3" a="1"/>
  <c r="AN33" i="3" a="1"/>
  <c r="AO33" i="3" a="1"/>
  <c r="AP33" i="3" a="1"/>
  <c r="AQ33" i="3" a="1"/>
  <c r="AR33" i="3" a="1"/>
  <c r="T20" i="3"/>
  <c r="AS33" i="3" a="1"/>
  <c r="AT33" i="3" a="1"/>
  <c r="AU33" i="3" a="1"/>
  <c r="AV33" i="3" a="1"/>
  <c r="AW33" i="3" a="1"/>
  <c r="AX33" i="3" a="1"/>
  <c r="AY33" i="3" a="1"/>
  <c r="AZ33" i="3" a="1"/>
  <c r="U20" i="3"/>
  <c r="BA33" i="3" a="1"/>
  <c r="BB33" i="3" a="1"/>
  <c r="BC33" i="3" a="1"/>
  <c r="BD33" i="3" a="1"/>
  <c r="BE33" i="3" a="1"/>
  <c r="BF33" i="3" a="1"/>
  <c r="BG33" i="3" a="1"/>
  <c r="BH33" i="3" a="1"/>
  <c r="V20" i="3"/>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W20" i="3"/>
  <c r="M21" i="3"/>
  <c r="N21" i="3" a="1"/>
  <c r="N21" i="3"/>
  <c r="O21" i="3"/>
  <c r="E34" i="3" a="1"/>
  <c r="E34" i="3"/>
  <c r="F34" i="3" a="1"/>
  <c r="F34" i="3"/>
  <c r="G34" i="3" a="1"/>
  <c r="H34" i="3" a="1"/>
  <c r="I34" i="3" a="1"/>
  <c r="J34" i="3" a="1"/>
  <c r="K34" i="3" a="1"/>
  <c r="L34" i="3" a="1"/>
  <c r="P21" i="3"/>
  <c r="M34" i="3" a="1"/>
  <c r="N34" i="3" a="1"/>
  <c r="O34" i="3" a="1"/>
  <c r="P34" i="3" a="1"/>
  <c r="Q34" i="3" a="1"/>
  <c r="R34" i="3" a="1"/>
  <c r="S34" i="3" a="1"/>
  <c r="T34" i="3" a="1"/>
  <c r="Q21" i="3"/>
  <c r="U34" i="3" a="1"/>
  <c r="V34" i="3" a="1"/>
  <c r="W34" i="3" a="1"/>
  <c r="X34" i="3" a="1"/>
  <c r="Y34" i="3" a="1"/>
  <c r="Z34" i="3" a="1"/>
  <c r="AA34" i="3" a="1"/>
  <c r="AB34" i="3" a="1"/>
  <c r="R21" i="3"/>
  <c r="AC34" i="3" a="1"/>
  <c r="AD34" i="3" a="1"/>
  <c r="AE34" i="3" a="1"/>
  <c r="AF34" i="3" a="1"/>
  <c r="AG34" i="3" a="1"/>
  <c r="AH34" i="3" a="1"/>
  <c r="AI34" i="3" a="1"/>
  <c r="AJ34" i="3" a="1"/>
  <c r="S21" i="3"/>
  <c r="AK34" i="3" a="1"/>
  <c r="AL34" i="3" a="1"/>
  <c r="AM34" i="3" a="1"/>
  <c r="AN34" i="3" a="1"/>
  <c r="AO34" i="3" a="1"/>
  <c r="AP34" i="3" a="1"/>
  <c r="AQ34" i="3" a="1"/>
  <c r="AR34" i="3" a="1"/>
  <c r="T21" i="3"/>
  <c r="AS34" i="3" a="1"/>
  <c r="AT34" i="3" a="1"/>
  <c r="AU34" i="3" a="1"/>
  <c r="AV34" i="3" a="1"/>
  <c r="AW34" i="3" a="1"/>
  <c r="AX34" i="3" a="1"/>
  <c r="AY34" i="3" a="1"/>
  <c r="AZ34" i="3" a="1"/>
  <c r="U21" i="3"/>
  <c r="BA34" i="3" a="1"/>
  <c r="BB34" i="3" a="1"/>
  <c r="BC34" i="3" a="1"/>
  <c r="BD34" i="3" a="1"/>
  <c r="BE34" i="3" a="1"/>
  <c r="BF34" i="3" a="1"/>
  <c r="BG34" i="3" a="1"/>
  <c r="BH34" i="3" a="1"/>
  <c r="V21" i="3"/>
  <c r="BI34" i="3" a="1"/>
  <c r="BJ34" i="3" a="1"/>
  <c r="BK34" i="3" a="1"/>
  <c r="BL34" i="3" a="1"/>
  <c r="BM34" i="3" a="1"/>
  <c r="BN34" i="3" a="1"/>
  <c r="BO34" i="3" a="1"/>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W21" i="3"/>
  <c r="M22" i="3"/>
  <c r="N22" i="3" a="1"/>
  <c r="N22" i="3"/>
  <c r="O22" i="3"/>
  <c r="BT52" i="3"/>
  <c r="BU52" i="3"/>
  <c r="BV52" i="3"/>
  <c r="BW52" i="3"/>
  <c r="BX52" i="3"/>
  <c r="BY52" i="3"/>
  <c r="BZ52" i="3"/>
  <c r="CA52" i="3"/>
  <c r="BS53" i="3"/>
  <c r="BU53" i="3"/>
  <c r="BV53" i="3"/>
  <c r="BW53" i="3"/>
  <c r="BX53" i="3"/>
  <c r="BY53" i="3"/>
  <c r="BZ53" i="3"/>
  <c r="CA53" i="3"/>
  <c r="BS54" i="3"/>
  <c r="BT54" i="3"/>
  <c r="BV54" i="3"/>
  <c r="BW54" i="3"/>
  <c r="BX54" i="3"/>
  <c r="BY54" i="3"/>
  <c r="BZ54" i="3"/>
  <c r="CA54" i="3"/>
  <c r="BS55" i="3"/>
  <c r="BT55" i="3"/>
  <c r="BU55" i="3"/>
  <c r="BW55" i="3"/>
  <c r="BX55" i="3"/>
  <c r="BY55" i="3"/>
  <c r="BZ55" i="3"/>
  <c r="CA55" i="3"/>
  <c r="BS56" i="3"/>
  <c r="BT56" i="3"/>
  <c r="BU56" i="3"/>
  <c r="BV56" i="3"/>
  <c r="BX56" i="3"/>
  <c r="BY56" i="3"/>
  <c r="BZ56" i="3"/>
  <c r="CA56" i="3"/>
  <c r="BS57" i="3"/>
  <c r="BT57" i="3"/>
  <c r="BU57" i="3"/>
  <c r="BV57" i="3"/>
  <c r="BW57" i="3"/>
  <c r="BY57" i="3"/>
  <c r="BZ57" i="3"/>
  <c r="CA57" i="3"/>
  <c r="BS58" i="3"/>
  <c r="BT58" i="3"/>
  <c r="BU58" i="3"/>
  <c r="BV58" i="3"/>
  <c r="BW58" i="3"/>
  <c r="BX58" i="3"/>
  <c r="BZ58" i="3"/>
  <c r="CA58" i="3"/>
  <c r="BS59" i="3"/>
  <c r="BT59" i="3"/>
  <c r="BU59" i="3"/>
  <c r="BV59" i="3"/>
  <c r="BW59" i="3"/>
  <c r="BX59" i="3"/>
  <c r="BY59" i="3"/>
  <c r="CA59" i="3"/>
  <c r="BS60" i="3"/>
  <c r="BT60" i="3"/>
  <c r="BU60" i="3"/>
  <c r="BV60" i="3"/>
  <c r="BW60" i="3"/>
  <c r="BX60" i="3"/>
  <c r="BY60" i="3"/>
  <c r="BZ60" i="3"/>
  <c r="E35" i="3" a="1"/>
  <c r="E35" i="3"/>
  <c r="F35" i="3" a="1"/>
  <c r="F35" i="3"/>
  <c r="G35" i="3" a="1"/>
  <c r="H35" i="3" a="1"/>
  <c r="I35" i="3" a="1"/>
  <c r="M23" i="3"/>
  <c r="N23" i="3" a="1"/>
  <c r="N23" i="3"/>
  <c r="O23" i="3"/>
  <c r="J35" i="3" a="1"/>
  <c r="M24" i="3"/>
  <c r="N24" i="3" a="1"/>
  <c r="N24" i="3"/>
  <c r="O24" i="3"/>
  <c r="K35" i="3" a="1"/>
  <c r="M25" i="3"/>
  <c r="N25" i="3" a="1"/>
  <c r="N25" i="3"/>
  <c r="O25" i="3"/>
  <c r="L35" i="3" a="1"/>
  <c r="P22" i="3"/>
  <c r="M35" i="3" a="1"/>
  <c r="N35" i="3" a="1"/>
  <c r="O35" i="3" a="1"/>
  <c r="P35" i="3" a="1"/>
  <c r="Q35" i="3" a="1"/>
  <c r="P23" i="3"/>
  <c r="R35" i="3" a="1"/>
  <c r="P24" i="3"/>
  <c r="S35" i="3" a="1"/>
  <c r="P25" i="3"/>
  <c r="T35" i="3" a="1"/>
  <c r="Q22" i="3"/>
  <c r="U35" i="3" a="1"/>
  <c r="V35" i="3" a="1"/>
  <c r="W35" i="3" a="1"/>
  <c r="X35" i="3" a="1"/>
  <c r="Y35" i="3" a="1"/>
  <c r="Q23" i="3"/>
  <c r="Z35" i="3" a="1"/>
  <c r="Q24" i="3"/>
  <c r="AA35" i="3" a="1"/>
  <c r="Q25" i="3"/>
  <c r="AB35" i="3" a="1"/>
  <c r="R22" i="3"/>
  <c r="AC35" i="3" a="1"/>
  <c r="AD35" i="3" a="1"/>
  <c r="AE35" i="3" a="1"/>
  <c r="AF35" i="3" a="1"/>
  <c r="AG35" i="3" a="1"/>
  <c r="R23" i="3"/>
  <c r="AH35" i="3" a="1"/>
  <c r="R24" i="3"/>
  <c r="AI35" i="3" a="1"/>
  <c r="R25" i="3"/>
  <c r="AJ35" i="3" a="1"/>
  <c r="S22" i="3"/>
  <c r="AK35" i="3" a="1"/>
  <c r="AL35" i="3" a="1"/>
  <c r="AM35" i="3" a="1"/>
  <c r="AN35" i="3" a="1"/>
  <c r="AO35" i="3" a="1"/>
  <c r="S23" i="3"/>
  <c r="AP35" i="3" a="1"/>
  <c r="S24" i="3"/>
  <c r="AQ35" i="3" a="1"/>
  <c r="S25" i="3"/>
  <c r="AR35" i="3" a="1"/>
  <c r="T22" i="3"/>
  <c r="AS35" i="3" a="1"/>
  <c r="AT35" i="3" a="1"/>
  <c r="AU35" i="3" a="1"/>
  <c r="AV35" i="3" a="1"/>
  <c r="AW35" i="3" a="1"/>
  <c r="T23" i="3"/>
  <c r="AX35" i="3" a="1"/>
  <c r="T24" i="3"/>
  <c r="AY35" i="3" a="1"/>
  <c r="T25" i="3"/>
  <c r="AZ35" i="3" a="1"/>
  <c r="U22" i="3"/>
  <c r="BA35" i="3" a="1"/>
  <c r="BB35" i="3" a="1"/>
  <c r="BC35" i="3" a="1"/>
  <c r="BD35" i="3" a="1"/>
  <c r="BE35" i="3" a="1"/>
  <c r="U23" i="3"/>
  <c r="BF35" i="3" a="1"/>
  <c r="U24" i="3"/>
  <c r="BG35" i="3" a="1"/>
  <c r="U25" i="3"/>
  <c r="BH35" i="3" a="1"/>
  <c r="V22" i="3"/>
  <c r="BI35" i="3" a="1"/>
  <c r="BJ35" i="3" a="1"/>
  <c r="BK35" i="3" a="1"/>
  <c r="BL35" i="3" a="1"/>
  <c r="BM35" i="3" a="1"/>
  <c r="V23" i="3"/>
  <c r="BN35" i="3" a="1"/>
  <c r="V24" i="3"/>
  <c r="BO35" i="3" a="1"/>
  <c r="V25" i="3"/>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BT30" i="3"/>
  <c r="BS31" i="3"/>
  <c r="BT41" i="3"/>
  <c r="BU30" i="3"/>
  <c r="BS32" i="3"/>
  <c r="BU41" i="3"/>
  <c r="BV30" i="3"/>
  <c r="BS33" i="3"/>
  <c r="BV41" i="3"/>
  <c r="BW30" i="3"/>
  <c r="BS34" i="3"/>
  <c r="BW41" i="3"/>
  <c r="BX30" i="3"/>
  <c r="BS35" i="3"/>
  <c r="BX41" i="3"/>
  <c r="BY30" i="3"/>
  <c r="BS36" i="3"/>
  <c r="BY41" i="3"/>
  <c r="BZ30" i="3"/>
  <c r="BS37" i="3"/>
  <c r="BZ41" i="3"/>
  <c r="CA30"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W22" i="3"/>
  <c r="E36" i="3" a="1"/>
  <c r="E36" i="3"/>
  <c r="F36" i="3" a="1"/>
  <c r="F36" i="3"/>
  <c r="G36" i="3" a="1"/>
  <c r="H36" i="3" a="1"/>
  <c r="I36" i="3" a="1"/>
  <c r="J36" i="3" a="1"/>
  <c r="K36" i="3" a="1"/>
  <c r="L36" i="3" a="1"/>
  <c r="M36" i="3" a="1"/>
  <c r="N36" i="3" a="1"/>
  <c r="O36" i="3" a="1"/>
  <c r="P36" i="3" a="1"/>
  <c r="Q36" i="3" a="1"/>
  <c r="R36" i="3" a="1"/>
  <c r="S36" i="3" a="1"/>
  <c r="T36" i="3" a="1"/>
  <c r="U36" i="3" a="1"/>
  <c r="V36" i="3" a="1"/>
  <c r="W36" i="3" a="1"/>
  <c r="X36" i="3" a="1"/>
  <c r="Y36" i="3" a="1"/>
  <c r="Z36" i="3" a="1"/>
  <c r="AA36" i="3" a="1"/>
  <c r="AB36" i="3" a="1"/>
  <c r="AC36" i="3" a="1"/>
  <c r="AD36" i="3" a="1"/>
  <c r="AE36" i="3" a="1"/>
  <c r="AF36" i="3" a="1"/>
  <c r="AG36" i="3" a="1"/>
  <c r="AH36" i="3" a="1"/>
  <c r="AI36" i="3" a="1"/>
  <c r="AJ36" i="3" a="1"/>
  <c r="AK36" i="3" a="1"/>
  <c r="AL36" i="3" a="1"/>
  <c r="AM36" i="3" a="1"/>
  <c r="AN36" i="3" a="1"/>
  <c r="AO36" i="3" a="1"/>
  <c r="AP36" i="3" a="1"/>
  <c r="AQ36" i="3" a="1"/>
  <c r="AR36" i="3" a="1"/>
  <c r="AS36" i="3" a="1"/>
  <c r="AT36" i="3" a="1"/>
  <c r="AU36" i="3" a="1"/>
  <c r="AV36" i="3" a="1"/>
  <c r="AW36" i="3" a="1"/>
  <c r="AX36" i="3" a="1"/>
  <c r="AY36" i="3" a="1"/>
  <c r="AZ36" i="3" a="1"/>
  <c r="BA36" i="3" a="1"/>
  <c r="BB36" i="3" a="1"/>
  <c r="BC36" i="3" a="1"/>
  <c r="BD36" i="3" a="1"/>
  <c r="BE36" i="3" a="1"/>
  <c r="BF36" i="3" a="1"/>
  <c r="BG36" i="3" a="1"/>
  <c r="BH36" i="3" a="1"/>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K47" i="3" a="1"/>
  <c r="AL47" i="3" a="1"/>
  <c r="AM47" i="3" a="1"/>
  <c r="AN47" i="3" a="1"/>
  <c r="AO47" i="3" a="1"/>
  <c r="AP47" i="3" a="1"/>
  <c r="AQ47" i="3" a="1"/>
  <c r="AR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AB23" i="3"/>
  <c r="W23" i="3"/>
  <c r="E37" i="3" a="1"/>
  <c r="E37" i="3"/>
  <c r="F37" i="3" a="1"/>
  <c r="F37" i="3"/>
  <c r="G37" i="3" a="1"/>
  <c r="H37" i="3" a="1"/>
  <c r="I37" i="3" a="1"/>
  <c r="J37" i="3" a="1"/>
  <c r="K37" i="3" a="1"/>
  <c r="L37" i="3" a="1"/>
  <c r="M37" i="3" a="1"/>
  <c r="N37" i="3" a="1"/>
  <c r="O37" i="3" a="1"/>
  <c r="P37" i="3" a="1"/>
  <c r="Q37" i="3" a="1"/>
  <c r="R37" i="3" a="1"/>
  <c r="S37" i="3" a="1"/>
  <c r="T37" i="3" a="1"/>
  <c r="U37" i="3" a="1"/>
  <c r="V37" i="3" a="1"/>
  <c r="W37" i="3" a="1"/>
  <c r="X37" i="3" a="1"/>
  <c r="Y37" i="3" a="1"/>
  <c r="Z37" i="3" a="1"/>
  <c r="AA37" i="3" a="1"/>
  <c r="AB37" i="3" a="1"/>
  <c r="AC37" i="3" a="1"/>
  <c r="AD37" i="3" a="1"/>
  <c r="AE37" i="3" a="1"/>
  <c r="AF37" i="3" a="1"/>
  <c r="AG37" i="3" a="1"/>
  <c r="AH37" i="3" a="1"/>
  <c r="AI37" i="3" a="1"/>
  <c r="AJ37" i="3" a="1"/>
  <c r="AK37" i="3" a="1"/>
  <c r="AL37" i="3" a="1"/>
  <c r="AM37" i="3" a="1"/>
  <c r="AN37" i="3" a="1"/>
  <c r="AO37" i="3" a="1"/>
  <c r="AP37" i="3" a="1"/>
  <c r="AQ37" i="3" a="1"/>
  <c r="AR37" i="3" a="1"/>
  <c r="AS37" i="3" a="1"/>
  <c r="AT37" i="3" a="1"/>
  <c r="AU37" i="3" a="1"/>
  <c r="AV37" i="3" a="1"/>
  <c r="AW37" i="3" a="1"/>
  <c r="AX37" i="3" a="1"/>
  <c r="AY37" i="3" a="1"/>
  <c r="AZ37" i="3" a="1"/>
  <c r="BA37" i="3" a="1"/>
  <c r="BB37" i="3" a="1"/>
  <c r="BC37" i="3" a="1"/>
  <c r="BD37" i="3" a="1"/>
  <c r="BE37" i="3" a="1"/>
  <c r="BF37" i="3" a="1"/>
  <c r="BG37" i="3" a="1"/>
  <c r="BH37" i="3" a="1"/>
  <c r="BI37" i="3" a="1"/>
  <c r="BJ37" i="3" a="1"/>
  <c r="BK37" i="3" a="1"/>
  <c r="BL37" i="3" a="1"/>
  <c r="BM37" i="3" a="1"/>
  <c r="BN37" i="3" a="1"/>
  <c r="BO37" i="3" a="1"/>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C48" i="3" a="1"/>
  <c r="AD48" i="3" a="1"/>
  <c r="AE48" i="3" a="1"/>
  <c r="AF48" i="3" a="1"/>
  <c r="AG48" i="3" a="1"/>
  <c r="AH48" i="3" a="1"/>
  <c r="AI48" i="3" a="1"/>
  <c r="AJ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AB24" i="3"/>
  <c r="W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E49" i="3" a="1"/>
  <c r="E49" i="3"/>
  <c r="F49" i="3" a="1"/>
  <c r="F49" i="3"/>
  <c r="G49" i="3" a="1"/>
  <c r="H49" i="3" a="1"/>
  <c r="I49" i="3" a="1"/>
  <c r="J49" i="3" a="1"/>
  <c r="K49" i="3" a="1"/>
  <c r="L49" i="3" a="1"/>
  <c r="M49" i="3" a="1"/>
  <c r="N49" i="3" a="1"/>
  <c r="O49" i="3" a="1"/>
  <c r="P49" i="3" a="1"/>
  <c r="Q49" i="3" a="1"/>
  <c r="R49" i="3" a="1"/>
  <c r="S49" i="3" a="1"/>
  <c r="T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AB25" i="3"/>
  <c r="W25" i="3"/>
  <c r="X17" i="3"/>
  <c r="X18" i="3"/>
  <c r="X19" i="3"/>
  <c r="X20" i="3"/>
  <c r="X21" i="3"/>
  <c r="X22" i="3"/>
  <c r="X23" i="3"/>
  <c r="X24" i="3"/>
  <c r="X25" i="3"/>
  <c r="E4" i="3"/>
  <c r="D4" i="3"/>
  <c r="E5" i="3"/>
  <c r="D5" i="3"/>
  <c r="E6" i="3"/>
  <c r="D6" i="3"/>
  <c r="E7" i="3"/>
  <c r="D7" i="3"/>
  <c r="E8" i="3"/>
  <c r="D8" i="3"/>
  <c r="E9" i="3"/>
  <c r="D9" i="3"/>
  <c r="E10" i="3"/>
  <c r="D10" i="3"/>
  <c r="E11" i="3"/>
  <c r="D11" i="3"/>
  <c r="E12" i="3"/>
  <c r="D12" i="3"/>
  <c r="C4" i="3"/>
  <c r="C5" i="3"/>
  <c r="C6" i="3"/>
  <c r="M4" i="3"/>
  <c r="N4" i="3"/>
  <c r="L4" i="3"/>
  <c r="M5" i="3"/>
  <c r="N5" i="3"/>
  <c r="L5" i="3"/>
  <c r="M6" i="3"/>
  <c r="N6" i="3"/>
  <c r="L6" i="3"/>
  <c r="C7" i="3"/>
  <c r="M7" i="3"/>
  <c r="N7" i="3"/>
  <c r="L7" i="3"/>
  <c r="C8" i="3"/>
  <c r="M8" i="3"/>
  <c r="N8" i="3"/>
  <c r="L8" i="3"/>
  <c r="C9" i="3"/>
  <c r="M9" i="3"/>
  <c r="N9" i="3"/>
  <c r="L9" i="3"/>
  <c r="C10" i="3"/>
  <c r="M10" i="3"/>
  <c r="N10" i="3"/>
  <c r="L10" i="3"/>
  <c r="C11" i="3"/>
  <c r="M11" i="3"/>
  <c r="N11" i="3"/>
  <c r="L11" i="3"/>
  <c r="C12" i="3"/>
  <c r="M12" i="3"/>
  <c r="N12" i="3"/>
  <c r="L12" i="3"/>
  <c r="AC17" i="6"/>
  <c r="V17" i="6"/>
  <c r="AC16" i="6"/>
  <c r="V16" i="6"/>
  <c r="AC15" i="6"/>
  <c r="V15" i="6"/>
  <c r="AC14" i="6"/>
  <c r="V14" i="6"/>
  <c r="AC13" i="6"/>
  <c r="V13" i="6"/>
  <c r="AC12" i="6"/>
  <c r="V12" i="6"/>
  <c r="O3" i="17"/>
  <c r="P3" i="17"/>
  <c r="Q3" i="17"/>
  <c r="R3" i="17"/>
  <c r="S3" i="17"/>
  <c r="T3" i="17"/>
  <c r="U3" i="17"/>
  <c r="V3" i="17"/>
  <c r="O4" i="17"/>
  <c r="P4" i="17"/>
  <c r="Q4" i="17"/>
  <c r="R4" i="17"/>
  <c r="W3" i="17"/>
  <c r="W4" i="17"/>
  <c r="Y4" i="17"/>
  <c r="W5" i="17"/>
  <c r="Y5" i="17"/>
  <c r="W6" i="17"/>
  <c r="Y6" i="17"/>
  <c r="W7" i="17"/>
  <c r="Y7" i="17"/>
  <c r="W8" i="17"/>
  <c r="Y8" i="17"/>
  <c r="W9" i="17"/>
  <c r="Y9" i="17"/>
  <c r="W10" i="17"/>
  <c r="Y10" i="17"/>
  <c r="W11" i="17"/>
  <c r="Y11" i="17"/>
  <c r="W12" i="17"/>
  <c r="Y12" i="17"/>
  <c r="Z4" i="17"/>
  <c r="Z5" i="17"/>
  <c r="Z6" i="17"/>
  <c r="Z7" i="17"/>
  <c r="Z8" i="17"/>
  <c r="Z9" i="17"/>
  <c r="Z10" i="17"/>
  <c r="Z11" i="17"/>
  <c r="Z12" i="17"/>
  <c r="AA4" i="17"/>
  <c r="X4" i="17"/>
  <c r="AB3" i="17"/>
  <c r="AB4" i="17"/>
  <c r="AD4" i="17"/>
  <c r="AB5" i="17"/>
  <c r="AD5" i="17"/>
  <c r="AB6" i="17"/>
  <c r="AD6" i="17"/>
  <c r="AB7" i="17"/>
  <c r="AD7" i="17"/>
  <c r="AB8" i="17"/>
  <c r="AD8" i="17"/>
  <c r="AB9" i="17"/>
  <c r="AD9" i="17"/>
  <c r="AB10" i="17"/>
  <c r="AD10" i="17"/>
  <c r="AB11" i="17"/>
  <c r="AD11" i="17"/>
  <c r="AB12" i="17"/>
  <c r="AD12" i="17"/>
  <c r="AE4" i="17"/>
  <c r="AE5" i="17"/>
  <c r="AE6" i="17"/>
  <c r="AE7" i="17"/>
  <c r="AE8" i="17"/>
  <c r="AE9" i="17"/>
  <c r="AE10" i="17"/>
  <c r="AE11" i="17"/>
  <c r="AE12" i="17"/>
  <c r="AF4" i="17"/>
  <c r="AC4" i="17"/>
  <c r="AG3" i="17"/>
  <c r="AG4" i="17"/>
  <c r="AI4" i="17"/>
  <c r="AG5" i="17"/>
  <c r="AI5" i="17"/>
  <c r="AG6" i="17"/>
  <c r="AI6" i="17"/>
  <c r="AG7" i="17"/>
  <c r="AI7" i="17"/>
  <c r="AG8" i="17"/>
  <c r="AI8" i="17"/>
  <c r="AG9" i="17"/>
  <c r="AI9" i="17"/>
  <c r="AG10" i="17"/>
  <c r="AI10" i="17"/>
  <c r="AG11" i="17"/>
  <c r="AI11" i="17"/>
  <c r="AG12" i="17"/>
  <c r="AI12" i="17"/>
  <c r="AJ4" i="17"/>
  <c r="AJ5" i="17"/>
  <c r="AJ6" i="17"/>
  <c r="AJ7" i="17"/>
  <c r="AJ8" i="17"/>
  <c r="AJ9" i="17"/>
  <c r="AJ10" i="17"/>
  <c r="AJ11" i="17"/>
  <c r="AJ12" i="17"/>
  <c r="AK4" i="17"/>
  <c r="AH4" i="17"/>
  <c r="AL3" i="17"/>
  <c r="AL4" i="17"/>
  <c r="AN4" i="17"/>
  <c r="AL5" i="17"/>
  <c r="AN5" i="17"/>
  <c r="AL6" i="17"/>
  <c r="AN6" i="17"/>
  <c r="AL7" i="17"/>
  <c r="AN7" i="17"/>
  <c r="AL8" i="17"/>
  <c r="AN8" i="17"/>
  <c r="AL9" i="17"/>
  <c r="AN9" i="17"/>
  <c r="AL10" i="17"/>
  <c r="AN10" i="17"/>
  <c r="AL11" i="17"/>
  <c r="AN11" i="17"/>
  <c r="AL12" i="17"/>
  <c r="AN12" i="17"/>
  <c r="AO4" i="17"/>
  <c r="AO5" i="17"/>
  <c r="AO6" i="17"/>
  <c r="AO7" i="17"/>
  <c r="AO8" i="17"/>
  <c r="AO9" i="17"/>
  <c r="AO10" i="17"/>
  <c r="AO11" i="17"/>
  <c r="AO12" i="17"/>
  <c r="AP4" i="17"/>
  <c r="AM4" i="17"/>
  <c r="AR4" i="17"/>
  <c r="AS4" i="17"/>
  <c r="AA5" i="17"/>
  <c r="X5" i="17"/>
  <c r="AF5" i="17"/>
  <c r="AC5" i="17"/>
  <c r="AK5" i="17"/>
  <c r="AH5" i="17"/>
  <c r="AP5" i="17"/>
  <c r="AM5" i="17"/>
  <c r="AR5" i="17"/>
  <c r="AS5" i="17"/>
  <c r="AA6" i="17"/>
  <c r="X6" i="17"/>
  <c r="AF6" i="17"/>
  <c r="AC6" i="17"/>
  <c r="AK6" i="17"/>
  <c r="AH6" i="17"/>
  <c r="AP6" i="17"/>
  <c r="AM6" i="17"/>
  <c r="AR6" i="17"/>
  <c r="AS6" i="17"/>
  <c r="AA7" i="17"/>
  <c r="X7" i="17"/>
  <c r="AF7" i="17"/>
  <c r="AC7" i="17"/>
  <c r="AK7" i="17"/>
  <c r="AH7" i="17"/>
  <c r="AP7" i="17"/>
  <c r="AM7" i="17"/>
  <c r="AR7" i="17"/>
  <c r="AS7" i="17"/>
  <c r="AA8" i="17"/>
  <c r="X8" i="17"/>
  <c r="AF8" i="17"/>
  <c r="AC8" i="17"/>
  <c r="AK8" i="17"/>
  <c r="AH8" i="17"/>
  <c r="AP8" i="17"/>
  <c r="AM8" i="17"/>
  <c r="AR8" i="17"/>
  <c r="AS8" i="17"/>
  <c r="AA9" i="17"/>
  <c r="X9" i="17"/>
  <c r="AF9" i="17"/>
  <c r="AC9" i="17"/>
  <c r="AK9" i="17"/>
  <c r="AH9" i="17"/>
  <c r="AP9" i="17"/>
  <c r="AM9" i="17"/>
  <c r="AR9" i="17"/>
  <c r="AS9" i="17"/>
  <c r="AA10" i="17"/>
  <c r="X10" i="17"/>
  <c r="AF10" i="17"/>
  <c r="AC10" i="17"/>
  <c r="AK10" i="17"/>
  <c r="AH10" i="17"/>
  <c r="AP10" i="17"/>
  <c r="AM10" i="17"/>
  <c r="AR10" i="17"/>
  <c r="AS10" i="17"/>
  <c r="AA11" i="17"/>
  <c r="X11" i="17"/>
  <c r="AF11" i="17"/>
  <c r="AC11" i="17"/>
  <c r="AK11" i="17"/>
  <c r="AH11" i="17"/>
  <c r="AP11" i="17"/>
  <c r="AM11" i="17"/>
  <c r="AR11" i="17"/>
  <c r="AS11" i="17"/>
  <c r="AA12" i="17"/>
  <c r="X12" i="17"/>
  <c r="AF12" i="17"/>
  <c r="AC12" i="17"/>
  <c r="AK12" i="17"/>
  <c r="AH12" i="17"/>
  <c r="AP12" i="17"/>
  <c r="AM12" i="17"/>
  <c r="AR12" i="17"/>
  <c r="AS12" i="17"/>
  <c r="X27" i="6"/>
  <c r="X26" i="6"/>
  <c r="X25" i="6"/>
  <c r="X24" i="6"/>
  <c r="X23" i="6"/>
  <c r="O3" i="3"/>
  <c r="P3" i="3"/>
  <c r="Q3" i="3"/>
  <c r="R3" i="3"/>
  <c r="S3" i="3"/>
  <c r="T3" i="3"/>
  <c r="U3" i="3"/>
  <c r="V3" i="3"/>
  <c r="O4" i="3"/>
  <c r="P4" i="3"/>
  <c r="Q4" i="3"/>
  <c r="R4" i="3"/>
  <c r="W3" i="3"/>
  <c r="W4" i="3"/>
  <c r="Y4" i="3"/>
  <c r="W5" i="3"/>
  <c r="Y5" i="3"/>
  <c r="W6" i="3"/>
  <c r="Y6" i="3"/>
  <c r="W7" i="3"/>
  <c r="Y7" i="3"/>
  <c r="W8" i="3"/>
  <c r="Y8" i="3"/>
  <c r="W9" i="3"/>
  <c r="Y9" i="3"/>
  <c r="W10" i="3"/>
  <c r="Y10" i="3"/>
  <c r="W11" i="3"/>
  <c r="Y11" i="3"/>
  <c r="W12" i="3"/>
  <c r="Y12" i="3"/>
  <c r="Z4" i="3"/>
  <c r="Z5" i="3"/>
  <c r="Z6" i="3"/>
  <c r="Z7" i="3"/>
  <c r="Z8" i="3"/>
  <c r="Z9" i="3"/>
  <c r="Z10" i="3"/>
  <c r="Z11" i="3"/>
  <c r="Z12" i="3"/>
  <c r="AA4" i="3"/>
  <c r="X4" i="3"/>
  <c r="AB3" i="3"/>
  <c r="AB4" i="3"/>
  <c r="AD4" i="3"/>
  <c r="AB5" i="3"/>
  <c r="AD5" i="3"/>
  <c r="AB6" i="3"/>
  <c r="AD6" i="3"/>
  <c r="AB7" i="3"/>
  <c r="AD7" i="3"/>
  <c r="AB8" i="3"/>
  <c r="AD8" i="3"/>
  <c r="AB9" i="3"/>
  <c r="AD9" i="3"/>
  <c r="AB10" i="3"/>
  <c r="AD10" i="3"/>
  <c r="AB11" i="3"/>
  <c r="AD11" i="3"/>
  <c r="AB12" i="3"/>
  <c r="AD12" i="3"/>
  <c r="AE4" i="3"/>
  <c r="AE5" i="3"/>
  <c r="AE6" i="3"/>
  <c r="AE7" i="3"/>
  <c r="AE8" i="3"/>
  <c r="AE9" i="3"/>
  <c r="AE10" i="3"/>
  <c r="AE11" i="3"/>
  <c r="AE12" i="3"/>
  <c r="AF4" i="3"/>
  <c r="AC4" i="3"/>
  <c r="AG3" i="3"/>
  <c r="AG4" i="3"/>
  <c r="AI4" i="3"/>
  <c r="AG5" i="3"/>
  <c r="AI5" i="3"/>
  <c r="AG6" i="3"/>
  <c r="AI6" i="3"/>
  <c r="AG7" i="3"/>
  <c r="AI7" i="3"/>
  <c r="AG8" i="3"/>
  <c r="AI8" i="3"/>
  <c r="AG9" i="3"/>
  <c r="AI9" i="3"/>
  <c r="AG10" i="3"/>
  <c r="AI10" i="3"/>
  <c r="AG11" i="3"/>
  <c r="AI11" i="3"/>
  <c r="AG12" i="3"/>
  <c r="AI12" i="3"/>
  <c r="AJ4" i="3"/>
  <c r="AJ5" i="3"/>
  <c r="AJ6" i="3"/>
  <c r="AJ7" i="3"/>
  <c r="AJ8" i="3"/>
  <c r="AJ9" i="3"/>
  <c r="AJ10" i="3"/>
  <c r="AJ11" i="3"/>
  <c r="AJ12" i="3"/>
  <c r="AK4" i="3"/>
  <c r="AH4" i="3"/>
  <c r="AL3" i="3"/>
  <c r="AL4" i="3"/>
  <c r="AN4" i="3"/>
  <c r="AL5" i="3"/>
  <c r="AN5" i="3"/>
  <c r="AL6" i="3"/>
  <c r="AN6" i="3"/>
  <c r="AL7" i="3"/>
  <c r="AN7" i="3"/>
  <c r="AL8" i="3"/>
  <c r="AN8" i="3"/>
  <c r="AL9" i="3"/>
  <c r="AN9" i="3"/>
  <c r="AL10" i="3"/>
  <c r="AN10" i="3"/>
  <c r="AL11" i="3"/>
  <c r="AN11" i="3"/>
  <c r="AL12" i="3"/>
  <c r="AN12" i="3"/>
  <c r="AO4" i="3"/>
  <c r="AO5" i="3"/>
  <c r="AO6" i="3"/>
  <c r="AO7" i="3"/>
  <c r="AO8" i="3"/>
  <c r="AO9" i="3"/>
  <c r="AO10" i="3"/>
  <c r="AO11" i="3"/>
  <c r="AO12" i="3"/>
  <c r="AP4" i="3"/>
  <c r="AM4" i="3"/>
  <c r="AR4" i="3"/>
  <c r="AS4" i="3"/>
  <c r="AA5" i="3"/>
  <c r="X5" i="3"/>
  <c r="AF5" i="3"/>
  <c r="AC5" i="3"/>
  <c r="AK5" i="3"/>
  <c r="AH5" i="3"/>
  <c r="AP5" i="3"/>
  <c r="AM5" i="3"/>
  <c r="AR5" i="3"/>
  <c r="AS5" i="3"/>
  <c r="AA6" i="3"/>
  <c r="X6" i="3"/>
  <c r="AF6" i="3"/>
  <c r="AC6" i="3"/>
  <c r="AK6" i="3"/>
  <c r="AH6" i="3"/>
  <c r="AP6" i="3"/>
  <c r="AM6" i="3"/>
  <c r="AR6" i="3"/>
  <c r="AS6" i="3"/>
  <c r="AA7" i="3"/>
  <c r="X7" i="3"/>
  <c r="AF7" i="3"/>
  <c r="AC7" i="3"/>
  <c r="AK7" i="3"/>
  <c r="AH7" i="3"/>
  <c r="AP7" i="3"/>
  <c r="AM7" i="3"/>
  <c r="AR7" i="3"/>
  <c r="AS7" i="3"/>
  <c r="AA8" i="3"/>
  <c r="X8" i="3"/>
  <c r="AF8" i="3"/>
  <c r="AC8" i="3"/>
  <c r="AK8" i="3"/>
  <c r="AH8" i="3"/>
  <c r="AP8" i="3"/>
  <c r="AM8" i="3"/>
  <c r="AR8" i="3"/>
  <c r="AS8" i="3"/>
  <c r="AA9" i="3"/>
  <c r="X9" i="3"/>
  <c r="AF9" i="3"/>
  <c r="AC9" i="3"/>
  <c r="AK9" i="3"/>
  <c r="AH9" i="3"/>
  <c r="AP9" i="3"/>
  <c r="AM9" i="3"/>
  <c r="AR9" i="3"/>
  <c r="AS9" i="3"/>
  <c r="AA10" i="3"/>
  <c r="X10" i="3"/>
  <c r="AF10" i="3"/>
  <c r="AC10" i="3"/>
  <c r="AK10" i="3"/>
  <c r="AH10" i="3"/>
  <c r="AP10" i="3"/>
  <c r="AM10" i="3"/>
  <c r="AR10" i="3"/>
  <c r="AS10" i="3"/>
  <c r="AA11" i="3"/>
  <c r="X11" i="3"/>
  <c r="AF11" i="3"/>
  <c r="AC11" i="3"/>
  <c r="AK11" i="3"/>
  <c r="AH11" i="3"/>
  <c r="AP11" i="3"/>
  <c r="AM11" i="3"/>
  <c r="AR11" i="3"/>
  <c r="AS11" i="3"/>
  <c r="AA12" i="3"/>
  <c r="X12" i="3"/>
  <c r="AF12" i="3"/>
  <c r="AC12" i="3"/>
  <c r="AK12" i="3"/>
  <c r="AH12" i="3"/>
  <c r="AP12" i="3"/>
  <c r="AM12" i="3"/>
  <c r="AR12" i="3"/>
  <c r="AS12" i="3"/>
  <c r="X17" i="6"/>
  <c r="X16" i="6"/>
  <c r="X15" i="6"/>
  <c r="X14" i="6"/>
  <c r="X13" i="6"/>
  <c r="X22" i="6"/>
  <c r="X12" i="6"/>
  <c r="W27" i="6"/>
  <c r="W26" i="6"/>
  <c r="W25" i="6"/>
  <c r="W24" i="6"/>
  <c r="W23" i="6"/>
  <c r="W22" i="6"/>
  <c r="W17" i="6"/>
  <c r="W16" i="6"/>
  <c r="W15" i="6"/>
  <c r="W14" i="6"/>
  <c r="W13" i="6"/>
  <c r="W12" i="6"/>
  <c r="AN12" i="6"/>
  <c r="AP12" i="6"/>
  <c r="Y17" i="3"/>
  <c r="AN13" i="6"/>
  <c r="AP13" i="6"/>
  <c r="Y18" i="3"/>
  <c r="AN14" i="6"/>
  <c r="AP14" i="6"/>
  <c r="Y19" i="3"/>
  <c r="AN15" i="6"/>
  <c r="AP15" i="6"/>
  <c r="Y20" i="3"/>
  <c r="AN16" i="6"/>
  <c r="AP16" i="6"/>
  <c r="Y21" i="3"/>
  <c r="AN17" i="6"/>
  <c r="AP17" i="6"/>
  <c r="Y22" i="3"/>
  <c r="Q17" i="6"/>
  <c r="G12" i="21"/>
  <c r="AN22" i="6"/>
  <c r="AP22" i="6"/>
  <c r="Y17" i="17"/>
  <c r="AN23" i="6"/>
  <c r="AP23" i="6"/>
  <c r="Y18" i="17"/>
  <c r="AN24" i="6"/>
  <c r="AP24" i="6"/>
  <c r="Y19" i="17"/>
  <c r="AN25" i="6"/>
  <c r="AP25" i="6"/>
  <c r="Y20" i="17"/>
  <c r="AN26" i="6"/>
  <c r="AP26" i="6"/>
  <c r="Y21" i="17"/>
  <c r="AN27" i="6"/>
  <c r="AP27" i="6"/>
  <c r="Y22" i="17"/>
  <c r="Q27" i="6"/>
  <c r="I12" i="21"/>
  <c r="Y12" i="21"/>
  <c r="AB12" i="21"/>
  <c r="AA12" i="21"/>
  <c r="Z12" i="21"/>
  <c r="W12" i="21"/>
  <c r="V12" i="21"/>
  <c r="G7" i="14"/>
  <c r="AC25" i="27"/>
  <c r="AC18" i="27"/>
  <c r="AC11" i="27"/>
  <c r="X16" i="26"/>
  <c r="Z16" i="26"/>
  <c r="Q12" i="6"/>
  <c r="G12" i="26"/>
  <c r="Q23" i="6"/>
  <c r="I12" i="26"/>
  <c r="Y12" i="26"/>
  <c r="AA12" i="26"/>
  <c r="AB12" i="26"/>
  <c r="V12" i="26"/>
  <c r="G16" i="26"/>
  <c r="Q22" i="6"/>
  <c r="G13" i="26"/>
  <c r="Q13" i="6"/>
  <c r="I13" i="26"/>
  <c r="Y13" i="26"/>
  <c r="AA13" i="26"/>
  <c r="AB13" i="26"/>
  <c r="V13" i="26"/>
  <c r="I16" i="26"/>
  <c r="Y16" i="26"/>
  <c r="AB16" i="26"/>
  <c r="AA16" i="26"/>
  <c r="W16" i="26"/>
  <c r="V16" i="26"/>
  <c r="X15" i="26"/>
  <c r="Z15" i="26"/>
  <c r="W12" i="26"/>
  <c r="G15" i="26"/>
  <c r="W13" i="26"/>
  <c r="I15" i="26"/>
  <c r="Y15" i="26"/>
  <c r="AB15" i="26"/>
  <c r="AA15" i="26"/>
  <c r="W15" i="26"/>
  <c r="V15" i="26"/>
  <c r="X13" i="26"/>
  <c r="Z13" i="26"/>
  <c r="X12" i="26"/>
  <c r="Z12" i="26"/>
  <c r="X21" i="24"/>
  <c r="Z21" i="24"/>
  <c r="X17" i="24"/>
  <c r="Z17" i="24"/>
  <c r="G17" i="24"/>
  <c r="I17" i="24"/>
  <c r="Y17" i="24"/>
  <c r="AA17" i="24"/>
  <c r="AB17" i="24"/>
  <c r="V17" i="24"/>
  <c r="G21" i="24"/>
  <c r="X18" i="24"/>
  <c r="Z18" i="24"/>
  <c r="G18" i="24"/>
  <c r="I18" i="24"/>
  <c r="Y18" i="24"/>
  <c r="AA18" i="24"/>
  <c r="AB18" i="24"/>
  <c r="V18" i="24"/>
  <c r="I21" i="24"/>
  <c r="Y21" i="24"/>
  <c r="AB21" i="24"/>
  <c r="AA21" i="24"/>
  <c r="W21" i="24"/>
  <c r="V21" i="24"/>
  <c r="X20" i="24"/>
  <c r="Z20" i="24"/>
  <c r="W17" i="24"/>
  <c r="G20" i="24"/>
  <c r="W18" i="24"/>
  <c r="I20" i="24"/>
  <c r="Y20" i="24"/>
  <c r="AB20" i="24"/>
  <c r="AA20" i="24"/>
  <c r="W20" i="24"/>
  <c r="V20" i="24"/>
  <c r="X15" i="24"/>
  <c r="Z15" i="24"/>
  <c r="Q14" i="6"/>
  <c r="G15" i="24"/>
  <c r="Q24" i="6"/>
  <c r="I15" i="24"/>
  <c r="Y15" i="24"/>
  <c r="AB15" i="24"/>
  <c r="AA15" i="24"/>
  <c r="W15" i="24"/>
  <c r="V15" i="24"/>
  <c r="X14" i="24"/>
  <c r="Z14" i="24"/>
  <c r="Q15" i="6"/>
  <c r="G14" i="24"/>
  <c r="Q25" i="6"/>
  <c r="I14" i="24"/>
  <c r="Y14" i="24"/>
  <c r="AB14" i="24"/>
  <c r="AA14" i="24"/>
  <c r="W14" i="24"/>
  <c r="V14" i="24"/>
  <c r="X13" i="24"/>
  <c r="Z13" i="24"/>
  <c r="Q16" i="6"/>
  <c r="G13" i="24"/>
  <c r="Q26" i="6"/>
  <c r="I13" i="24"/>
  <c r="Y13" i="24"/>
  <c r="AB13" i="24"/>
  <c r="AA13" i="24"/>
  <c r="W13" i="24"/>
  <c r="V13" i="24"/>
  <c r="X12" i="24"/>
  <c r="Z12" i="24"/>
  <c r="G12" i="24"/>
  <c r="I12" i="24"/>
  <c r="Y12" i="24"/>
  <c r="AB12" i="24"/>
  <c r="AA12" i="24"/>
  <c r="W12" i="24"/>
  <c r="V12" i="24"/>
  <c r="Z13" i="21"/>
  <c r="X14" i="21"/>
  <c r="Z14" i="21"/>
  <c r="X15" i="21"/>
  <c r="Z15" i="21"/>
  <c r="Z16" i="21"/>
  <c r="X17" i="21"/>
  <c r="Z17" i="21"/>
  <c r="G13" i="21"/>
  <c r="I13" i="21"/>
  <c r="Y13" i="21"/>
  <c r="AA13" i="21"/>
  <c r="AB13" i="21"/>
  <c r="V13" i="21"/>
  <c r="W13" i="21"/>
  <c r="G14" i="21"/>
  <c r="I14" i="21"/>
  <c r="Y14" i="21"/>
  <c r="AA14" i="21"/>
  <c r="AB14" i="21"/>
  <c r="V14" i="21"/>
  <c r="W14" i="21"/>
  <c r="G15" i="21"/>
  <c r="I15" i="21"/>
  <c r="Y15" i="21"/>
  <c r="AA15" i="21"/>
  <c r="AB15" i="21"/>
  <c r="V15" i="21"/>
  <c r="W15" i="21"/>
  <c r="G16" i="21"/>
  <c r="I16" i="21"/>
  <c r="Y16" i="21"/>
  <c r="AA16" i="21"/>
  <c r="AB16" i="21"/>
  <c r="V16" i="21"/>
  <c r="W16" i="21"/>
  <c r="G17" i="21"/>
  <c r="I17" i="21"/>
  <c r="Y17" i="21"/>
  <c r="AA17" i="21"/>
  <c r="AB17" i="21"/>
  <c r="V17" i="21"/>
  <c r="W17" i="21"/>
  <c r="AH12" i="27"/>
  <c r="I29" i="27"/>
  <c r="AH13" i="27"/>
  <c r="K29" i="27"/>
  <c r="AA81" i="30"/>
  <c r="AH19" i="27"/>
  <c r="I28" i="27"/>
  <c r="AH20" i="27"/>
  <c r="K28" i="27"/>
  <c r="AA80" i="30"/>
  <c r="AH26" i="27"/>
  <c r="I27" i="27"/>
  <c r="AH27" i="27"/>
  <c r="K27" i="27"/>
  <c r="AA79" i="30"/>
  <c r="AH14" i="27"/>
  <c r="I26" i="27"/>
  <c r="AH15" i="27"/>
  <c r="K26" i="27"/>
  <c r="AA78" i="30"/>
  <c r="AH21" i="27"/>
  <c r="I25" i="27"/>
  <c r="AH22" i="27"/>
  <c r="K25" i="27"/>
  <c r="AA77" i="30"/>
  <c r="AH28" i="27"/>
  <c r="I24" i="27"/>
  <c r="AH29" i="27"/>
  <c r="K24" i="27"/>
  <c r="AA76" i="30"/>
  <c r="I23" i="27"/>
  <c r="K23" i="27"/>
  <c r="AA75" i="30"/>
  <c r="I22" i="27"/>
  <c r="K22" i="27"/>
  <c r="AA74" i="30"/>
  <c r="I21" i="27"/>
  <c r="K21" i="27"/>
  <c r="AA73" i="30"/>
  <c r="I20" i="27"/>
  <c r="K20" i="27"/>
  <c r="AA72" i="30"/>
  <c r="I19" i="27"/>
  <c r="K19" i="27"/>
  <c r="AA71" i="30"/>
  <c r="I18" i="27"/>
  <c r="K18" i="27"/>
  <c r="AA70" i="30"/>
  <c r="I17" i="27"/>
  <c r="K17" i="27"/>
  <c r="AA69" i="30"/>
  <c r="I16" i="27"/>
  <c r="K16" i="27"/>
  <c r="AA68" i="30"/>
  <c r="I15" i="27"/>
  <c r="K15" i="27"/>
  <c r="AA67" i="30"/>
  <c r="I14" i="27"/>
  <c r="K14" i="27"/>
  <c r="AA66" i="30"/>
  <c r="I13" i="27"/>
  <c r="K13" i="27"/>
  <c r="AA65" i="30"/>
  <c r="I12" i="27"/>
  <c r="K12" i="27"/>
  <c r="AA64" i="30"/>
  <c r="AA81" i="29"/>
  <c r="AA80" i="29"/>
  <c r="AA79" i="29"/>
  <c r="AA78" i="29"/>
  <c r="AA77" i="29"/>
  <c r="AA76" i="29"/>
  <c r="AA75" i="29"/>
  <c r="AA74" i="29"/>
  <c r="AA73" i="29"/>
  <c r="AA72" i="29"/>
  <c r="AA71" i="29"/>
  <c r="AA70" i="29"/>
  <c r="AA69" i="29"/>
  <c r="AA68" i="29"/>
  <c r="AA67" i="29"/>
  <c r="AA66" i="29"/>
  <c r="AA65" i="29"/>
  <c r="AA64" i="29"/>
  <c r="AA81" i="28"/>
  <c r="AA80" i="28"/>
  <c r="AA79" i="28"/>
  <c r="AA78" i="28"/>
  <c r="AA77" i="28"/>
  <c r="AA76" i="28"/>
  <c r="AA75" i="28"/>
  <c r="AA74" i="28"/>
  <c r="AA73" i="28"/>
  <c r="AA72" i="28"/>
  <c r="AA71" i="28"/>
  <c r="AA70" i="28"/>
  <c r="AA69" i="28"/>
  <c r="AA68" i="28"/>
  <c r="AA67" i="28"/>
  <c r="AA66" i="28"/>
  <c r="AA65" i="28"/>
  <c r="AA64" i="28"/>
  <c r="V64" i="30"/>
  <c r="AE64" i="30"/>
  <c r="V65" i="30"/>
  <c r="X65" i="30"/>
  <c r="Y65" i="30"/>
  <c r="AG65" i="30"/>
  <c r="AH65" i="30"/>
  <c r="AE65" i="30"/>
  <c r="V66" i="30"/>
  <c r="V67" i="30"/>
  <c r="V68" i="30"/>
  <c r="V69" i="30"/>
  <c r="V70" i="30"/>
  <c r="V71" i="30"/>
  <c r="V72" i="30"/>
  <c r="V73" i="30"/>
  <c r="V74" i="30"/>
  <c r="V75" i="30"/>
  <c r="V76" i="30"/>
  <c r="V77" i="30"/>
  <c r="V78" i="30"/>
  <c r="V79" i="30"/>
  <c r="V80" i="30"/>
  <c r="V81" i="30"/>
  <c r="X66" i="30"/>
  <c r="Y66" i="30"/>
  <c r="AG66" i="30"/>
  <c r="AH66" i="30"/>
  <c r="AE66" i="30"/>
  <c r="AE67" i="30"/>
  <c r="X68" i="30"/>
  <c r="Y68" i="30"/>
  <c r="AG68" i="30"/>
  <c r="AH68" i="30"/>
  <c r="AE68" i="30"/>
  <c r="X69" i="30"/>
  <c r="Y69" i="30"/>
  <c r="AG69" i="30"/>
  <c r="AH69" i="30"/>
  <c r="AE69" i="30"/>
  <c r="AE70" i="30"/>
  <c r="X71" i="30"/>
  <c r="Y71" i="30"/>
  <c r="AG71" i="30"/>
  <c r="AH71" i="30"/>
  <c r="AE71" i="30"/>
  <c r="X72" i="30"/>
  <c r="Y72" i="30"/>
  <c r="AG72" i="30"/>
  <c r="AH72" i="30"/>
  <c r="AE72" i="30"/>
  <c r="AE73" i="30"/>
  <c r="X74" i="30"/>
  <c r="Y74" i="30"/>
  <c r="AG74" i="30"/>
  <c r="AH74" i="30"/>
  <c r="AE74" i="30"/>
  <c r="X75" i="30"/>
  <c r="Y75" i="30"/>
  <c r="AG75" i="30"/>
  <c r="AH75" i="30"/>
  <c r="AE75" i="30"/>
  <c r="AE76" i="30"/>
  <c r="X77" i="30"/>
  <c r="Y77" i="30"/>
  <c r="AG77" i="30"/>
  <c r="AH77" i="30"/>
  <c r="AE77" i="30"/>
  <c r="X78" i="30"/>
  <c r="Y78" i="30"/>
  <c r="AG78" i="30"/>
  <c r="AH78" i="30"/>
  <c r="AE78" i="30"/>
  <c r="X79" i="30"/>
  <c r="Y79" i="30"/>
  <c r="AG79" i="30"/>
  <c r="AH79" i="30"/>
  <c r="AE79" i="30"/>
  <c r="X80" i="30"/>
  <c r="Y80" i="30"/>
  <c r="AG80" i="30"/>
  <c r="AH80" i="30"/>
  <c r="AE80" i="30"/>
  <c r="X81" i="30"/>
  <c r="Y81" i="30"/>
  <c r="AG81" i="30"/>
  <c r="AH81" i="30"/>
  <c r="AE81" i="30"/>
  <c r="W64" i="30"/>
  <c r="W65" i="30"/>
  <c r="W66" i="30"/>
  <c r="W67" i="30"/>
  <c r="W68" i="30"/>
  <c r="W69" i="30"/>
  <c r="W70" i="30"/>
  <c r="W71" i="30"/>
  <c r="W72" i="30"/>
  <c r="W73" i="30"/>
  <c r="W74" i="30"/>
  <c r="W75" i="30"/>
  <c r="W76" i="30"/>
  <c r="W77" i="30"/>
  <c r="W78" i="30"/>
  <c r="W79" i="30"/>
  <c r="W80" i="30"/>
  <c r="W81" i="30"/>
  <c r="AF64" i="30"/>
  <c r="AF65" i="30"/>
  <c r="AF66" i="30"/>
  <c r="AF67" i="30"/>
  <c r="AF68" i="30"/>
  <c r="AF69" i="30"/>
  <c r="AF70" i="30"/>
  <c r="AF71" i="30"/>
  <c r="AF72" i="30"/>
  <c r="AF73" i="30"/>
  <c r="AF74" i="30"/>
  <c r="AF75" i="30"/>
  <c r="AF76" i="30"/>
  <c r="AF77" i="30"/>
  <c r="AF78" i="30"/>
  <c r="AF79" i="30"/>
  <c r="AF80" i="30"/>
  <c r="AF81" i="30"/>
  <c r="J12" i="30"/>
  <c r="J11" i="30"/>
  <c r="J10" i="30"/>
  <c r="J9" i="30"/>
  <c r="J8" i="30"/>
  <c r="Q67" i="30"/>
  <c r="F7" i="30"/>
  <c r="J7" i="30"/>
  <c r="Q66" i="30"/>
  <c r="F6" i="30"/>
  <c r="J6" i="30"/>
  <c r="Q65" i="30"/>
  <c r="F5" i="30"/>
  <c r="J5" i="30"/>
  <c r="Q64" i="30"/>
  <c r="F4" i="30"/>
  <c r="J4" i="30"/>
  <c r="V64" i="29"/>
  <c r="AE64" i="29"/>
  <c r="V65" i="29"/>
  <c r="X65" i="29"/>
  <c r="Y65" i="29"/>
  <c r="AG65" i="29"/>
  <c r="AH65" i="29"/>
  <c r="AE65" i="29"/>
  <c r="V66" i="29"/>
  <c r="V67" i="29"/>
  <c r="V68" i="29"/>
  <c r="V69" i="29"/>
  <c r="V70" i="29"/>
  <c r="V71" i="29"/>
  <c r="V72" i="29"/>
  <c r="V73" i="29"/>
  <c r="V74" i="29"/>
  <c r="V75" i="29"/>
  <c r="V76" i="29"/>
  <c r="V77" i="29"/>
  <c r="V78" i="29"/>
  <c r="V79" i="29"/>
  <c r="V80" i="29"/>
  <c r="V81" i="29"/>
  <c r="X66" i="29"/>
  <c r="Y66" i="29"/>
  <c r="AG66" i="29"/>
  <c r="AH66" i="29"/>
  <c r="AE66" i="29"/>
  <c r="AE67" i="29"/>
  <c r="X68" i="29"/>
  <c r="Y68" i="29"/>
  <c r="AG68" i="29"/>
  <c r="AH68" i="29"/>
  <c r="AE68" i="29"/>
  <c r="X69" i="29"/>
  <c r="Y69" i="29"/>
  <c r="AG69" i="29"/>
  <c r="AH69" i="29"/>
  <c r="AE69" i="29"/>
  <c r="AE70" i="29"/>
  <c r="X71" i="29"/>
  <c r="Y71" i="29"/>
  <c r="AG71" i="29"/>
  <c r="AH71" i="29"/>
  <c r="AE71" i="29"/>
  <c r="X72" i="29"/>
  <c r="Y72" i="29"/>
  <c r="AG72" i="29"/>
  <c r="AH72" i="29"/>
  <c r="AE72" i="29"/>
  <c r="AE73" i="29"/>
  <c r="X74" i="29"/>
  <c r="Y74" i="29"/>
  <c r="AG74" i="29"/>
  <c r="AH74" i="29"/>
  <c r="AE74" i="29"/>
  <c r="X75" i="29"/>
  <c r="Y75" i="29"/>
  <c r="AG75" i="29"/>
  <c r="AH75" i="29"/>
  <c r="AE75" i="29"/>
  <c r="AE76" i="29"/>
  <c r="X77" i="29"/>
  <c r="Y77" i="29"/>
  <c r="AG77" i="29"/>
  <c r="AH77" i="29"/>
  <c r="AE77" i="29"/>
  <c r="X78" i="29"/>
  <c r="Y78" i="29"/>
  <c r="AG78" i="29"/>
  <c r="AH78" i="29"/>
  <c r="AE78" i="29"/>
  <c r="X79" i="29"/>
  <c r="Y79" i="29"/>
  <c r="AG79" i="29"/>
  <c r="AH79" i="29"/>
  <c r="AE79" i="29"/>
  <c r="X80" i="29"/>
  <c r="Y80" i="29"/>
  <c r="AG80" i="29"/>
  <c r="AH80" i="29"/>
  <c r="AE80" i="29"/>
  <c r="X81" i="29"/>
  <c r="Y81" i="29"/>
  <c r="AG81" i="29"/>
  <c r="AH81" i="29"/>
  <c r="AE81" i="29"/>
  <c r="W64" i="29"/>
  <c r="W65" i="29"/>
  <c r="W66" i="29"/>
  <c r="W67" i="29"/>
  <c r="W68" i="29"/>
  <c r="W69" i="29"/>
  <c r="W70" i="29"/>
  <c r="W71" i="29"/>
  <c r="W72" i="29"/>
  <c r="W73" i="29"/>
  <c r="W74" i="29"/>
  <c r="W75" i="29"/>
  <c r="W76" i="29"/>
  <c r="W77" i="29"/>
  <c r="W78" i="29"/>
  <c r="W79" i="29"/>
  <c r="W80" i="29"/>
  <c r="W81" i="29"/>
  <c r="AF64" i="29"/>
  <c r="AF65" i="29"/>
  <c r="AF66" i="29"/>
  <c r="AF67" i="29"/>
  <c r="AF68" i="29"/>
  <c r="AF69" i="29"/>
  <c r="AF70" i="29"/>
  <c r="AF71" i="29"/>
  <c r="AF72" i="29"/>
  <c r="AF73" i="29"/>
  <c r="AF74" i="29"/>
  <c r="AF75" i="29"/>
  <c r="AF76" i="29"/>
  <c r="AF77" i="29"/>
  <c r="AF78" i="29"/>
  <c r="AF79" i="29"/>
  <c r="AF80" i="29"/>
  <c r="AF81" i="29"/>
  <c r="J12" i="29"/>
  <c r="J11" i="29"/>
  <c r="J10" i="29"/>
  <c r="J9" i="29"/>
  <c r="J8" i="29"/>
  <c r="Q67" i="29"/>
  <c r="F7" i="29"/>
  <c r="J7" i="29"/>
  <c r="Q66" i="29"/>
  <c r="F6" i="29"/>
  <c r="J6" i="29"/>
  <c r="Q65" i="29"/>
  <c r="F5" i="29"/>
  <c r="J5" i="29"/>
  <c r="Q64" i="29"/>
  <c r="F4" i="29"/>
  <c r="J4" i="29"/>
  <c r="AB81" i="30"/>
  <c r="AB80" i="30"/>
  <c r="AB79" i="30"/>
  <c r="AB78" i="30"/>
  <c r="AB77" i="30"/>
  <c r="AB76" i="30"/>
  <c r="AB75" i="30"/>
  <c r="AB74" i="30"/>
  <c r="AB73" i="30"/>
  <c r="AB72" i="30"/>
  <c r="AB71" i="30"/>
  <c r="AB70" i="30"/>
  <c r="AB69" i="30"/>
  <c r="AB68" i="30"/>
  <c r="AB67" i="30"/>
  <c r="AB66" i="30"/>
  <c r="AB65" i="30"/>
  <c r="AB64" i="30"/>
  <c r="AB81" i="29"/>
  <c r="AB80" i="29"/>
  <c r="AB79" i="29"/>
  <c r="AB78" i="29"/>
  <c r="AB77" i="29"/>
  <c r="AB76" i="29"/>
  <c r="AB75" i="29"/>
  <c r="AB74" i="29"/>
  <c r="AB73" i="29"/>
  <c r="AB72" i="29"/>
  <c r="AB71" i="29"/>
  <c r="AB70" i="29"/>
  <c r="AB69" i="29"/>
  <c r="AB68" i="29"/>
  <c r="AB67" i="29"/>
  <c r="AB66" i="29"/>
  <c r="AB65" i="29"/>
  <c r="AB64" i="29"/>
  <c r="V64" i="28"/>
  <c r="AE64" i="28"/>
  <c r="V65" i="28"/>
  <c r="X65" i="28"/>
  <c r="Y65" i="28"/>
  <c r="AG65" i="28"/>
  <c r="AH65" i="28"/>
  <c r="AE65" i="28"/>
  <c r="V66" i="28"/>
  <c r="V67" i="28"/>
  <c r="V68" i="28"/>
  <c r="V69" i="28"/>
  <c r="V70" i="28"/>
  <c r="V71" i="28"/>
  <c r="V72" i="28"/>
  <c r="V73" i="28"/>
  <c r="V74" i="28"/>
  <c r="V75" i="28"/>
  <c r="V76" i="28"/>
  <c r="V77" i="28"/>
  <c r="V78" i="28"/>
  <c r="V79" i="28"/>
  <c r="V80" i="28"/>
  <c r="V81" i="28"/>
  <c r="X66" i="28"/>
  <c r="Y66" i="28"/>
  <c r="AG66" i="28"/>
  <c r="AH66" i="28"/>
  <c r="AE66" i="28"/>
  <c r="AE67" i="28"/>
  <c r="X68" i="28"/>
  <c r="Y68" i="28"/>
  <c r="AG68" i="28"/>
  <c r="AH68" i="28"/>
  <c r="AE68" i="28"/>
  <c r="X69" i="28"/>
  <c r="Y69" i="28"/>
  <c r="AG69" i="28"/>
  <c r="AH69" i="28"/>
  <c r="AE69" i="28"/>
  <c r="AE70" i="28"/>
  <c r="X71" i="28"/>
  <c r="Y71" i="28"/>
  <c r="AG71" i="28"/>
  <c r="AH71" i="28"/>
  <c r="AE71" i="28"/>
  <c r="X72" i="28"/>
  <c r="Y72" i="28"/>
  <c r="AG72" i="28"/>
  <c r="AH72" i="28"/>
  <c r="AE72" i="28"/>
  <c r="AE73" i="28"/>
  <c r="X74" i="28"/>
  <c r="Y74" i="28"/>
  <c r="AG74" i="28"/>
  <c r="AH74" i="28"/>
  <c r="AE74" i="28"/>
  <c r="X75" i="28"/>
  <c r="Y75" i="28"/>
  <c r="AG75" i="28"/>
  <c r="AH75" i="28"/>
  <c r="AE75" i="28"/>
  <c r="AE76" i="28"/>
  <c r="X77" i="28"/>
  <c r="Y77" i="28"/>
  <c r="AG77" i="28"/>
  <c r="AH77" i="28"/>
  <c r="AE77" i="28"/>
  <c r="X78" i="28"/>
  <c r="Y78" i="28"/>
  <c r="AG78" i="28"/>
  <c r="AH78" i="28"/>
  <c r="AE78" i="28"/>
  <c r="X79" i="28"/>
  <c r="Y79" i="28"/>
  <c r="AG79" i="28"/>
  <c r="AH79" i="28"/>
  <c r="AE79" i="28"/>
  <c r="X80" i="28"/>
  <c r="Y80" i="28"/>
  <c r="AG80" i="28"/>
  <c r="AH80" i="28"/>
  <c r="AE80" i="28"/>
  <c r="X81" i="28"/>
  <c r="Y81" i="28"/>
  <c r="AG81" i="28"/>
  <c r="AH81" i="28"/>
  <c r="AE81" i="28"/>
  <c r="W64" i="28"/>
  <c r="W65" i="28"/>
  <c r="W66" i="28"/>
  <c r="W67" i="28"/>
  <c r="W68" i="28"/>
  <c r="W69" i="28"/>
  <c r="W70" i="28"/>
  <c r="W71" i="28"/>
  <c r="W72" i="28"/>
  <c r="W73" i="28"/>
  <c r="W74" i="28"/>
  <c r="W75" i="28"/>
  <c r="W76" i="28"/>
  <c r="W77" i="28"/>
  <c r="W78" i="28"/>
  <c r="W79" i="28"/>
  <c r="W80" i="28"/>
  <c r="W81" i="28"/>
  <c r="AF64" i="28"/>
  <c r="AF65" i="28"/>
  <c r="AF66" i="28"/>
  <c r="AF67" i="28"/>
  <c r="AF68" i="28"/>
  <c r="AF69" i="28"/>
  <c r="AF70" i="28"/>
  <c r="AF71" i="28"/>
  <c r="AF72" i="28"/>
  <c r="AF73" i="28"/>
  <c r="AF74" i="28"/>
  <c r="AF75" i="28"/>
  <c r="AF76" i="28"/>
  <c r="AF77" i="28"/>
  <c r="AF78" i="28"/>
  <c r="AF79" i="28"/>
  <c r="AF80" i="28"/>
  <c r="AF81" i="28"/>
  <c r="J12" i="28"/>
  <c r="J11" i="28"/>
  <c r="J10" i="28"/>
  <c r="J9" i="28"/>
  <c r="J8" i="28"/>
  <c r="Q67" i="28"/>
  <c r="F7" i="28"/>
  <c r="J7" i="28"/>
  <c r="Q66" i="28"/>
  <c r="F6" i="28"/>
  <c r="J6" i="28"/>
  <c r="Q65" i="28"/>
  <c r="F5" i="28"/>
  <c r="J5" i="28"/>
  <c r="Q64" i="28"/>
  <c r="F4" i="28"/>
  <c r="J4" i="28"/>
  <c r="AB135" i="17"/>
  <c r="AB134" i="17"/>
  <c r="AB133" i="17"/>
  <c r="AB132" i="17"/>
  <c r="AB131" i="17"/>
  <c r="AB130" i="17"/>
  <c r="AB129" i="17"/>
  <c r="AB128" i="17"/>
  <c r="AB127" i="17"/>
  <c r="AB126" i="17"/>
  <c r="AB125" i="17"/>
  <c r="AB124" i="17"/>
  <c r="AB123" i="17"/>
  <c r="AB122" i="17"/>
  <c r="AB121" i="17"/>
  <c r="AB120" i="17"/>
  <c r="AB119" i="17"/>
  <c r="AB118" i="17"/>
  <c r="AB117" i="17"/>
  <c r="AB116" i="17"/>
  <c r="AB115" i="17"/>
  <c r="AB114" i="17"/>
  <c r="AB113" i="17"/>
  <c r="AB112" i="17"/>
  <c r="AB111" i="17"/>
  <c r="AB110" i="17"/>
  <c r="AB109" i="17"/>
  <c r="AB108" i="17"/>
  <c r="AB107" i="17"/>
  <c r="AB106" i="17"/>
  <c r="AB105" i="17"/>
  <c r="AB104" i="17"/>
  <c r="AB103" i="17"/>
  <c r="AB102" i="17"/>
  <c r="AB101" i="17"/>
  <c r="AB100" i="17"/>
  <c r="AB99" i="17"/>
  <c r="AB98" i="17"/>
  <c r="AB97" i="17"/>
  <c r="AB96" i="17"/>
  <c r="AB95" i="17"/>
  <c r="AB94" i="17"/>
  <c r="AB93" i="17"/>
  <c r="AB92" i="17"/>
  <c r="AB91" i="17"/>
  <c r="AB90" i="17"/>
  <c r="AB89" i="17"/>
  <c r="AB88" i="17"/>
  <c r="AB87" i="17"/>
  <c r="AB86" i="17"/>
  <c r="AB85" i="17"/>
  <c r="AB84" i="17"/>
  <c r="AB83" i="17"/>
  <c r="AB82" i="17"/>
  <c r="AB81" i="17"/>
  <c r="AB80" i="17"/>
  <c r="AB79" i="17"/>
  <c r="AB78" i="17"/>
  <c r="AB77" i="17"/>
  <c r="AB76" i="17"/>
  <c r="AB75" i="17"/>
  <c r="AB74" i="17"/>
  <c r="AB73" i="17"/>
  <c r="AB72" i="17"/>
  <c r="AB71" i="17"/>
  <c r="AB70" i="17"/>
  <c r="AB69" i="17"/>
  <c r="AB68" i="17"/>
  <c r="AB67" i="17"/>
  <c r="AB66" i="17"/>
  <c r="AB65" i="17"/>
  <c r="AB64" i="17"/>
  <c r="AH21" i="6"/>
  <c r="Z64" i="17"/>
  <c r="Z65" i="17"/>
  <c r="AI64" i="17"/>
  <c r="AI65" i="17"/>
  <c r="Z66" i="17"/>
  <c r="AI66" i="17"/>
  <c r="Z67" i="17"/>
  <c r="AI67" i="17"/>
  <c r="Z68" i="17"/>
  <c r="AI68" i="17"/>
  <c r="Z69" i="17"/>
  <c r="AI69" i="17"/>
  <c r="Z70" i="17"/>
  <c r="AI70" i="17"/>
  <c r="Z71" i="17"/>
  <c r="AI71" i="17"/>
  <c r="Z72" i="17"/>
  <c r="AI72" i="17"/>
  <c r="Z73" i="17"/>
  <c r="AI73" i="17"/>
  <c r="Z74" i="17"/>
  <c r="AI74" i="17"/>
  <c r="Z75" i="17"/>
  <c r="AI75" i="17"/>
  <c r="Z76" i="17"/>
  <c r="AI76" i="17"/>
  <c r="Z77" i="17"/>
  <c r="AI77" i="17"/>
  <c r="Z78" i="17"/>
  <c r="AI78" i="17"/>
  <c r="Z79" i="17"/>
  <c r="AI79" i="17"/>
  <c r="Z80" i="17"/>
  <c r="AI80" i="17"/>
  <c r="Z81" i="17"/>
  <c r="AI81" i="17"/>
  <c r="Z82" i="17"/>
  <c r="AI82" i="17"/>
  <c r="Z83" i="17"/>
  <c r="AI83" i="17"/>
  <c r="Z84" i="17"/>
  <c r="AI84" i="17"/>
  <c r="Z85" i="17"/>
  <c r="AI85" i="17"/>
  <c r="Z86" i="17"/>
  <c r="AI86" i="17"/>
  <c r="Z87" i="17"/>
  <c r="AI87" i="17"/>
  <c r="Z88" i="17"/>
  <c r="AI88" i="17"/>
  <c r="Z89" i="17"/>
  <c r="AI89" i="17"/>
  <c r="Z90" i="17"/>
  <c r="AI90" i="17"/>
  <c r="Z91" i="17"/>
  <c r="AI91" i="17"/>
  <c r="Z92" i="17"/>
  <c r="AI92" i="17"/>
  <c r="Z93" i="17"/>
  <c r="AI93" i="17"/>
  <c r="Z136" i="17"/>
  <c r="AA136" i="17"/>
  <c r="AB136" i="17"/>
  <c r="AI136" i="17"/>
  <c r="Z137" i="17"/>
  <c r="AA137" i="17"/>
  <c r="AB137" i="17"/>
  <c r="AI137" i="17"/>
  <c r="Z138" i="17"/>
  <c r="AA138" i="17"/>
  <c r="AB138" i="17"/>
  <c r="AI138" i="17"/>
  <c r="Z139" i="17"/>
  <c r="AA139" i="17"/>
  <c r="AB139" i="17"/>
  <c r="AI139" i="17"/>
  <c r="Z140" i="17"/>
  <c r="AA140" i="17"/>
  <c r="AB140" i="17"/>
  <c r="AI140" i="17"/>
  <c r="Z141" i="17"/>
  <c r="AA141" i="17"/>
  <c r="AB141" i="17"/>
  <c r="AI141" i="17"/>
  <c r="Z142" i="17"/>
  <c r="AA142" i="17"/>
  <c r="AB142" i="17"/>
  <c r="AI142" i="17"/>
  <c r="Z143" i="17"/>
  <c r="AA143" i="17"/>
  <c r="AB143" i="17"/>
  <c r="AI143" i="17"/>
  <c r="Z144" i="17"/>
  <c r="AA144" i="17"/>
  <c r="AB144" i="17"/>
  <c r="AI144" i="17"/>
  <c r="Z145" i="17"/>
  <c r="AA145" i="17"/>
  <c r="AB145" i="17"/>
  <c r="AI145" i="17"/>
  <c r="Z146" i="17"/>
  <c r="AA146" i="17"/>
  <c r="AB146" i="17"/>
  <c r="AI146" i="17"/>
  <c r="Z147" i="17"/>
  <c r="AA147" i="17"/>
  <c r="AB147" i="17"/>
  <c r="AI147" i="17"/>
  <c r="Z148" i="17"/>
  <c r="AA148" i="17"/>
  <c r="AB148" i="17"/>
  <c r="AI148" i="17"/>
  <c r="Z149" i="17"/>
  <c r="AA149" i="17"/>
  <c r="AB149" i="17"/>
  <c r="AI149" i="17"/>
  <c r="Z150" i="17"/>
  <c r="AA150" i="17"/>
  <c r="AB150" i="17"/>
  <c r="AI150" i="17"/>
  <c r="Z151" i="17"/>
  <c r="AA151" i="17"/>
  <c r="AB151" i="17"/>
  <c r="AI151" i="17"/>
  <c r="Z152" i="17"/>
  <c r="AA152" i="17"/>
  <c r="AB152" i="17"/>
  <c r="AI152" i="17"/>
  <c r="Z153" i="17"/>
  <c r="AA153" i="17"/>
  <c r="AB153" i="17"/>
  <c r="AI153" i="17"/>
  <c r="Z154" i="17"/>
  <c r="AA154" i="17"/>
  <c r="AB154" i="17"/>
  <c r="AI154" i="17"/>
  <c r="Z155" i="17"/>
  <c r="AA155" i="17"/>
  <c r="AB155" i="17"/>
  <c r="AI155" i="17"/>
  <c r="Z156" i="17"/>
  <c r="AA156" i="17"/>
  <c r="AB156" i="17"/>
  <c r="AI156" i="17"/>
  <c r="Z157" i="17"/>
  <c r="AA157" i="17"/>
  <c r="AB157" i="17"/>
  <c r="AI157" i="17"/>
  <c r="Z158" i="17"/>
  <c r="AA158" i="17"/>
  <c r="AB158" i="17"/>
  <c r="AI158" i="17"/>
  <c r="Z159" i="17"/>
  <c r="AA159" i="17"/>
  <c r="AB159" i="17"/>
  <c r="AI159" i="17"/>
  <c r="Z160" i="17"/>
  <c r="AA160" i="17"/>
  <c r="AB160" i="17"/>
  <c r="AI160" i="17"/>
  <c r="Z161" i="17"/>
  <c r="AA161" i="17"/>
  <c r="AB161" i="17"/>
  <c r="AI161" i="17"/>
  <c r="Z162" i="17"/>
  <c r="AA162" i="17"/>
  <c r="AB162" i="17"/>
  <c r="AI162" i="17"/>
  <c r="Z163" i="17"/>
  <c r="AA163" i="17"/>
  <c r="AB163" i="17"/>
  <c r="AI163" i="17"/>
  <c r="Z164" i="17"/>
  <c r="AA164" i="17"/>
  <c r="AB164" i="17"/>
  <c r="AI164" i="17"/>
  <c r="Z165" i="17"/>
  <c r="AA165" i="17"/>
  <c r="AB165" i="17"/>
  <c r="AI165" i="17"/>
  <c r="AH27" i="6"/>
  <c r="AG21" i="6"/>
  <c r="AG27" i="6"/>
  <c r="AF21" i="6"/>
  <c r="AF27" i="6"/>
  <c r="AE21" i="6"/>
  <c r="AE27" i="6"/>
  <c r="AD21" i="6"/>
  <c r="AD27" i="6"/>
  <c r="AI21" i="6"/>
  <c r="AI26" i="6"/>
  <c r="G17" i="14"/>
  <c r="AG26" i="6"/>
  <c r="AF26" i="6"/>
  <c r="AE26" i="6"/>
  <c r="AD26" i="6"/>
  <c r="AI25" i="6"/>
  <c r="AH25" i="6"/>
  <c r="AF25" i="6"/>
  <c r="AE25" i="6"/>
  <c r="AD25" i="6"/>
  <c r="AI24" i="6"/>
  <c r="AH24" i="6"/>
  <c r="AG24" i="6"/>
  <c r="AE24" i="6"/>
  <c r="AD24" i="6"/>
  <c r="AI23" i="6"/>
  <c r="AH23" i="6"/>
  <c r="AG23" i="6"/>
  <c r="AF23" i="6"/>
  <c r="AD23" i="6"/>
  <c r="AI22" i="6"/>
  <c r="AH22" i="6"/>
  <c r="AG22" i="6"/>
  <c r="AF22" i="6"/>
  <c r="AE22" i="6"/>
  <c r="AH11" i="6"/>
  <c r="Z64" i="3"/>
  <c r="Z65" i="3"/>
  <c r="AB64" i="3"/>
  <c r="AI64" i="3"/>
  <c r="AB65" i="3"/>
  <c r="AI65" i="3"/>
  <c r="Z66" i="3"/>
  <c r="AB66" i="3"/>
  <c r="AI66" i="3"/>
  <c r="Z67" i="3"/>
  <c r="AB67" i="3"/>
  <c r="AI67" i="3"/>
  <c r="Z68" i="3"/>
  <c r="AB68" i="3"/>
  <c r="AI68" i="3"/>
  <c r="Z69" i="3"/>
  <c r="AB69" i="3"/>
  <c r="AI69" i="3"/>
  <c r="Z70" i="3"/>
  <c r="AB70" i="3"/>
  <c r="AI70" i="3"/>
  <c r="Z71" i="3"/>
  <c r="AB71" i="3"/>
  <c r="AI71" i="3"/>
  <c r="Z72" i="3"/>
  <c r="AB72" i="3"/>
  <c r="AI72" i="3"/>
  <c r="Z73" i="3"/>
  <c r="AB73" i="3"/>
  <c r="AI73" i="3"/>
  <c r="Z74" i="3"/>
  <c r="AB74" i="3"/>
  <c r="AI74" i="3"/>
  <c r="Z75" i="3"/>
  <c r="AB75" i="3"/>
  <c r="AI75" i="3"/>
  <c r="Z76" i="3"/>
  <c r="AB76" i="3"/>
  <c r="AI76" i="3"/>
  <c r="Z77" i="3"/>
  <c r="AB77" i="3"/>
  <c r="AI77" i="3"/>
  <c r="Z78" i="3"/>
  <c r="AB78" i="3"/>
  <c r="AI78" i="3"/>
  <c r="Z79" i="3"/>
  <c r="AB79" i="3"/>
  <c r="AI79" i="3"/>
  <c r="Z80" i="3"/>
  <c r="AB80" i="3"/>
  <c r="AI80" i="3"/>
  <c r="Z81" i="3"/>
  <c r="AB81" i="3"/>
  <c r="AI81" i="3"/>
  <c r="Z82" i="3"/>
  <c r="AB82" i="3"/>
  <c r="AI82" i="3"/>
  <c r="Z83" i="3"/>
  <c r="AB83" i="3"/>
  <c r="AI83" i="3"/>
  <c r="Z84" i="3"/>
  <c r="AB84" i="3"/>
  <c r="AI84" i="3"/>
  <c r="Z85" i="3"/>
  <c r="AB85" i="3"/>
  <c r="AI85" i="3"/>
  <c r="Z86" i="3"/>
  <c r="AB86" i="3"/>
  <c r="AI86" i="3"/>
  <c r="Z87" i="3"/>
  <c r="AB87" i="3"/>
  <c r="AI87" i="3"/>
  <c r="Z88" i="3"/>
  <c r="AB88" i="3"/>
  <c r="AI88" i="3"/>
  <c r="Z89" i="3"/>
  <c r="AB89" i="3"/>
  <c r="AI89" i="3"/>
  <c r="Z90" i="3"/>
  <c r="AB90" i="3"/>
  <c r="AI90" i="3"/>
  <c r="Z91" i="3"/>
  <c r="AB91" i="3"/>
  <c r="AI91" i="3"/>
  <c r="Z92" i="3"/>
  <c r="AB92" i="3"/>
  <c r="AI92" i="3"/>
  <c r="Z93" i="3"/>
  <c r="AB93" i="3"/>
  <c r="AI93" i="3"/>
  <c r="Z136" i="3"/>
  <c r="AA136" i="3"/>
  <c r="AB136" i="3"/>
  <c r="AI136" i="3"/>
  <c r="Z137" i="3"/>
  <c r="AA137" i="3"/>
  <c r="AB137" i="3"/>
  <c r="AI137" i="3"/>
  <c r="Z138" i="3"/>
  <c r="AA138" i="3"/>
  <c r="AB138" i="3"/>
  <c r="AI138" i="3"/>
  <c r="Z139" i="3"/>
  <c r="AA139" i="3"/>
  <c r="AB139" i="3"/>
  <c r="AI139" i="3"/>
  <c r="Z140" i="3"/>
  <c r="AA140" i="3"/>
  <c r="AB140" i="3"/>
  <c r="AI140" i="3"/>
  <c r="Z141" i="3"/>
  <c r="AA141" i="3"/>
  <c r="AB141" i="3"/>
  <c r="AI141" i="3"/>
  <c r="Z142" i="3"/>
  <c r="AA142" i="3"/>
  <c r="AB142" i="3"/>
  <c r="AI142" i="3"/>
  <c r="Z143" i="3"/>
  <c r="AA143" i="3"/>
  <c r="AB143" i="3"/>
  <c r="AI143" i="3"/>
  <c r="Z144" i="3"/>
  <c r="AA144" i="3"/>
  <c r="AB144" i="3"/>
  <c r="AI144" i="3"/>
  <c r="Z145" i="3"/>
  <c r="AA145" i="3"/>
  <c r="AB145" i="3"/>
  <c r="AI145" i="3"/>
  <c r="Z146" i="3"/>
  <c r="AA146" i="3"/>
  <c r="AB146" i="3"/>
  <c r="AI146" i="3"/>
  <c r="Z147" i="3"/>
  <c r="AA147" i="3"/>
  <c r="AB147" i="3"/>
  <c r="AI147" i="3"/>
  <c r="Z148" i="3"/>
  <c r="AA148" i="3"/>
  <c r="AB148" i="3"/>
  <c r="AI148" i="3"/>
  <c r="Z149" i="3"/>
  <c r="AA149" i="3"/>
  <c r="AB149" i="3"/>
  <c r="AI149" i="3"/>
  <c r="Z150" i="3"/>
  <c r="AA150" i="3"/>
  <c r="AB150" i="3"/>
  <c r="AI150" i="3"/>
  <c r="Z151" i="3"/>
  <c r="AA151" i="3"/>
  <c r="AB151" i="3"/>
  <c r="AI151" i="3"/>
  <c r="Z152" i="3"/>
  <c r="AA152" i="3"/>
  <c r="AB152" i="3"/>
  <c r="AI152" i="3"/>
  <c r="Z153" i="3"/>
  <c r="AA153" i="3"/>
  <c r="AB153" i="3"/>
  <c r="AI153" i="3"/>
  <c r="Z154" i="3"/>
  <c r="AA154" i="3"/>
  <c r="AB154" i="3"/>
  <c r="AI154" i="3"/>
  <c r="Z155" i="3"/>
  <c r="AA155" i="3"/>
  <c r="AB155" i="3"/>
  <c r="AI155" i="3"/>
  <c r="Z156" i="3"/>
  <c r="AA156" i="3"/>
  <c r="AB156" i="3"/>
  <c r="AI156" i="3"/>
  <c r="Z157" i="3"/>
  <c r="AA157" i="3"/>
  <c r="AB157" i="3"/>
  <c r="AI157" i="3"/>
  <c r="Z158" i="3"/>
  <c r="AA158" i="3"/>
  <c r="AB158" i="3"/>
  <c r="AI158" i="3"/>
  <c r="Z159" i="3"/>
  <c r="AA159" i="3"/>
  <c r="AB159" i="3"/>
  <c r="AI159" i="3"/>
  <c r="Z160" i="3"/>
  <c r="AA160" i="3"/>
  <c r="AB160" i="3"/>
  <c r="AI160" i="3"/>
  <c r="Z161" i="3"/>
  <c r="AA161" i="3"/>
  <c r="AB161" i="3"/>
  <c r="AI161" i="3"/>
  <c r="Z162" i="3"/>
  <c r="AA162" i="3"/>
  <c r="AB162" i="3"/>
  <c r="AI162" i="3"/>
  <c r="Z163" i="3"/>
  <c r="AA163" i="3"/>
  <c r="AB163" i="3"/>
  <c r="AI163" i="3"/>
  <c r="Z164" i="3"/>
  <c r="AA164" i="3"/>
  <c r="AB164" i="3"/>
  <c r="AI164" i="3"/>
  <c r="Z165" i="3"/>
  <c r="AA165" i="3"/>
  <c r="AB165" i="3"/>
  <c r="AI165" i="3"/>
  <c r="AH17" i="6"/>
  <c r="AG11" i="6"/>
  <c r="AG17" i="6"/>
  <c r="AF11" i="6"/>
  <c r="AF17" i="6"/>
  <c r="AE11" i="6"/>
  <c r="AE17" i="6"/>
  <c r="AD11" i="6"/>
  <c r="AD17" i="6"/>
  <c r="AI11" i="6"/>
  <c r="AI16" i="6"/>
  <c r="AG16" i="6"/>
  <c r="AF16" i="6"/>
  <c r="AE16" i="6"/>
  <c r="AD16" i="6"/>
  <c r="AI15" i="6"/>
  <c r="AH15" i="6"/>
  <c r="AF15" i="6"/>
  <c r="AE15" i="6"/>
  <c r="AD15" i="6"/>
  <c r="AI14" i="6"/>
  <c r="AH14" i="6"/>
  <c r="AG14" i="6"/>
  <c r="AE14" i="6"/>
  <c r="AD14" i="6"/>
  <c r="AI13" i="6"/>
  <c r="AH13" i="6"/>
  <c r="AG13" i="6"/>
  <c r="AF13" i="6"/>
  <c r="AD13" i="6"/>
  <c r="AI12" i="6"/>
  <c r="AH12" i="6"/>
  <c r="AG12" i="6"/>
  <c r="AF12" i="6"/>
  <c r="AE12" i="6"/>
  <c r="B15" i="14"/>
  <c r="E100" i="9"/>
  <c r="E101" i="9"/>
  <c r="E102" i="9"/>
  <c r="E103" i="9"/>
  <c r="AB21" i="6"/>
  <c r="I12" i="31"/>
  <c r="K12" i="31"/>
  <c r="AC12" i="31"/>
  <c r="AD12" i="31"/>
  <c r="U12" i="31"/>
  <c r="I13" i="31"/>
  <c r="K13" i="31"/>
  <c r="AC13" i="31"/>
  <c r="AD13" i="31"/>
  <c r="U13" i="31"/>
  <c r="I14" i="31"/>
  <c r="K14" i="31"/>
  <c r="AC14" i="31"/>
  <c r="AD14" i="31"/>
  <c r="U14" i="31"/>
  <c r="I15" i="31"/>
  <c r="K15" i="31"/>
  <c r="AC15" i="31"/>
  <c r="AD15" i="31"/>
  <c r="U15" i="31"/>
  <c r="I16" i="31"/>
  <c r="K16" i="31"/>
  <c r="AC16" i="31"/>
  <c r="AD16" i="31"/>
  <c r="U16" i="31"/>
  <c r="I17" i="31"/>
  <c r="K17" i="31"/>
  <c r="AC17" i="31"/>
  <c r="AD17" i="31"/>
  <c r="U17" i="31"/>
  <c r="T17" i="27"/>
  <c r="AG17" i="27"/>
  <c r="T24" i="27"/>
  <c r="AG24" i="27"/>
  <c r="Y64" i="30"/>
  <c r="Y67" i="30"/>
  <c r="Y70" i="30"/>
  <c r="Y73" i="30"/>
  <c r="Y76" i="30"/>
  <c r="X64" i="30"/>
  <c r="X67" i="30"/>
  <c r="X70" i="30"/>
  <c r="X73" i="30"/>
  <c r="X76" i="30"/>
  <c r="AH64" i="30"/>
  <c r="AH67" i="30"/>
  <c r="AH70" i="30"/>
  <c r="AH73" i="30"/>
  <c r="AH76" i="30"/>
  <c r="AG64" i="30"/>
  <c r="AG67" i="30"/>
  <c r="AG70" i="30"/>
  <c r="AG73" i="30"/>
  <c r="AG76" i="30"/>
  <c r="H12" i="30"/>
  <c r="G12" i="30"/>
  <c r="I12" i="30"/>
  <c r="AR12" i="30"/>
  <c r="H11" i="30"/>
  <c r="G11" i="30"/>
  <c r="I11" i="30"/>
  <c r="AR11" i="30"/>
  <c r="H10" i="30"/>
  <c r="G10" i="30"/>
  <c r="I10" i="30"/>
  <c r="AR10" i="30"/>
  <c r="H9" i="30"/>
  <c r="G9" i="30"/>
  <c r="I9" i="30"/>
  <c r="AR9" i="30"/>
  <c r="H8" i="30"/>
  <c r="G8" i="30"/>
  <c r="I8" i="30"/>
  <c r="AR8" i="30"/>
  <c r="H7" i="30"/>
  <c r="G7" i="30"/>
  <c r="I7" i="30"/>
  <c r="AR7" i="30"/>
  <c r="H6" i="30"/>
  <c r="G6" i="30"/>
  <c r="I6" i="30"/>
  <c r="AR6" i="30"/>
  <c r="H5" i="30"/>
  <c r="G5" i="30"/>
  <c r="I5" i="30"/>
  <c r="AR5" i="30"/>
  <c r="H4" i="30"/>
  <c r="G4" i="30"/>
  <c r="I4" i="30"/>
  <c r="AR4" i="30"/>
  <c r="Y64" i="29"/>
  <c r="Y67" i="29"/>
  <c r="Y70" i="29"/>
  <c r="Y73" i="29"/>
  <c r="Y76" i="29"/>
  <c r="X64" i="29"/>
  <c r="X67" i="29"/>
  <c r="X70" i="29"/>
  <c r="X73" i="29"/>
  <c r="X76" i="29"/>
  <c r="AH64" i="29"/>
  <c r="AH67" i="29"/>
  <c r="AH70" i="29"/>
  <c r="AH73" i="29"/>
  <c r="AH76" i="29"/>
  <c r="AG64" i="29"/>
  <c r="AG67" i="29"/>
  <c r="AG70" i="29"/>
  <c r="AG73" i="29"/>
  <c r="AG76" i="29"/>
  <c r="H12" i="29"/>
  <c r="G12" i="29"/>
  <c r="I12" i="29"/>
  <c r="AR12" i="29"/>
  <c r="H11" i="29"/>
  <c r="G11" i="29"/>
  <c r="I11" i="29"/>
  <c r="AR11" i="29"/>
  <c r="H10" i="29"/>
  <c r="G10" i="29"/>
  <c r="I10" i="29"/>
  <c r="AR10" i="29"/>
  <c r="H9" i="29"/>
  <c r="G9" i="29"/>
  <c r="I9" i="29"/>
  <c r="AR9" i="29"/>
  <c r="H8" i="29"/>
  <c r="G8" i="29"/>
  <c r="I8" i="29"/>
  <c r="AR8" i="29"/>
  <c r="H7" i="29"/>
  <c r="G7" i="29"/>
  <c r="I7" i="29"/>
  <c r="AR7" i="29"/>
  <c r="H6" i="29"/>
  <c r="G6" i="29"/>
  <c r="I6" i="29"/>
  <c r="AR6" i="29"/>
  <c r="H5" i="29"/>
  <c r="G5" i="29"/>
  <c r="I5" i="29"/>
  <c r="AR5" i="29"/>
  <c r="H4" i="29"/>
  <c r="G4" i="29"/>
  <c r="I4" i="29"/>
  <c r="AR4" i="29"/>
  <c r="Y64" i="28"/>
  <c r="Y67" i="28"/>
  <c r="Y70" i="28"/>
  <c r="Y73" i="28"/>
  <c r="Y76" i="28"/>
  <c r="X64" i="28"/>
  <c r="X67" i="28"/>
  <c r="X70" i="28"/>
  <c r="X73" i="28"/>
  <c r="X76" i="28"/>
  <c r="AH64" i="28"/>
  <c r="AH67" i="28"/>
  <c r="AH70" i="28"/>
  <c r="AH73" i="28"/>
  <c r="AH76" i="28"/>
  <c r="AG64" i="28"/>
  <c r="AG67" i="28"/>
  <c r="AG70" i="28"/>
  <c r="AG73" i="28"/>
  <c r="AG76" i="28"/>
  <c r="H12" i="28"/>
  <c r="G12" i="28"/>
  <c r="I12" i="28"/>
  <c r="AR12" i="28"/>
  <c r="H11" i="28"/>
  <c r="G11" i="28"/>
  <c r="I11" i="28"/>
  <c r="AR11" i="28"/>
  <c r="H10" i="28"/>
  <c r="G10" i="28"/>
  <c r="I10" i="28"/>
  <c r="AR10" i="28"/>
  <c r="H9" i="28"/>
  <c r="G9" i="28"/>
  <c r="I9" i="28"/>
  <c r="AR9" i="28"/>
  <c r="H8" i="28"/>
  <c r="G8" i="28"/>
  <c r="I8" i="28"/>
  <c r="AR8" i="28"/>
  <c r="H7" i="28"/>
  <c r="G7" i="28"/>
  <c r="I7" i="28"/>
  <c r="AR7" i="28"/>
  <c r="H6" i="28"/>
  <c r="G6" i="28"/>
  <c r="I6" i="28"/>
  <c r="AR6" i="28"/>
  <c r="H5" i="28"/>
  <c r="G5" i="28"/>
  <c r="I5" i="28"/>
  <c r="AR5" i="28"/>
  <c r="H4" i="28"/>
  <c r="G4" i="28"/>
  <c r="I4" i="28"/>
  <c r="AR4" i="28"/>
  <c r="F12" i="30"/>
  <c r="K4" i="30"/>
  <c r="M4" i="30"/>
  <c r="N4" i="30"/>
  <c r="L4" i="30"/>
  <c r="K17" i="30"/>
  <c r="J17" i="30"/>
  <c r="L17" i="30"/>
  <c r="K5" i="30"/>
  <c r="M5" i="30"/>
  <c r="N5" i="30"/>
  <c r="L5" i="30"/>
  <c r="K18" i="30"/>
  <c r="J18" i="30"/>
  <c r="L18" i="30"/>
  <c r="K6" i="30"/>
  <c r="M6" i="30"/>
  <c r="N6" i="30"/>
  <c r="L6" i="30"/>
  <c r="K19" i="30"/>
  <c r="J19" i="30"/>
  <c r="L19" i="30"/>
  <c r="K7" i="30"/>
  <c r="M7" i="30"/>
  <c r="N7" i="30"/>
  <c r="L7" i="30"/>
  <c r="K20" i="30"/>
  <c r="J20" i="30"/>
  <c r="L20" i="30"/>
  <c r="F8" i="30"/>
  <c r="K8" i="30"/>
  <c r="M8" i="30"/>
  <c r="N8" i="30"/>
  <c r="L8" i="30"/>
  <c r="K21" i="30"/>
  <c r="J21" i="30"/>
  <c r="L21" i="30"/>
  <c r="F9" i="30"/>
  <c r="K9" i="30"/>
  <c r="M9" i="30"/>
  <c r="N9" i="30"/>
  <c r="L9" i="30"/>
  <c r="K22" i="30"/>
  <c r="J22" i="30"/>
  <c r="L22" i="30"/>
  <c r="F10" i="30"/>
  <c r="K10" i="30"/>
  <c r="M10" i="30"/>
  <c r="N10" i="30"/>
  <c r="L10" i="30"/>
  <c r="K23" i="30"/>
  <c r="J23" i="30"/>
  <c r="L23" i="30"/>
  <c r="F11" i="30"/>
  <c r="K11" i="30"/>
  <c r="M11" i="30"/>
  <c r="N11" i="30"/>
  <c r="L11" i="30"/>
  <c r="K24" i="30"/>
  <c r="J24" i="30"/>
  <c r="L24" i="30"/>
  <c r="K12" i="30"/>
  <c r="M12" i="30"/>
  <c r="N12" i="30"/>
  <c r="L12" i="30"/>
  <c r="K25" i="30"/>
  <c r="J25" i="30"/>
  <c r="L25" i="30"/>
  <c r="AI15" i="30"/>
  <c r="M17" i="30"/>
  <c r="N17" i="30" a="1"/>
  <c r="N17" i="30"/>
  <c r="O17" i="30"/>
  <c r="M18" i="30"/>
  <c r="N18" i="30" a="1"/>
  <c r="N18" i="30"/>
  <c r="O18" i="30"/>
  <c r="M19" i="30"/>
  <c r="N19" i="30" a="1"/>
  <c r="N19" i="30"/>
  <c r="O19" i="30"/>
  <c r="M20" i="30"/>
  <c r="N20" i="30" a="1"/>
  <c r="N20" i="30"/>
  <c r="O20" i="30"/>
  <c r="M21" i="30"/>
  <c r="N21" i="30" a="1"/>
  <c r="N21" i="30"/>
  <c r="O21" i="30"/>
  <c r="M22" i="30"/>
  <c r="N22" i="30" a="1"/>
  <c r="N22" i="30"/>
  <c r="O22" i="30"/>
  <c r="M23" i="30"/>
  <c r="N23" i="30" a="1"/>
  <c r="N23" i="30"/>
  <c r="O23" i="30"/>
  <c r="M24" i="30"/>
  <c r="N24" i="30" a="1"/>
  <c r="N24" i="30"/>
  <c r="O24" i="30"/>
  <c r="M25" i="30"/>
  <c r="N25" i="30" a="1"/>
  <c r="N25" i="30"/>
  <c r="O25" i="30"/>
  <c r="O3" i="30"/>
  <c r="P17" i="30"/>
  <c r="P18" i="30"/>
  <c r="C19" i="30"/>
  <c r="P19" i="30"/>
  <c r="C20" i="30"/>
  <c r="P20" i="30"/>
  <c r="P21" i="30"/>
  <c r="P22" i="30"/>
  <c r="P23" i="30"/>
  <c r="P24" i="30"/>
  <c r="P25" i="30"/>
  <c r="P3" i="30"/>
  <c r="Q17" i="30"/>
  <c r="Q18" i="30"/>
  <c r="Q19" i="30"/>
  <c r="Q20" i="30"/>
  <c r="Q21" i="30"/>
  <c r="Q22" i="30"/>
  <c r="Q23" i="30"/>
  <c r="Q24" i="30"/>
  <c r="Q25" i="30"/>
  <c r="Q3" i="30"/>
  <c r="R17" i="30"/>
  <c r="R18" i="30"/>
  <c r="R19" i="30"/>
  <c r="R20" i="30"/>
  <c r="R21" i="30"/>
  <c r="R22" i="30"/>
  <c r="R23" i="30"/>
  <c r="R24" i="30"/>
  <c r="R25" i="30"/>
  <c r="R3" i="30"/>
  <c r="S17" i="30"/>
  <c r="S18" i="30"/>
  <c r="S19" i="30"/>
  <c r="S20" i="30"/>
  <c r="S21" i="30"/>
  <c r="S22" i="30"/>
  <c r="S23" i="30"/>
  <c r="S24" i="30"/>
  <c r="S25" i="30"/>
  <c r="S3" i="30"/>
  <c r="T17" i="30"/>
  <c r="T18" i="30"/>
  <c r="T19" i="30"/>
  <c r="T20" i="30"/>
  <c r="T21" i="30"/>
  <c r="T22" i="30"/>
  <c r="T23" i="30"/>
  <c r="T24" i="30"/>
  <c r="T25" i="30"/>
  <c r="T3" i="30"/>
  <c r="U17" i="30"/>
  <c r="U18" i="30"/>
  <c r="U19" i="30"/>
  <c r="U20" i="30"/>
  <c r="U21" i="30"/>
  <c r="U22" i="30"/>
  <c r="U23" i="30"/>
  <c r="U24" i="30"/>
  <c r="U25" i="30"/>
  <c r="U3" i="30"/>
  <c r="V17" i="30"/>
  <c r="V18" i="30"/>
  <c r="V19" i="30"/>
  <c r="V20" i="30"/>
  <c r="V21" i="30"/>
  <c r="V22" i="30"/>
  <c r="V23" i="30"/>
  <c r="V24" i="30"/>
  <c r="V25" i="30"/>
  <c r="V3" i="30"/>
  <c r="R4" i="30"/>
  <c r="AL3" i="30"/>
  <c r="AL12" i="30"/>
  <c r="AN12" i="30"/>
  <c r="AL4" i="30"/>
  <c r="AN4" i="30"/>
  <c r="AL5" i="30"/>
  <c r="AN5" i="30"/>
  <c r="AL6" i="30"/>
  <c r="AN6" i="30"/>
  <c r="AL7" i="30"/>
  <c r="AN7" i="30"/>
  <c r="AL8" i="30"/>
  <c r="AN8" i="30"/>
  <c r="AL9" i="30"/>
  <c r="AN9" i="30"/>
  <c r="AL10" i="30"/>
  <c r="AN10" i="30"/>
  <c r="AL11" i="30"/>
  <c r="AN11" i="30"/>
  <c r="C17" i="30"/>
  <c r="E30" i="30" a="1"/>
  <c r="E30" i="30"/>
  <c r="F30" i="30" a="1"/>
  <c r="F30" i="30"/>
  <c r="G30" i="30" a="1"/>
  <c r="H30" i="30" a="1"/>
  <c r="I30" i="30" a="1"/>
  <c r="J30" i="30" a="1"/>
  <c r="K30" i="30" a="1"/>
  <c r="L30" i="30" a="1"/>
  <c r="M30" i="30" a="1"/>
  <c r="N30" i="30" a="1"/>
  <c r="O30" i="30" a="1"/>
  <c r="P30" i="30" a="1"/>
  <c r="Q30" i="30" a="1"/>
  <c r="R30" i="30" a="1"/>
  <c r="S30" i="30" a="1"/>
  <c r="T30" i="30" a="1"/>
  <c r="U30" i="30" a="1"/>
  <c r="V30" i="30" a="1"/>
  <c r="W30" i="30" a="1"/>
  <c r="X30" i="30" a="1"/>
  <c r="Y30" i="30" a="1"/>
  <c r="Z30" i="30" a="1"/>
  <c r="AA30" i="30" a="1"/>
  <c r="AB30" i="30" a="1"/>
  <c r="AC30" i="30" a="1"/>
  <c r="AD30" i="30" a="1"/>
  <c r="AE30" i="30" a="1"/>
  <c r="AF30" i="30" a="1"/>
  <c r="AG30" i="30" a="1"/>
  <c r="AH30" i="30" a="1"/>
  <c r="AI30" i="30" a="1"/>
  <c r="AJ30" i="30" a="1"/>
  <c r="AK30" i="30" a="1"/>
  <c r="AL30" i="30" a="1"/>
  <c r="AM30" i="30" a="1"/>
  <c r="AN30" i="30" a="1"/>
  <c r="AO30" i="30" a="1"/>
  <c r="AP30" i="30" a="1"/>
  <c r="AQ30" i="30" a="1"/>
  <c r="AR30" i="30" a="1"/>
  <c r="AS30" i="30" a="1"/>
  <c r="AT30" i="30" a="1"/>
  <c r="AU30" i="30" a="1"/>
  <c r="AV30" i="30" a="1"/>
  <c r="AW30" i="30" a="1"/>
  <c r="AX30" i="30" a="1"/>
  <c r="AY30" i="30" a="1"/>
  <c r="AZ30" i="30" a="1"/>
  <c r="BA30" i="30" a="1"/>
  <c r="BB30" i="30" a="1"/>
  <c r="BC30" i="30" a="1"/>
  <c r="BD30" i="30" a="1"/>
  <c r="BE30" i="30" a="1"/>
  <c r="BF30" i="30" a="1"/>
  <c r="BG30" i="30" a="1"/>
  <c r="BH30" i="30" a="1"/>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W17" i="30"/>
  <c r="C18" i="30"/>
  <c r="E31" i="30" a="1"/>
  <c r="E31" i="30"/>
  <c r="F31" i="30" a="1"/>
  <c r="F31" i="30"/>
  <c r="G31" i="30" a="1"/>
  <c r="H31" i="30" a="1"/>
  <c r="I31" i="30" a="1"/>
  <c r="J31" i="30" a="1"/>
  <c r="K31" i="30" a="1"/>
  <c r="L31" i="30" a="1"/>
  <c r="M31" i="30" a="1"/>
  <c r="N31" i="30" a="1"/>
  <c r="O31" i="30" a="1"/>
  <c r="P31" i="30" a="1"/>
  <c r="Q31" i="30" a="1"/>
  <c r="R31" i="30" a="1"/>
  <c r="S31" i="30" a="1"/>
  <c r="T31" i="30" a="1"/>
  <c r="U31" i="30" a="1"/>
  <c r="V31" i="30" a="1"/>
  <c r="W31" i="30" a="1"/>
  <c r="X31" i="30" a="1"/>
  <c r="Y31" i="30" a="1"/>
  <c r="Z31" i="30" a="1"/>
  <c r="AA31" i="30" a="1"/>
  <c r="AB31" i="30" a="1"/>
  <c r="AC31" i="30" a="1"/>
  <c r="AD31" i="30" a="1"/>
  <c r="AE31" i="30" a="1"/>
  <c r="AF31" i="30" a="1"/>
  <c r="AG31" i="30" a="1"/>
  <c r="AH31" i="30" a="1"/>
  <c r="AI31" i="30" a="1"/>
  <c r="AJ31" i="30" a="1"/>
  <c r="AK31" i="30" a="1"/>
  <c r="AL31" i="30" a="1"/>
  <c r="AM31" i="30" a="1"/>
  <c r="AN31" i="30" a="1"/>
  <c r="AO31" i="30" a="1"/>
  <c r="AP31" i="30" a="1"/>
  <c r="AQ31" i="30" a="1"/>
  <c r="AR31" i="30" a="1"/>
  <c r="AS31" i="30" a="1"/>
  <c r="AT31" i="30" a="1"/>
  <c r="AU31" i="30" a="1"/>
  <c r="AV31" i="30" a="1"/>
  <c r="AW31" i="30" a="1"/>
  <c r="AX31" i="30" a="1"/>
  <c r="AY31" i="30" a="1"/>
  <c r="AZ31" i="30" a="1"/>
  <c r="BA31" i="30" a="1"/>
  <c r="BB31" i="30" a="1"/>
  <c r="BC31" i="30" a="1"/>
  <c r="BD31" i="30" a="1"/>
  <c r="BE31" i="30" a="1"/>
  <c r="BF31" i="30" a="1"/>
  <c r="BG31" i="30" a="1"/>
  <c r="BH31" i="30" a="1"/>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W18" i="30"/>
  <c r="Q4" i="30"/>
  <c r="AG3" i="30"/>
  <c r="AG12" i="30"/>
  <c r="AI12" i="30"/>
  <c r="AG4" i="30"/>
  <c r="AI4" i="30"/>
  <c r="AG5" i="30"/>
  <c r="AI5" i="30"/>
  <c r="AG6" i="30"/>
  <c r="AI6" i="30"/>
  <c r="AG7" i="30"/>
  <c r="AI7" i="30"/>
  <c r="AG8" i="30"/>
  <c r="AI8" i="30"/>
  <c r="AG9" i="30"/>
  <c r="AI9" i="30"/>
  <c r="AG10" i="30"/>
  <c r="AI10" i="30"/>
  <c r="AG11" i="30"/>
  <c r="AI11" i="30"/>
  <c r="P4" i="30"/>
  <c r="AB3" i="30"/>
  <c r="AB12" i="30"/>
  <c r="AD12" i="30"/>
  <c r="AB4" i="30"/>
  <c r="AD4" i="30"/>
  <c r="AB5" i="30"/>
  <c r="AD5" i="30"/>
  <c r="AB6" i="30"/>
  <c r="AD6" i="30"/>
  <c r="AB7" i="30"/>
  <c r="AD7" i="30"/>
  <c r="AB8" i="30"/>
  <c r="AD8" i="30"/>
  <c r="AB9" i="30"/>
  <c r="AD9" i="30"/>
  <c r="AB10" i="30"/>
  <c r="AD10" i="30"/>
  <c r="AB11" i="30"/>
  <c r="AD11" i="30"/>
  <c r="O4" i="30"/>
  <c r="W3" i="30"/>
  <c r="W12" i="30"/>
  <c r="Y12" i="30"/>
  <c r="W4" i="30"/>
  <c r="Y4" i="30"/>
  <c r="W5" i="30"/>
  <c r="Y5" i="30"/>
  <c r="W6" i="30"/>
  <c r="Y6" i="30"/>
  <c r="W7" i="30"/>
  <c r="Y7" i="30"/>
  <c r="W8" i="30"/>
  <c r="Y8" i="30"/>
  <c r="W9" i="30"/>
  <c r="Y9" i="30"/>
  <c r="W10" i="30"/>
  <c r="Y10" i="30"/>
  <c r="W11" i="30"/>
  <c r="Y11" i="30"/>
  <c r="F12" i="29"/>
  <c r="K4" i="29"/>
  <c r="M4" i="29"/>
  <c r="N4" i="29"/>
  <c r="L4" i="29"/>
  <c r="K17" i="29"/>
  <c r="J17" i="29"/>
  <c r="L17" i="29"/>
  <c r="K5" i="29"/>
  <c r="M5" i="29"/>
  <c r="N5" i="29"/>
  <c r="L5" i="29"/>
  <c r="K18" i="29"/>
  <c r="J18" i="29"/>
  <c r="L18" i="29"/>
  <c r="K6" i="29"/>
  <c r="M6" i="29"/>
  <c r="N6" i="29"/>
  <c r="L6" i="29"/>
  <c r="K19" i="29"/>
  <c r="J19" i="29"/>
  <c r="L19" i="29"/>
  <c r="K7" i="29"/>
  <c r="M7" i="29"/>
  <c r="N7" i="29"/>
  <c r="L7" i="29"/>
  <c r="K20" i="29"/>
  <c r="J20" i="29"/>
  <c r="L20" i="29"/>
  <c r="F8" i="29"/>
  <c r="K8" i="29"/>
  <c r="M8" i="29"/>
  <c r="N8" i="29"/>
  <c r="L8" i="29"/>
  <c r="K21" i="29"/>
  <c r="J21" i="29"/>
  <c r="L21" i="29"/>
  <c r="F9" i="29"/>
  <c r="K9" i="29"/>
  <c r="M9" i="29"/>
  <c r="N9" i="29"/>
  <c r="L9" i="29"/>
  <c r="K22" i="29"/>
  <c r="J22" i="29"/>
  <c r="L22" i="29"/>
  <c r="F10" i="29"/>
  <c r="K10" i="29"/>
  <c r="M10" i="29"/>
  <c r="N10" i="29"/>
  <c r="L10" i="29"/>
  <c r="K23" i="29"/>
  <c r="J23" i="29"/>
  <c r="L23" i="29"/>
  <c r="F11" i="29"/>
  <c r="K11" i="29"/>
  <c r="M11" i="29"/>
  <c r="N11" i="29"/>
  <c r="L11" i="29"/>
  <c r="K24" i="29"/>
  <c r="J24" i="29"/>
  <c r="L24" i="29"/>
  <c r="K12" i="29"/>
  <c r="M12" i="29"/>
  <c r="N12" i="29"/>
  <c r="L12" i="29"/>
  <c r="K25" i="29"/>
  <c r="J25" i="29"/>
  <c r="L25" i="29"/>
  <c r="AI15" i="29"/>
  <c r="M17" i="29"/>
  <c r="N17" i="29" a="1"/>
  <c r="N17" i="29"/>
  <c r="O17" i="29"/>
  <c r="M18" i="29"/>
  <c r="N18" i="29" a="1"/>
  <c r="N18" i="29"/>
  <c r="O18" i="29"/>
  <c r="M19" i="29"/>
  <c r="N19" i="29" a="1"/>
  <c r="N19" i="29"/>
  <c r="O19" i="29"/>
  <c r="M20" i="29"/>
  <c r="N20" i="29" a="1"/>
  <c r="N20" i="29"/>
  <c r="O20" i="29"/>
  <c r="M21" i="29"/>
  <c r="N21" i="29" a="1"/>
  <c r="N21" i="29"/>
  <c r="O21" i="29"/>
  <c r="M22" i="29"/>
  <c r="N22" i="29" a="1"/>
  <c r="N22" i="29"/>
  <c r="O22" i="29"/>
  <c r="M23" i="29"/>
  <c r="N23" i="29" a="1"/>
  <c r="N23" i="29"/>
  <c r="O23" i="29"/>
  <c r="M24" i="29"/>
  <c r="N24" i="29" a="1"/>
  <c r="N24" i="29"/>
  <c r="O24" i="29"/>
  <c r="M25" i="29"/>
  <c r="N25" i="29" a="1"/>
  <c r="N25" i="29"/>
  <c r="O25" i="29"/>
  <c r="O3" i="29"/>
  <c r="P17" i="29"/>
  <c r="P18" i="29"/>
  <c r="P19" i="29"/>
  <c r="P20" i="29"/>
  <c r="P21" i="29"/>
  <c r="P22" i="29"/>
  <c r="P23" i="29"/>
  <c r="P24" i="29"/>
  <c r="P25" i="29"/>
  <c r="P3" i="29"/>
  <c r="Q17" i="29"/>
  <c r="Q18" i="29"/>
  <c r="Q19" i="29"/>
  <c r="Q20" i="29"/>
  <c r="Q21" i="29"/>
  <c r="Q22" i="29"/>
  <c r="Q23" i="29"/>
  <c r="Q24" i="29"/>
  <c r="Q25" i="29"/>
  <c r="Q3" i="29"/>
  <c r="R17" i="29"/>
  <c r="R18" i="29"/>
  <c r="R19" i="29"/>
  <c r="R20" i="29"/>
  <c r="R21" i="29"/>
  <c r="R22" i="29"/>
  <c r="R23" i="29"/>
  <c r="R24" i="29"/>
  <c r="R25" i="29"/>
  <c r="R3" i="29"/>
  <c r="S17" i="29"/>
  <c r="S18" i="29"/>
  <c r="S19" i="29"/>
  <c r="S20" i="29"/>
  <c r="S21" i="29"/>
  <c r="S22" i="29"/>
  <c r="S23" i="29"/>
  <c r="S24" i="29"/>
  <c r="S25" i="29"/>
  <c r="S3" i="29"/>
  <c r="T17" i="29"/>
  <c r="T18" i="29"/>
  <c r="T19" i="29"/>
  <c r="T20" i="29"/>
  <c r="T21" i="29"/>
  <c r="T22" i="29"/>
  <c r="T23" i="29"/>
  <c r="T24" i="29"/>
  <c r="T25" i="29"/>
  <c r="T3" i="29"/>
  <c r="U17" i="29"/>
  <c r="U18" i="29"/>
  <c r="U19" i="29"/>
  <c r="U20" i="29"/>
  <c r="U21" i="29"/>
  <c r="U22" i="29"/>
  <c r="U23" i="29"/>
  <c r="U24" i="29"/>
  <c r="U25" i="29"/>
  <c r="U3" i="29"/>
  <c r="V17" i="29"/>
  <c r="V18" i="29"/>
  <c r="V19" i="29"/>
  <c r="V20" i="29"/>
  <c r="V21" i="29"/>
  <c r="V22" i="29"/>
  <c r="V23" i="29"/>
  <c r="V24" i="29"/>
  <c r="V25" i="29"/>
  <c r="V3" i="29"/>
  <c r="R4" i="29"/>
  <c r="AL3" i="29"/>
  <c r="AL12" i="29"/>
  <c r="AN12" i="29"/>
  <c r="AL4" i="29"/>
  <c r="AN4" i="29"/>
  <c r="AL5" i="29"/>
  <c r="AN5" i="29"/>
  <c r="AL6" i="29"/>
  <c r="AN6" i="29"/>
  <c r="AL7" i="29"/>
  <c r="AN7" i="29"/>
  <c r="AL8" i="29"/>
  <c r="AN8" i="29"/>
  <c r="AL9" i="29"/>
  <c r="AN9" i="29"/>
  <c r="AL10" i="29"/>
  <c r="AN10" i="29"/>
  <c r="AL11" i="29"/>
  <c r="AN11" i="29"/>
  <c r="C17" i="29"/>
  <c r="E30" i="29" a="1"/>
  <c r="E30" i="29"/>
  <c r="F30" i="29" a="1"/>
  <c r="F30" i="29"/>
  <c r="G30" i="29" a="1"/>
  <c r="H30" i="29" a="1"/>
  <c r="I30" i="29" a="1"/>
  <c r="J30" i="29" a="1"/>
  <c r="K30" i="29" a="1"/>
  <c r="L30" i="29" a="1"/>
  <c r="M30" i="29" a="1"/>
  <c r="N30" i="29" a="1"/>
  <c r="O30" i="29" a="1"/>
  <c r="P30" i="29" a="1"/>
  <c r="Q30" i="29" a="1"/>
  <c r="R30" i="29" a="1"/>
  <c r="S30" i="29" a="1"/>
  <c r="T30" i="29" a="1"/>
  <c r="U30" i="29" a="1"/>
  <c r="V30" i="29" a="1"/>
  <c r="W30" i="29" a="1"/>
  <c r="X30" i="29" a="1"/>
  <c r="Y30" i="29" a="1"/>
  <c r="Z30" i="29" a="1"/>
  <c r="AA30" i="29" a="1"/>
  <c r="AB30" i="29" a="1"/>
  <c r="AC30" i="29" a="1"/>
  <c r="AD30" i="29" a="1"/>
  <c r="AE30" i="29" a="1"/>
  <c r="AF30" i="29" a="1"/>
  <c r="AG30" i="29" a="1"/>
  <c r="AH30" i="29" a="1"/>
  <c r="AI30" i="29" a="1"/>
  <c r="AJ30" i="29" a="1"/>
  <c r="AK30" i="29" a="1"/>
  <c r="AL30" i="29" a="1"/>
  <c r="AM30" i="29" a="1"/>
  <c r="AN30" i="29" a="1"/>
  <c r="AO30" i="29" a="1"/>
  <c r="AP30" i="29" a="1"/>
  <c r="AQ30" i="29" a="1"/>
  <c r="AR30" i="29" a="1"/>
  <c r="AS30" i="29" a="1"/>
  <c r="AT30" i="29" a="1"/>
  <c r="AU30" i="29" a="1"/>
  <c r="AV30" i="29" a="1"/>
  <c r="AW30" i="29" a="1"/>
  <c r="AX30" i="29" a="1"/>
  <c r="AY30" i="29" a="1"/>
  <c r="AZ30" i="29" a="1"/>
  <c r="BA30" i="29" a="1"/>
  <c r="BB30" i="29" a="1"/>
  <c r="BC30" i="29" a="1"/>
  <c r="BD30" i="29" a="1"/>
  <c r="BE30" i="29" a="1"/>
  <c r="BF30" i="29" a="1"/>
  <c r="BG30" i="29" a="1"/>
  <c r="BH30" i="29" a="1"/>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W17" i="29"/>
  <c r="C18" i="29"/>
  <c r="E31" i="29" a="1"/>
  <c r="E31" i="29"/>
  <c r="F31" i="29" a="1"/>
  <c r="F31" i="29"/>
  <c r="G31" i="29" a="1"/>
  <c r="H31" i="29" a="1"/>
  <c r="I31" i="29" a="1"/>
  <c r="J31" i="29" a="1"/>
  <c r="K31" i="29" a="1"/>
  <c r="L31" i="29" a="1"/>
  <c r="M31" i="29" a="1"/>
  <c r="N31" i="29" a="1"/>
  <c r="O31" i="29" a="1"/>
  <c r="P31" i="29" a="1"/>
  <c r="Q31" i="29" a="1"/>
  <c r="R31" i="29" a="1"/>
  <c r="S31" i="29" a="1"/>
  <c r="T31" i="29" a="1"/>
  <c r="U31" i="29" a="1"/>
  <c r="V31" i="29" a="1"/>
  <c r="W31" i="29" a="1"/>
  <c r="X31" i="29" a="1"/>
  <c r="Y31" i="29" a="1"/>
  <c r="Z31" i="29" a="1"/>
  <c r="AA31" i="29" a="1"/>
  <c r="AB31" i="29" a="1"/>
  <c r="AC31" i="29" a="1"/>
  <c r="AD31" i="29" a="1"/>
  <c r="AE31" i="29" a="1"/>
  <c r="AF31" i="29" a="1"/>
  <c r="AG31" i="29" a="1"/>
  <c r="AH31" i="29" a="1"/>
  <c r="AI31" i="29" a="1"/>
  <c r="AJ31" i="29" a="1"/>
  <c r="AK31" i="29" a="1"/>
  <c r="AL31" i="29" a="1"/>
  <c r="AM31" i="29" a="1"/>
  <c r="AN31" i="29" a="1"/>
  <c r="AO31" i="29" a="1"/>
  <c r="AP31" i="29" a="1"/>
  <c r="AQ31" i="29" a="1"/>
  <c r="AR31" i="29" a="1"/>
  <c r="AS31" i="29" a="1"/>
  <c r="AT31" i="29" a="1"/>
  <c r="AU31" i="29" a="1"/>
  <c r="AV31" i="29" a="1"/>
  <c r="AW31" i="29" a="1"/>
  <c r="AX31" i="29" a="1"/>
  <c r="AY31" i="29" a="1"/>
  <c r="AZ31" i="29" a="1"/>
  <c r="BA31" i="29" a="1"/>
  <c r="BB31" i="29" a="1"/>
  <c r="BC31" i="29" a="1"/>
  <c r="BD31" i="29" a="1"/>
  <c r="BE31" i="29" a="1"/>
  <c r="BF31" i="29" a="1"/>
  <c r="BG31" i="29" a="1"/>
  <c r="BH31" i="29" a="1"/>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W18" i="29"/>
  <c r="C19" i="29"/>
  <c r="E32" i="29" a="1"/>
  <c r="E32" i="29"/>
  <c r="F32" i="29" a="1"/>
  <c r="F32" i="29"/>
  <c r="G32" i="29" a="1"/>
  <c r="H32" i="29" a="1"/>
  <c r="I32" i="29" a="1"/>
  <c r="J32" i="29" a="1"/>
  <c r="K32" i="29" a="1"/>
  <c r="L32" i="29" a="1"/>
  <c r="M32" i="29" a="1"/>
  <c r="N32" i="29" a="1"/>
  <c r="O32" i="29" a="1"/>
  <c r="P32" i="29" a="1"/>
  <c r="Q32" i="29" a="1"/>
  <c r="R32" i="29" a="1"/>
  <c r="S32" i="29" a="1"/>
  <c r="T32" i="29" a="1"/>
  <c r="U32" i="29" a="1"/>
  <c r="V32" i="29" a="1"/>
  <c r="W32" i="29" a="1"/>
  <c r="X32" i="29" a="1"/>
  <c r="Y32" i="29" a="1"/>
  <c r="Z32" i="29" a="1"/>
  <c r="AA32" i="29" a="1"/>
  <c r="AB32" i="29" a="1"/>
  <c r="AC32" i="29" a="1"/>
  <c r="AD32" i="29" a="1"/>
  <c r="AE32" i="29" a="1"/>
  <c r="AF32" i="29" a="1"/>
  <c r="AG32" i="29" a="1"/>
  <c r="AH32" i="29" a="1"/>
  <c r="AI32" i="29" a="1"/>
  <c r="AJ32" i="29" a="1"/>
  <c r="AK32" i="29" a="1"/>
  <c r="AL32" i="29" a="1"/>
  <c r="AM32" i="29" a="1"/>
  <c r="AN32" i="29" a="1"/>
  <c r="AO32" i="29" a="1"/>
  <c r="AP32" i="29" a="1"/>
  <c r="AQ32" i="29" a="1"/>
  <c r="AR32" i="29" a="1"/>
  <c r="AS32" i="29" a="1"/>
  <c r="AT32" i="29" a="1"/>
  <c r="AU32" i="29" a="1"/>
  <c r="AV32" i="29" a="1"/>
  <c r="AW32" i="29" a="1"/>
  <c r="AX32" i="29" a="1"/>
  <c r="AY32" i="29" a="1"/>
  <c r="AZ32" i="29" a="1"/>
  <c r="BA32" i="29" a="1"/>
  <c r="BB32" i="29" a="1"/>
  <c r="BC32" i="29" a="1"/>
  <c r="BD32" i="29" a="1"/>
  <c r="BE32" i="29" a="1"/>
  <c r="BF32" i="29" a="1"/>
  <c r="BG32" i="29" a="1"/>
  <c r="BH32" i="29" a="1"/>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W19" i="29"/>
  <c r="C20" i="29"/>
  <c r="E33" i="29" a="1"/>
  <c r="E33" i="29"/>
  <c r="F33" i="29" a="1"/>
  <c r="F33" i="29"/>
  <c r="G33" i="29" a="1"/>
  <c r="H33" i="29" a="1"/>
  <c r="I33" i="29" a="1"/>
  <c r="J33" i="29" a="1"/>
  <c r="K33" i="29" a="1"/>
  <c r="L33" i="29" a="1"/>
  <c r="M33" i="29" a="1"/>
  <c r="N33" i="29" a="1"/>
  <c r="O33" i="29" a="1"/>
  <c r="P33" i="29" a="1"/>
  <c r="Q33" i="29" a="1"/>
  <c r="R33" i="29" a="1"/>
  <c r="S33" i="29" a="1"/>
  <c r="T33" i="29" a="1"/>
  <c r="U33" i="29" a="1"/>
  <c r="V33" i="29" a="1"/>
  <c r="W33" i="29" a="1"/>
  <c r="X33" i="29" a="1"/>
  <c r="Y33" i="29" a="1"/>
  <c r="Z33" i="29" a="1"/>
  <c r="AA33" i="29" a="1"/>
  <c r="AB33" i="29" a="1"/>
  <c r="AC33" i="29" a="1"/>
  <c r="AD33" i="29" a="1"/>
  <c r="AE33" i="29" a="1"/>
  <c r="AF33" i="29" a="1"/>
  <c r="AG33" i="29" a="1"/>
  <c r="AH33" i="29" a="1"/>
  <c r="AI33" i="29" a="1"/>
  <c r="AJ33" i="29" a="1"/>
  <c r="AK33" i="29" a="1"/>
  <c r="AL33" i="29" a="1"/>
  <c r="AM33" i="29" a="1"/>
  <c r="AN33" i="29" a="1"/>
  <c r="AO33" i="29" a="1"/>
  <c r="AP33" i="29" a="1"/>
  <c r="AQ33" i="29" a="1"/>
  <c r="AR33" i="29" a="1"/>
  <c r="AS33" i="29" a="1"/>
  <c r="AT33" i="29" a="1"/>
  <c r="AU33" i="29" a="1"/>
  <c r="AV33" i="29" a="1"/>
  <c r="AW33" i="29" a="1"/>
  <c r="AX33" i="29" a="1"/>
  <c r="AY33" i="29" a="1"/>
  <c r="AZ33" i="29" a="1"/>
  <c r="BA33" i="29" a="1"/>
  <c r="BB33" i="29" a="1"/>
  <c r="BC33" i="29" a="1"/>
  <c r="BD33" i="29" a="1"/>
  <c r="BE33" i="29" a="1"/>
  <c r="BF33" i="29" a="1"/>
  <c r="BG33" i="29" a="1"/>
  <c r="BH33" i="29" a="1"/>
  <c r="BI33" i="29" a="1"/>
  <c r="BJ33" i="29" a="1"/>
  <c r="BK33" i="29" a="1"/>
  <c r="BL33" i="29" a="1"/>
  <c r="BM33" i="29" a="1"/>
  <c r="BN33" i="29" a="1"/>
  <c r="BO33" i="29" a="1"/>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W20" i="29"/>
  <c r="Q4" i="29"/>
  <c r="AG3" i="29"/>
  <c r="AG12" i="29"/>
  <c r="AI12" i="29"/>
  <c r="AG4" i="29"/>
  <c r="AI4" i="29"/>
  <c r="AG5" i="29"/>
  <c r="AI5" i="29"/>
  <c r="AG6" i="29"/>
  <c r="AI6" i="29"/>
  <c r="AG7" i="29"/>
  <c r="AI7" i="29"/>
  <c r="AG8" i="29"/>
  <c r="AI8" i="29"/>
  <c r="AG9" i="29"/>
  <c r="AI9" i="29"/>
  <c r="AG10" i="29"/>
  <c r="AI10" i="29"/>
  <c r="AG11" i="29"/>
  <c r="AI11" i="29"/>
  <c r="P4" i="29"/>
  <c r="AB3" i="29"/>
  <c r="AB12" i="29"/>
  <c r="AD12" i="29"/>
  <c r="AB4" i="29"/>
  <c r="AD4" i="29"/>
  <c r="AB5" i="29"/>
  <c r="AD5" i="29"/>
  <c r="AB6" i="29"/>
  <c r="AD6" i="29"/>
  <c r="AB7" i="29"/>
  <c r="AD7" i="29"/>
  <c r="AB8" i="29"/>
  <c r="AD8" i="29"/>
  <c r="AB9" i="29"/>
  <c r="AD9" i="29"/>
  <c r="AB10" i="29"/>
  <c r="AD10" i="29"/>
  <c r="AB11" i="29"/>
  <c r="AD11" i="29"/>
  <c r="O4" i="29"/>
  <c r="W3" i="29"/>
  <c r="W12" i="29"/>
  <c r="Y12" i="29"/>
  <c r="W4" i="29"/>
  <c r="Y4" i="29"/>
  <c r="W5" i="29"/>
  <c r="Y5" i="29"/>
  <c r="W6" i="29"/>
  <c r="Y6" i="29"/>
  <c r="W7" i="29"/>
  <c r="Y7" i="29"/>
  <c r="W8" i="29"/>
  <c r="Y8" i="29"/>
  <c r="W9" i="29"/>
  <c r="Y9" i="29"/>
  <c r="W10" i="29"/>
  <c r="Y10" i="29"/>
  <c r="W11" i="29"/>
  <c r="Y11" i="29"/>
  <c r="F12" i="28"/>
  <c r="K4" i="28"/>
  <c r="M4" i="28"/>
  <c r="N4" i="28"/>
  <c r="L4" i="28"/>
  <c r="K17" i="28"/>
  <c r="J17" i="28"/>
  <c r="L17" i="28"/>
  <c r="K5" i="28"/>
  <c r="M5" i="28"/>
  <c r="N5" i="28"/>
  <c r="L5" i="28"/>
  <c r="K18" i="28"/>
  <c r="J18" i="28"/>
  <c r="L18" i="28"/>
  <c r="K6" i="28"/>
  <c r="M6" i="28"/>
  <c r="N6" i="28"/>
  <c r="L6" i="28"/>
  <c r="K19" i="28"/>
  <c r="J19" i="28"/>
  <c r="L19" i="28"/>
  <c r="K7" i="28"/>
  <c r="M7" i="28"/>
  <c r="N7" i="28"/>
  <c r="L7" i="28"/>
  <c r="K20" i="28"/>
  <c r="J20" i="28"/>
  <c r="L20" i="28"/>
  <c r="F8" i="28"/>
  <c r="K8" i="28"/>
  <c r="M8" i="28"/>
  <c r="N8" i="28"/>
  <c r="L8" i="28"/>
  <c r="K21" i="28"/>
  <c r="J21" i="28"/>
  <c r="L21" i="28"/>
  <c r="F9" i="28"/>
  <c r="K9" i="28"/>
  <c r="M9" i="28"/>
  <c r="N9" i="28"/>
  <c r="L9" i="28"/>
  <c r="K22" i="28"/>
  <c r="J22" i="28"/>
  <c r="L22" i="28"/>
  <c r="F10" i="28"/>
  <c r="K10" i="28"/>
  <c r="M10" i="28"/>
  <c r="N10" i="28"/>
  <c r="L10" i="28"/>
  <c r="K23" i="28"/>
  <c r="J23" i="28"/>
  <c r="L23" i="28"/>
  <c r="F11" i="28"/>
  <c r="K11" i="28"/>
  <c r="M11" i="28"/>
  <c r="N11" i="28"/>
  <c r="L11" i="28"/>
  <c r="K24" i="28"/>
  <c r="J24" i="28"/>
  <c r="L24" i="28"/>
  <c r="K12" i="28"/>
  <c r="M12" i="28"/>
  <c r="N12" i="28"/>
  <c r="L12" i="28"/>
  <c r="K25" i="28"/>
  <c r="J25" i="28"/>
  <c r="L25" i="28"/>
  <c r="AI15" i="28"/>
  <c r="M17" i="28"/>
  <c r="N17" i="28" a="1"/>
  <c r="N17" i="28"/>
  <c r="O17" i="28"/>
  <c r="M18" i="28"/>
  <c r="N18" i="28" a="1"/>
  <c r="N18" i="28"/>
  <c r="O18" i="28"/>
  <c r="M19" i="28"/>
  <c r="N19" i="28" a="1"/>
  <c r="N19" i="28"/>
  <c r="O19" i="28"/>
  <c r="M20" i="28"/>
  <c r="N20" i="28" a="1"/>
  <c r="N20" i="28"/>
  <c r="O20" i="28"/>
  <c r="M21" i="28"/>
  <c r="N21" i="28" a="1"/>
  <c r="N21" i="28"/>
  <c r="O21" i="28"/>
  <c r="M22" i="28"/>
  <c r="N22" i="28" a="1"/>
  <c r="N22" i="28"/>
  <c r="O22" i="28"/>
  <c r="M23" i="28"/>
  <c r="N23" i="28" a="1"/>
  <c r="N23" i="28"/>
  <c r="O23" i="28"/>
  <c r="M24" i="28"/>
  <c r="N24" i="28" a="1"/>
  <c r="N24" i="28"/>
  <c r="O24" i="28"/>
  <c r="M25" i="28"/>
  <c r="N25" i="28" a="1"/>
  <c r="N25" i="28"/>
  <c r="O25" i="28"/>
  <c r="O3" i="28"/>
  <c r="P17" i="28"/>
  <c r="P18" i="28"/>
  <c r="P19" i="28"/>
  <c r="P20" i="28"/>
  <c r="P21" i="28"/>
  <c r="P22" i="28"/>
  <c r="P23" i="28"/>
  <c r="P24" i="28"/>
  <c r="P25" i="28"/>
  <c r="P3" i="28"/>
  <c r="Q17" i="28"/>
  <c r="Q18" i="28"/>
  <c r="Q19" i="28"/>
  <c r="Q20" i="28"/>
  <c r="Q21" i="28"/>
  <c r="Q22" i="28"/>
  <c r="Q23" i="28"/>
  <c r="Q24" i="28"/>
  <c r="Q25" i="28"/>
  <c r="Q3" i="28"/>
  <c r="R17" i="28"/>
  <c r="R18" i="28"/>
  <c r="R19" i="28"/>
  <c r="R20" i="28"/>
  <c r="R21" i="28"/>
  <c r="R22" i="28"/>
  <c r="R23" i="28"/>
  <c r="R24" i="28"/>
  <c r="R25" i="28"/>
  <c r="R3" i="28"/>
  <c r="S17" i="28"/>
  <c r="S18" i="28"/>
  <c r="S19" i="28"/>
  <c r="S20" i="28"/>
  <c r="S21" i="28"/>
  <c r="S22" i="28"/>
  <c r="S23" i="28"/>
  <c r="S24" i="28"/>
  <c r="S25" i="28"/>
  <c r="S3" i="28"/>
  <c r="T17" i="28"/>
  <c r="T18" i="28"/>
  <c r="T19" i="28"/>
  <c r="T20" i="28"/>
  <c r="T21" i="28"/>
  <c r="T22" i="28"/>
  <c r="T23" i="28"/>
  <c r="T24" i="28"/>
  <c r="T25" i="28"/>
  <c r="T3" i="28"/>
  <c r="U17" i="28"/>
  <c r="U18" i="28"/>
  <c r="U19" i="28"/>
  <c r="U20" i="28"/>
  <c r="U21" i="28"/>
  <c r="U22" i="28"/>
  <c r="U23" i="28"/>
  <c r="U24" i="28"/>
  <c r="U25" i="28"/>
  <c r="U3" i="28"/>
  <c r="V17" i="28"/>
  <c r="V18" i="28"/>
  <c r="V19" i="28"/>
  <c r="V20" i="28"/>
  <c r="V21" i="28"/>
  <c r="V22" i="28"/>
  <c r="V23" i="28"/>
  <c r="V24" i="28"/>
  <c r="V25" i="28"/>
  <c r="V3" i="28"/>
  <c r="R4" i="28"/>
  <c r="AL3" i="28"/>
  <c r="AL12" i="28"/>
  <c r="AN12" i="28"/>
  <c r="AL4" i="28"/>
  <c r="AN4" i="28"/>
  <c r="AL5" i="28"/>
  <c r="AN5" i="28"/>
  <c r="AL6" i="28"/>
  <c r="AN6" i="28"/>
  <c r="AL7" i="28"/>
  <c r="AN7" i="28"/>
  <c r="AL8" i="28"/>
  <c r="AN8" i="28"/>
  <c r="AL9" i="28"/>
  <c r="AN9" i="28"/>
  <c r="AL10" i="28"/>
  <c r="AN10" i="28"/>
  <c r="AL11" i="28"/>
  <c r="AN11" i="28"/>
  <c r="C17" i="28"/>
  <c r="E30" i="28" a="1"/>
  <c r="E30" i="28"/>
  <c r="F30" i="28" a="1"/>
  <c r="F30" i="28"/>
  <c r="G30" i="28" a="1"/>
  <c r="H30" i="28" a="1"/>
  <c r="I30" i="28" a="1"/>
  <c r="J30" i="28" a="1"/>
  <c r="K30" i="28" a="1"/>
  <c r="L30" i="28" a="1"/>
  <c r="M30" i="28" a="1"/>
  <c r="N30" i="28" a="1"/>
  <c r="O30" i="28" a="1"/>
  <c r="P30" i="28" a="1"/>
  <c r="Q30" i="28" a="1"/>
  <c r="R30" i="28" a="1"/>
  <c r="S30" i="28" a="1"/>
  <c r="T30" i="28" a="1"/>
  <c r="U30" i="28" a="1"/>
  <c r="V30" i="28" a="1"/>
  <c r="W30" i="28" a="1"/>
  <c r="X30" i="28" a="1"/>
  <c r="Y30" i="28" a="1"/>
  <c r="Z30" i="28" a="1"/>
  <c r="AA30" i="28" a="1"/>
  <c r="AB30" i="28" a="1"/>
  <c r="AC30" i="28" a="1"/>
  <c r="AD30" i="28" a="1"/>
  <c r="AE30" i="28" a="1"/>
  <c r="AF30" i="28" a="1"/>
  <c r="AG30" i="28" a="1"/>
  <c r="AH30" i="28" a="1"/>
  <c r="AI30" i="28" a="1"/>
  <c r="AJ30" i="28" a="1"/>
  <c r="AK30" i="28" a="1"/>
  <c r="AL30" i="28" a="1"/>
  <c r="AM30" i="28" a="1"/>
  <c r="AN30" i="28" a="1"/>
  <c r="AO30" i="28" a="1"/>
  <c r="AP30" i="28" a="1"/>
  <c r="AQ30" i="28" a="1"/>
  <c r="AR30" i="28" a="1"/>
  <c r="AS30" i="28" a="1"/>
  <c r="AT30" i="28" a="1"/>
  <c r="AU30" i="28" a="1"/>
  <c r="AV30" i="28" a="1"/>
  <c r="AW30" i="28" a="1"/>
  <c r="AX30" i="28" a="1"/>
  <c r="AY30" i="28" a="1"/>
  <c r="AZ30" i="28" a="1"/>
  <c r="BA30" i="28" a="1"/>
  <c r="BB30" i="28" a="1"/>
  <c r="BC30" i="28" a="1"/>
  <c r="BD30" i="28" a="1"/>
  <c r="BE30" i="28" a="1"/>
  <c r="BF30" i="28" a="1"/>
  <c r="BG30" i="28" a="1"/>
  <c r="BH30" i="28" a="1"/>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W17" i="28"/>
  <c r="C18" i="28"/>
  <c r="E31" i="28" a="1"/>
  <c r="E31" i="28"/>
  <c r="F31" i="28" a="1"/>
  <c r="F31" i="28"/>
  <c r="G31" i="28" a="1"/>
  <c r="H31" i="28" a="1"/>
  <c r="I31" i="28" a="1"/>
  <c r="J31" i="28" a="1"/>
  <c r="K31" i="28" a="1"/>
  <c r="L31" i="28" a="1"/>
  <c r="M31" i="28" a="1"/>
  <c r="N31" i="28" a="1"/>
  <c r="O31" i="28" a="1"/>
  <c r="P31" i="28" a="1"/>
  <c r="Q31" i="28" a="1"/>
  <c r="R31" i="28" a="1"/>
  <c r="S31" i="28" a="1"/>
  <c r="T31" i="28" a="1"/>
  <c r="U31" i="28" a="1"/>
  <c r="V31" i="28" a="1"/>
  <c r="W31" i="28" a="1"/>
  <c r="X31" i="28" a="1"/>
  <c r="Y31" i="28" a="1"/>
  <c r="Z31" i="28" a="1"/>
  <c r="AA31" i="28" a="1"/>
  <c r="AB31" i="28" a="1"/>
  <c r="AC31" i="28" a="1"/>
  <c r="AD31" i="28" a="1"/>
  <c r="AE31" i="28" a="1"/>
  <c r="AF31" i="28" a="1"/>
  <c r="AG31" i="28" a="1"/>
  <c r="AH31" i="28" a="1"/>
  <c r="AI31" i="28" a="1"/>
  <c r="AJ31" i="28" a="1"/>
  <c r="AK31" i="28" a="1"/>
  <c r="AL31" i="28" a="1"/>
  <c r="AM31" i="28" a="1"/>
  <c r="AN31" i="28" a="1"/>
  <c r="AO31" i="28" a="1"/>
  <c r="AP31" i="28" a="1"/>
  <c r="AQ31" i="28" a="1"/>
  <c r="AR31" i="28" a="1"/>
  <c r="AS31" i="28" a="1"/>
  <c r="AT31" i="28" a="1"/>
  <c r="AU31" i="28" a="1"/>
  <c r="AV31" i="28" a="1"/>
  <c r="AW31" i="28" a="1"/>
  <c r="AX31" i="28" a="1"/>
  <c r="AY31" i="28" a="1"/>
  <c r="AZ31" i="28" a="1"/>
  <c r="BA31" i="28" a="1"/>
  <c r="BB31" i="28" a="1"/>
  <c r="BC31" i="28" a="1"/>
  <c r="BD31" i="28" a="1"/>
  <c r="BE31" i="28" a="1"/>
  <c r="BF31" i="28" a="1"/>
  <c r="BG31" i="28" a="1"/>
  <c r="BH31" i="28" a="1"/>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W18" i="28"/>
  <c r="C19" i="28"/>
  <c r="E32" i="28" a="1"/>
  <c r="E32" i="28"/>
  <c r="F32" i="28" a="1"/>
  <c r="F32" i="28"/>
  <c r="G32" i="28" a="1"/>
  <c r="H32" i="28" a="1"/>
  <c r="I32" i="28" a="1"/>
  <c r="J32" i="28" a="1"/>
  <c r="K32" i="28" a="1"/>
  <c r="L32" i="28" a="1"/>
  <c r="M32" i="28" a="1"/>
  <c r="N32" i="28" a="1"/>
  <c r="O32" i="28" a="1"/>
  <c r="P32" i="28" a="1"/>
  <c r="Q32" i="28" a="1"/>
  <c r="R32" i="28" a="1"/>
  <c r="S32" i="28" a="1"/>
  <c r="T32" i="28" a="1"/>
  <c r="U32" i="28" a="1"/>
  <c r="V32" i="28" a="1"/>
  <c r="W32" i="28" a="1"/>
  <c r="X32" i="28" a="1"/>
  <c r="Y32" i="28" a="1"/>
  <c r="Z32" i="28" a="1"/>
  <c r="AA32" i="28" a="1"/>
  <c r="AB32" i="28" a="1"/>
  <c r="AC32" i="28" a="1"/>
  <c r="AD32" i="28" a="1"/>
  <c r="AE32" i="28" a="1"/>
  <c r="AF32" i="28" a="1"/>
  <c r="AG32" i="28" a="1"/>
  <c r="AH32" i="28" a="1"/>
  <c r="AI32" i="28" a="1"/>
  <c r="AJ32" i="28" a="1"/>
  <c r="AK32" i="28" a="1"/>
  <c r="AL32" i="28" a="1"/>
  <c r="AM32" i="28" a="1"/>
  <c r="AN32" i="28" a="1"/>
  <c r="AO32" i="28" a="1"/>
  <c r="AP32" i="28" a="1"/>
  <c r="AQ32" i="28" a="1"/>
  <c r="AR32" i="28" a="1"/>
  <c r="AS32" i="28" a="1"/>
  <c r="AT32" i="28" a="1"/>
  <c r="AU32" i="28" a="1"/>
  <c r="AV32" i="28" a="1"/>
  <c r="AW32" i="28" a="1"/>
  <c r="AX32" i="28" a="1"/>
  <c r="AY32" i="28" a="1"/>
  <c r="AZ32" i="28" a="1"/>
  <c r="BA32" i="28" a="1"/>
  <c r="BB32" i="28" a="1"/>
  <c r="BC32" i="28" a="1"/>
  <c r="BD32" i="28" a="1"/>
  <c r="BE32" i="28" a="1"/>
  <c r="BF32" i="28" a="1"/>
  <c r="BG32" i="28" a="1"/>
  <c r="BH32" i="28" a="1"/>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W19" i="28"/>
  <c r="C20" i="28"/>
  <c r="E33" i="28" a="1"/>
  <c r="E33" i="28"/>
  <c r="F33" i="28" a="1"/>
  <c r="F33" i="28"/>
  <c r="G33" i="28" a="1"/>
  <c r="H33" i="28" a="1"/>
  <c r="I33" i="28" a="1"/>
  <c r="J33" i="28" a="1"/>
  <c r="K33" i="28" a="1"/>
  <c r="L33" i="28" a="1"/>
  <c r="M33" i="28" a="1"/>
  <c r="N33" i="28" a="1"/>
  <c r="O33" i="28" a="1"/>
  <c r="P33" i="28" a="1"/>
  <c r="Q33" i="28" a="1"/>
  <c r="R33" i="28" a="1"/>
  <c r="S33" i="28" a="1"/>
  <c r="T33" i="28" a="1"/>
  <c r="U33" i="28" a="1"/>
  <c r="V33" i="28" a="1"/>
  <c r="W33" i="28" a="1"/>
  <c r="X33" i="28" a="1"/>
  <c r="Y33" i="28" a="1"/>
  <c r="Z33" i="28" a="1"/>
  <c r="AA33" i="28" a="1"/>
  <c r="AB33" i="28" a="1"/>
  <c r="AC33" i="28" a="1"/>
  <c r="AD33" i="28" a="1"/>
  <c r="AE33" i="28" a="1"/>
  <c r="AF33" i="28" a="1"/>
  <c r="AG33" i="28" a="1"/>
  <c r="AH33" i="28" a="1"/>
  <c r="AI33" i="28" a="1"/>
  <c r="AJ33" i="28" a="1"/>
  <c r="AK33" i="28" a="1"/>
  <c r="AL33" i="28" a="1"/>
  <c r="AM33" i="28" a="1"/>
  <c r="AN33" i="28" a="1"/>
  <c r="AO33" i="28" a="1"/>
  <c r="AP33" i="28" a="1"/>
  <c r="AQ33" i="28" a="1"/>
  <c r="AR33" i="28" a="1"/>
  <c r="AS33" i="28" a="1"/>
  <c r="AT33" i="28" a="1"/>
  <c r="AU33" i="28" a="1"/>
  <c r="AV33" i="28" a="1"/>
  <c r="AW33" i="28" a="1"/>
  <c r="AX33" i="28" a="1"/>
  <c r="AY33" i="28" a="1"/>
  <c r="AZ33" i="28" a="1"/>
  <c r="BA33" i="28" a="1"/>
  <c r="BB33" i="28" a="1"/>
  <c r="BC33" i="28" a="1"/>
  <c r="BD33" i="28" a="1"/>
  <c r="BE33" i="28" a="1"/>
  <c r="BF33" i="28" a="1"/>
  <c r="BG33" i="28" a="1"/>
  <c r="BH33" i="28" a="1"/>
  <c r="BI33" i="28" a="1"/>
  <c r="BJ33" i="28" a="1"/>
  <c r="BK33" i="28" a="1"/>
  <c r="BL33" i="28" a="1"/>
  <c r="BM33" i="28" a="1"/>
  <c r="BN33" i="28" a="1"/>
  <c r="BO33" i="28" a="1"/>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W20" i="28"/>
  <c r="Q4" i="28"/>
  <c r="AG3" i="28"/>
  <c r="AG12" i="28"/>
  <c r="AI12" i="28"/>
  <c r="AG4" i="28"/>
  <c r="AI4" i="28"/>
  <c r="AG5" i="28"/>
  <c r="AI5" i="28"/>
  <c r="AG6" i="28"/>
  <c r="AI6" i="28"/>
  <c r="AG7" i="28"/>
  <c r="AI7" i="28"/>
  <c r="AG8" i="28"/>
  <c r="AI8" i="28"/>
  <c r="AG9" i="28"/>
  <c r="AI9" i="28"/>
  <c r="AG10" i="28"/>
  <c r="AI10" i="28"/>
  <c r="AG11" i="28"/>
  <c r="AI11" i="28"/>
  <c r="P4" i="28"/>
  <c r="AB3" i="28"/>
  <c r="AB12" i="28"/>
  <c r="AD12" i="28"/>
  <c r="AB4" i="28"/>
  <c r="AD4" i="28"/>
  <c r="AB5" i="28"/>
  <c r="AD5" i="28"/>
  <c r="AB6" i="28"/>
  <c r="AD6" i="28"/>
  <c r="AB7" i="28"/>
  <c r="AD7" i="28"/>
  <c r="AB8" i="28"/>
  <c r="AD8" i="28"/>
  <c r="AB9" i="28"/>
  <c r="AD9" i="28"/>
  <c r="AB10" i="28"/>
  <c r="AD10" i="28"/>
  <c r="AB11" i="28"/>
  <c r="AD11" i="28"/>
  <c r="O4" i="28"/>
  <c r="W3" i="28"/>
  <c r="W12" i="28"/>
  <c r="Y12" i="28"/>
  <c r="W4" i="28"/>
  <c r="Y4" i="28"/>
  <c r="W5" i="28"/>
  <c r="Y5" i="28"/>
  <c r="W6" i="28"/>
  <c r="Y6" i="28"/>
  <c r="W7" i="28"/>
  <c r="Y7" i="28"/>
  <c r="W8" i="28"/>
  <c r="Y8" i="28"/>
  <c r="W9" i="28"/>
  <c r="Y9" i="28"/>
  <c r="W10" i="28"/>
  <c r="Y10" i="28"/>
  <c r="W11" i="28"/>
  <c r="Y11" i="28"/>
  <c r="F12" i="17"/>
  <c r="F4" i="17"/>
  <c r="F5" i="17"/>
  <c r="F6" i="17"/>
  <c r="F7" i="17"/>
  <c r="F8" i="17"/>
  <c r="F9" i="17"/>
  <c r="F10" i="17"/>
  <c r="F11" i="17"/>
  <c r="F13" i="17"/>
  <c r="F14" i="3"/>
  <c r="BR52" i="17"/>
  <c r="BT51" i="17"/>
  <c r="BU51" i="17"/>
  <c r="BV51" i="17"/>
  <c r="BW51" i="17"/>
  <c r="BX51" i="17"/>
  <c r="BY51" i="17"/>
  <c r="BZ51" i="17"/>
  <c r="CA51" i="17"/>
  <c r="BR53" i="17"/>
  <c r="BS51" i="17"/>
  <c r="BR54" i="17"/>
  <c r="BR55" i="17"/>
  <c r="BR56" i="17"/>
  <c r="BR57" i="17"/>
  <c r="BR58" i="17"/>
  <c r="BR59" i="17"/>
  <c r="BR60" i="17"/>
  <c r="BR30" i="17"/>
  <c r="BT29" i="17"/>
  <c r="BR31" i="17"/>
  <c r="BS29" i="17"/>
  <c r="BU29" i="17"/>
  <c r="BR32" i="17"/>
  <c r="BV29" i="17"/>
  <c r="BR33" i="17"/>
  <c r="BW29" i="17"/>
  <c r="BR34" i="17"/>
  <c r="BX29" i="17"/>
  <c r="BR35" i="17"/>
  <c r="BY29" i="17"/>
  <c r="BR36" i="17"/>
  <c r="BZ29" i="17"/>
  <c r="BR37" i="17"/>
  <c r="CA29" i="17"/>
  <c r="BR38" i="17"/>
  <c r="BR52" i="30"/>
  <c r="BS51" i="30"/>
  <c r="BU51" i="30"/>
  <c r="BR54" i="30"/>
  <c r="BR41" i="30"/>
  <c r="BS40" i="30"/>
  <c r="BR30" i="30"/>
  <c r="BS29" i="30"/>
  <c r="BU40" i="30"/>
  <c r="BU29" i="30"/>
  <c r="BR32" i="30"/>
  <c r="BR43" i="30"/>
  <c r="I25" i="31"/>
  <c r="K25" i="31"/>
  <c r="AC25" i="31"/>
  <c r="AD25" i="31"/>
  <c r="U25" i="31"/>
  <c r="I26" i="31"/>
  <c r="K26" i="31"/>
  <c r="AC26" i="31"/>
  <c r="AD26" i="31"/>
  <c r="U26" i="31"/>
  <c r="I27" i="31"/>
  <c r="K27" i="31"/>
  <c r="AC27" i="31"/>
  <c r="AD27" i="31"/>
  <c r="U27" i="31"/>
  <c r="I28" i="31"/>
  <c r="K28" i="31"/>
  <c r="AC28" i="31"/>
  <c r="AD28" i="31"/>
  <c r="U28" i="31"/>
  <c r="I29" i="31"/>
  <c r="K29" i="31"/>
  <c r="AC29" i="31"/>
  <c r="AD29" i="31"/>
  <c r="U29" i="31"/>
  <c r="I30" i="31"/>
  <c r="K30" i="31"/>
  <c r="AC30" i="31"/>
  <c r="AD30" i="31"/>
  <c r="U30" i="31"/>
  <c r="AI26" i="27"/>
  <c r="Y17" i="30"/>
  <c r="AI28" i="27"/>
  <c r="Y19" i="30"/>
  <c r="BR52" i="28"/>
  <c r="BS51" i="28"/>
  <c r="BU51" i="28"/>
  <c r="BR54" i="28"/>
  <c r="BR41" i="28"/>
  <c r="BS40" i="28"/>
  <c r="BR30" i="28"/>
  <c r="BS29" i="28"/>
  <c r="BU40" i="28"/>
  <c r="BU29" i="28"/>
  <c r="BR32" i="28"/>
  <c r="BR43" i="28"/>
  <c r="AI12" i="27"/>
  <c r="Y17" i="28"/>
  <c r="AI14" i="27"/>
  <c r="Y19" i="28"/>
  <c r="BR52" i="29"/>
  <c r="BS51" i="29"/>
  <c r="BU51" i="29"/>
  <c r="BR54" i="29"/>
  <c r="BR41" i="29"/>
  <c r="BS40" i="29"/>
  <c r="BR30" i="29"/>
  <c r="BS29" i="29"/>
  <c r="BU40" i="29"/>
  <c r="BU29" i="29"/>
  <c r="BR32" i="29"/>
  <c r="BR43" i="29"/>
  <c r="AI19" i="27"/>
  <c r="Y17" i="29"/>
  <c r="AI21" i="27"/>
  <c r="Y19" i="29"/>
  <c r="E34" i="10"/>
  <c r="E25" i="10"/>
  <c r="E16" i="10"/>
  <c r="E7" i="10"/>
  <c r="Z17" i="3"/>
  <c r="Z21" i="3"/>
  <c r="AB17" i="6"/>
  <c r="AB16" i="6"/>
  <c r="AB15" i="6"/>
  <c r="AB14" i="6"/>
  <c r="AB13" i="6"/>
  <c r="AB12" i="6"/>
  <c r="AB11" i="6"/>
  <c r="AD25" i="17"/>
  <c r="C25" i="17"/>
  <c r="AE25" i="17"/>
  <c r="AE17" i="17"/>
  <c r="AE18" i="17"/>
  <c r="AE19" i="17"/>
  <c r="AE20" i="17"/>
  <c r="AE21" i="17"/>
  <c r="AE22" i="17"/>
  <c r="AE23" i="17"/>
  <c r="AE24" i="17"/>
  <c r="AF25" i="17"/>
  <c r="I25" i="17"/>
  <c r="H25" i="17"/>
  <c r="G25" i="17"/>
  <c r="F25" i="17"/>
  <c r="E25" i="17"/>
  <c r="D25" i="17"/>
  <c r="AD24" i="17"/>
  <c r="C24" i="17"/>
  <c r="AF24" i="17"/>
  <c r="I24" i="17"/>
  <c r="H24" i="17"/>
  <c r="G24" i="17"/>
  <c r="F24" i="17"/>
  <c r="E24" i="17"/>
  <c r="D24" i="17"/>
  <c r="AD23" i="17"/>
  <c r="C23" i="17"/>
  <c r="AF23" i="17"/>
  <c r="I23" i="17"/>
  <c r="H23" i="17"/>
  <c r="G23" i="17"/>
  <c r="F23" i="17"/>
  <c r="E23" i="17"/>
  <c r="D23" i="17"/>
  <c r="AD22" i="17"/>
  <c r="C22" i="17"/>
  <c r="AF22" i="17"/>
  <c r="I22" i="17"/>
  <c r="H22" i="17"/>
  <c r="G22" i="17"/>
  <c r="F22" i="17"/>
  <c r="E22" i="17"/>
  <c r="D22" i="17"/>
  <c r="AD21" i="17"/>
  <c r="C21" i="17"/>
  <c r="C17" i="17"/>
  <c r="C18" i="17"/>
  <c r="C19" i="17"/>
  <c r="C20" i="17"/>
  <c r="AF21" i="17"/>
  <c r="I21" i="17"/>
  <c r="H21" i="17"/>
  <c r="G21" i="17"/>
  <c r="F21" i="17"/>
  <c r="E21" i="17"/>
  <c r="D21" i="17"/>
  <c r="AD20" i="17"/>
  <c r="AF20" i="17"/>
  <c r="I20" i="17"/>
  <c r="H20" i="17"/>
  <c r="G20" i="17"/>
  <c r="F20" i="17"/>
  <c r="E20" i="17"/>
  <c r="D20" i="17"/>
  <c r="AD19" i="17"/>
  <c r="AF19" i="17"/>
  <c r="I19" i="17"/>
  <c r="H19" i="17"/>
  <c r="G19" i="17"/>
  <c r="F19" i="17"/>
  <c r="E19" i="17"/>
  <c r="D19" i="17"/>
  <c r="AD18" i="17"/>
  <c r="AF18" i="17"/>
  <c r="I18" i="17"/>
  <c r="H18" i="17"/>
  <c r="G18" i="17"/>
  <c r="F18" i="17"/>
  <c r="E18" i="17"/>
  <c r="D18" i="17"/>
  <c r="AD17" i="17"/>
  <c r="AF17" i="17"/>
  <c r="I17" i="17"/>
  <c r="H17" i="17"/>
  <c r="G17" i="17"/>
  <c r="F17" i="17"/>
  <c r="E17" i="17"/>
  <c r="D17" i="17"/>
  <c r="B13" i="17"/>
  <c r="X12" i="31"/>
  <c r="Y12" i="31"/>
  <c r="Z12" i="31"/>
  <c r="AA12" i="31"/>
  <c r="C40" i="10"/>
  <c r="F40" i="10"/>
  <c r="C39" i="10"/>
  <c r="F39" i="10"/>
  <c r="C38" i="10"/>
  <c r="F38" i="10"/>
  <c r="C37" i="10"/>
  <c r="F37" i="10"/>
  <c r="C36" i="10"/>
  <c r="F36" i="10"/>
  <c r="C35" i="10"/>
  <c r="F35" i="10"/>
  <c r="C31" i="10"/>
  <c r="F31" i="10"/>
  <c r="C30" i="10"/>
  <c r="F30" i="10"/>
  <c r="C29" i="10"/>
  <c r="F29" i="10"/>
  <c r="C28" i="10"/>
  <c r="F28" i="10"/>
  <c r="C27" i="10"/>
  <c r="F27" i="10"/>
  <c r="C26" i="10"/>
  <c r="F26" i="10"/>
  <c r="C22" i="10"/>
  <c r="F22" i="10"/>
  <c r="C21" i="10"/>
  <c r="F21" i="10"/>
  <c r="C20" i="10"/>
  <c r="F20" i="10"/>
  <c r="C19" i="10"/>
  <c r="F19" i="10"/>
  <c r="C18" i="10"/>
  <c r="F18" i="10"/>
  <c r="C17" i="10"/>
  <c r="F17" i="10"/>
  <c r="C13" i="10"/>
  <c r="F13" i="10"/>
  <c r="C12" i="10"/>
  <c r="F12" i="10"/>
  <c r="C11" i="10"/>
  <c r="F11" i="10"/>
  <c r="C10" i="10"/>
  <c r="F10" i="10"/>
  <c r="C9" i="10"/>
  <c r="F9" i="10"/>
  <c r="C8" i="10"/>
  <c r="F8" i="10"/>
  <c r="M11" i="26"/>
  <c r="P11" i="26"/>
  <c r="J11" i="26"/>
  <c r="Q16" i="26"/>
  <c r="Q15" i="26"/>
  <c r="Q13" i="26"/>
  <c r="Q12" i="26"/>
  <c r="Q21" i="24"/>
  <c r="N21" i="24"/>
  <c r="K21" i="24"/>
  <c r="Q20" i="24"/>
  <c r="N20" i="24"/>
  <c r="K20" i="24"/>
  <c r="N18" i="24"/>
  <c r="K18" i="24"/>
  <c r="N17" i="24"/>
  <c r="K17" i="24"/>
  <c r="J11" i="24"/>
  <c r="M11" i="24"/>
  <c r="P11" i="24"/>
  <c r="Q18" i="24"/>
  <c r="Q17" i="24"/>
  <c r="Q15" i="24"/>
  <c r="Q14" i="24"/>
  <c r="Q13" i="24"/>
  <c r="Q12" i="24"/>
  <c r="X16" i="21"/>
  <c r="X13" i="21"/>
  <c r="X12" i="21"/>
  <c r="J11" i="21"/>
  <c r="M11" i="21"/>
  <c r="P11" i="21"/>
  <c r="Q17" i="21"/>
  <c r="Q16" i="21"/>
  <c r="Q15" i="21"/>
  <c r="Q14" i="21"/>
  <c r="Q13" i="21"/>
  <c r="Q12" i="21"/>
  <c r="X25" i="31"/>
  <c r="Y25" i="31"/>
  <c r="Z25" i="31"/>
  <c r="AA25" i="31"/>
  <c r="BR60" i="30"/>
  <c r="BZ51" i="30"/>
  <c r="BY51" i="30"/>
  <c r="BX51" i="30"/>
  <c r="BW51" i="30"/>
  <c r="BR59" i="30"/>
  <c r="CA51" i="30"/>
  <c r="BR58" i="30"/>
  <c r="BR57" i="30"/>
  <c r="BR56" i="30"/>
  <c r="BR37" i="30"/>
  <c r="CA29" i="30"/>
  <c r="BR38" i="30"/>
  <c r="BZ29" i="30"/>
  <c r="BR36" i="30"/>
  <c r="BY29" i="30"/>
  <c r="BR35" i="30"/>
  <c r="BX29" i="30"/>
  <c r="BR34" i="30"/>
  <c r="BW29" i="30"/>
  <c r="BR49" i="30"/>
  <c r="C25" i="30"/>
  <c r="BR48" i="30"/>
  <c r="C24" i="30"/>
  <c r="BR47" i="30"/>
  <c r="C23" i="30"/>
  <c r="BR46" i="30"/>
  <c r="C22" i="30"/>
  <c r="BR45" i="30"/>
  <c r="C21" i="30"/>
  <c r="CA40" i="30"/>
  <c r="BZ40" i="30"/>
  <c r="BY40" i="30"/>
  <c r="BX40" i="30"/>
  <c r="BW40" i="30"/>
  <c r="C38" i="30"/>
  <c r="C37" i="30"/>
  <c r="C36" i="30"/>
  <c r="C35" i="30"/>
  <c r="C34" i="30"/>
  <c r="C32" i="30"/>
  <c r="C30" i="30"/>
  <c r="BR60" i="29"/>
  <c r="BZ51" i="29"/>
  <c r="BY51" i="29"/>
  <c r="BX51" i="29"/>
  <c r="BW51" i="29"/>
  <c r="BR59" i="29"/>
  <c r="CA51" i="29"/>
  <c r="BR58" i="29"/>
  <c r="BR57" i="29"/>
  <c r="BR56" i="29"/>
  <c r="BR37" i="29"/>
  <c r="CA29" i="29"/>
  <c r="BR38" i="29"/>
  <c r="BZ29" i="29"/>
  <c r="BR36" i="29"/>
  <c r="BY29" i="29"/>
  <c r="BR35" i="29"/>
  <c r="BX29" i="29"/>
  <c r="BR34" i="29"/>
  <c r="BW29" i="29"/>
  <c r="BR49" i="29"/>
  <c r="C25" i="29"/>
  <c r="BR48" i="29"/>
  <c r="C24" i="29"/>
  <c r="BR47" i="29"/>
  <c r="C23" i="29"/>
  <c r="BR46" i="29"/>
  <c r="C22" i="29"/>
  <c r="BR45" i="29"/>
  <c r="C21" i="29"/>
  <c r="CA40" i="29"/>
  <c r="BZ40" i="29"/>
  <c r="BY40" i="29"/>
  <c r="BX40" i="29"/>
  <c r="BW40" i="29"/>
  <c r="C38" i="29"/>
  <c r="C37" i="29"/>
  <c r="C36" i="29"/>
  <c r="C35" i="29"/>
  <c r="C34" i="29"/>
  <c r="C32" i="29"/>
  <c r="C30" i="29"/>
  <c r="AB207" i="30"/>
  <c r="Z207" i="30"/>
  <c r="AB206" i="30"/>
  <c r="Z206" i="30"/>
  <c r="AB205" i="30"/>
  <c r="Z205" i="30"/>
  <c r="AB204" i="30"/>
  <c r="Z204" i="30"/>
  <c r="AB203" i="30"/>
  <c r="Z203" i="30"/>
  <c r="AB202" i="30"/>
  <c r="Z202" i="30"/>
  <c r="AB201" i="30"/>
  <c r="Z201" i="30"/>
  <c r="AB200" i="30"/>
  <c r="Z200" i="30"/>
  <c r="AB199" i="30"/>
  <c r="Z199" i="30"/>
  <c r="AB198" i="30"/>
  <c r="Z198" i="30"/>
  <c r="AB197" i="30"/>
  <c r="Z197" i="30"/>
  <c r="AB196" i="30"/>
  <c r="Z196" i="30"/>
  <c r="AB195" i="30"/>
  <c r="Z195" i="30"/>
  <c r="AB194" i="30"/>
  <c r="Z194" i="30"/>
  <c r="AB193" i="30"/>
  <c r="Z193" i="30"/>
  <c r="AB192" i="30"/>
  <c r="Z192" i="30"/>
  <c r="AB191" i="30"/>
  <c r="Z191" i="30"/>
  <c r="AB190" i="30"/>
  <c r="Z190" i="30"/>
  <c r="AB189" i="30"/>
  <c r="Z189" i="30"/>
  <c r="AB188" i="30"/>
  <c r="Z188" i="30"/>
  <c r="AB187" i="30"/>
  <c r="Z187" i="30"/>
  <c r="AB186" i="30"/>
  <c r="Z186" i="30"/>
  <c r="AB185" i="30"/>
  <c r="Z185" i="30"/>
  <c r="AB184" i="30"/>
  <c r="Z184" i="30"/>
  <c r="AB183" i="30"/>
  <c r="Z183" i="30"/>
  <c r="AB182" i="30"/>
  <c r="Z182" i="30"/>
  <c r="AB181" i="30"/>
  <c r="Z181" i="30"/>
  <c r="AB180" i="30"/>
  <c r="Z180" i="30"/>
  <c r="AB179" i="30"/>
  <c r="Z179" i="30"/>
  <c r="AB178" i="30"/>
  <c r="Z178" i="30"/>
  <c r="AB177" i="30"/>
  <c r="Z177" i="30"/>
  <c r="AB176" i="30"/>
  <c r="Z176" i="30"/>
  <c r="AB175" i="30"/>
  <c r="Z175" i="30"/>
  <c r="AB174" i="30"/>
  <c r="Z174" i="30"/>
  <c r="AB173" i="30"/>
  <c r="Z173" i="30"/>
  <c r="AB172" i="30"/>
  <c r="Z172" i="30"/>
  <c r="AB171" i="30"/>
  <c r="Z171" i="30"/>
  <c r="AB170" i="30"/>
  <c r="Z170" i="30"/>
  <c r="AB169" i="30"/>
  <c r="Z169" i="30"/>
  <c r="AB168" i="30"/>
  <c r="Z168" i="30"/>
  <c r="AB167" i="30"/>
  <c r="Z167" i="30"/>
  <c r="AB166" i="30"/>
  <c r="Z166" i="30"/>
  <c r="AB165" i="30"/>
  <c r="Z165" i="30"/>
  <c r="AB164" i="30"/>
  <c r="Z164" i="30"/>
  <c r="AB163" i="30"/>
  <c r="Z163" i="30"/>
  <c r="AB162" i="30"/>
  <c r="Z162" i="30"/>
  <c r="AB161" i="30"/>
  <c r="Z161" i="30"/>
  <c r="AB160" i="30"/>
  <c r="Z160" i="30"/>
  <c r="AB159" i="30"/>
  <c r="Z159" i="30"/>
  <c r="AB158" i="30"/>
  <c r="Z158" i="30"/>
  <c r="AB157" i="30"/>
  <c r="Z157" i="30"/>
  <c r="AB156" i="30"/>
  <c r="Z156" i="30"/>
  <c r="AB155" i="30"/>
  <c r="Z155" i="30"/>
  <c r="AB154" i="30"/>
  <c r="Z154" i="30"/>
  <c r="AI144" i="30"/>
  <c r="AA144" i="30"/>
  <c r="AB144" i="30"/>
  <c r="Z144" i="30"/>
  <c r="AI143" i="30"/>
  <c r="AA143" i="30"/>
  <c r="AB143" i="30"/>
  <c r="Z143" i="30"/>
  <c r="AI142" i="30"/>
  <c r="AA142" i="30"/>
  <c r="AB142" i="30"/>
  <c r="Z142" i="30"/>
  <c r="AH135" i="30"/>
  <c r="AG135" i="30"/>
  <c r="AB135" i="30"/>
  <c r="Z135" i="30"/>
  <c r="Y135" i="30"/>
  <c r="X135" i="30"/>
  <c r="W135" i="30"/>
  <c r="V135" i="30"/>
  <c r="AH134" i="30"/>
  <c r="AG134" i="30"/>
  <c r="AB134" i="30"/>
  <c r="Z134" i="30"/>
  <c r="Y134" i="30"/>
  <c r="X134" i="30"/>
  <c r="W134" i="30"/>
  <c r="V134" i="30"/>
  <c r="AH133" i="30"/>
  <c r="AG133" i="30"/>
  <c r="AB133" i="30"/>
  <c r="Z133" i="30"/>
  <c r="Y133" i="30"/>
  <c r="X133" i="30"/>
  <c r="W133" i="30"/>
  <c r="V133" i="30"/>
  <c r="AH132" i="30"/>
  <c r="AG132" i="30"/>
  <c r="AB132" i="30"/>
  <c r="Z132" i="30"/>
  <c r="Y132" i="30"/>
  <c r="X132" i="30"/>
  <c r="W132" i="30"/>
  <c r="V132" i="30"/>
  <c r="AH131" i="30"/>
  <c r="AG131" i="30"/>
  <c r="AB131" i="30"/>
  <c r="Z131" i="30"/>
  <c r="Y131" i="30"/>
  <c r="X131" i="30"/>
  <c r="W131" i="30"/>
  <c r="V131" i="30"/>
  <c r="AH130" i="30"/>
  <c r="AG130" i="30"/>
  <c r="AB130" i="30"/>
  <c r="Z130" i="30"/>
  <c r="Y130" i="30"/>
  <c r="X130" i="30"/>
  <c r="W130" i="30"/>
  <c r="V130" i="30"/>
  <c r="AH129" i="30"/>
  <c r="AG129" i="30"/>
  <c r="AB129" i="30"/>
  <c r="Z129" i="30"/>
  <c r="Y129" i="30"/>
  <c r="X129" i="30"/>
  <c r="W129" i="30"/>
  <c r="V129" i="30"/>
  <c r="AH128" i="30"/>
  <c r="AG128" i="30"/>
  <c r="AB128" i="30"/>
  <c r="Z128" i="30"/>
  <c r="Y128" i="30"/>
  <c r="X128" i="30"/>
  <c r="W128" i="30"/>
  <c r="V128" i="30"/>
  <c r="AH127" i="30"/>
  <c r="AG127" i="30"/>
  <c r="AB127" i="30"/>
  <c r="Z127" i="30"/>
  <c r="Y127" i="30"/>
  <c r="X127" i="30"/>
  <c r="W127" i="30"/>
  <c r="V127" i="30"/>
  <c r="AH126" i="30"/>
  <c r="AG126" i="30"/>
  <c r="AB126" i="30"/>
  <c r="Z126" i="30"/>
  <c r="Y126" i="30"/>
  <c r="X126" i="30"/>
  <c r="W126" i="30"/>
  <c r="V126" i="30"/>
  <c r="AH125" i="30"/>
  <c r="AG125" i="30"/>
  <c r="AB125" i="30"/>
  <c r="Z125" i="30"/>
  <c r="Y125" i="30"/>
  <c r="X125" i="30"/>
  <c r="W125" i="30"/>
  <c r="V125" i="30"/>
  <c r="AH124" i="30"/>
  <c r="AG124" i="30"/>
  <c r="AB124" i="30"/>
  <c r="Z124" i="30"/>
  <c r="Y124" i="30"/>
  <c r="X124" i="30"/>
  <c r="W124" i="30"/>
  <c r="V124" i="30"/>
  <c r="AH123" i="30"/>
  <c r="AG123" i="30"/>
  <c r="AB123" i="30"/>
  <c r="Z123" i="30"/>
  <c r="Y123" i="30"/>
  <c r="X123" i="30"/>
  <c r="W123" i="30"/>
  <c r="V123" i="30"/>
  <c r="AH122" i="30"/>
  <c r="AG122" i="30"/>
  <c r="AB122" i="30"/>
  <c r="Z122" i="30"/>
  <c r="Y122" i="30"/>
  <c r="X122" i="30"/>
  <c r="W122" i="30"/>
  <c r="V122" i="30"/>
  <c r="AH121" i="30"/>
  <c r="AG121" i="30"/>
  <c r="AB121" i="30"/>
  <c r="Z121" i="30"/>
  <c r="Y121" i="30"/>
  <c r="X121" i="30"/>
  <c r="W121" i="30"/>
  <c r="V121" i="30"/>
  <c r="AH120" i="30"/>
  <c r="AG120" i="30"/>
  <c r="AB120" i="30"/>
  <c r="Z120" i="30"/>
  <c r="Y120" i="30"/>
  <c r="X120" i="30"/>
  <c r="W120" i="30"/>
  <c r="V120" i="30"/>
  <c r="AH119" i="30"/>
  <c r="AG119" i="30"/>
  <c r="AB119" i="30"/>
  <c r="Z119" i="30"/>
  <c r="Y119" i="30"/>
  <c r="X119" i="30"/>
  <c r="W119" i="30"/>
  <c r="V119" i="30"/>
  <c r="AH118" i="30"/>
  <c r="AG118" i="30"/>
  <c r="AB118" i="30"/>
  <c r="Z118" i="30"/>
  <c r="Y118" i="30"/>
  <c r="X118" i="30"/>
  <c r="W118" i="30"/>
  <c r="V118" i="30"/>
  <c r="AH117" i="30"/>
  <c r="AG117" i="30"/>
  <c r="AB117" i="30"/>
  <c r="Z117" i="30"/>
  <c r="Y117" i="30"/>
  <c r="X117" i="30"/>
  <c r="W117" i="30"/>
  <c r="V117" i="30"/>
  <c r="AH116" i="30"/>
  <c r="AG116" i="30"/>
  <c r="AB116" i="30"/>
  <c r="Z116" i="30"/>
  <c r="Y116" i="30"/>
  <c r="X116" i="30"/>
  <c r="W116" i="30"/>
  <c r="V116" i="30"/>
  <c r="AH115" i="30"/>
  <c r="AG115" i="30"/>
  <c r="AB115" i="30"/>
  <c r="Z115" i="30"/>
  <c r="Y115" i="30"/>
  <c r="X115" i="30"/>
  <c r="W115" i="30"/>
  <c r="V115" i="30"/>
  <c r="AH114" i="30"/>
  <c r="AG114" i="30"/>
  <c r="AB114" i="30"/>
  <c r="Z114" i="30"/>
  <c r="Y114" i="30"/>
  <c r="X114" i="30"/>
  <c r="W114" i="30"/>
  <c r="V114" i="30"/>
  <c r="AH113" i="30"/>
  <c r="AG113" i="30"/>
  <c r="AB113" i="30"/>
  <c r="Z113" i="30"/>
  <c r="Y113" i="30"/>
  <c r="X113" i="30"/>
  <c r="W113" i="30"/>
  <c r="V113" i="30"/>
  <c r="AH112" i="30"/>
  <c r="AG112" i="30"/>
  <c r="AB112" i="30"/>
  <c r="Z112" i="30"/>
  <c r="Y112" i="30"/>
  <c r="X112" i="30"/>
  <c r="W112" i="30"/>
  <c r="V112" i="30"/>
  <c r="AH111" i="30"/>
  <c r="AG111" i="30"/>
  <c r="AB111" i="30"/>
  <c r="Z111" i="30"/>
  <c r="Y111" i="30"/>
  <c r="X111" i="30"/>
  <c r="W111" i="30"/>
  <c r="V111" i="30"/>
  <c r="AH110" i="30"/>
  <c r="AG110" i="30"/>
  <c r="AB110" i="30"/>
  <c r="Z110" i="30"/>
  <c r="Y110" i="30"/>
  <c r="X110" i="30"/>
  <c r="W110" i="30"/>
  <c r="V110" i="30"/>
  <c r="AH109" i="30"/>
  <c r="AG109" i="30"/>
  <c r="AB109" i="30"/>
  <c r="Z109" i="30"/>
  <c r="Y109" i="30"/>
  <c r="X109" i="30"/>
  <c r="W109" i="30"/>
  <c r="V109" i="30"/>
  <c r="AH108" i="30"/>
  <c r="AG108" i="30"/>
  <c r="AB108" i="30"/>
  <c r="Z108" i="30"/>
  <c r="Y108" i="30"/>
  <c r="X108" i="30"/>
  <c r="W108" i="30"/>
  <c r="V108" i="30"/>
  <c r="AH107" i="30"/>
  <c r="AG107" i="30"/>
  <c r="AB107" i="30"/>
  <c r="Z107" i="30"/>
  <c r="Y107" i="30"/>
  <c r="X107" i="30"/>
  <c r="W107" i="30"/>
  <c r="V107" i="30"/>
  <c r="AH106" i="30"/>
  <c r="AG106" i="30"/>
  <c r="AB106" i="30"/>
  <c r="Z106" i="30"/>
  <c r="Y106" i="30"/>
  <c r="X106" i="30"/>
  <c r="W106" i="30"/>
  <c r="V106" i="30"/>
  <c r="AH105" i="30"/>
  <c r="AG105" i="30"/>
  <c r="AB105" i="30"/>
  <c r="Z105" i="30"/>
  <c r="Y105" i="30"/>
  <c r="X105" i="30"/>
  <c r="W105" i="30"/>
  <c r="V105" i="30"/>
  <c r="AH104" i="30"/>
  <c r="AG104" i="30"/>
  <c r="AB104" i="30"/>
  <c r="Z104" i="30"/>
  <c r="Y104" i="30"/>
  <c r="X104" i="30"/>
  <c r="W104" i="30"/>
  <c r="V104" i="30"/>
  <c r="AH103" i="30"/>
  <c r="AG103" i="30"/>
  <c r="AB103" i="30"/>
  <c r="Z103" i="30"/>
  <c r="Y103" i="30"/>
  <c r="X103" i="30"/>
  <c r="W103" i="30"/>
  <c r="V103" i="30"/>
  <c r="AH102" i="30"/>
  <c r="AG102" i="30"/>
  <c r="AB102" i="30"/>
  <c r="Z102" i="30"/>
  <c r="Y102" i="30"/>
  <c r="X102" i="30"/>
  <c r="W102" i="30"/>
  <c r="V102" i="30"/>
  <c r="AH101" i="30"/>
  <c r="AG101" i="30"/>
  <c r="AB101" i="30"/>
  <c r="Z101" i="30"/>
  <c r="Y101" i="30"/>
  <c r="X101" i="30"/>
  <c r="W101" i="30"/>
  <c r="V101" i="30"/>
  <c r="AH100" i="30"/>
  <c r="AG100" i="30"/>
  <c r="AB100" i="30"/>
  <c r="Z100" i="30"/>
  <c r="Y100" i="30"/>
  <c r="X100" i="30"/>
  <c r="W100" i="30"/>
  <c r="V100" i="30"/>
  <c r="AH99" i="30"/>
  <c r="AG99" i="30"/>
  <c r="AB99" i="30"/>
  <c r="Z99" i="30"/>
  <c r="Y99" i="30"/>
  <c r="X99" i="30"/>
  <c r="W99" i="30"/>
  <c r="V99" i="30"/>
  <c r="AH98" i="30"/>
  <c r="AG98" i="30"/>
  <c r="AB98" i="30"/>
  <c r="Z98" i="30"/>
  <c r="Y98" i="30"/>
  <c r="X98" i="30"/>
  <c r="W98" i="30"/>
  <c r="V98" i="30"/>
  <c r="AH97" i="30"/>
  <c r="AG97" i="30"/>
  <c r="AB97" i="30"/>
  <c r="Z97" i="30"/>
  <c r="Y97" i="30"/>
  <c r="X97" i="30"/>
  <c r="W97" i="30"/>
  <c r="V97" i="30"/>
  <c r="AH96" i="30"/>
  <c r="AG96" i="30"/>
  <c r="AB96" i="30"/>
  <c r="Z96" i="30"/>
  <c r="Y96" i="30"/>
  <c r="X96" i="30"/>
  <c r="W96" i="30"/>
  <c r="V96" i="30"/>
  <c r="AH95" i="30"/>
  <c r="AG95" i="30"/>
  <c r="AB95" i="30"/>
  <c r="Z95" i="30"/>
  <c r="Y95" i="30"/>
  <c r="X95" i="30"/>
  <c r="W95" i="30"/>
  <c r="V95" i="30"/>
  <c r="AH94" i="30"/>
  <c r="AG94" i="30"/>
  <c r="AB94" i="30"/>
  <c r="Z94" i="30"/>
  <c r="Y94" i="30"/>
  <c r="X94" i="30"/>
  <c r="W94" i="30"/>
  <c r="V94" i="30"/>
  <c r="AH93" i="30"/>
  <c r="AG93" i="30"/>
  <c r="AB93" i="30"/>
  <c r="Z93" i="30"/>
  <c r="Y93" i="30"/>
  <c r="X93" i="30"/>
  <c r="W93" i="30"/>
  <c r="V93" i="30"/>
  <c r="AH92" i="30"/>
  <c r="AG92" i="30"/>
  <c r="AB92" i="30"/>
  <c r="Z92" i="30"/>
  <c r="Y92" i="30"/>
  <c r="X92" i="30"/>
  <c r="W92" i="30"/>
  <c r="V92" i="30"/>
  <c r="AH91" i="30"/>
  <c r="AG91" i="30"/>
  <c r="AB91" i="30"/>
  <c r="Z91" i="30"/>
  <c r="Y91" i="30"/>
  <c r="X91" i="30"/>
  <c r="W91" i="30"/>
  <c r="V91" i="30"/>
  <c r="AH90" i="30"/>
  <c r="AG90" i="30"/>
  <c r="AB90" i="30"/>
  <c r="Z90" i="30"/>
  <c r="Y90" i="30"/>
  <c r="X90" i="30"/>
  <c r="W90" i="30"/>
  <c r="V90" i="30"/>
  <c r="AH89" i="30"/>
  <c r="AG89" i="30"/>
  <c r="AB89" i="30"/>
  <c r="Z89" i="30"/>
  <c r="Y89" i="30"/>
  <c r="X89" i="30"/>
  <c r="W89" i="30"/>
  <c r="V89" i="30"/>
  <c r="AH88" i="30"/>
  <c r="AG88" i="30"/>
  <c r="AB88" i="30"/>
  <c r="Z88" i="30"/>
  <c r="Y88" i="30"/>
  <c r="X88" i="30"/>
  <c r="W88" i="30"/>
  <c r="V88" i="30"/>
  <c r="AH87" i="30"/>
  <c r="AG87" i="30"/>
  <c r="AB87" i="30"/>
  <c r="Z87" i="30"/>
  <c r="Y87" i="30"/>
  <c r="X87" i="30"/>
  <c r="W87" i="30"/>
  <c r="V87" i="30"/>
  <c r="AH86" i="30"/>
  <c r="AG86" i="30"/>
  <c r="AB86" i="30"/>
  <c r="Z86" i="30"/>
  <c r="Y86" i="30"/>
  <c r="X86" i="30"/>
  <c r="W86" i="30"/>
  <c r="V86" i="30"/>
  <c r="AH85" i="30"/>
  <c r="AG85" i="30"/>
  <c r="AB85" i="30"/>
  <c r="Z85" i="30"/>
  <c r="Y85" i="30"/>
  <c r="X85" i="30"/>
  <c r="W85" i="30"/>
  <c r="V85" i="30"/>
  <c r="AH84" i="30"/>
  <c r="AG84" i="30"/>
  <c r="AB84" i="30"/>
  <c r="Z84" i="30"/>
  <c r="Y84" i="30"/>
  <c r="X84" i="30"/>
  <c r="W84" i="30"/>
  <c r="V84" i="30"/>
  <c r="AH83" i="30"/>
  <c r="AG83" i="30"/>
  <c r="AB83" i="30"/>
  <c r="Z83" i="30"/>
  <c r="Y83" i="30"/>
  <c r="X83" i="30"/>
  <c r="W83" i="30"/>
  <c r="V83" i="30"/>
  <c r="AH82" i="30"/>
  <c r="AG82" i="30"/>
  <c r="AB82" i="30"/>
  <c r="Z82" i="30"/>
  <c r="Y82" i="30"/>
  <c r="X82" i="30"/>
  <c r="W82" i="30"/>
  <c r="V82" i="30"/>
  <c r="AI72" i="30"/>
  <c r="Z72" i="30"/>
  <c r="AI71" i="30"/>
  <c r="Z71" i="30"/>
  <c r="AI70" i="30"/>
  <c r="Z70" i="30"/>
  <c r="AB207" i="29"/>
  <c r="Z207" i="29"/>
  <c r="AB206" i="29"/>
  <c r="Z206" i="29"/>
  <c r="AB205" i="29"/>
  <c r="Z205" i="29"/>
  <c r="AB204" i="29"/>
  <c r="Z204" i="29"/>
  <c r="AB203" i="29"/>
  <c r="Z203" i="29"/>
  <c r="AB202" i="29"/>
  <c r="Z202" i="29"/>
  <c r="AB201" i="29"/>
  <c r="Z201" i="29"/>
  <c r="AB200" i="29"/>
  <c r="Z200" i="29"/>
  <c r="AB199" i="29"/>
  <c r="Z199" i="29"/>
  <c r="AB198" i="29"/>
  <c r="Z198" i="29"/>
  <c r="AB197" i="29"/>
  <c r="Z197" i="29"/>
  <c r="AB196" i="29"/>
  <c r="Z196" i="29"/>
  <c r="AB195" i="29"/>
  <c r="Z195" i="29"/>
  <c r="AB194" i="29"/>
  <c r="Z194" i="29"/>
  <c r="AB193" i="29"/>
  <c r="Z193" i="29"/>
  <c r="AB192" i="29"/>
  <c r="Z192" i="29"/>
  <c r="AB191" i="29"/>
  <c r="Z191" i="29"/>
  <c r="AB190" i="29"/>
  <c r="Z190" i="29"/>
  <c r="AB189" i="29"/>
  <c r="Z189" i="29"/>
  <c r="AB188" i="29"/>
  <c r="Z188" i="29"/>
  <c r="AB187" i="29"/>
  <c r="Z187" i="29"/>
  <c r="AB186" i="29"/>
  <c r="Z186" i="29"/>
  <c r="AB185" i="29"/>
  <c r="Z185" i="29"/>
  <c r="AB184" i="29"/>
  <c r="Z184" i="29"/>
  <c r="AB183" i="29"/>
  <c r="Z183" i="29"/>
  <c r="AB182" i="29"/>
  <c r="Z182" i="29"/>
  <c r="AB181" i="29"/>
  <c r="Z181" i="29"/>
  <c r="AB180" i="29"/>
  <c r="Z180" i="29"/>
  <c r="AB179" i="29"/>
  <c r="Z179" i="29"/>
  <c r="AB178" i="29"/>
  <c r="Z178" i="29"/>
  <c r="AB177" i="29"/>
  <c r="Z177" i="29"/>
  <c r="AB176" i="29"/>
  <c r="Z176" i="29"/>
  <c r="AB175" i="29"/>
  <c r="Z175" i="29"/>
  <c r="AB174" i="29"/>
  <c r="Z174" i="29"/>
  <c r="AB173" i="29"/>
  <c r="Z173" i="29"/>
  <c r="AB172" i="29"/>
  <c r="Z172" i="29"/>
  <c r="AB171" i="29"/>
  <c r="Z171" i="29"/>
  <c r="AB170" i="29"/>
  <c r="Z170" i="29"/>
  <c r="AB169" i="29"/>
  <c r="Z169" i="29"/>
  <c r="AB168" i="29"/>
  <c r="Z168" i="29"/>
  <c r="AB167" i="29"/>
  <c r="Z167" i="29"/>
  <c r="AB166" i="29"/>
  <c r="Z166" i="29"/>
  <c r="AB165" i="29"/>
  <c r="Z165" i="29"/>
  <c r="AB164" i="29"/>
  <c r="Z164" i="29"/>
  <c r="AB163" i="29"/>
  <c r="Z163" i="29"/>
  <c r="AB162" i="29"/>
  <c r="Z162" i="29"/>
  <c r="AB161" i="29"/>
  <c r="Z161" i="29"/>
  <c r="AB160" i="29"/>
  <c r="Z160" i="29"/>
  <c r="AB159" i="29"/>
  <c r="Z159" i="29"/>
  <c r="AB158" i="29"/>
  <c r="Z158" i="29"/>
  <c r="AB157" i="29"/>
  <c r="Z157" i="29"/>
  <c r="AB156" i="29"/>
  <c r="Z156" i="29"/>
  <c r="AB155" i="29"/>
  <c r="Z155" i="29"/>
  <c r="AB154" i="29"/>
  <c r="Z154" i="29"/>
  <c r="AI144" i="29"/>
  <c r="AA144" i="29"/>
  <c r="AB144" i="29"/>
  <c r="Z144" i="29"/>
  <c r="AI143" i="29"/>
  <c r="AA143" i="29"/>
  <c r="AB143" i="29"/>
  <c r="Z143" i="29"/>
  <c r="AI142" i="29"/>
  <c r="AA142" i="29"/>
  <c r="AB142" i="29"/>
  <c r="Z142" i="29"/>
  <c r="AH135" i="29"/>
  <c r="AG135" i="29"/>
  <c r="AB135" i="29"/>
  <c r="Z135" i="29"/>
  <c r="Y135" i="29"/>
  <c r="X135" i="29"/>
  <c r="W135" i="29"/>
  <c r="V135" i="29"/>
  <c r="AH134" i="29"/>
  <c r="AG134" i="29"/>
  <c r="AB134" i="29"/>
  <c r="Z134" i="29"/>
  <c r="Y134" i="29"/>
  <c r="X134" i="29"/>
  <c r="W134" i="29"/>
  <c r="V134" i="29"/>
  <c r="AH133" i="29"/>
  <c r="AG133" i="29"/>
  <c r="AB133" i="29"/>
  <c r="Z133" i="29"/>
  <c r="Y133" i="29"/>
  <c r="X133" i="29"/>
  <c r="W133" i="29"/>
  <c r="V133" i="29"/>
  <c r="AH132" i="29"/>
  <c r="AG132" i="29"/>
  <c r="AB132" i="29"/>
  <c r="Z132" i="29"/>
  <c r="Y132" i="29"/>
  <c r="X132" i="29"/>
  <c r="W132" i="29"/>
  <c r="V132" i="29"/>
  <c r="AH131" i="29"/>
  <c r="AG131" i="29"/>
  <c r="AB131" i="29"/>
  <c r="Z131" i="29"/>
  <c r="Y131" i="29"/>
  <c r="X131" i="29"/>
  <c r="W131" i="29"/>
  <c r="V131" i="29"/>
  <c r="AH130" i="29"/>
  <c r="AG130" i="29"/>
  <c r="AB130" i="29"/>
  <c r="Z130" i="29"/>
  <c r="Y130" i="29"/>
  <c r="X130" i="29"/>
  <c r="W130" i="29"/>
  <c r="V130" i="29"/>
  <c r="AH129" i="29"/>
  <c r="AG129" i="29"/>
  <c r="AB129" i="29"/>
  <c r="Z129" i="29"/>
  <c r="Y129" i="29"/>
  <c r="X129" i="29"/>
  <c r="W129" i="29"/>
  <c r="V129" i="29"/>
  <c r="AH128" i="29"/>
  <c r="AG128" i="29"/>
  <c r="AB128" i="29"/>
  <c r="Z128" i="29"/>
  <c r="Y128" i="29"/>
  <c r="X128" i="29"/>
  <c r="W128" i="29"/>
  <c r="V128" i="29"/>
  <c r="AH127" i="29"/>
  <c r="AG127" i="29"/>
  <c r="AB127" i="29"/>
  <c r="Z127" i="29"/>
  <c r="Y127" i="29"/>
  <c r="X127" i="29"/>
  <c r="W127" i="29"/>
  <c r="V127" i="29"/>
  <c r="AH126" i="29"/>
  <c r="AG126" i="29"/>
  <c r="AB126" i="29"/>
  <c r="Z126" i="29"/>
  <c r="Y126" i="29"/>
  <c r="X126" i="29"/>
  <c r="W126" i="29"/>
  <c r="V126" i="29"/>
  <c r="AH125" i="29"/>
  <c r="AG125" i="29"/>
  <c r="AB125" i="29"/>
  <c r="Z125" i="29"/>
  <c r="Y125" i="29"/>
  <c r="X125" i="29"/>
  <c r="W125" i="29"/>
  <c r="V125" i="29"/>
  <c r="AH124" i="29"/>
  <c r="AG124" i="29"/>
  <c r="AB124" i="29"/>
  <c r="Z124" i="29"/>
  <c r="Y124" i="29"/>
  <c r="X124" i="29"/>
  <c r="W124" i="29"/>
  <c r="V124" i="29"/>
  <c r="AH123" i="29"/>
  <c r="AG123" i="29"/>
  <c r="AB123" i="29"/>
  <c r="Z123" i="29"/>
  <c r="Y123" i="29"/>
  <c r="X123" i="29"/>
  <c r="W123" i="29"/>
  <c r="V123" i="29"/>
  <c r="AH122" i="29"/>
  <c r="AG122" i="29"/>
  <c r="AB122" i="29"/>
  <c r="Z122" i="29"/>
  <c r="Y122" i="29"/>
  <c r="X122" i="29"/>
  <c r="W122" i="29"/>
  <c r="V122" i="29"/>
  <c r="AH121" i="29"/>
  <c r="AG121" i="29"/>
  <c r="AB121" i="29"/>
  <c r="Z121" i="29"/>
  <c r="Y121" i="29"/>
  <c r="X121" i="29"/>
  <c r="W121" i="29"/>
  <c r="V121" i="29"/>
  <c r="AH120" i="29"/>
  <c r="AG120" i="29"/>
  <c r="AB120" i="29"/>
  <c r="Z120" i="29"/>
  <c r="Y120" i="29"/>
  <c r="X120" i="29"/>
  <c r="W120" i="29"/>
  <c r="V120" i="29"/>
  <c r="AH119" i="29"/>
  <c r="AG119" i="29"/>
  <c r="AB119" i="29"/>
  <c r="Z119" i="29"/>
  <c r="Y119" i="29"/>
  <c r="X119" i="29"/>
  <c r="W119" i="29"/>
  <c r="V119" i="29"/>
  <c r="AH118" i="29"/>
  <c r="AG118" i="29"/>
  <c r="AB118" i="29"/>
  <c r="Z118" i="29"/>
  <c r="Y118" i="29"/>
  <c r="X118" i="29"/>
  <c r="W118" i="29"/>
  <c r="V118" i="29"/>
  <c r="AH117" i="29"/>
  <c r="AG117" i="29"/>
  <c r="AB117" i="29"/>
  <c r="Z117" i="29"/>
  <c r="Y117" i="29"/>
  <c r="X117" i="29"/>
  <c r="W117" i="29"/>
  <c r="V117" i="29"/>
  <c r="AH116" i="29"/>
  <c r="AG116" i="29"/>
  <c r="AB116" i="29"/>
  <c r="Z116" i="29"/>
  <c r="Y116" i="29"/>
  <c r="X116" i="29"/>
  <c r="W116" i="29"/>
  <c r="V116" i="29"/>
  <c r="AH115" i="29"/>
  <c r="AG115" i="29"/>
  <c r="AB115" i="29"/>
  <c r="Z115" i="29"/>
  <c r="Y115" i="29"/>
  <c r="X115" i="29"/>
  <c r="W115" i="29"/>
  <c r="V115" i="29"/>
  <c r="AH114" i="29"/>
  <c r="AG114" i="29"/>
  <c r="AB114" i="29"/>
  <c r="Z114" i="29"/>
  <c r="Y114" i="29"/>
  <c r="X114" i="29"/>
  <c r="W114" i="29"/>
  <c r="V114" i="29"/>
  <c r="AH113" i="29"/>
  <c r="AG113" i="29"/>
  <c r="AB113" i="29"/>
  <c r="Z113" i="29"/>
  <c r="Y113" i="29"/>
  <c r="X113" i="29"/>
  <c r="W113" i="29"/>
  <c r="V113" i="29"/>
  <c r="AH112" i="29"/>
  <c r="AG112" i="29"/>
  <c r="AB112" i="29"/>
  <c r="Z112" i="29"/>
  <c r="Y112" i="29"/>
  <c r="X112" i="29"/>
  <c r="W112" i="29"/>
  <c r="V112" i="29"/>
  <c r="AH111" i="29"/>
  <c r="AG111" i="29"/>
  <c r="AB111" i="29"/>
  <c r="Z111" i="29"/>
  <c r="Y111" i="29"/>
  <c r="X111" i="29"/>
  <c r="W111" i="29"/>
  <c r="V111" i="29"/>
  <c r="AH110" i="29"/>
  <c r="AG110" i="29"/>
  <c r="AB110" i="29"/>
  <c r="Z110" i="29"/>
  <c r="Y110" i="29"/>
  <c r="X110" i="29"/>
  <c r="W110" i="29"/>
  <c r="V110" i="29"/>
  <c r="AH109" i="29"/>
  <c r="AG109" i="29"/>
  <c r="AB109" i="29"/>
  <c r="Z109" i="29"/>
  <c r="Y109" i="29"/>
  <c r="X109" i="29"/>
  <c r="W109" i="29"/>
  <c r="V109" i="29"/>
  <c r="AH108" i="29"/>
  <c r="AG108" i="29"/>
  <c r="AB108" i="29"/>
  <c r="Z108" i="29"/>
  <c r="Y108" i="29"/>
  <c r="X108" i="29"/>
  <c r="W108" i="29"/>
  <c r="V108" i="29"/>
  <c r="AH107" i="29"/>
  <c r="AG107" i="29"/>
  <c r="AB107" i="29"/>
  <c r="Z107" i="29"/>
  <c r="Y107" i="29"/>
  <c r="X107" i="29"/>
  <c r="W107" i="29"/>
  <c r="V107" i="29"/>
  <c r="AH106" i="29"/>
  <c r="AG106" i="29"/>
  <c r="AB106" i="29"/>
  <c r="Z106" i="29"/>
  <c r="Y106" i="29"/>
  <c r="X106" i="29"/>
  <c r="W106" i="29"/>
  <c r="V106" i="29"/>
  <c r="AH105" i="29"/>
  <c r="AG105" i="29"/>
  <c r="AB105" i="29"/>
  <c r="Z105" i="29"/>
  <c r="Y105" i="29"/>
  <c r="X105" i="29"/>
  <c r="W105" i="29"/>
  <c r="V105" i="29"/>
  <c r="AH104" i="29"/>
  <c r="AG104" i="29"/>
  <c r="AB104" i="29"/>
  <c r="Z104" i="29"/>
  <c r="Y104" i="29"/>
  <c r="X104" i="29"/>
  <c r="W104" i="29"/>
  <c r="V104" i="29"/>
  <c r="AH103" i="29"/>
  <c r="AG103" i="29"/>
  <c r="AB103" i="29"/>
  <c r="Z103" i="29"/>
  <c r="Y103" i="29"/>
  <c r="X103" i="29"/>
  <c r="W103" i="29"/>
  <c r="V103" i="29"/>
  <c r="AH102" i="29"/>
  <c r="AG102" i="29"/>
  <c r="AB102" i="29"/>
  <c r="Z102" i="29"/>
  <c r="Y102" i="29"/>
  <c r="X102" i="29"/>
  <c r="W102" i="29"/>
  <c r="V102" i="29"/>
  <c r="AH101" i="29"/>
  <c r="AG101" i="29"/>
  <c r="AB101" i="29"/>
  <c r="Z101" i="29"/>
  <c r="Y101" i="29"/>
  <c r="X101" i="29"/>
  <c r="W101" i="29"/>
  <c r="V101" i="29"/>
  <c r="AH100" i="29"/>
  <c r="AG100" i="29"/>
  <c r="AB100" i="29"/>
  <c r="Z100" i="29"/>
  <c r="Y100" i="29"/>
  <c r="X100" i="29"/>
  <c r="W100" i="29"/>
  <c r="V100" i="29"/>
  <c r="AH99" i="29"/>
  <c r="AG99" i="29"/>
  <c r="AB99" i="29"/>
  <c r="Z99" i="29"/>
  <c r="Y99" i="29"/>
  <c r="X99" i="29"/>
  <c r="W99" i="29"/>
  <c r="V99" i="29"/>
  <c r="AH98" i="29"/>
  <c r="AG98" i="29"/>
  <c r="AB98" i="29"/>
  <c r="Z98" i="29"/>
  <c r="Y98" i="29"/>
  <c r="X98" i="29"/>
  <c r="W98" i="29"/>
  <c r="V98" i="29"/>
  <c r="AH97" i="29"/>
  <c r="AG97" i="29"/>
  <c r="AB97" i="29"/>
  <c r="Z97" i="29"/>
  <c r="Y97" i="29"/>
  <c r="X97" i="29"/>
  <c r="W97" i="29"/>
  <c r="V97" i="29"/>
  <c r="AH96" i="29"/>
  <c r="AG96" i="29"/>
  <c r="AB96" i="29"/>
  <c r="Z96" i="29"/>
  <c r="Y96" i="29"/>
  <c r="X96" i="29"/>
  <c r="W96" i="29"/>
  <c r="V96" i="29"/>
  <c r="AH95" i="29"/>
  <c r="AG95" i="29"/>
  <c r="AB95" i="29"/>
  <c r="Z95" i="29"/>
  <c r="Y95" i="29"/>
  <c r="X95" i="29"/>
  <c r="W95" i="29"/>
  <c r="V95" i="29"/>
  <c r="AH94" i="29"/>
  <c r="AG94" i="29"/>
  <c r="AB94" i="29"/>
  <c r="Z94" i="29"/>
  <c r="Y94" i="29"/>
  <c r="X94" i="29"/>
  <c r="W94" i="29"/>
  <c r="V94" i="29"/>
  <c r="AH93" i="29"/>
  <c r="AG93" i="29"/>
  <c r="AB93" i="29"/>
  <c r="Z93" i="29"/>
  <c r="Y93" i="29"/>
  <c r="X93" i="29"/>
  <c r="W93" i="29"/>
  <c r="V93" i="29"/>
  <c r="AH92" i="29"/>
  <c r="AG92" i="29"/>
  <c r="AB92" i="29"/>
  <c r="Z92" i="29"/>
  <c r="Y92" i="29"/>
  <c r="X92" i="29"/>
  <c r="W92" i="29"/>
  <c r="V92" i="29"/>
  <c r="AH91" i="29"/>
  <c r="AG91" i="29"/>
  <c r="AB91" i="29"/>
  <c r="Z91" i="29"/>
  <c r="Y91" i="29"/>
  <c r="X91" i="29"/>
  <c r="W91" i="29"/>
  <c r="V91" i="29"/>
  <c r="AH90" i="29"/>
  <c r="AG90" i="29"/>
  <c r="AB90" i="29"/>
  <c r="Z90" i="29"/>
  <c r="Y90" i="29"/>
  <c r="X90" i="29"/>
  <c r="W90" i="29"/>
  <c r="V90" i="29"/>
  <c r="AH89" i="29"/>
  <c r="AG89" i="29"/>
  <c r="AB89" i="29"/>
  <c r="Z89" i="29"/>
  <c r="Y89" i="29"/>
  <c r="X89" i="29"/>
  <c r="W89" i="29"/>
  <c r="V89" i="29"/>
  <c r="AH88" i="29"/>
  <c r="AG88" i="29"/>
  <c r="AB88" i="29"/>
  <c r="Z88" i="29"/>
  <c r="Y88" i="29"/>
  <c r="X88" i="29"/>
  <c r="W88" i="29"/>
  <c r="V88" i="29"/>
  <c r="AH87" i="29"/>
  <c r="AG87" i="29"/>
  <c r="AB87" i="29"/>
  <c r="Z87" i="29"/>
  <c r="Y87" i="29"/>
  <c r="X87" i="29"/>
  <c r="W87" i="29"/>
  <c r="V87" i="29"/>
  <c r="AH86" i="29"/>
  <c r="AG86" i="29"/>
  <c r="AB86" i="29"/>
  <c r="Z86" i="29"/>
  <c r="Y86" i="29"/>
  <c r="X86" i="29"/>
  <c r="W86" i="29"/>
  <c r="V86" i="29"/>
  <c r="AH85" i="29"/>
  <c r="AG85" i="29"/>
  <c r="AB85" i="29"/>
  <c r="Z85" i="29"/>
  <c r="Y85" i="29"/>
  <c r="X85" i="29"/>
  <c r="W85" i="29"/>
  <c r="V85" i="29"/>
  <c r="AH84" i="29"/>
  <c r="AG84" i="29"/>
  <c r="AB84" i="29"/>
  <c r="Z84" i="29"/>
  <c r="Y84" i="29"/>
  <c r="X84" i="29"/>
  <c r="W84" i="29"/>
  <c r="V84" i="29"/>
  <c r="AH83" i="29"/>
  <c r="AG83" i="29"/>
  <c r="AB83" i="29"/>
  <c r="Z83" i="29"/>
  <c r="Y83" i="29"/>
  <c r="X83" i="29"/>
  <c r="W83" i="29"/>
  <c r="V83" i="29"/>
  <c r="AH82" i="29"/>
  <c r="AG82" i="29"/>
  <c r="AB82" i="29"/>
  <c r="Z82" i="29"/>
  <c r="Y82" i="29"/>
  <c r="X82" i="29"/>
  <c r="W82" i="29"/>
  <c r="V82" i="29"/>
  <c r="AI72" i="29"/>
  <c r="Z72" i="29"/>
  <c r="AI71" i="29"/>
  <c r="Z71" i="29"/>
  <c r="AI70" i="29"/>
  <c r="Z70" i="29"/>
  <c r="BR60" i="28"/>
  <c r="BZ51" i="28"/>
  <c r="BY51" i="28"/>
  <c r="BX51" i="28"/>
  <c r="BW51" i="28"/>
  <c r="BR59" i="28"/>
  <c r="CA51" i="28"/>
  <c r="BR58" i="28"/>
  <c r="BR57" i="28"/>
  <c r="BR56" i="28"/>
  <c r="BR37" i="28"/>
  <c r="CA29" i="28"/>
  <c r="BR38" i="28"/>
  <c r="BZ29" i="28"/>
  <c r="BR36" i="28"/>
  <c r="BY29" i="28"/>
  <c r="BR35" i="28"/>
  <c r="BX29" i="28"/>
  <c r="BR34" i="28"/>
  <c r="BW29" i="28"/>
  <c r="BR49" i="28"/>
  <c r="C25" i="28"/>
  <c r="BR48" i="28"/>
  <c r="C24" i="28"/>
  <c r="BR47" i="28"/>
  <c r="C23" i="28"/>
  <c r="BR46" i="28"/>
  <c r="C22" i="28"/>
  <c r="BR45" i="28"/>
  <c r="C21" i="28"/>
  <c r="CA40" i="28"/>
  <c r="BZ40" i="28"/>
  <c r="BY40" i="28"/>
  <c r="BX40" i="28"/>
  <c r="BW40" i="28"/>
  <c r="C38" i="28"/>
  <c r="C37" i="28"/>
  <c r="C36" i="28"/>
  <c r="C35" i="28"/>
  <c r="C34" i="28"/>
  <c r="C32" i="28"/>
  <c r="C30" i="28"/>
  <c r="AB165" i="28"/>
  <c r="Z165" i="28"/>
  <c r="AB164" i="28"/>
  <c r="Z164" i="28"/>
  <c r="AB163" i="28"/>
  <c r="Z163" i="28"/>
  <c r="AB162" i="28"/>
  <c r="Z162" i="28"/>
  <c r="AB161" i="28"/>
  <c r="Z161" i="28"/>
  <c r="AB160" i="28"/>
  <c r="Z160" i="28"/>
  <c r="AB159" i="28"/>
  <c r="Z159" i="28"/>
  <c r="AB158" i="28"/>
  <c r="Z158" i="28"/>
  <c r="AB157" i="28"/>
  <c r="Z157" i="28"/>
  <c r="AB156" i="28"/>
  <c r="Z156" i="28"/>
  <c r="AB155" i="28"/>
  <c r="Z155" i="28"/>
  <c r="AB154" i="28"/>
  <c r="Z154" i="28"/>
  <c r="AH94" i="28"/>
  <c r="AG94" i="28"/>
  <c r="AB94" i="28"/>
  <c r="Z94" i="28"/>
  <c r="Y94" i="28"/>
  <c r="X94" i="28"/>
  <c r="W94" i="28"/>
  <c r="V94" i="28"/>
  <c r="AH93" i="28"/>
  <c r="AG93" i="28"/>
  <c r="AB93" i="28"/>
  <c r="Z93" i="28"/>
  <c r="Y93" i="28"/>
  <c r="X93" i="28"/>
  <c r="W93" i="28"/>
  <c r="V93" i="28"/>
  <c r="AH92" i="28"/>
  <c r="AG92" i="28"/>
  <c r="AB92" i="28"/>
  <c r="Z92" i="28"/>
  <c r="Y92" i="28"/>
  <c r="X92" i="28"/>
  <c r="W92" i="28"/>
  <c r="V92" i="28"/>
  <c r="AH91" i="28"/>
  <c r="AG91" i="28"/>
  <c r="AB91" i="28"/>
  <c r="Z91" i="28"/>
  <c r="Y91" i="28"/>
  <c r="X91" i="28"/>
  <c r="W91" i="28"/>
  <c r="V91" i="28"/>
  <c r="AH90" i="28"/>
  <c r="AG90" i="28"/>
  <c r="AB90" i="28"/>
  <c r="Z90" i="28"/>
  <c r="Y90" i="28"/>
  <c r="X90" i="28"/>
  <c r="W90" i="28"/>
  <c r="V90" i="28"/>
  <c r="AH89" i="28"/>
  <c r="AG89" i="28"/>
  <c r="AB89" i="28"/>
  <c r="Z89" i="28"/>
  <c r="Y89" i="28"/>
  <c r="X89" i="28"/>
  <c r="W89" i="28"/>
  <c r="V89" i="28"/>
  <c r="AH88" i="28"/>
  <c r="AG88" i="28"/>
  <c r="AB88" i="28"/>
  <c r="Z88" i="28"/>
  <c r="Y88" i="28"/>
  <c r="X88" i="28"/>
  <c r="W88" i="28"/>
  <c r="V88" i="28"/>
  <c r="AH87" i="28"/>
  <c r="AG87" i="28"/>
  <c r="AB87" i="28"/>
  <c r="Z87" i="28"/>
  <c r="Y87" i="28"/>
  <c r="X87" i="28"/>
  <c r="W87" i="28"/>
  <c r="V87" i="28"/>
  <c r="AH86" i="28"/>
  <c r="AG86" i="28"/>
  <c r="AB86" i="28"/>
  <c r="Z86" i="28"/>
  <c r="Y86" i="28"/>
  <c r="X86" i="28"/>
  <c r="W86" i="28"/>
  <c r="V86" i="28"/>
  <c r="AH85" i="28"/>
  <c r="AG85" i="28"/>
  <c r="AB85" i="28"/>
  <c r="Z85" i="28"/>
  <c r="Y85" i="28"/>
  <c r="X85" i="28"/>
  <c r="W85" i="28"/>
  <c r="V85" i="28"/>
  <c r="AH84" i="28"/>
  <c r="AG84" i="28"/>
  <c r="AB84" i="28"/>
  <c r="Z84" i="28"/>
  <c r="Y84" i="28"/>
  <c r="X84" i="28"/>
  <c r="W84" i="28"/>
  <c r="V84" i="28"/>
  <c r="AH83" i="28"/>
  <c r="AG83" i="28"/>
  <c r="AB83" i="28"/>
  <c r="Z83" i="28"/>
  <c r="Y83" i="28"/>
  <c r="X83" i="28"/>
  <c r="W83" i="28"/>
  <c r="V83" i="28"/>
  <c r="AH82" i="28"/>
  <c r="AG82" i="28"/>
  <c r="AB82" i="28"/>
  <c r="Z82" i="28"/>
  <c r="Y82" i="28"/>
  <c r="X82" i="28"/>
  <c r="W82" i="28"/>
  <c r="V82" i="28"/>
  <c r="AB207" i="28"/>
  <c r="Z207" i="28"/>
  <c r="AB206" i="28"/>
  <c r="Z206" i="28"/>
  <c r="AB205" i="28"/>
  <c r="Z205" i="28"/>
  <c r="AB204" i="28"/>
  <c r="Z204" i="28"/>
  <c r="AB203" i="28"/>
  <c r="Z203" i="28"/>
  <c r="AB202" i="28"/>
  <c r="Z202" i="28"/>
  <c r="AB201" i="28"/>
  <c r="Z201" i="28"/>
  <c r="AB200" i="28"/>
  <c r="Z200" i="28"/>
  <c r="AB199" i="28"/>
  <c r="Z199" i="28"/>
  <c r="AB198" i="28"/>
  <c r="Z198" i="28"/>
  <c r="AB197" i="28"/>
  <c r="Z197" i="28"/>
  <c r="AB196" i="28"/>
  <c r="Z196" i="28"/>
  <c r="AB195" i="28"/>
  <c r="Z195" i="28"/>
  <c r="AB194" i="28"/>
  <c r="Z194" i="28"/>
  <c r="AB193" i="28"/>
  <c r="Z193" i="28"/>
  <c r="AB192" i="28"/>
  <c r="Z192" i="28"/>
  <c r="AB191" i="28"/>
  <c r="Z191" i="28"/>
  <c r="AB190" i="28"/>
  <c r="Z190" i="28"/>
  <c r="AB189" i="28"/>
  <c r="Z189" i="28"/>
  <c r="AB188" i="28"/>
  <c r="Z188" i="28"/>
  <c r="AB187" i="28"/>
  <c r="Z187" i="28"/>
  <c r="AB186" i="28"/>
  <c r="Z186" i="28"/>
  <c r="AB185" i="28"/>
  <c r="Z185" i="28"/>
  <c r="AB184" i="28"/>
  <c r="Z184" i="28"/>
  <c r="AB183" i="28"/>
  <c r="Z183" i="28"/>
  <c r="AB182" i="28"/>
  <c r="Z182" i="28"/>
  <c r="AB181" i="28"/>
  <c r="Z181" i="28"/>
  <c r="AB180" i="28"/>
  <c r="Z180" i="28"/>
  <c r="AB179" i="28"/>
  <c r="Z179" i="28"/>
  <c r="AB178" i="28"/>
  <c r="Z178" i="28"/>
  <c r="AB177" i="28"/>
  <c r="Z177" i="28"/>
  <c r="AB176" i="28"/>
  <c r="Z176" i="28"/>
  <c r="AB175" i="28"/>
  <c r="Z175" i="28"/>
  <c r="AB174" i="28"/>
  <c r="Z174" i="28"/>
  <c r="AB173" i="28"/>
  <c r="Z173" i="28"/>
  <c r="AB172" i="28"/>
  <c r="Z172" i="28"/>
  <c r="AB171" i="28"/>
  <c r="Z171" i="28"/>
  <c r="AB170" i="28"/>
  <c r="Z170" i="28"/>
  <c r="AB169" i="28"/>
  <c r="Z169" i="28"/>
  <c r="AB168" i="28"/>
  <c r="Z168" i="28"/>
  <c r="AB167" i="28"/>
  <c r="Z167" i="28"/>
  <c r="AB166" i="28"/>
  <c r="Z166" i="28"/>
  <c r="AI144" i="28"/>
  <c r="AA144" i="28"/>
  <c r="AB144" i="28"/>
  <c r="Z144" i="28"/>
  <c r="AI143" i="28"/>
  <c r="AA143" i="28"/>
  <c r="AB143" i="28"/>
  <c r="Z143" i="28"/>
  <c r="AI142" i="28"/>
  <c r="AA142" i="28"/>
  <c r="AB142" i="28"/>
  <c r="Z142" i="28"/>
  <c r="AH135" i="28"/>
  <c r="AG135" i="28"/>
  <c r="AB135" i="28"/>
  <c r="Z135" i="28"/>
  <c r="Y135" i="28"/>
  <c r="X135" i="28"/>
  <c r="W135" i="28"/>
  <c r="V135" i="28"/>
  <c r="AH134" i="28"/>
  <c r="AG134" i="28"/>
  <c r="AB134" i="28"/>
  <c r="Z134" i="28"/>
  <c r="Y134" i="28"/>
  <c r="X134" i="28"/>
  <c r="W134" i="28"/>
  <c r="V134" i="28"/>
  <c r="AH133" i="28"/>
  <c r="AG133" i="28"/>
  <c r="AB133" i="28"/>
  <c r="Z133" i="28"/>
  <c r="Y133" i="28"/>
  <c r="X133" i="28"/>
  <c r="W133" i="28"/>
  <c r="V133" i="28"/>
  <c r="AH132" i="28"/>
  <c r="AG132" i="28"/>
  <c r="AB132" i="28"/>
  <c r="Z132" i="28"/>
  <c r="Y132" i="28"/>
  <c r="X132" i="28"/>
  <c r="W132" i="28"/>
  <c r="V132" i="28"/>
  <c r="AH131" i="28"/>
  <c r="AG131" i="28"/>
  <c r="AB131" i="28"/>
  <c r="Z131" i="28"/>
  <c r="Y131" i="28"/>
  <c r="X131" i="28"/>
  <c r="W131" i="28"/>
  <c r="V131" i="28"/>
  <c r="AH130" i="28"/>
  <c r="AG130" i="28"/>
  <c r="AB130" i="28"/>
  <c r="Z130" i="28"/>
  <c r="Y130" i="28"/>
  <c r="X130" i="28"/>
  <c r="W130" i="28"/>
  <c r="V130" i="28"/>
  <c r="AH129" i="28"/>
  <c r="AG129" i="28"/>
  <c r="AB129" i="28"/>
  <c r="Z129" i="28"/>
  <c r="Y129" i="28"/>
  <c r="X129" i="28"/>
  <c r="W129" i="28"/>
  <c r="V129" i="28"/>
  <c r="AH128" i="28"/>
  <c r="AG128" i="28"/>
  <c r="AB128" i="28"/>
  <c r="Z128" i="28"/>
  <c r="Y128" i="28"/>
  <c r="X128" i="28"/>
  <c r="W128" i="28"/>
  <c r="V128" i="28"/>
  <c r="AH127" i="28"/>
  <c r="AG127" i="28"/>
  <c r="AB127" i="28"/>
  <c r="Z127" i="28"/>
  <c r="Y127" i="28"/>
  <c r="X127" i="28"/>
  <c r="W127" i="28"/>
  <c r="V127" i="28"/>
  <c r="AH126" i="28"/>
  <c r="AG126" i="28"/>
  <c r="AB126" i="28"/>
  <c r="Z126" i="28"/>
  <c r="Y126" i="28"/>
  <c r="X126" i="28"/>
  <c r="W126" i="28"/>
  <c r="V126" i="28"/>
  <c r="AH125" i="28"/>
  <c r="AG125" i="28"/>
  <c r="AB125" i="28"/>
  <c r="Z125" i="28"/>
  <c r="Y125" i="28"/>
  <c r="X125" i="28"/>
  <c r="W125" i="28"/>
  <c r="V125" i="28"/>
  <c r="AH124" i="28"/>
  <c r="AG124" i="28"/>
  <c r="AB124" i="28"/>
  <c r="Z124" i="28"/>
  <c r="Y124" i="28"/>
  <c r="X124" i="28"/>
  <c r="W124" i="28"/>
  <c r="V124" i="28"/>
  <c r="AH123" i="28"/>
  <c r="AG123" i="28"/>
  <c r="AB123" i="28"/>
  <c r="Z123" i="28"/>
  <c r="Y123" i="28"/>
  <c r="X123" i="28"/>
  <c r="W123" i="28"/>
  <c r="V123" i="28"/>
  <c r="AH122" i="28"/>
  <c r="AG122" i="28"/>
  <c r="AB122" i="28"/>
  <c r="Z122" i="28"/>
  <c r="Y122" i="28"/>
  <c r="X122" i="28"/>
  <c r="W122" i="28"/>
  <c r="V122" i="28"/>
  <c r="AH121" i="28"/>
  <c r="AG121" i="28"/>
  <c r="AB121" i="28"/>
  <c r="Z121" i="28"/>
  <c r="Y121" i="28"/>
  <c r="X121" i="28"/>
  <c r="W121" i="28"/>
  <c r="V121" i="28"/>
  <c r="AH120" i="28"/>
  <c r="AG120" i="28"/>
  <c r="AB120" i="28"/>
  <c r="Z120" i="28"/>
  <c r="Y120" i="28"/>
  <c r="X120" i="28"/>
  <c r="W120" i="28"/>
  <c r="V120" i="28"/>
  <c r="AH119" i="28"/>
  <c r="AG119" i="28"/>
  <c r="AB119" i="28"/>
  <c r="Z119" i="28"/>
  <c r="Y119" i="28"/>
  <c r="X119" i="28"/>
  <c r="W119" i="28"/>
  <c r="V119" i="28"/>
  <c r="AH118" i="28"/>
  <c r="AG118" i="28"/>
  <c r="AB118" i="28"/>
  <c r="Z118" i="28"/>
  <c r="Y118" i="28"/>
  <c r="X118" i="28"/>
  <c r="W118" i="28"/>
  <c r="V118" i="28"/>
  <c r="AH117" i="28"/>
  <c r="AG117" i="28"/>
  <c r="AB117" i="28"/>
  <c r="Z117" i="28"/>
  <c r="Y117" i="28"/>
  <c r="X117" i="28"/>
  <c r="W117" i="28"/>
  <c r="V117" i="28"/>
  <c r="AH116" i="28"/>
  <c r="AG116" i="28"/>
  <c r="AB116" i="28"/>
  <c r="Z116" i="28"/>
  <c r="Y116" i="28"/>
  <c r="X116" i="28"/>
  <c r="W116" i="28"/>
  <c r="V116" i="28"/>
  <c r="AH115" i="28"/>
  <c r="AG115" i="28"/>
  <c r="AB115" i="28"/>
  <c r="Z115" i="28"/>
  <c r="Y115" i="28"/>
  <c r="X115" i="28"/>
  <c r="W115" i="28"/>
  <c r="V115" i="28"/>
  <c r="AH114" i="28"/>
  <c r="AG114" i="28"/>
  <c r="AB114" i="28"/>
  <c r="Z114" i="28"/>
  <c r="Y114" i="28"/>
  <c r="X114" i="28"/>
  <c r="W114" i="28"/>
  <c r="V114" i="28"/>
  <c r="AH113" i="28"/>
  <c r="AG113" i="28"/>
  <c r="AB113" i="28"/>
  <c r="Z113" i="28"/>
  <c r="Y113" i="28"/>
  <c r="X113" i="28"/>
  <c r="W113" i="28"/>
  <c r="V113" i="28"/>
  <c r="AH112" i="28"/>
  <c r="AG112" i="28"/>
  <c r="AB112" i="28"/>
  <c r="Z112" i="28"/>
  <c r="Y112" i="28"/>
  <c r="X112" i="28"/>
  <c r="W112" i="28"/>
  <c r="V112" i="28"/>
  <c r="AH111" i="28"/>
  <c r="AG111" i="28"/>
  <c r="AB111" i="28"/>
  <c r="Z111" i="28"/>
  <c r="Y111" i="28"/>
  <c r="X111" i="28"/>
  <c r="W111" i="28"/>
  <c r="V111" i="28"/>
  <c r="AH110" i="28"/>
  <c r="AG110" i="28"/>
  <c r="AB110" i="28"/>
  <c r="Z110" i="28"/>
  <c r="Y110" i="28"/>
  <c r="X110" i="28"/>
  <c r="W110" i="28"/>
  <c r="V110" i="28"/>
  <c r="AH109" i="28"/>
  <c r="AG109" i="28"/>
  <c r="AB109" i="28"/>
  <c r="Z109" i="28"/>
  <c r="Y109" i="28"/>
  <c r="X109" i="28"/>
  <c r="W109" i="28"/>
  <c r="V109" i="28"/>
  <c r="AH108" i="28"/>
  <c r="AG108" i="28"/>
  <c r="AB108" i="28"/>
  <c r="Z108" i="28"/>
  <c r="Y108" i="28"/>
  <c r="X108" i="28"/>
  <c r="W108" i="28"/>
  <c r="V108" i="28"/>
  <c r="AH107" i="28"/>
  <c r="AG107" i="28"/>
  <c r="AB107" i="28"/>
  <c r="Z107" i="28"/>
  <c r="Y107" i="28"/>
  <c r="X107" i="28"/>
  <c r="W107" i="28"/>
  <c r="V107" i="28"/>
  <c r="AH106" i="28"/>
  <c r="AG106" i="28"/>
  <c r="AB106" i="28"/>
  <c r="Z106" i="28"/>
  <c r="Y106" i="28"/>
  <c r="X106" i="28"/>
  <c r="W106" i="28"/>
  <c r="V106" i="28"/>
  <c r="AH105" i="28"/>
  <c r="AG105" i="28"/>
  <c r="AB105" i="28"/>
  <c r="Z105" i="28"/>
  <c r="Y105" i="28"/>
  <c r="X105" i="28"/>
  <c r="W105" i="28"/>
  <c r="V105" i="28"/>
  <c r="AH104" i="28"/>
  <c r="AG104" i="28"/>
  <c r="AB104" i="28"/>
  <c r="Z104" i="28"/>
  <c r="Y104" i="28"/>
  <c r="X104" i="28"/>
  <c r="W104" i="28"/>
  <c r="V104" i="28"/>
  <c r="AH103" i="28"/>
  <c r="AG103" i="28"/>
  <c r="AB103" i="28"/>
  <c r="Z103" i="28"/>
  <c r="Y103" i="28"/>
  <c r="X103" i="28"/>
  <c r="W103" i="28"/>
  <c r="V103" i="28"/>
  <c r="AH102" i="28"/>
  <c r="AG102" i="28"/>
  <c r="AB102" i="28"/>
  <c r="Z102" i="28"/>
  <c r="Y102" i="28"/>
  <c r="X102" i="28"/>
  <c r="W102" i="28"/>
  <c r="V102" i="28"/>
  <c r="AH101" i="28"/>
  <c r="AG101" i="28"/>
  <c r="AB101" i="28"/>
  <c r="Z101" i="28"/>
  <c r="Y101" i="28"/>
  <c r="X101" i="28"/>
  <c r="W101" i="28"/>
  <c r="V101" i="28"/>
  <c r="AH100" i="28"/>
  <c r="AG100" i="28"/>
  <c r="AB100" i="28"/>
  <c r="Z100" i="28"/>
  <c r="Y100" i="28"/>
  <c r="X100" i="28"/>
  <c r="W100" i="28"/>
  <c r="V100" i="28"/>
  <c r="AH99" i="28"/>
  <c r="AG99" i="28"/>
  <c r="AB99" i="28"/>
  <c r="Z99" i="28"/>
  <c r="Y99" i="28"/>
  <c r="X99" i="28"/>
  <c r="W99" i="28"/>
  <c r="V99" i="28"/>
  <c r="AH98" i="28"/>
  <c r="AG98" i="28"/>
  <c r="AB98" i="28"/>
  <c r="Z98" i="28"/>
  <c r="Y98" i="28"/>
  <c r="X98" i="28"/>
  <c r="W98" i="28"/>
  <c r="V98" i="28"/>
  <c r="AH97" i="28"/>
  <c r="AG97" i="28"/>
  <c r="AB97" i="28"/>
  <c r="Z97" i="28"/>
  <c r="Y97" i="28"/>
  <c r="X97" i="28"/>
  <c r="W97" i="28"/>
  <c r="V97" i="28"/>
  <c r="AH96" i="28"/>
  <c r="AG96" i="28"/>
  <c r="AB96" i="28"/>
  <c r="Z96" i="28"/>
  <c r="Y96" i="28"/>
  <c r="X96" i="28"/>
  <c r="W96" i="28"/>
  <c r="V96" i="28"/>
  <c r="AH95" i="28"/>
  <c r="AG95" i="28"/>
  <c r="AB95" i="28"/>
  <c r="Z95" i="28"/>
  <c r="Y95" i="28"/>
  <c r="X95" i="28"/>
  <c r="W95" i="28"/>
  <c r="V95" i="28"/>
  <c r="AI72" i="28"/>
  <c r="AB72" i="28"/>
  <c r="Z72" i="28"/>
  <c r="AI71" i="28"/>
  <c r="AB71" i="28"/>
  <c r="Z71" i="28"/>
  <c r="AI70" i="28"/>
  <c r="AB70" i="28"/>
  <c r="Z70" i="28"/>
  <c r="Z25" i="27"/>
  <c r="Z18" i="27"/>
  <c r="Z11" i="27"/>
  <c r="P29" i="27"/>
  <c r="P28" i="27"/>
  <c r="P27" i="27"/>
  <c r="P26" i="27"/>
  <c r="P25" i="27"/>
  <c r="P24" i="27"/>
  <c r="P23" i="27"/>
  <c r="P22" i="27"/>
  <c r="P21" i="27"/>
  <c r="P20" i="27"/>
  <c r="P19" i="27"/>
  <c r="P18" i="27"/>
  <c r="P17" i="27"/>
  <c r="P16" i="27"/>
  <c r="P15" i="27"/>
  <c r="P14" i="27"/>
  <c r="P13" i="27"/>
  <c r="P12" i="27"/>
  <c r="O11" i="27"/>
  <c r="L11" i="27"/>
  <c r="X13" i="31"/>
  <c r="Y13" i="31"/>
  <c r="Z13" i="31"/>
  <c r="AA13" i="31"/>
  <c r="W24" i="31"/>
  <c r="W11" i="31"/>
  <c r="U24" i="31"/>
  <c r="U11" i="31"/>
  <c r="F24" i="31"/>
  <c r="F10" i="31"/>
  <c r="F11" i="31"/>
  <c r="R24" i="31"/>
  <c r="O24" i="31"/>
  <c r="L24" i="31"/>
  <c r="H20" i="31"/>
  <c r="R11" i="31"/>
  <c r="O11" i="31"/>
  <c r="L11" i="31"/>
  <c r="S30" i="31"/>
  <c r="P30" i="31"/>
  <c r="M30" i="31"/>
  <c r="S29" i="31"/>
  <c r="P29" i="31"/>
  <c r="M29" i="31"/>
  <c r="S28" i="31"/>
  <c r="P28" i="31"/>
  <c r="M28" i="31"/>
  <c r="S27" i="31"/>
  <c r="P27" i="31"/>
  <c r="M27" i="31"/>
  <c r="S26" i="31"/>
  <c r="P26" i="31"/>
  <c r="M26" i="31"/>
  <c r="S25" i="31"/>
  <c r="P25" i="31"/>
  <c r="M25" i="31"/>
  <c r="S17" i="31"/>
  <c r="P17" i="31"/>
  <c r="M17" i="31"/>
  <c r="S16" i="31"/>
  <c r="P16" i="31"/>
  <c r="M16" i="31"/>
  <c r="S15" i="31"/>
  <c r="P15" i="31"/>
  <c r="M15" i="31"/>
  <c r="S14" i="31"/>
  <c r="P14" i="31"/>
  <c r="M14" i="31"/>
  <c r="S13" i="31"/>
  <c r="P13" i="31"/>
  <c r="M13" i="31"/>
  <c r="S12" i="31"/>
  <c r="P12" i="31"/>
  <c r="M12" i="31"/>
  <c r="I24" i="31"/>
  <c r="E24" i="31"/>
  <c r="D24" i="31"/>
  <c r="C24" i="31"/>
  <c r="I11" i="31"/>
  <c r="E11" i="31"/>
  <c r="D11" i="31"/>
  <c r="C11" i="31"/>
  <c r="H7" i="31"/>
  <c r="F5" i="31"/>
  <c r="F4" i="31"/>
  <c r="F3" i="31"/>
  <c r="F2" i="31"/>
  <c r="AE30" i="31"/>
  <c r="X30" i="31"/>
  <c r="Y30" i="31"/>
  <c r="AA30" i="31"/>
  <c r="Z30" i="31"/>
  <c r="W30" i="31"/>
  <c r="AE29" i="31"/>
  <c r="X29" i="31"/>
  <c r="Y29" i="31"/>
  <c r="AA29" i="31"/>
  <c r="Z29" i="31"/>
  <c r="W29" i="31"/>
  <c r="AE28" i="31"/>
  <c r="X28" i="31"/>
  <c r="Y28" i="31"/>
  <c r="AA28" i="31"/>
  <c r="Z28" i="31"/>
  <c r="W28" i="31"/>
  <c r="AE27" i="31"/>
  <c r="X27" i="31"/>
  <c r="Y27" i="31"/>
  <c r="AA27" i="31"/>
  <c r="Z27" i="31"/>
  <c r="W27" i="31"/>
  <c r="AE26" i="31"/>
  <c r="X26" i="31"/>
  <c r="Y26" i="31"/>
  <c r="AA26" i="31"/>
  <c r="Z26" i="31"/>
  <c r="W26" i="31"/>
  <c r="AE25" i="31"/>
  <c r="W25" i="31"/>
  <c r="AE17" i="31"/>
  <c r="X17" i="31"/>
  <c r="Y17" i="31"/>
  <c r="AA17" i="31"/>
  <c r="Z17" i="31"/>
  <c r="W17" i="31"/>
  <c r="AE16" i="31"/>
  <c r="X16" i="31"/>
  <c r="Y16" i="31"/>
  <c r="AA16" i="31"/>
  <c r="Z16" i="31"/>
  <c r="W16" i="31"/>
  <c r="AE15" i="31"/>
  <c r="X15" i="31"/>
  <c r="Y15" i="31"/>
  <c r="AA15" i="31"/>
  <c r="Z15" i="31"/>
  <c r="W15" i="31"/>
  <c r="AE14" i="31"/>
  <c r="X14" i="31"/>
  <c r="Y14" i="31"/>
  <c r="AA14" i="31"/>
  <c r="Z14" i="31"/>
  <c r="W14" i="31"/>
  <c r="AE13" i="31"/>
  <c r="W13" i="31"/>
  <c r="AE12" i="31"/>
  <c r="W12" i="31"/>
  <c r="E49" i="9"/>
  <c r="AP10" i="6"/>
  <c r="BR49" i="17"/>
  <c r="BR48" i="17"/>
  <c r="BR47" i="17"/>
  <c r="BR46" i="17"/>
  <c r="BR45" i="17"/>
  <c r="BR44" i="17"/>
  <c r="BR43" i="17"/>
  <c r="BR42" i="17"/>
  <c r="BR41" i="17"/>
  <c r="CA40" i="17"/>
  <c r="BZ40" i="17"/>
  <c r="BY40" i="17"/>
  <c r="BX40" i="17"/>
  <c r="BW40" i="17"/>
  <c r="BV40" i="17"/>
  <c r="BU40" i="17"/>
  <c r="BT40" i="17"/>
  <c r="BS40" i="17"/>
  <c r="C38" i="17"/>
  <c r="C37" i="17"/>
  <c r="C36" i="17"/>
  <c r="C35" i="17"/>
  <c r="C34" i="17"/>
  <c r="C33" i="17"/>
  <c r="C32" i="17"/>
  <c r="C31" i="17"/>
  <c r="C30" i="17"/>
  <c r="AB207" i="17"/>
  <c r="Z207" i="17"/>
  <c r="AB206" i="17"/>
  <c r="Z206" i="17"/>
  <c r="AB205" i="17"/>
  <c r="Z205" i="17"/>
  <c r="AB204" i="17"/>
  <c r="Z204" i="17"/>
  <c r="AB203" i="17"/>
  <c r="Z203" i="17"/>
  <c r="AB202" i="17"/>
  <c r="Z202" i="17"/>
  <c r="AB201" i="17"/>
  <c r="Z201" i="17"/>
  <c r="AB200" i="17"/>
  <c r="Z200" i="17"/>
  <c r="AB199" i="17"/>
  <c r="Z199" i="17"/>
  <c r="AB198" i="17"/>
  <c r="Z198" i="17"/>
  <c r="AB197" i="17"/>
  <c r="Z197" i="17"/>
  <c r="AB196" i="17"/>
  <c r="Z196" i="17"/>
  <c r="AB195" i="17"/>
  <c r="Z195" i="17"/>
  <c r="AB194" i="17"/>
  <c r="Z194" i="17"/>
  <c r="AB193" i="17"/>
  <c r="Z193" i="17"/>
  <c r="AB192" i="17"/>
  <c r="Z192" i="17"/>
  <c r="AB191" i="17"/>
  <c r="Z191" i="17"/>
  <c r="AB190" i="17"/>
  <c r="Z190" i="17"/>
  <c r="AB189" i="17"/>
  <c r="Z189" i="17"/>
  <c r="AB188" i="17"/>
  <c r="Z188" i="17"/>
  <c r="AB187" i="17"/>
  <c r="Z187" i="17"/>
  <c r="AB186" i="17"/>
  <c r="Z186" i="17"/>
  <c r="AB185" i="17"/>
  <c r="Z185" i="17"/>
  <c r="AB184" i="17"/>
  <c r="Z184" i="17"/>
  <c r="AB183" i="17"/>
  <c r="Z183" i="17"/>
  <c r="AB182" i="17"/>
  <c r="Z182" i="17"/>
  <c r="AB181" i="17"/>
  <c r="Z181" i="17"/>
  <c r="AB180" i="17"/>
  <c r="Z180" i="17"/>
  <c r="AB179" i="17"/>
  <c r="Z179" i="17"/>
  <c r="AB178" i="17"/>
  <c r="Z178" i="17"/>
  <c r="AB177" i="17"/>
  <c r="Z177" i="17"/>
  <c r="AB176" i="17"/>
  <c r="Z176" i="17"/>
  <c r="AB175" i="17"/>
  <c r="Z175" i="17"/>
  <c r="AB174" i="17"/>
  <c r="Z174" i="17"/>
  <c r="AB173" i="17"/>
  <c r="Z173" i="17"/>
  <c r="AB172" i="17"/>
  <c r="Z172" i="17"/>
  <c r="AB171" i="17"/>
  <c r="Z171" i="17"/>
  <c r="AB170" i="17"/>
  <c r="Z170" i="17"/>
  <c r="AB169" i="17"/>
  <c r="Z169" i="17"/>
  <c r="AB168" i="17"/>
  <c r="Z168" i="17"/>
  <c r="AB167" i="17"/>
  <c r="Z167" i="17"/>
  <c r="AB166" i="17"/>
  <c r="Z166" i="17"/>
  <c r="AH135" i="17"/>
  <c r="AG135" i="17"/>
  <c r="Z135" i="17"/>
  <c r="Y135" i="17"/>
  <c r="X135" i="17"/>
  <c r="W135" i="17"/>
  <c r="V135" i="17"/>
  <c r="AH134" i="17"/>
  <c r="AG134" i="17"/>
  <c r="Z134" i="17"/>
  <c r="Y134" i="17"/>
  <c r="X134" i="17"/>
  <c r="W134" i="17"/>
  <c r="V134" i="17"/>
  <c r="AH133" i="17"/>
  <c r="AG133" i="17"/>
  <c r="Z133" i="17"/>
  <c r="Y133" i="17"/>
  <c r="X133" i="17"/>
  <c r="W133" i="17"/>
  <c r="V133" i="17"/>
  <c r="AH132" i="17"/>
  <c r="AG132" i="17"/>
  <c r="Z132" i="17"/>
  <c r="Y132" i="17"/>
  <c r="X132" i="17"/>
  <c r="W132" i="17"/>
  <c r="V132" i="17"/>
  <c r="AH131" i="17"/>
  <c r="AG131" i="17"/>
  <c r="Z131" i="17"/>
  <c r="Y131" i="17"/>
  <c r="X131" i="17"/>
  <c r="W131" i="17"/>
  <c r="V131" i="17"/>
  <c r="AH130" i="17"/>
  <c r="AG130" i="17"/>
  <c r="Z130" i="17"/>
  <c r="Y130" i="17"/>
  <c r="X130" i="17"/>
  <c r="W130" i="17"/>
  <c r="V130" i="17"/>
  <c r="AH129" i="17"/>
  <c r="AG129" i="17"/>
  <c r="Z129" i="17"/>
  <c r="Y129" i="17"/>
  <c r="X129" i="17"/>
  <c r="W129" i="17"/>
  <c r="V129" i="17"/>
  <c r="AH128" i="17"/>
  <c r="AG128" i="17"/>
  <c r="Z128" i="17"/>
  <c r="Y128" i="17"/>
  <c r="X128" i="17"/>
  <c r="W128" i="17"/>
  <c r="V128" i="17"/>
  <c r="AH127" i="17"/>
  <c r="AG127" i="17"/>
  <c r="Z127" i="17"/>
  <c r="Y127" i="17"/>
  <c r="X127" i="17"/>
  <c r="W127" i="17"/>
  <c r="V127" i="17"/>
  <c r="AH126" i="17"/>
  <c r="AG126" i="17"/>
  <c r="Z126" i="17"/>
  <c r="Y126" i="17"/>
  <c r="X126" i="17"/>
  <c r="W126" i="17"/>
  <c r="V126" i="17"/>
  <c r="AH125" i="17"/>
  <c r="AG125" i="17"/>
  <c r="Z125" i="17"/>
  <c r="Y125" i="17"/>
  <c r="X125" i="17"/>
  <c r="W125" i="17"/>
  <c r="V125" i="17"/>
  <c r="AH124" i="17"/>
  <c r="AG124" i="17"/>
  <c r="Z124" i="17"/>
  <c r="Y124" i="17"/>
  <c r="X124" i="17"/>
  <c r="W124" i="17"/>
  <c r="V124" i="17"/>
  <c r="AH123" i="17"/>
  <c r="AG123" i="17"/>
  <c r="Z123" i="17"/>
  <c r="Y123" i="17"/>
  <c r="X123" i="17"/>
  <c r="W123" i="17"/>
  <c r="V123" i="17"/>
  <c r="AH122" i="17"/>
  <c r="AG122" i="17"/>
  <c r="Z122" i="17"/>
  <c r="Y122" i="17"/>
  <c r="X122" i="17"/>
  <c r="W122" i="17"/>
  <c r="V122" i="17"/>
  <c r="AH121" i="17"/>
  <c r="AG121" i="17"/>
  <c r="Z121" i="17"/>
  <c r="Y121" i="17"/>
  <c r="X121" i="17"/>
  <c r="W121" i="17"/>
  <c r="V121" i="17"/>
  <c r="AH120" i="17"/>
  <c r="AG120" i="17"/>
  <c r="Z120" i="17"/>
  <c r="Y120" i="17"/>
  <c r="X120" i="17"/>
  <c r="W120" i="17"/>
  <c r="V120" i="17"/>
  <c r="AH119" i="17"/>
  <c r="AG119" i="17"/>
  <c r="Z119" i="17"/>
  <c r="Y119" i="17"/>
  <c r="X119" i="17"/>
  <c r="W119" i="17"/>
  <c r="V119" i="17"/>
  <c r="AH118" i="17"/>
  <c r="AG118" i="17"/>
  <c r="Z118" i="17"/>
  <c r="Y118" i="17"/>
  <c r="X118" i="17"/>
  <c r="W118" i="17"/>
  <c r="V118" i="17"/>
  <c r="AH117" i="17"/>
  <c r="AG117" i="17"/>
  <c r="Z117" i="17"/>
  <c r="Y117" i="17"/>
  <c r="X117" i="17"/>
  <c r="W117" i="17"/>
  <c r="V117" i="17"/>
  <c r="AH116" i="17"/>
  <c r="AG116" i="17"/>
  <c r="Z116" i="17"/>
  <c r="Y116" i="17"/>
  <c r="X116" i="17"/>
  <c r="W116" i="17"/>
  <c r="V116" i="17"/>
  <c r="AH115" i="17"/>
  <c r="AG115" i="17"/>
  <c r="Z115" i="17"/>
  <c r="Y115" i="17"/>
  <c r="X115" i="17"/>
  <c r="W115" i="17"/>
  <c r="V115" i="17"/>
  <c r="AH114" i="17"/>
  <c r="AG114" i="17"/>
  <c r="Z114" i="17"/>
  <c r="Y114" i="17"/>
  <c r="X114" i="17"/>
  <c r="W114" i="17"/>
  <c r="V114" i="17"/>
  <c r="AH113" i="17"/>
  <c r="AG113" i="17"/>
  <c r="Z113" i="17"/>
  <c r="Y113" i="17"/>
  <c r="X113" i="17"/>
  <c r="W113" i="17"/>
  <c r="V113" i="17"/>
  <c r="AH112" i="17"/>
  <c r="AG112" i="17"/>
  <c r="Z112" i="17"/>
  <c r="Y112" i="17"/>
  <c r="X112" i="17"/>
  <c r="W112" i="17"/>
  <c r="V112" i="17"/>
  <c r="AH111" i="17"/>
  <c r="AG111" i="17"/>
  <c r="Z111" i="17"/>
  <c r="Y111" i="17"/>
  <c r="X111" i="17"/>
  <c r="W111" i="17"/>
  <c r="V111" i="17"/>
  <c r="AH110" i="17"/>
  <c r="AG110" i="17"/>
  <c r="Z110" i="17"/>
  <c r="Y110" i="17"/>
  <c r="X110" i="17"/>
  <c r="W110" i="17"/>
  <c r="V110" i="17"/>
  <c r="AH109" i="17"/>
  <c r="AG109" i="17"/>
  <c r="Z109" i="17"/>
  <c r="Y109" i="17"/>
  <c r="X109" i="17"/>
  <c r="W109" i="17"/>
  <c r="V109" i="17"/>
  <c r="AH108" i="17"/>
  <c r="AG108" i="17"/>
  <c r="Z108" i="17"/>
  <c r="Y108" i="17"/>
  <c r="X108" i="17"/>
  <c r="W108" i="17"/>
  <c r="V108" i="17"/>
  <c r="AH107" i="17"/>
  <c r="AG107" i="17"/>
  <c r="Z107" i="17"/>
  <c r="Y107" i="17"/>
  <c r="X107" i="17"/>
  <c r="W107" i="17"/>
  <c r="V107" i="17"/>
  <c r="AH106" i="17"/>
  <c r="AG106" i="17"/>
  <c r="Z106" i="17"/>
  <c r="Y106" i="17"/>
  <c r="X106" i="17"/>
  <c r="W106" i="17"/>
  <c r="V106" i="17"/>
  <c r="AH105" i="17"/>
  <c r="AG105" i="17"/>
  <c r="Z105" i="17"/>
  <c r="Y105" i="17"/>
  <c r="X105" i="17"/>
  <c r="W105" i="17"/>
  <c r="V105" i="17"/>
  <c r="AH104" i="17"/>
  <c r="AG104" i="17"/>
  <c r="Z104" i="17"/>
  <c r="Y104" i="17"/>
  <c r="X104" i="17"/>
  <c r="W104" i="17"/>
  <c r="V104" i="17"/>
  <c r="AH103" i="17"/>
  <c r="AG103" i="17"/>
  <c r="Z103" i="17"/>
  <c r="Y103" i="17"/>
  <c r="X103" i="17"/>
  <c r="W103" i="17"/>
  <c r="V103" i="17"/>
  <c r="AH102" i="17"/>
  <c r="AG102" i="17"/>
  <c r="Z102" i="17"/>
  <c r="Y102" i="17"/>
  <c r="X102" i="17"/>
  <c r="W102" i="17"/>
  <c r="V102" i="17"/>
  <c r="AH101" i="17"/>
  <c r="AG101" i="17"/>
  <c r="Z101" i="17"/>
  <c r="Y101" i="17"/>
  <c r="X101" i="17"/>
  <c r="W101" i="17"/>
  <c r="V101" i="17"/>
  <c r="AH100" i="17"/>
  <c r="AG100" i="17"/>
  <c r="Z100" i="17"/>
  <c r="Y100" i="17"/>
  <c r="X100" i="17"/>
  <c r="W100" i="17"/>
  <c r="V100" i="17"/>
  <c r="AH99" i="17"/>
  <c r="AG99" i="17"/>
  <c r="Z99" i="17"/>
  <c r="Y99" i="17"/>
  <c r="X99" i="17"/>
  <c r="W99" i="17"/>
  <c r="V99" i="17"/>
  <c r="AH98" i="17"/>
  <c r="AG98" i="17"/>
  <c r="Z98" i="17"/>
  <c r="Y98" i="17"/>
  <c r="X98" i="17"/>
  <c r="W98" i="17"/>
  <c r="V98" i="17"/>
  <c r="AH97" i="17"/>
  <c r="AG97" i="17"/>
  <c r="Z97" i="17"/>
  <c r="Y97" i="17"/>
  <c r="X97" i="17"/>
  <c r="W97" i="17"/>
  <c r="V97" i="17"/>
  <c r="AH96" i="17"/>
  <c r="AG96" i="17"/>
  <c r="Z96" i="17"/>
  <c r="Y96" i="17"/>
  <c r="X96" i="17"/>
  <c r="W96" i="17"/>
  <c r="V96" i="17"/>
  <c r="AH95" i="17"/>
  <c r="AG95" i="17"/>
  <c r="Z95" i="17"/>
  <c r="Y95" i="17"/>
  <c r="X95" i="17"/>
  <c r="W95" i="17"/>
  <c r="V95" i="17"/>
  <c r="AH94" i="17"/>
  <c r="AG94" i="17"/>
  <c r="Z94" i="17"/>
  <c r="Y94" i="17"/>
  <c r="X94" i="17"/>
  <c r="W94" i="17"/>
  <c r="V94" i="17"/>
  <c r="B14" i="3"/>
  <c r="F12" i="3"/>
  <c r="BR60" i="3"/>
  <c r="F11" i="3"/>
  <c r="BZ51" i="3"/>
  <c r="F10" i="3"/>
  <c r="BY51" i="3"/>
  <c r="F9" i="3"/>
  <c r="BX51" i="3"/>
  <c r="F8" i="3"/>
  <c r="BW51" i="3"/>
  <c r="F7" i="3"/>
  <c r="BV51" i="3"/>
  <c r="F6" i="3"/>
  <c r="BU51" i="3"/>
  <c r="F5" i="3"/>
  <c r="BT51" i="3"/>
  <c r="F4" i="3"/>
  <c r="BS51" i="3"/>
  <c r="BR59" i="3"/>
  <c r="CA51" i="3"/>
  <c r="BR58" i="3"/>
  <c r="BR57" i="3"/>
  <c r="BR56" i="3"/>
  <c r="BR55" i="3"/>
  <c r="BR54" i="3"/>
  <c r="BR53" i="3"/>
  <c r="BR52" i="3"/>
  <c r="BR37" i="3"/>
  <c r="CA29" i="3"/>
  <c r="BR38" i="3"/>
  <c r="BZ29" i="3"/>
  <c r="BR36" i="3"/>
  <c r="BY29" i="3"/>
  <c r="BR35" i="3"/>
  <c r="BX29" i="3"/>
  <c r="BR34" i="3"/>
  <c r="BW29" i="3"/>
  <c r="BR33" i="3"/>
  <c r="BV29" i="3"/>
  <c r="BR32" i="3"/>
  <c r="BU29" i="3"/>
  <c r="BR31" i="3"/>
  <c r="BT29" i="3"/>
  <c r="BR30" i="3"/>
  <c r="BS29" i="3"/>
  <c r="BR49" i="3"/>
  <c r="C25" i="3"/>
  <c r="BR48" i="3"/>
  <c r="C24" i="3"/>
  <c r="BR47" i="3"/>
  <c r="C23" i="3"/>
  <c r="BR46" i="3"/>
  <c r="C22" i="3"/>
  <c r="BR45" i="3"/>
  <c r="C21" i="3"/>
  <c r="BR44" i="3"/>
  <c r="C20" i="3"/>
  <c r="BR43" i="3"/>
  <c r="C19" i="3"/>
  <c r="BR42" i="3"/>
  <c r="C18" i="3"/>
  <c r="BR41" i="3"/>
  <c r="C17" i="3"/>
  <c r="CA40" i="3"/>
  <c r="BZ40" i="3"/>
  <c r="BY40" i="3"/>
  <c r="BX40" i="3"/>
  <c r="BW40" i="3"/>
  <c r="BV40" i="3"/>
  <c r="BU40" i="3"/>
  <c r="BT40" i="3"/>
  <c r="BS40" i="3"/>
  <c r="C38" i="3"/>
  <c r="C37" i="3"/>
  <c r="C36" i="3"/>
  <c r="C35" i="3"/>
  <c r="C34" i="3"/>
  <c r="C33" i="3"/>
  <c r="C32" i="3"/>
  <c r="C31" i="3"/>
  <c r="C30" i="3"/>
  <c r="AD25" i="3"/>
  <c r="AE25" i="3"/>
  <c r="AE17" i="3"/>
  <c r="AE18" i="3"/>
  <c r="AE19" i="3"/>
  <c r="AE20" i="3"/>
  <c r="AE21" i="3"/>
  <c r="AE22" i="3"/>
  <c r="AE23" i="3"/>
  <c r="AE24" i="3"/>
  <c r="AF25" i="3"/>
  <c r="I25" i="3"/>
  <c r="H25" i="3"/>
  <c r="G25" i="3"/>
  <c r="F25" i="3"/>
  <c r="E25" i="3"/>
  <c r="D25" i="3"/>
  <c r="AD24" i="3"/>
  <c r="AF24" i="3"/>
  <c r="I24" i="3"/>
  <c r="H24" i="3"/>
  <c r="G24" i="3"/>
  <c r="F24" i="3"/>
  <c r="E24" i="3"/>
  <c r="D24" i="3"/>
  <c r="AD23" i="3"/>
  <c r="AF23" i="3"/>
  <c r="I23" i="3"/>
  <c r="H23" i="3"/>
  <c r="G23" i="3"/>
  <c r="F23" i="3"/>
  <c r="E23" i="3"/>
  <c r="D23" i="3"/>
  <c r="AD22" i="3"/>
  <c r="AF22" i="3"/>
  <c r="I22" i="3"/>
  <c r="H22" i="3"/>
  <c r="G22" i="3"/>
  <c r="F22" i="3"/>
  <c r="E22" i="3"/>
  <c r="D22" i="3"/>
  <c r="AD21" i="3"/>
  <c r="AF21" i="3"/>
  <c r="I21" i="3"/>
  <c r="H21" i="3"/>
  <c r="G21" i="3"/>
  <c r="F21" i="3"/>
  <c r="E21" i="3"/>
  <c r="D21" i="3"/>
  <c r="AD20" i="3"/>
  <c r="AF20" i="3"/>
  <c r="I20" i="3"/>
  <c r="H20" i="3"/>
  <c r="G20" i="3"/>
  <c r="F20" i="3"/>
  <c r="E20" i="3"/>
  <c r="D20" i="3"/>
  <c r="AD19" i="3"/>
  <c r="AF19" i="3"/>
  <c r="I19" i="3"/>
  <c r="H19" i="3"/>
  <c r="G19" i="3"/>
  <c r="F19" i="3"/>
  <c r="E19" i="3"/>
  <c r="D19" i="3"/>
  <c r="AD18" i="3"/>
  <c r="AF18" i="3"/>
  <c r="I18" i="3"/>
  <c r="H18" i="3"/>
  <c r="G18" i="3"/>
  <c r="F18" i="3"/>
  <c r="E18" i="3"/>
  <c r="D18" i="3"/>
  <c r="AD17" i="3"/>
  <c r="AF17" i="3"/>
  <c r="I17" i="3"/>
  <c r="H17" i="3"/>
  <c r="G17" i="3"/>
  <c r="F17" i="3"/>
  <c r="E17" i="3"/>
  <c r="D17" i="3"/>
  <c r="F13" i="3"/>
  <c r="B13" i="3"/>
  <c r="AB207" i="3"/>
  <c r="Z207" i="3"/>
  <c r="AB206" i="3"/>
  <c r="Z206" i="3"/>
  <c r="AB205" i="3"/>
  <c r="Z205" i="3"/>
  <c r="AB204" i="3"/>
  <c r="Z204" i="3"/>
  <c r="AB203" i="3"/>
  <c r="Z203" i="3"/>
  <c r="AB202" i="3"/>
  <c r="Z202" i="3"/>
  <c r="AB201" i="3"/>
  <c r="Z201" i="3"/>
  <c r="AB200" i="3"/>
  <c r="Z200" i="3"/>
  <c r="AB199" i="3"/>
  <c r="Z199" i="3"/>
  <c r="AB198" i="3"/>
  <c r="Z198" i="3"/>
  <c r="AB197" i="3"/>
  <c r="Z197" i="3"/>
  <c r="AB196" i="3"/>
  <c r="Z196" i="3"/>
  <c r="AB195" i="3"/>
  <c r="Z195" i="3"/>
  <c r="AB194" i="3"/>
  <c r="Z194" i="3"/>
  <c r="AB193" i="3"/>
  <c r="Z193" i="3"/>
  <c r="AB192" i="3"/>
  <c r="Z192" i="3"/>
  <c r="AB191" i="3"/>
  <c r="Z191" i="3"/>
  <c r="AB190" i="3"/>
  <c r="Z190" i="3"/>
  <c r="AB189" i="3"/>
  <c r="Z189" i="3"/>
  <c r="AB188" i="3"/>
  <c r="Z188" i="3"/>
  <c r="AB187" i="3"/>
  <c r="Z187" i="3"/>
  <c r="AB186" i="3"/>
  <c r="Z186" i="3"/>
  <c r="AB185" i="3"/>
  <c r="Z185" i="3"/>
  <c r="AB184" i="3"/>
  <c r="Z184" i="3"/>
  <c r="AB183" i="3"/>
  <c r="Z183" i="3"/>
  <c r="AB182" i="3"/>
  <c r="Z182" i="3"/>
  <c r="AB181" i="3"/>
  <c r="Z181" i="3"/>
  <c r="AB180" i="3"/>
  <c r="Z180" i="3"/>
  <c r="AB179" i="3"/>
  <c r="Z179" i="3"/>
  <c r="AB178" i="3"/>
  <c r="Z178" i="3"/>
  <c r="AB177" i="3"/>
  <c r="Z177" i="3"/>
  <c r="AB176" i="3"/>
  <c r="Z176" i="3"/>
  <c r="AB175" i="3"/>
  <c r="Z175" i="3"/>
  <c r="AB174" i="3"/>
  <c r="Z174" i="3"/>
  <c r="AB173" i="3"/>
  <c r="Z173" i="3"/>
  <c r="AB172" i="3"/>
  <c r="Z172" i="3"/>
  <c r="AB171" i="3"/>
  <c r="Z171" i="3"/>
  <c r="AB170" i="3"/>
  <c r="Z170" i="3"/>
  <c r="AB169" i="3"/>
  <c r="Z169" i="3"/>
  <c r="AB168" i="3"/>
  <c r="Z168" i="3"/>
  <c r="AB167" i="3"/>
  <c r="Z167" i="3"/>
  <c r="AB166" i="3"/>
  <c r="Z166" i="3"/>
  <c r="AH135" i="3"/>
  <c r="AG135" i="3"/>
  <c r="AB135" i="3"/>
  <c r="Z135" i="3"/>
  <c r="Y135" i="3"/>
  <c r="X135" i="3"/>
  <c r="W135" i="3"/>
  <c r="V135" i="3"/>
  <c r="AH134" i="3"/>
  <c r="AG134" i="3"/>
  <c r="AB134" i="3"/>
  <c r="Z134" i="3"/>
  <c r="Y134" i="3"/>
  <c r="X134" i="3"/>
  <c r="W134" i="3"/>
  <c r="V134" i="3"/>
  <c r="AH133" i="3"/>
  <c r="AG133" i="3"/>
  <c r="AB133" i="3"/>
  <c r="Z133" i="3"/>
  <c r="Y133" i="3"/>
  <c r="X133" i="3"/>
  <c r="W133" i="3"/>
  <c r="V133" i="3"/>
  <c r="AH132" i="3"/>
  <c r="AG132" i="3"/>
  <c r="AB132" i="3"/>
  <c r="Z132" i="3"/>
  <c r="Y132" i="3"/>
  <c r="X132" i="3"/>
  <c r="W132" i="3"/>
  <c r="V132" i="3"/>
  <c r="AH131" i="3"/>
  <c r="AG131" i="3"/>
  <c r="AB131" i="3"/>
  <c r="Z131" i="3"/>
  <c r="Y131" i="3"/>
  <c r="X131" i="3"/>
  <c r="W131" i="3"/>
  <c r="V131" i="3"/>
  <c r="AH130" i="3"/>
  <c r="AG130" i="3"/>
  <c r="AB130" i="3"/>
  <c r="Z130" i="3"/>
  <c r="Y130" i="3"/>
  <c r="X130" i="3"/>
  <c r="W130" i="3"/>
  <c r="V130" i="3"/>
  <c r="AH129" i="3"/>
  <c r="AG129" i="3"/>
  <c r="AB129" i="3"/>
  <c r="Z129" i="3"/>
  <c r="Y129" i="3"/>
  <c r="X129" i="3"/>
  <c r="W129" i="3"/>
  <c r="V129" i="3"/>
  <c r="AH128" i="3"/>
  <c r="AG128" i="3"/>
  <c r="AB128" i="3"/>
  <c r="Z128" i="3"/>
  <c r="Y128" i="3"/>
  <c r="X128" i="3"/>
  <c r="W128" i="3"/>
  <c r="V128" i="3"/>
  <c r="AH127" i="3"/>
  <c r="AG127" i="3"/>
  <c r="AB127" i="3"/>
  <c r="Z127" i="3"/>
  <c r="Y127" i="3"/>
  <c r="X127" i="3"/>
  <c r="W127" i="3"/>
  <c r="V127" i="3"/>
  <c r="AH126" i="3"/>
  <c r="AG126" i="3"/>
  <c r="AB126" i="3"/>
  <c r="Z126" i="3"/>
  <c r="Y126" i="3"/>
  <c r="X126" i="3"/>
  <c r="W126" i="3"/>
  <c r="V126" i="3"/>
  <c r="AH125" i="3"/>
  <c r="AG125" i="3"/>
  <c r="AB125" i="3"/>
  <c r="Z125" i="3"/>
  <c r="Y125" i="3"/>
  <c r="X125" i="3"/>
  <c r="W125" i="3"/>
  <c r="V125" i="3"/>
  <c r="AH124" i="3"/>
  <c r="AG124" i="3"/>
  <c r="AB124" i="3"/>
  <c r="Z124" i="3"/>
  <c r="Y124" i="3"/>
  <c r="X124" i="3"/>
  <c r="W124" i="3"/>
  <c r="V124" i="3"/>
  <c r="AH123" i="3"/>
  <c r="AG123" i="3"/>
  <c r="AB123" i="3"/>
  <c r="Z123" i="3"/>
  <c r="Y123" i="3"/>
  <c r="X123" i="3"/>
  <c r="W123" i="3"/>
  <c r="V123" i="3"/>
  <c r="AH122" i="3"/>
  <c r="AG122" i="3"/>
  <c r="AB122" i="3"/>
  <c r="Z122" i="3"/>
  <c r="Y122" i="3"/>
  <c r="X122" i="3"/>
  <c r="W122" i="3"/>
  <c r="V122" i="3"/>
  <c r="AH121" i="3"/>
  <c r="AG121" i="3"/>
  <c r="AB121" i="3"/>
  <c r="Z121" i="3"/>
  <c r="Y121" i="3"/>
  <c r="X121" i="3"/>
  <c r="W121" i="3"/>
  <c r="V121" i="3"/>
  <c r="AH120" i="3"/>
  <c r="AG120" i="3"/>
  <c r="AB120" i="3"/>
  <c r="Z120" i="3"/>
  <c r="Y120" i="3"/>
  <c r="X120" i="3"/>
  <c r="W120" i="3"/>
  <c r="V120" i="3"/>
  <c r="AH119" i="3"/>
  <c r="AG119" i="3"/>
  <c r="AB119" i="3"/>
  <c r="Z119" i="3"/>
  <c r="Y119" i="3"/>
  <c r="X119" i="3"/>
  <c r="W119" i="3"/>
  <c r="V119" i="3"/>
  <c r="AH118" i="3"/>
  <c r="AG118" i="3"/>
  <c r="AB118" i="3"/>
  <c r="Z118" i="3"/>
  <c r="Y118" i="3"/>
  <c r="X118" i="3"/>
  <c r="W118" i="3"/>
  <c r="V118" i="3"/>
  <c r="AH117" i="3"/>
  <c r="AG117" i="3"/>
  <c r="AB117" i="3"/>
  <c r="Z117" i="3"/>
  <c r="Y117" i="3"/>
  <c r="X117" i="3"/>
  <c r="W117" i="3"/>
  <c r="V117" i="3"/>
  <c r="AH116" i="3"/>
  <c r="AG116" i="3"/>
  <c r="AB116" i="3"/>
  <c r="Z116" i="3"/>
  <c r="Y116" i="3"/>
  <c r="X116" i="3"/>
  <c r="W116" i="3"/>
  <c r="V116" i="3"/>
  <c r="AH115" i="3"/>
  <c r="AG115" i="3"/>
  <c r="AB115" i="3"/>
  <c r="Z115" i="3"/>
  <c r="Y115" i="3"/>
  <c r="X115" i="3"/>
  <c r="W115" i="3"/>
  <c r="V115" i="3"/>
  <c r="AH114" i="3"/>
  <c r="AG114" i="3"/>
  <c r="AB114" i="3"/>
  <c r="Z114" i="3"/>
  <c r="Y114" i="3"/>
  <c r="X114" i="3"/>
  <c r="W114" i="3"/>
  <c r="V114" i="3"/>
  <c r="AH113" i="3"/>
  <c r="AG113" i="3"/>
  <c r="AB113" i="3"/>
  <c r="Z113" i="3"/>
  <c r="Y113" i="3"/>
  <c r="X113" i="3"/>
  <c r="W113" i="3"/>
  <c r="V113" i="3"/>
  <c r="AH112" i="3"/>
  <c r="AG112" i="3"/>
  <c r="AB112" i="3"/>
  <c r="Z112" i="3"/>
  <c r="Y112" i="3"/>
  <c r="X112" i="3"/>
  <c r="W112" i="3"/>
  <c r="V112" i="3"/>
  <c r="AH111" i="3"/>
  <c r="AG111" i="3"/>
  <c r="AB111" i="3"/>
  <c r="Z111" i="3"/>
  <c r="Y111" i="3"/>
  <c r="X111" i="3"/>
  <c r="W111" i="3"/>
  <c r="V111" i="3"/>
  <c r="AH110" i="3"/>
  <c r="AG110" i="3"/>
  <c r="AB110" i="3"/>
  <c r="Z110" i="3"/>
  <c r="Y110" i="3"/>
  <c r="X110" i="3"/>
  <c r="W110" i="3"/>
  <c r="V110" i="3"/>
  <c r="AH109" i="3"/>
  <c r="AG109" i="3"/>
  <c r="AB109" i="3"/>
  <c r="Z109" i="3"/>
  <c r="Y109" i="3"/>
  <c r="X109" i="3"/>
  <c r="W109" i="3"/>
  <c r="V109" i="3"/>
  <c r="AH108" i="3"/>
  <c r="AG108" i="3"/>
  <c r="AB108" i="3"/>
  <c r="Z108" i="3"/>
  <c r="Y108" i="3"/>
  <c r="X108" i="3"/>
  <c r="W108" i="3"/>
  <c r="V108" i="3"/>
  <c r="AH107" i="3"/>
  <c r="AG107" i="3"/>
  <c r="AB107" i="3"/>
  <c r="Z107" i="3"/>
  <c r="Y107" i="3"/>
  <c r="X107" i="3"/>
  <c r="W107" i="3"/>
  <c r="V107" i="3"/>
  <c r="AH106" i="3"/>
  <c r="AG106" i="3"/>
  <c r="AB106" i="3"/>
  <c r="Z106" i="3"/>
  <c r="Y106" i="3"/>
  <c r="X106" i="3"/>
  <c r="W106" i="3"/>
  <c r="V106" i="3"/>
  <c r="AH105" i="3"/>
  <c r="AG105" i="3"/>
  <c r="AB105" i="3"/>
  <c r="Z105" i="3"/>
  <c r="Y105" i="3"/>
  <c r="X105" i="3"/>
  <c r="W105" i="3"/>
  <c r="V105" i="3"/>
  <c r="AH104" i="3"/>
  <c r="AG104" i="3"/>
  <c r="AB104" i="3"/>
  <c r="Z104" i="3"/>
  <c r="Y104" i="3"/>
  <c r="X104" i="3"/>
  <c r="W104" i="3"/>
  <c r="V104" i="3"/>
  <c r="AH103" i="3"/>
  <c r="AG103" i="3"/>
  <c r="AB103" i="3"/>
  <c r="Z103" i="3"/>
  <c r="Y103" i="3"/>
  <c r="X103" i="3"/>
  <c r="W103" i="3"/>
  <c r="V103" i="3"/>
  <c r="AH102" i="3"/>
  <c r="AG102" i="3"/>
  <c r="AB102" i="3"/>
  <c r="Z102" i="3"/>
  <c r="Y102" i="3"/>
  <c r="X102" i="3"/>
  <c r="W102" i="3"/>
  <c r="V102" i="3"/>
  <c r="AH101" i="3"/>
  <c r="AG101" i="3"/>
  <c r="AB101" i="3"/>
  <c r="Z101" i="3"/>
  <c r="Y101" i="3"/>
  <c r="X101" i="3"/>
  <c r="W101" i="3"/>
  <c r="V101" i="3"/>
  <c r="AH100" i="3"/>
  <c r="AG100" i="3"/>
  <c r="AB100" i="3"/>
  <c r="Z100" i="3"/>
  <c r="Y100" i="3"/>
  <c r="X100" i="3"/>
  <c r="W100" i="3"/>
  <c r="V100" i="3"/>
  <c r="AH99" i="3"/>
  <c r="AG99" i="3"/>
  <c r="AB99" i="3"/>
  <c r="Z99" i="3"/>
  <c r="Y99" i="3"/>
  <c r="X99" i="3"/>
  <c r="W99" i="3"/>
  <c r="V99" i="3"/>
  <c r="AH98" i="3"/>
  <c r="AG98" i="3"/>
  <c r="AB98" i="3"/>
  <c r="Z98" i="3"/>
  <c r="Y98" i="3"/>
  <c r="X98" i="3"/>
  <c r="W98" i="3"/>
  <c r="V98" i="3"/>
  <c r="AH97" i="3"/>
  <c r="AG97" i="3"/>
  <c r="AB97" i="3"/>
  <c r="Z97" i="3"/>
  <c r="Y97" i="3"/>
  <c r="X97" i="3"/>
  <c r="W97" i="3"/>
  <c r="V97" i="3"/>
  <c r="AH96" i="3"/>
  <c r="AG96" i="3"/>
  <c r="AB96" i="3"/>
  <c r="Z96" i="3"/>
  <c r="Y96" i="3"/>
  <c r="X96" i="3"/>
  <c r="W96" i="3"/>
  <c r="V96" i="3"/>
  <c r="AH95" i="3"/>
  <c r="AG95" i="3"/>
  <c r="AB95" i="3"/>
  <c r="Z95" i="3"/>
  <c r="Y95" i="3"/>
  <c r="X95" i="3"/>
  <c r="W95" i="3"/>
  <c r="V95" i="3"/>
  <c r="AH94" i="3"/>
  <c r="AG94" i="3"/>
  <c r="AB94" i="3"/>
  <c r="Z94" i="3"/>
  <c r="Y94" i="3"/>
  <c r="X94" i="3"/>
  <c r="W94" i="3"/>
  <c r="V94" i="3"/>
  <c r="Y21" i="6"/>
  <c r="Y11" i="6"/>
  <c r="L11" i="6"/>
  <c r="I11"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E61" i="9"/>
  <c r="E62" i="9"/>
  <c r="E63" i="9"/>
  <c r="E64" i="9"/>
  <c r="E65" i="9"/>
  <c r="E66" i="9"/>
  <c r="Q69" i="3"/>
  <c r="Q68" i="3"/>
  <c r="Q69" i="17"/>
  <c r="Q68" i="17"/>
  <c r="P35" i="22"/>
  <c r="Q67" i="3"/>
  <c r="Q64" i="3"/>
  <c r="Q65" i="3"/>
  <c r="Q66" i="3"/>
  <c r="Q66" i="17"/>
  <c r="Q67" i="17"/>
  <c r="Q64" i="17"/>
  <c r="Q65" i="17"/>
  <c r="Q18" i="22"/>
  <c r="C3" i="9"/>
  <c r="C4" i="9"/>
  <c r="E93" i="9"/>
  <c r="E94" i="9"/>
  <c r="E82" i="9"/>
  <c r="E58" i="9"/>
  <c r="E59" i="9"/>
  <c r="E77" i="9"/>
  <c r="AA29" i="27"/>
  <c r="AA28" i="27"/>
  <c r="AA27" i="27"/>
  <c r="AA26" i="27"/>
  <c r="AI25" i="27"/>
  <c r="E10" i="9"/>
  <c r="AH25" i="27"/>
  <c r="E27" i="9"/>
  <c r="AD25" i="27"/>
  <c r="E26" i="9"/>
  <c r="E24" i="9"/>
  <c r="Y25" i="27"/>
  <c r="E23" i="9"/>
  <c r="X25" i="27"/>
  <c r="E22" i="9"/>
  <c r="W25" i="27"/>
  <c r="E21" i="9"/>
  <c r="V25" i="27"/>
  <c r="AA22" i="27"/>
  <c r="AA21" i="27"/>
  <c r="AA20" i="27"/>
  <c r="AA19" i="27"/>
  <c r="AI18" i="27"/>
  <c r="AH18" i="27"/>
  <c r="AD18" i="27"/>
  <c r="Y18" i="27"/>
  <c r="X18" i="27"/>
  <c r="W18" i="27"/>
  <c r="V18" i="27"/>
  <c r="Q72" i="30"/>
  <c r="Q71" i="30"/>
  <c r="Q70" i="30"/>
  <c r="Q69" i="30"/>
  <c r="Q68" i="30"/>
  <c r="Q72" i="29"/>
  <c r="Q71" i="29"/>
  <c r="Q70" i="29"/>
  <c r="Q69" i="29"/>
  <c r="Q68" i="29"/>
  <c r="M17" i="27"/>
  <c r="M18" i="27"/>
  <c r="M19" i="27"/>
  <c r="M20" i="27"/>
  <c r="M21" i="27"/>
  <c r="M22" i="27"/>
  <c r="M23" i="27"/>
  <c r="M24" i="27"/>
  <c r="M25" i="27"/>
  <c r="M26" i="27"/>
  <c r="M27" i="27"/>
  <c r="M28" i="27"/>
  <c r="M29" i="27"/>
  <c r="E85" i="9"/>
  <c r="H33" i="27"/>
  <c r="Q68" i="28"/>
  <c r="Q69" i="28"/>
  <c r="E57" i="9"/>
  <c r="T10" i="27"/>
  <c r="AG10" i="27"/>
  <c r="AA13" i="27"/>
  <c r="AA14" i="27"/>
  <c r="AA15" i="27"/>
  <c r="AA12" i="27"/>
  <c r="AI11" i="27"/>
  <c r="AH11" i="27"/>
  <c r="AD11" i="27"/>
  <c r="Y11" i="27"/>
  <c r="X11" i="27"/>
  <c r="W11" i="27"/>
  <c r="V11" i="27"/>
  <c r="Q72" i="28"/>
  <c r="Q71" i="28"/>
  <c r="Q70" i="28"/>
  <c r="I33" i="27"/>
  <c r="E29" i="9"/>
  <c r="I31" i="27"/>
  <c r="M16" i="27"/>
  <c r="M15" i="27"/>
  <c r="M14" i="27"/>
  <c r="M13" i="27"/>
  <c r="M12" i="27"/>
  <c r="U15" i="22"/>
  <c r="E12" i="27"/>
  <c r="E15" i="9"/>
  <c r="E14" i="9"/>
  <c r="I11" i="27"/>
  <c r="E48" i="9"/>
  <c r="E11" i="27"/>
  <c r="E39" i="9"/>
  <c r="D11" i="27"/>
  <c r="E9" i="9"/>
  <c r="C11" i="27"/>
  <c r="E55" i="9"/>
  <c r="C10" i="27"/>
  <c r="E20" i="9"/>
  <c r="R10" i="27"/>
  <c r="E19" i="9"/>
  <c r="L7" i="27"/>
  <c r="I5" i="27"/>
  <c r="I4" i="27"/>
  <c r="I3" i="27"/>
  <c r="I2" i="27"/>
  <c r="E21" i="24"/>
  <c r="E20" i="24"/>
  <c r="E16" i="26"/>
  <c r="E15" i="26"/>
  <c r="E92" i="9"/>
  <c r="Q17" i="22"/>
  <c r="E53" i="9"/>
  <c r="C10" i="26"/>
  <c r="U10" i="22"/>
  <c r="U11" i="22"/>
  <c r="E13" i="26"/>
  <c r="E12" i="26"/>
  <c r="G21" i="26"/>
  <c r="F21" i="26"/>
  <c r="G18" i="26"/>
  <c r="N16" i="26"/>
  <c r="K16" i="26"/>
  <c r="E87" i="9"/>
  <c r="F16" i="26"/>
  <c r="N15" i="26"/>
  <c r="K15" i="26"/>
  <c r="E86" i="9"/>
  <c r="F15" i="26"/>
  <c r="E54" i="9"/>
  <c r="C14" i="26"/>
  <c r="N13" i="26"/>
  <c r="K13" i="26"/>
  <c r="N12" i="26"/>
  <c r="K12" i="26"/>
  <c r="E67" i="9"/>
  <c r="G11" i="26"/>
  <c r="E11" i="26"/>
  <c r="D11" i="26"/>
  <c r="C11" i="26"/>
  <c r="S9" i="26"/>
  <c r="G7" i="26"/>
  <c r="E5" i="26"/>
  <c r="E4" i="26"/>
  <c r="E3" i="26"/>
  <c r="E2" i="26"/>
  <c r="E6" i="22"/>
  <c r="E26" i="22" a="1"/>
  <c r="E26" i="22"/>
  <c r="E27" i="22" a="1"/>
  <c r="E27" i="22"/>
  <c r="E28" i="22" a="1"/>
  <c r="E28" i="22"/>
  <c r="E29" i="22" a="1"/>
  <c r="E29" i="22"/>
  <c r="E30" i="22" a="1"/>
  <c r="E30" i="22"/>
  <c r="E31" i="22" a="1"/>
  <c r="E31" i="22"/>
  <c r="E32" i="22" a="1"/>
  <c r="E32" i="22"/>
  <c r="E33" i="22" a="1"/>
  <c r="E33" i="22"/>
  <c r="E34" i="22" a="1"/>
  <c r="E34" i="22"/>
  <c r="E35" i="22" a="1"/>
  <c r="E35" i="22"/>
  <c r="E7" i="22" a="1"/>
  <c r="E7" i="22"/>
  <c r="F26" i="22"/>
  <c r="G26" i="22"/>
  <c r="F27" i="22"/>
  <c r="G27" i="22"/>
  <c r="F28" i="22"/>
  <c r="G28" i="22"/>
  <c r="F29" i="22"/>
  <c r="G29" i="22"/>
  <c r="F30" i="22"/>
  <c r="G30" i="22"/>
  <c r="F31" i="22"/>
  <c r="G31" i="22"/>
  <c r="F32" i="22"/>
  <c r="G32" i="22"/>
  <c r="F33" i="22"/>
  <c r="G33" i="22"/>
  <c r="F34" i="22"/>
  <c r="G34" i="22"/>
  <c r="F35" i="22"/>
  <c r="G35" i="22"/>
  <c r="G6" i="22"/>
  <c r="G7" i="22"/>
  <c r="F7" i="22"/>
  <c r="F6" i="22"/>
  <c r="C3" i="25"/>
  <c r="C4" i="25"/>
  <c r="E13" i="22" a="1"/>
  <c r="E13" i="22"/>
  <c r="F13" i="22"/>
  <c r="C10" i="25"/>
  <c r="E17" i="22" a="1"/>
  <c r="E17" i="22"/>
  <c r="F17" i="22"/>
  <c r="C14" i="25"/>
  <c r="E22" i="22" a="1"/>
  <c r="E22" i="22"/>
  <c r="F22" i="22"/>
  <c r="C19" i="25"/>
  <c r="C23" i="25"/>
  <c r="C24" i="25"/>
  <c r="C25" i="25"/>
  <c r="C26" i="25"/>
  <c r="C27" i="25"/>
  <c r="C28" i="25"/>
  <c r="C29" i="25"/>
  <c r="C30" i="25"/>
  <c r="C31" i="25"/>
  <c r="C32" i="25"/>
  <c r="C33" i="25"/>
  <c r="C34" i="25"/>
  <c r="C40" i="25"/>
  <c r="C44" i="25"/>
  <c r="C49" i="25"/>
  <c r="C53" i="25"/>
  <c r="C54" i="25"/>
  <c r="C55" i="25"/>
  <c r="C56" i="25"/>
  <c r="C57" i="25"/>
  <c r="C58" i="25"/>
  <c r="C59" i="25"/>
  <c r="C60" i="25"/>
  <c r="C61" i="25"/>
  <c r="C62" i="25"/>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6" i="22"/>
  <c r="W17" i="22"/>
  <c r="V17" i="22"/>
  <c r="AN21" i="6"/>
  <c r="E12" i="24"/>
  <c r="E12" i="21"/>
  <c r="B13" i="6"/>
  <c r="B12" i="6"/>
  <c r="E95" i="9"/>
  <c r="E96" i="9"/>
  <c r="E97" i="9"/>
  <c r="E98" i="9"/>
  <c r="E99" i="9"/>
  <c r="E60" i="9"/>
  <c r="S11" i="22"/>
  <c r="E69" i="9"/>
  <c r="AM21" i="6"/>
  <c r="AM11" i="6"/>
  <c r="AN11" i="6"/>
  <c r="E16" i="9"/>
  <c r="AM20" i="6"/>
  <c r="AM10" i="6"/>
  <c r="E91" i="9"/>
  <c r="Q16" i="22"/>
  <c r="E90" i="9"/>
  <c r="Q15" i="22"/>
  <c r="E88" i="9"/>
  <c r="E89" i="9"/>
  <c r="Q22" i="22"/>
  <c r="E84" i="9"/>
  <c r="D11" i="14"/>
  <c r="C10" i="21"/>
  <c r="C10" i="24"/>
  <c r="C11" i="24"/>
  <c r="C11" i="21"/>
  <c r="E56" i="9"/>
  <c r="B3" i="20"/>
  <c r="B3" i="10"/>
  <c r="E40" i="9"/>
  <c r="P30" i="6"/>
  <c r="G26" i="24"/>
  <c r="F26" i="24"/>
  <c r="G23" i="24"/>
  <c r="F21" i="24"/>
  <c r="F20" i="24"/>
  <c r="C19" i="24"/>
  <c r="C16" i="24"/>
  <c r="N15" i="24"/>
  <c r="K15" i="24"/>
  <c r="N14" i="24"/>
  <c r="K14" i="24"/>
  <c r="N13" i="24"/>
  <c r="K13" i="24"/>
  <c r="N12" i="24"/>
  <c r="K12" i="24"/>
  <c r="G11" i="24"/>
  <c r="E11" i="24"/>
  <c r="D11" i="24"/>
  <c r="S9" i="24"/>
  <c r="G7" i="24"/>
  <c r="E5" i="24"/>
  <c r="E4" i="24"/>
  <c r="E3" i="24"/>
  <c r="E2" i="24"/>
  <c r="E41" i="9"/>
  <c r="Q4" i="22"/>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2" i="22"/>
  <c r="C20" i="22"/>
  <c r="Q13" i="22"/>
  <c r="E44" i="9"/>
  <c r="Q11" i="22"/>
  <c r="E43" i="9"/>
  <c r="Q9" i="22"/>
  <c r="E42" i="9"/>
  <c r="Q7" i="22"/>
  <c r="E45" i="9"/>
  <c r="S5" i="22"/>
  <c r="Q5" i="22"/>
  <c r="E31" i="9"/>
  <c r="L5" i="22"/>
  <c r="E34" i="9"/>
  <c r="I5" i="22"/>
  <c r="E17" i="9"/>
  <c r="H5" i="22"/>
  <c r="G5" i="22"/>
  <c r="F5" i="22"/>
  <c r="E33" i="9"/>
  <c r="E5" i="22"/>
  <c r="C5" i="22"/>
  <c r="O4" i="22"/>
  <c r="E32" i="9"/>
  <c r="E4" i="22"/>
  <c r="C4" i="22"/>
  <c r="E30" i="9"/>
  <c r="E2" i="22"/>
  <c r="G22" i="21"/>
  <c r="F22" i="21"/>
  <c r="G7" i="21"/>
  <c r="E5" i="21"/>
  <c r="E4" i="21"/>
  <c r="E3" i="21"/>
  <c r="E2" i="21"/>
  <c r="G19" i="21"/>
  <c r="N17" i="21"/>
  <c r="N16" i="21"/>
  <c r="N15" i="21"/>
  <c r="N14" i="21"/>
  <c r="N13" i="21"/>
  <c r="N12" i="21"/>
  <c r="S9" i="21"/>
  <c r="K13" i="21"/>
  <c r="K14" i="21"/>
  <c r="K15" i="21"/>
  <c r="K16" i="21"/>
  <c r="K17" i="21"/>
  <c r="G11" i="21"/>
  <c r="D11" i="21"/>
  <c r="E11" i="21"/>
  <c r="K12" i="21"/>
  <c r="F34" i="20"/>
  <c r="E28" i="9"/>
  <c r="E34" i="20"/>
  <c r="D34" i="20"/>
  <c r="C34" i="20"/>
  <c r="F25" i="20"/>
  <c r="E25" i="20"/>
  <c r="D25" i="20"/>
  <c r="C25" i="20"/>
  <c r="F16" i="20"/>
  <c r="E16" i="20"/>
  <c r="D16" i="20"/>
  <c r="C16" i="20"/>
  <c r="F7" i="20"/>
  <c r="E7" i="20"/>
  <c r="D7" i="20"/>
  <c r="C7" i="20"/>
  <c r="E75" i="9"/>
  <c r="B4" i="20"/>
  <c r="E7" i="9"/>
  <c r="B2" i="20"/>
  <c r="E6" i="9"/>
  <c r="E11" i="6"/>
  <c r="E18" i="9"/>
  <c r="K7" i="6"/>
  <c r="Z23" i="6"/>
  <c r="Z24" i="6"/>
  <c r="Z25" i="6"/>
  <c r="Z26" i="6"/>
  <c r="Z27" i="6"/>
  <c r="P22" i="6"/>
  <c r="P20" i="6"/>
  <c r="Z22" i="6"/>
  <c r="AC21" i="6"/>
  <c r="U21" i="6"/>
  <c r="T21" i="6"/>
  <c r="S21" i="6"/>
  <c r="R21" i="6"/>
  <c r="P10" i="6"/>
  <c r="Q72" i="17"/>
  <c r="Q71" i="17"/>
  <c r="Q70" i="17"/>
  <c r="Q72" i="3"/>
  <c r="Q71" i="3"/>
  <c r="Q70" i="3"/>
  <c r="E83" i="9"/>
  <c r="B11" i="14"/>
  <c r="E13" i="9"/>
  <c r="E71" i="9"/>
  <c r="E72" i="9"/>
  <c r="E12" i="9"/>
  <c r="E11" i="9"/>
  <c r="E8" i="9"/>
  <c r="E38" i="9"/>
  <c r="E74" i="9"/>
  <c r="E70" i="9"/>
  <c r="E76" i="9"/>
  <c r="E79" i="9"/>
  <c r="E78" i="9"/>
  <c r="E81" i="9"/>
  <c r="E80" i="9"/>
  <c r="B5" i="14"/>
  <c r="E104" i="9"/>
  <c r="E52" i="9"/>
  <c r="E51" i="9"/>
  <c r="B1" i="14"/>
  <c r="E50" i="9"/>
  <c r="A1" i="13"/>
  <c r="D11" i="6"/>
  <c r="C11" i="6"/>
  <c r="E47" i="9"/>
  <c r="E46" i="9"/>
  <c r="B4" i="10"/>
  <c r="F34" i="10"/>
  <c r="F16" i="10"/>
  <c r="F25" i="10"/>
  <c r="F7" i="10"/>
  <c r="B2" i="10"/>
  <c r="D34" i="10"/>
  <c r="C34" i="10"/>
  <c r="D25" i="10"/>
  <c r="C25" i="10"/>
  <c r="D16" i="10"/>
  <c r="C16" i="10"/>
  <c r="D7" i="10"/>
  <c r="C7" i="10"/>
  <c r="E73" i="9"/>
  <c r="L1" i="9"/>
  <c r="E35" i="9"/>
  <c r="E36" i="9"/>
  <c r="E37" i="9"/>
  <c r="F68" i="9"/>
  <c r="C5" i="9"/>
  <c r="F1" i="9"/>
  <c r="F5" i="9"/>
  <c r="Z13" i="6"/>
  <c r="Z14" i="6"/>
  <c r="Z15" i="6"/>
  <c r="Z16" i="6"/>
  <c r="Z17" i="6"/>
  <c r="Z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12" i="6"/>
  <c r="AC11" i="6"/>
  <c r="U11" i="6"/>
  <c r="T11" i="6"/>
  <c r="S11" i="6"/>
  <c r="R11" i="6"/>
  <c r="F11" i="6"/>
  <c r="B11" i="6"/>
  <c r="B10" i="6"/>
  <c r="K1" i="9"/>
  <c r="C40" i="6"/>
  <c r="C39" i="6"/>
  <c r="C38" i="6"/>
  <c r="C37" i="6"/>
  <c r="C36" i="6"/>
  <c r="C35" i="6"/>
  <c r="C34" i="6"/>
  <c r="C32" i="6"/>
  <c r="D40" i="6"/>
  <c r="D39" i="6"/>
  <c r="D38" i="6"/>
  <c r="D37" i="6"/>
  <c r="D36" i="6"/>
  <c r="D35" i="6"/>
  <c r="D34" i="6"/>
  <c r="D33" i="6"/>
  <c r="D32" i="6"/>
  <c r="C33" i="6"/>
  <c r="B40" i="6"/>
  <c r="B39" i="6"/>
  <c r="B38" i="6"/>
  <c r="B37" i="6"/>
  <c r="B36" i="6"/>
  <c r="B35" i="6"/>
  <c r="B34" i="6"/>
  <c r="B33" i="6"/>
  <c r="B32" i="6"/>
  <c r="C41" i="6"/>
  <c r="D41" i="6"/>
  <c r="B41" i="6"/>
  <c r="C12" i="24" a="1"/>
  <c r="C12" i="24"/>
  <c r="C12" i="21" a="1"/>
  <c r="C12" i="21"/>
  <c r="E8" i="22" a="1"/>
  <c r="E8" i="22"/>
  <c r="F8" i="22"/>
  <c r="C5" i="25"/>
  <c r="E9" i="22" a="1"/>
  <c r="E9" i="22"/>
  <c r="F9" i="22"/>
  <c r="C6" i="25"/>
  <c r="E10" i="22" a="1"/>
  <c r="E10" i="22"/>
  <c r="F10" i="22"/>
  <c r="C7" i="25"/>
  <c r="E11" i="22" a="1"/>
  <c r="E11" i="22"/>
  <c r="F11" i="22"/>
  <c r="C8" i="25"/>
  <c r="E12" i="22" a="1"/>
  <c r="E12" i="22"/>
  <c r="F12" i="22"/>
  <c r="C9" i="25"/>
  <c r="E14" i="22" a="1"/>
  <c r="E14" i="22"/>
  <c r="F14" i="22"/>
  <c r="C11" i="25"/>
  <c r="E15" i="22" a="1"/>
  <c r="E15" i="22"/>
  <c r="F15" i="22"/>
  <c r="C12" i="25"/>
  <c r="E16" i="22" a="1"/>
  <c r="E16" i="22"/>
  <c r="F16" i="22"/>
  <c r="C13" i="25"/>
  <c r="C35" i="25"/>
  <c r="C36" i="25"/>
  <c r="C37" i="25"/>
  <c r="C38" i="25"/>
  <c r="C39" i="25"/>
  <c r="C41" i="25"/>
  <c r="C42" i="25"/>
  <c r="C43" i="25"/>
  <c r="C20" i="6"/>
  <c r="C19" i="6"/>
  <c r="C18" i="6"/>
  <c r="C14" i="6"/>
  <c r="C15" i="6"/>
  <c r="C16" i="6"/>
  <c r="C17" i="6"/>
  <c r="G11" i="22"/>
  <c r="D17" i="6"/>
  <c r="G10" i="22"/>
  <c r="D16" i="6"/>
  <c r="G9" i="22"/>
  <c r="D15" i="6"/>
  <c r="G8" i="22"/>
  <c r="D14" i="6"/>
  <c r="G14" i="22"/>
  <c r="D20" i="6"/>
  <c r="G13" i="22"/>
  <c r="D19" i="6"/>
  <c r="G12" i="22"/>
  <c r="D18" i="6"/>
  <c r="B20" i="6"/>
  <c r="B19" i="6"/>
  <c r="B18" i="6"/>
  <c r="B17" i="6"/>
  <c r="B16" i="6"/>
  <c r="B15" i="6"/>
  <c r="B14" i="6"/>
  <c r="C23" i="6"/>
  <c r="C22" i="6"/>
  <c r="C21" i="6"/>
  <c r="G17" i="22"/>
  <c r="D23" i="6"/>
  <c r="G16" i="22"/>
  <c r="D22" i="6"/>
  <c r="G15" i="22"/>
  <c r="D21" i="6"/>
  <c r="B23" i="6"/>
  <c r="B22" i="6"/>
  <c r="B21" i="6"/>
  <c r="E18" i="22" a="1"/>
  <c r="E18" i="22"/>
  <c r="F18" i="22"/>
  <c r="C15" i="25"/>
  <c r="E19" i="22" a="1"/>
  <c r="E19" i="22"/>
  <c r="F19" i="22"/>
  <c r="C16" i="25"/>
  <c r="E20" i="22" a="1"/>
  <c r="E20" i="22"/>
  <c r="F20" i="22"/>
  <c r="C17" i="25"/>
  <c r="E21" i="22" a="1"/>
  <c r="E21" i="22"/>
  <c r="F21" i="22"/>
  <c r="C18" i="25"/>
  <c r="E23" i="22" a="1"/>
  <c r="E23" i="22"/>
  <c r="F23" i="22"/>
  <c r="C20" i="25"/>
  <c r="E24" i="22" a="1"/>
  <c r="E24" i="22"/>
  <c r="F24" i="22"/>
  <c r="C21" i="25"/>
  <c r="E25" i="22" a="1"/>
  <c r="E25" i="22"/>
  <c r="F25" i="22"/>
  <c r="C22" i="25"/>
  <c r="C45" i="25"/>
  <c r="C46" i="25"/>
  <c r="C47" i="25"/>
  <c r="C48" i="25"/>
  <c r="C50" i="25"/>
  <c r="C51" i="25"/>
  <c r="C52" i="25"/>
  <c r="E2" i="25"/>
  <c r="D3" i="25" a="1"/>
  <c r="D3" i="25"/>
  <c r="D4" i="25"/>
  <c r="D5" i="25"/>
  <c r="D6" i="25"/>
  <c r="D7" i="25"/>
  <c r="D8" i="25"/>
  <c r="D9" i="25"/>
  <c r="D10" i="25"/>
  <c r="D11" i="25"/>
  <c r="D12" i="25"/>
  <c r="D13" i="25"/>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D56" i="25"/>
  <c r="D57" i="25"/>
  <c r="D58" i="25"/>
  <c r="D59" i="25"/>
  <c r="D60" i="25"/>
  <c r="D61" i="25"/>
  <c r="D62" i="25"/>
  <c r="E7" i="25"/>
  <c r="E5" i="25" a="1"/>
  <c r="E5" i="25"/>
  <c r="E6" i="25"/>
  <c r="E8" i="25" a="1"/>
  <c r="E8" i="25"/>
  <c r="E9" i="25" a="1"/>
  <c r="E9" i="25"/>
  <c r="F8" i="25"/>
  <c r="E3" i="25"/>
  <c r="R24" i="22" a="1"/>
  <c r="R24" i="22"/>
  <c r="F9" i="25"/>
  <c r="E4" i="25"/>
  <c r="S24" i="22" a="1"/>
  <c r="S24" i="22"/>
  <c r="B24" i="6"/>
  <c r="B25" i="6"/>
  <c r="B26" i="6"/>
  <c r="B27" i="6"/>
  <c r="B28" i="6"/>
  <c r="B29" i="6"/>
  <c r="B30" i="6"/>
  <c r="B31" i="6"/>
  <c r="G18" i="22"/>
  <c r="D24" i="6"/>
  <c r="G19" i="22"/>
  <c r="D25" i="6"/>
  <c r="G20" i="22"/>
  <c r="D26" i="6"/>
  <c r="G21" i="22"/>
  <c r="D27" i="6"/>
  <c r="G22" i="22"/>
  <c r="D28" i="6"/>
  <c r="G23" i="22"/>
  <c r="D29" i="6"/>
  <c r="G24" i="22"/>
  <c r="D30" i="6"/>
  <c r="G25" i="22"/>
  <c r="D31" i="6"/>
  <c r="C24" i="6"/>
  <c r="C25" i="6"/>
  <c r="C26" i="6"/>
  <c r="C27" i="6"/>
  <c r="C28" i="6"/>
  <c r="C29" i="6"/>
  <c r="C30" i="6"/>
  <c r="C31" i="6"/>
  <c r="F2" i="25" a="1"/>
  <c r="F2" i="25"/>
  <c r="G2" i="25"/>
  <c r="Q26" i="22"/>
  <c r="Q25" i="22"/>
  <c r="C12" i="26" a="1"/>
  <c r="C12" i="26"/>
  <c r="C16" i="26"/>
  <c r="C15" i="26"/>
  <c r="C13" i="26"/>
  <c r="C12" i="27" a="1"/>
  <c r="C12" i="27"/>
  <c r="R13" i="22" a="1"/>
  <c r="R13" i="22"/>
  <c r="D12" i="27"/>
  <c r="D12" i="26"/>
  <c r="D13" i="26"/>
  <c r="D15" i="26"/>
  <c r="D16" i="26"/>
  <c r="I18" i="26"/>
  <c r="R17" i="22"/>
  <c r="D12" i="24"/>
  <c r="D12" i="21"/>
  <c r="AC30" i="6"/>
  <c r="AH30" i="27" a="1"/>
  <c r="AH23" i="27" a="1"/>
  <c r="K34" i="10"/>
  <c r="K40" i="10"/>
  <c r="J34" i="10"/>
  <c r="J40" i="10"/>
  <c r="I34" i="10"/>
  <c r="I40" i="10"/>
  <c r="H34" i="10"/>
  <c r="H40" i="10"/>
  <c r="G34" i="10"/>
  <c r="G40" i="10"/>
  <c r="L34" i="10"/>
  <c r="L39" i="10"/>
  <c r="J39" i="10"/>
  <c r="I39" i="10"/>
  <c r="H39" i="10"/>
  <c r="G39" i="10"/>
  <c r="L38" i="10"/>
  <c r="K38" i="10"/>
  <c r="I38" i="10"/>
  <c r="H38" i="10"/>
  <c r="G38" i="10"/>
  <c r="L37" i="10"/>
  <c r="K37" i="10"/>
  <c r="J37" i="10"/>
  <c r="H37" i="10"/>
  <c r="G37" i="10"/>
  <c r="L36" i="10"/>
  <c r="K36" i="10"/>
  <c r="J36" i="10"/>
  <c r="I36" i="10"/>
  <c r="G36" i="10"/>
  <c r="L35" i="10"/>
  <c r="K35" i="10"/>
  <c r="J35" i="10"/>
  <c r="I35" i="10"/>
  <c r="H35" i="10"/>
  <c r="K25" i="10"/>
  <c r="K31" i="10"/>
  <c r="J25" i="10"/>
  <c r="J31" i="10"/>
  <c r="I25" i="10"/>
  <c r="I31" i="10"/>
  <c r="H25" i="10"/>
  <c r="H31" i="10"/>
  <c r="G25" i="10"/>
  <c r="G31" i="10"/>
  <c r="L25" i="10"/>
  <c r="L30" i="10"/>
  <c r="J30" i="10"/>
  <c r="I30" i="10"/>
  <c r="H30" i="10"/>
  <c r="G30" i="10"/>
  <c r="L29" i="10"/>
  <c r="K29" i="10"/>
  <c r="I29" i="10"/>
  <c r="H29" i="10"/>
  <c r="G29" i="10"/>
  <c r="L28" i="10"/>
  <c r="K28" i="10"/>
  <c r="J28" i="10"/>
  <c r="H28" i="10"/>
  <c r="G28" i="10"/>
  <c r="L27" i="10"/>
  <c r="K27" i="10"/>
  <c r="J27" i="10"/>
  <c r="I27" i="10"/>
  <c r="G27" i="10"/>
  <c r="L26" i="10"/>
  <c r="K26" i="10"/>
  <c r="J26" i="10"/>
  <c r="I26" i="10"/>
  <c r="H26" i="10"/>
  <c r="K16" i="10"/>
  <c r="K22" i="10"/>
  <c r="J16" i="10"/>
  <c r="J22" i="10"/>
  <c r="I16" i="10"/>
  <c r="I22" i="10"/>
  <c r="H16" i="10"/>
  <c r="H22" i="10"/>
  <c r="G16" i="10"/>
  <c r="G22" i="10"/>
  <c r="L16" i="10"/>
  <c r="L21" i="10"/>
  <c r="J21" i="10"/>
  <c r="I21" i="10"/>
  <c r="H21" i="10"/>
  <c r="G21" i="10"/>
  <c r="L20" i="10"/>
  <c r="K20" i="10"/>
  <c r="I20" i="10"/>
  <c r="H20" i="10"/>
  <c r="G20" i="10"/>
  <c r="L19" i="10"/>
  <c r="K19" i="10"/>
  <c r="J19" i="10"/>
  <c r="H19" i="10"/>
  <c r="G19" i="10"/>
  <c r="L18" i="10"/>
  <c r="K18" i="10"/>
  <c r="J18" i="10"/>
  <c r="I18" i="10"/>
  <c r="G18" i="10"/>
  <c r="L17" i="10"/>
  <c r="K17" i="10"/>
  <c r="J17" i="10"/>
  <c r="I17" i="10"/>
  <c r="H17" i="10"/>
  <c r="K7" i="10"/>
  <c r="K13" i="10"/>
  <c r="J7" i="10"/>
  <c r="J13" i="10"/>
  <c r="I7" i="10"/>
  <c r="I13" i="10"/>
  <c r="H7" i="10"/>
  <c r="H13" i="10"/>
  <c r="G7" i="10"/>
  <c r="G13" i="10"/>
  <c r="L7" i="10"/>
  <c r="L12" i="10"/>
  <c r="J12" i="10"/>
  <c r="I12" i="10"/>
  <c r="H12" i="10"/>
  <c r="G12" i="10"/>
  <c r="L11" i="10"/>
  <c r="K11" i="10"/>
  <c r="I11" i="10"/>
  <c r="H11" i="10"/>
  <c r="G11" i="10"/>
  <c r="L10" i="10"/>
  <c r="K10" i="10"/>
  <c r="J10" i="10"/>
  <c r="H10" i="10"/>
  <c r="G10" i="10"/>
  <c r="L9" i="10"/>
  <c r="K9" i="10"/>
  <c r="J9" i="10"/>
  <c r="I9" i="10"/>
  <c r="G9" i="10"/>
  <c r="L8" i="10"/>
  <c r="K8" i="10"/>
  <c r="J8" i="10"/>
  <c r="I8" i="10"/>
  <c r="H8" i="10"/>
  <c r="U16" i="6"/>
  <c r="U12" i="6"/>
  <c r="P12" i="6"/>
  <c r="P13" i="6"/>
  <c r="P14" i="6"/>
  <c r="P15" i="6"/>
  <c r="P16" i="6"/>
  <c r="P17" i="6"/>
  <c r="L33" i="10"/>
  <c r="K33" i="10"/>
  <c r="J33" i="10"/>
  <c r="I33" i="10"/>
  <c r="H33" i="10"/>
  <c r="G33" i="10"/>
  <c r="L24" i="10"/>
  <c r="K24" i="10"/>
  <c r="J24" i="10"/>
  <c r="I24" i="10"/>
  <c r="H24" i="10"/>
  <c r="G24" i="10"/>
  <c r="L15" i="10"/>
  <c r="K15" i="10"/>
  <c r="J15" i="10"/>
  <c r="I15" i="10"/>
  <c r="H15" i="10"/>
  <c r="G15" i="10"/>
  <c r="L6" i="10"/>
  <c r="K6" i="10"/>
  <c r="J6" i="10"/>
  <c r="I6" i="10"/>
  <c r="H6" i="10"/>
  <c r="AJ13" i="6"/>
  <c r="AJ14" i="6"/>
  <c r="AJ15" i="6"/>
  <c r="AJ16" i="6"/>
  <c r="AJ17" i="6"/>
  <c r="AJ12" i="6"/>
  <c r="AE10" i="6"/>
  <c r="AF10" i="6"/>
  <c r="AG10" i="6"/>
  <c r="AH10" i="6"/>
  <c r="AI10" i="6"/>
  <c r="AD10" i="6"/>
  <c r="AA17" i="6"/>
  <c r="Y17" i="6"/>
  <c r="U17" i="6"/>
  <c r="T17" i="6"/>
  <c r="S17" i="6"/>
  <c r="R17" i="6"/>
  <c r="AA16" i="6"/>
  <c r="Y16" i="6"/>
  <c r="T16" i="6"/>
  <c r="S16" i="6"/>
  <c r="R16" i="6"/>
  <c r="AA15" i="6"/>
  <c r="Y15" i="6"/>
  <c r="U15" i="6"/>
  <c r="T15" i="6"/>
  <c r="S15" i="6"/>
  <c r="R15" i="6"/>
  <c r="AA14" i="6"/>
  <c r="Y14" i="6"/>
  <c r="U14" i="6"/>
  <c r="T14" i="6"/>
  <c r="S14" i="6"/>
  <c r="R14" i="6"/>
  <c r="AA13" i="6"/>
  <c r="Y13" i="6"/>
  <c r="U13" i="6"/>
  <c r="T13" i="6"/>
  <c r="S13" i="6"/>
  <c r="R13" i="6"/>
  <c r="AA12" i="6"/>
  <c r="Y12" i="6"/>
  <c r="T12" i="6"/>
  <c r="S12" i="6"/>
  <c r="R12" i="6"/>
  <c r="E9" i="10"/>
  <c r="E10" i="10"/>
  <c r="E11" i="10"/>
  <c r="E12" i="10"/>
  <c r="E13" i="10"/>
  <c r="E8" i="10"/>
  <c r="D9" i="10"/>
  <c r="D10" i="10"/>
  <c r="D11" i="10"/>
  <c r="D12" i="10"/>
  <c r="D13" i="10"/>
  <c r="D8" i="10"/>
  <c r="B8" i="10"/>
  <c r="B13" i="10"/>
  <c r="B12" i="10"/>
  <c r="B11" i="10"/>
  <c r="B10" i="10"/>
  <c r="B9" i="10"/>
  <c r="E22" i="10"/>
  <c r="D22" i="10"/>
  <c r="E21" i="10"/>
  <c r="D21" i="10"/>
  <c r="E20" i="10"/>
  <c r="D20" i="10"/>
  <c r="E19" i="10"/>
  <c r="D19" i="10"/>
  <c r="E18" i="10"/>
  <c r="D18" i="10"/>
  <c r="E17" i="10"/>
  <c r="D17" i="10"/>
  <c r="E40" i="10"/>
  <c r="D40" i="10"/>
  <c r="E39" i="10"/>
  <c r="D39" i="10"/>
  <c r="E38" i="10"/>
  <c r="D38" i="10"/>
  <c r="E37" i="10"/>
  <c r="D37" i="10"/>
  <c r="E36" i="10"/>
  <c r="D36" i="10"/>
  <c r="E35" i="10"/>
  <c r="D35" i="10"/>
  <c r="D26" i="10"/>
  <c r="E31" i="10"/>
  <c r="D31" i="10"/>
  <c r="E30" i="10"/>
  <c r="D30" i="10"/>
  <c r="E29" i="10"/>
  <c r="D29" i="10"/>
  <c r="E28" i="10"/>
  <c r="D28" i="10"/>
  <c r="E27" i="10"/>
  <c r="D27" i="10"/>
  <c r="E26" i="10"/>
  <c r="B17" i="10"/>
  <c r="B22" i="10"/>
  <c r="B21" i="10"/>
  <c r="B20" i="10"/>
  <c r="B19" i="10"/>
  <c r="B18" i="10"/>
  <c r="B26" i="10"/>
  <c r="B31" i="10"/>
  <c r="B30" i="10"/>
  <c r="B29" i="10"/>
  <c r="B28" i="10"/>
  <c r="B27" i="10"/>
  <c r="B35" i="10"/>
  <c r="B40" i="10"/>
  <c r="B39" i="10"/>
  <c r="B38" i="10"/>
  <c r="B37" i="10"/>
  <c r="B36" i="10"/>
  <c r="M8" i="10"/>
  <c r="M13" i="10"/>
  <c r="M12" i="10"/>
  <c r="M11" i="10"/>
  <c r="M10" i="10"/>
  <c r="M9" i="10"/>
  <c r="M17" i="10"/>
  <c r="M18" i="10"/>
  <c r="M19" i="10"/>
  <c r="M20" i="10"/>
  <c r="M21" i="10"/>
  <c r="M22" i="10"/>
  <c r="M26" i="10"/>
  <c r="M27" i="10"/>
  <c r="M28" i="10"/>
  <c r="M29" i="10"/>
  <c r="M30" i="10"/>
  <c r="M31" i="10"/>
  <c r="M35" i="10"/>
  <c r="M36" i="10"/>
  <c r="M37" i="10"/>
  <c r="M38" i="10"/>
  <c r="M39" i="10"/>
  <c r="M40" i="10"/>
  <c r="G6" i="10"/>
  <c r="Z18" i="3"/>
  <c r="Z19" i="3"/>
  <c r="Z20" i="3"/>
  <c r="AG17" i="3"/>
  <c r="AH17" i="3"/>
  <c r="AG18" i="3"/>
  <c r="AH18" i="3"/>
  <c r="AG19" i="3"/>
  <c r="AH19" i="3"/>
  <c r="AG20" i="3"/>
  <c r="AH20" i="3"/>
  <c r="AG21" i="3"/>
  <c r="AH21" i="3"/>
  <c r="Z22" i="3"/>
  <c r="AG22" i="3"/>
  <c r="AH22" i="3"/>
  <c r="Z23" i="3"/>
  <c r="AG23" i="3"/>
  <c r="AH23" i="3"/>
  <c r="Z24" i="3"/>
  <c r="AG24" i="3"/>
  <c r="AH24" i="3"/>
  <c r="Z25" i="3"/>
  <c r="AG25" i="3"/>
  <c r="AH25" i="3"/>
  <c r="AD25" i="30"/>
  <c r="BT51" i="30"/>
  <c r="BT52" i="30"/>
  <c r="BU52" i="30"/>
  <c r="BV51" i="30"/>
  <c r="BV52" i="30"/>
  <c r="BW52" i="30"/>
  <c r="BX52" i="30"/>
  <c r="BY52" i="30"/>
  <c r="BZ52" i="30"/>
  <c r="CA52" i="30"/>
  <c r="BR53" i="30"/>
  <c r="BS53" i="30"/>
  <c r="BU53" i="30"/>
  <c r="BV53" i="30"/>
  <c r="BW53" i="30"/>
  <c r="BX53" i="30"/>
  <c r="BY53" i="30"/>
  <c r="BZ53" i="30"/>
  <c r="CA53" i="30"/>
  <c r="BS54" i="30"/>
  <c r="BT54" i="30"/>
  <c r="BV54" i="30"/>
  <c r="BW54" i="30"/>
  <c r="BX54" i="30"/>
  <c r="BY54" i="30"/>
  <c r="BZ54" i="30"/>
  <c r="CA54" i="30"/>
  <c r="BR55" i="30"/>
  <c r="BS55" i="30"/>
  <c r="BT55" i="30"/>
  <c r="BU55" i="30"/>
  <c r="BW55" i="30"/>
  <c r="BX55" i="30"/>
  <c r="BY55" i="30"/>
  <c r="BZ55" i="30"/>
  <c r="CA55" i="30"/>
  <c r="BS56" i="30"/>
  <c r="BT56" i="30"/>
  <c r="BU56" i="30"/>
  <c r="BV56" i="30"/>
  <c r="BX56" i="30"/>
  <c r="BY56" i="30"/>
  <c r="BZ56" i="30"/>
  <c r="CA56" i="30"/>
  <c r="BS57" i="30"/>
  <c r="BT57" i="30"/>
  <c r="BU57" i="30"/>
  <c r="BV57" i="30"/>
  <c r="BW57" i="30"/>
  <c r="BY57" i="30"/>
  <c r="BZ57" i="30"/>
  <c r="CA57" i="30"/>
  <c r="BS58" i="30"/>
  <c r="BT58" i="30"/>
  <c r="BU58" i="30"/>
  <c r="BV58" i="30"/>
  <c r="BW58" i="30"/>
  <c r="BX58" i="30"/>
  <c r="BZ58" i="30"/>
  <c r="CA58" i="30"/>
  <c r="BS59" i="30"/>
  <c r="BT59" i="30"/>
  <c r="BU59" i="30"/>
  <c r="BV59" i="30"/>
  <c r="BW59" i="30"/>
  <c r="BX59" i="30"/>
  <c r="BY59" i="30"/>
  <c r="CA59" i="30"/>
  <c r="BS60" i="30"/>
  <c r="BT60" i="30"/>
  <c r="BU60" i="30"/>
  <c r="BV60" i="30"/>
  <c r="BW60" i="30"/>
  <c r="BX60" i="30"/>
  <c r="BY60" i="30"/>
  <c r="BZ60" i="30"/>
  <c r="F38" i="30" a="1"/>
  <c r="F38" i="30"/>
  <c r="G38" i="30" a="1"/>
  <c r="H38" i="30" a="1"/>
  <c r="I38" i="30" a="1"/>
  <c r="J38" i="30" a="1"/>
  <c r="K38" i="30" a="1"/>
  <c r="L38" i="30" a="1"/>
  <c r="M38" i="30" a="1"/>
  <c r="N38" i="30" a="1"/>
  <c r="O38" i="30" a="1"/>
  <c r="P38" i="30" a="1"/>
  <c r="Q38" i="30" a="1"/>
  <c r="R38" i="30" a="1"/>
  <c r="S38" i="30" a="1"/>
  <c r="T38" i="30" a="1"/>
  <c r="U38" i="30" a="1"/>
  <c r="V38" i="30" a="1"/>
  <c r="W38" i="30" a="1"/>
  <c r="X38" i="30" a="1"/>
  <c r="Y38" i="30" a="1"/>
  <c r="Z38" i="30" a="1"/>
  <c r="AA38" i="30" a="1"/>
  <c r="AB38" i="30" a="1"/>
  <c r="AC38" i="30" a="1"/>
  <c r="AD38" i="30" a="1"/>
  <c r="AE38" i="30" a="1"/>
  <c r="AF38" i="30" a="1"/>
  <c r="AG38" i="30" a="1"/>
  <c r="AH38" i="30" a="1"/>
  <c r="AI38" i="30" a="1"/>
  <c r="AJ38" i="30" a="1"/>
  <c r="AK38" i="30" a="1"/>
  <c r="AL38" i="30" a="1"/>
  <c r="AM38" i="30" a="1"/>
  <c r="AN38" i="30" a="1"/>
  <c r="AO38" i="30" a="1"/>
  <c r="AP38" i="30" a="1"/>
  <c r="AQ38" i="30" a="1"/>
  <c r="AR38" i="30" a="1"/>
  <c r="AS38" i="30" a="1"/>
  <c r="AT38" i="30" a="1"/>
  <c r="AU38" i="30" a="1"/>
  <c r="AV38" i="30" a="1"/>
  <c r="AW38" i="30" a="1"/>
  <c r="AX38" i="30" a="1"/>
  <c r="AY38" i="30" a="1"/>
  <c r="AZ38" i="30" a="1"/>
  <c r="BA38" i="30" a="1"/>
  <c r="BB38" i="30" a="1"/>
  <c r="BC38" i="30" a="1"/>
  <c r="BD38" i="30" a="1"/>
  <c r="BE38" i="30" a="1"/>
  <c r="BF38" i="30" a="1"/>
  <c r="BG38" i="30" a="1"/>
  <c r="BH38" i="30" a="1"/>
  <c r="BI38" i="30" a="1"/>
  <c r="BJ38" i="30" a="1"/>
  <c r="BK38" i="30" a="1"/>
  <c r="BL38" i="30" a="1"/>
  <c r="BM38" i="30" a="1"/>
  <c r="BN38" i="30" a="1"/>
  <c r="BO38" i="30" a="1"/>
  <c r="BP38" i="30" a="1"/>
  <c r="G38" i="30"/>
  <c r="H38" i="30"/>
  <c r="I38" i="30"/>
  <c r="J38" i="30"/>
  <c r="K38" i="30"/>
  <c r="L38" i="30"/>
  <c r="M38" i="30"/>
  <c r="N38" i="30"/>
  <c r="O38" i="30"/>
  <c r="P38" i="30"/>
  <c r="Q38" i="30"/>
  <c r="R38" i="30"/>
  <c r="S38" i="30"/>
  <c r="T38" i="30"/>
  <c r="U38" i="30"/>
  <c r="V38" i="30"/>
  <c r="W38" i="30"/>
  <c r="X38" i="30"/>
  <c r="Y38" i="30"/>
  <c r="Z38" i="30"/>
  <c r="AA38" i="30"/>
  <c r="AB38" i="30"/>
  <c r="AC38" i="30"/>
  <c r="AD38" i="30"/>
  <c r="AE38" i="30"/>
  <c r="AF38" i="30"/>
  <c r="AG38" i="30"/>
  <c r="AH38" i="30"/>
  <c r="AI38" i="30"/>
  <c r="AJ38" i="30"/>
  <c r="AK38" i="30"/>
  <c r="AL38" i="30"/>
  <c r="AM38" i="30"/>
  <c r="AN38" i="30"/>
  <c r="AO38" i="30"/>
  <c r="AP38" i="30"/>
  <c r="AQ38" i="30"/>
  <c r="AR38" i="30"/>
  <c r="AS38" i="30"/>
  <c r="AT38" i="30"/>
  <c r="AU38" i="30"/>
  <c r="AV38" i="30"/>
  <c r="AW38" i="30"/>
  <c r="AX38" i="30"/>
  <c r="AY38" i="30"/>
  <c r="AZ38" i="30"/>
  <c r="BA38" i="30"/>
  <c r="BB38" i="30"/>
  <c r="BC38" i="30"/>
  <c r="BD38" i="30"/>
  <c r="BE38" i="30"/>
  <c r="BF38" i="30"/>
  <c r="BG38" i="30"/>
  <c r="BH38" i="30"/>
  <c r="BI38" i="30"/>
  <c r="BJ38" i="30"/>
  <c r="BK38" i="30"/>
  <c r="BL38" i="30"/>
  <c r="BM38" i="30"/>
  <c r="BN38" i="30"/>
  <c r="BO38" i="30"/>
  <c r="BP38" i="30"/>
  <c r="BT40" i="30"/>
  <c r="BT29" i="30"/>
  <c r="BT30" i="30"/>
  <c r="BR31" i="30"/>
  <c r="BS31" i="30"/>
  <c r="BT41" i="30"/>
  <c r="BU30" i="30"/>
  <c r="BS32" i="30"/>
  <c r="BU41" i="30"/>
  <c r="BV40" i="30"/>
  <c r="BV29" i="30"/>
  <c r="BV30" i="30"/>
  <c r="BR33" i="30"/>
  <c r="BS33" i="30"/>
  <c r="BV41" i="30"/>
  <c r="BW30" i="30"/>
  <c r="BS34" i="30"/>
  <c r="BW41" i="30"/>
  <c r="BX30" i="30"/>
  <c r="BS35" i="30"/>
  <c r="BX41" i="30"/>
  <c r="BY30" i="30"/>
  <c r="BS36" i="30"/>
  <c r="BY41" i="30"/>
  <c r="BZ30" i="30"/>
  <c r="BS37" i="30"/>
  <c r="BZ41" i="30"/>
  <c r="CA30" i="30"/>
  <c r="BS38" i="30"/>
  <c r="CA41" i="30"/>
  <c r="BR42" i="30"/>
  <c r="BS42" i="30"/>
  <c r="BU31" i="30"/>
  <c r="BT32" i="30"/>
  <c r="BU42" i="30"/>
  <c r="BV31" i="30"/>
  <c r="BT33" i="30"/>
  <c r="BV42" i="30"/>
  <c r="BW31" i="30"/>
  <c r="BT34" i="30"/>
  <c r="BW42" i="30"/>
  <c r="BX31" i="30"/>
  <c r="BT35" i="30"/>
  <c r="BX42" i="30"/>
  <c r="BY31" i="30"/>
  <c r="BT36" i="30"/>
  <c r="BY42" i="30"/>
  <c r="BZ31" i="30"/>
  <c r="BT37" i="30"/>
  <c r="BZ42" i="30"/>
  <c r="CA31" i="30"/>
  <c r="BT38" i="30"/>
  <c r="CA42" i="30"/>
  <c r="BS43" i="30"/>
  <c r="BT43" i="30"/>
  <c r="BV32" i="30"/>
  <c r="BU33" i="30"/>
  <c r="BV43" i="30"/>
  <c r="BW32" i="30"/>
  <c r="BU34" i="30"/>
  <c r="BW43" i="30"/>
  <c r="BX32" i="30"/>
  <c r="BU35" i="30"/>
  <c r="BX43" i="30"/>
  <c r="BY32" i="30"/>
  <c r="BU36" i="30"/>
  <c r="BY43" i="30"/>
  <c r="BZ32" i="30"/>
  <c r="BU37" i="30"/>
  <c r="BZ43" i="30"/>
  <c r="CA32" i="30"/>
  <c r="BU38" i="30"/>
  <c r="CA43" i="30"/>
  <c r="BR44" i="30"/>
  <c r="BS44" i="30"/>
  <c r="BT44" i="30"/>
  <c r="BU44" i="30"/>
  <c r="BW33" i="30"/>
  <c r="BV34" i="30"/>
  <c r="BW44" i="30"/>
  <c r="BX33" i="30"/>
  <c r="BV35" i="30"/>
  <c r="BX44" i="30"/>
  <c r="BY33" i="30"/>
  <c r="BV36" i="30"/>
  <c r="BY44" i="30"/>
  <c r="BZ33" i="30"/>
  <c r="BV37" i="30"/>
  <c r="BZ44" i="30"/>
  <c r="CA33" i="30"/>
  <c r="BV38" i="30"/>
  <c r="CA44" i="30"/>
  <c r="BS45" i="30"/>
  <c r="BT45" i="30"/>
  <c r="BU45" i="30"/>
  <c r="BV45" i="30"/>
  <c r="BX34" i="30"/>
  <c r="BW35" i="30"/>
  <c r="BX45" i="30"/>
  <c r="BY34" i="30"/>
  <c r="BW36" i="30"/>
  <c r="BY45" i="30"/>
  <c r="BZ34" i="30"/>
  <c r="BW37" i="30"/>
  <c r="BZ45" i="30"/>
  <c r="CA34" i="30"/>
  <c r="BW38" i="30"/>
  <c r="CA45" i="30"/>
  <c r="BS46" i="30"/>
  <c r="BT46" i="30"/>
  <c r="BU46" i="30"/>
  <c r="BV46" i="30"/>
  <c r="BW46" i="30"/>
  <c r="BY35" i="30"/>
  <c r="BX36" i="30"/>
  <c r="BY46" i="30"/>
  <c r="BZ35" i="30"/>
  <c r="BX37" i="30"/>
  <c r="BZ46" i="30"/>
  <c r="CA35" i="30"/>
  <c r="BX38" i="30"/>
  <c r="CA46" i="30"/>
  <c r="BS47" i="30"/>
  <c r="BT47" i="30"/>
  <c r="BU47" i="30"/>
  <c r="BV47" i="30"/>
  <c r="BW47" i="30"/>
  <c r="BX47" i="30"/>
  <c r="BZ36" i="30"/>
  <c r="BY37" i="30"/>
  <c r="BZ47" i="30"/>
  <c r="CA36" i="30"/>
  <c r="BY38" i="30"/>
  <c r="CA47" i="30"/>
  <c r="BS48" i="30"/>
  <c r="BT48" i="30"/>
  <c r="BU48" i="30"/>
  <c r="BV48" i="30"/>
  <c r="BW48" i="30"/>
  <c r="BX48" i="30"/>
  <c r="BY48" i="30"/>
  <c r="CA37" i="30"/>
  <c r="BZ38" i="30"/>
  <c r="CA48" i="30"/>
  <c r="BS49" i="30"/>
  <c r="BT49" i="30"/>
  <c r="BU49" i="30"/>
  <c r="BV49" i="30"/>
  <c r="BW49" i="30"/>
  <c r="BX49" i="30"/>
  <c r="BY49" i="30"/>
  <c r="BZ49" i="30"/>
  <c r="E49" i="30" a="1"/>
  <c r="E49" i="30"/>
  <c r="F49" i="30" a="1"/>
  <c r="F49" i="30"/>
  <c r="G49" i="30" a="1"/>
  <c r="H49" i="30" a="1"/>
  <c r="I49" i="30" a="1"/>
  <c r="J49" i="30" a="1"/>
  <c r="K49" i="30" a="1"/>
  <c r="L49" i="30" a="1"/>
  <c r="M49" i="30" a="1"/>
  <c r="N49" i="30" a="1"/>
  <c r="O49" i="30" a="1"/>
  <c r="P49" i="30" a="1"/>
  <c r="Q49" i="30" a="1"/>
  <c r="R49" i="30" a="1"/>
  <c r="S49" i="30" a="1"/>
  <c r="T49" i="30" a="1"/>
  <c r="U49" i="30" a="1"/>
  <c r="V49" i="30" a="1"/>
  <c r="W49" i="30" a="1"/>
  <c r="X49" i="30" a="1"/>
  <c r="Y49" i="30" a="1"/>
  <c r="Z49" i="30" a="1"/>
  <c r="AA49" i="30" a="1"/>
  <c r="AB49" i="30" a="1"/>
  <c r="AC49" i="30" a="1"/>
  <c r="AD49" i="30" a="1"/>
  <c r="AE49" i="30" a="1"/>
  <c r="AF49" i="30" a="1"/>
  <c r="AG49" i="30" a="1"/>
  <c r="AH49" i="30" a="1"/>
  <c r="AI49" i="30" a="1"/>
  <c r="AJ49" i="30" a="1"/>
  <c r="AK49" i="30" a="1"/>
  <c r="AL49" i="30" a="1"/>
  <c r="AM49" i="30" a="1"/>
  <c r="AN49" i="30" a="1"/>
  <c r="AO49" i="30" a="1"/>
  <c r="AP49" i="30" a="1"/>
  <c r="AQ49" i="30" a="1"/>
  <c r="AR49" i="30" a="1"/>
  <c r="AS49" i="30" a="1"/>
  <c r="AT49" i="30" a="1"/>
  <c r="AU49" i="30" a="1"/>
  <c r="AV49" i="30" a="1"/>
  <c r="AW49" i="30" a="1"/>
  <c r="AX49" i="30" a="1"/>
  <c r="AY49" i="30" a="1"/>
  <c r="AZ49" i="30" a="1"/>
  <c r="BA49" i="30" a="1"/>
  <c r="BB49" i="30" a="1"/>
  <c r="BC49" i="30" a="1"/>
  <c r="BD49" i="30" a="1"/>
  <c r="BE49" i="30" a="1"/>
  <c r="BF49" i="30" a="1"/>
  <c r="BG49" i="30" a="1"/>
  <c r="BH49" i="30" a="1"/>
  <c r="BI49" i="30" a="1"/>
  <c r="BJ49" i="30" a="1"/>
  <c r="BK49" i="30" a="1"/>
  <c r="BL49" i="30" a="1"/>
  <c r="BM49" i="30" a="1"/>
  <c r="BN49" i="30" a="1"/>
  <c r="BO49" i="30" a="1"/>
  <c r="BP49" i="30" a="1"/>
  <c r="G49" i="30"/>
  <c r="H49" i="30"/>
  <c r="I49" i="30"/>
  <c r="J49" i="30"/>
  <c r="K49" i="30"/>
  <c r="L49" i="30"/>
  <c r="M49" i="30"/>
  <c r="N49" i="30"/>
  <c r="O49" i="30"/>
  <c r="P49" i="30"/>
  <c r="Q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AB25" i="30"/>
  <c r="F32" i="30" a="1"/>
  <c r="F32" i="30"/>
  <c r="G32" i="30" a="1"/>
  <c r="H32" i="30" a="1"/>
  <c r="I32" i="30" a="1"/>
  <c r="J32" i="30" a="1"/>
  <c r="K32" i="30" a="1"/>
  <c r="L32" i="30" a="1"/>
  <c r="M32" i="30" a="1"/>
  <c r="N32" i="30" a="1"/>
  <c r="O32" i="30" a="1"/>
  <c r="P32" i="30" a="1"/>
  <c r="Q32" i="30" a="1"/>
  <c r="R32" i="30" a="1"/>
  <c r="S32" i="30" a="1"/>
  <c r="T32" i="30" a="1"/>
  <c r="U32" i="30" a="1"/>
  <c r="V32" i="30" a="1"/>
  <c r="W32" i="30" a="1"/>
  <c r="X32" i="30" a="1"/>
  <c r="Y32" i="30" a="1"/>
  <c r="Z32" i="30" a="1"/>
  <c r="AA32" i="30" a="1"/>
  <c r="AB32" i="30" a="1"/>
  <c r="AC32" i="30" a="1"/>
  <c r="AD32" i="30" a="1"/>
  <c r="AE32" i="30" a="1"/>
  <c r="AF32" i="30" a="1"/>
  <c r="AG32" i="30" a="1"/>
  <c r="AH32" i="30" a="1"/>
  <c r="AI32" i="30" a="1"/>
  <c r="AJ32" i="30" a="1"/>
  <c r="AK32" i="30" a="1"/>
  <c r="AL32" i="30" a="1"/>
  <c r="AM32" i="30" a="1"/>
  <c r="AN32" i="30" a="1"/>
  <c r="AO32" i="30" a="1"/>
  <c r="AP32" i="30" a="1"/>
  <c r="AQ32" i="30" a="1"/>
  <c r="AR32" i="30" a="1"/>
  <c r="AS32" i="30" a="1"/>
  <c r="AT32" i="30" a="1"/>
  <c r="AU32" i="30" a="1"/>
  <c r="AV32" i="30" a="1"/>
  <c r="AW32" i="30" a="1"/>
  <c r="AX32" i="30" a="1"/>
  <c r="AY32" i="30" a="1"/>
  <c r="AZ32" i="30" a="1"/>
  <c r="BA32" i="30" a="1"/>
  <c r="BB32" i="30" a="1"/>
  <c r="BC32" i="30" a="1"/>
  <c r="BD32" i="30" a="1"/>
  <c r="BE32" i="30" a="1"/>
  <c r="BF32" i="30" a="1"/>
  <c r="BG32" i="30" a="1"/>
  <c r="BH32" i="30" a="1"/>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F33" i="30" a="1"/>
  <c r="F33" i="30"/>
  <c r="G33" i="30" a="1"/>
  <c r="H33" i="30" a="1"/>
  <c r="I33" i="30" a="1"/>
  <c r="J33" i="30" a="1"/>
  <c r="K33" i="30" a="1"/>
  <c r="L33" i="30" a="1"/>
  <c r="M33" i="30" a="1"/>
  <c r="N33" i="30" a="1"/>
  <c r="O33" i="30" a="1"/>
  <c r="P33" i="30" a="1"/>
  <c r="Q33" i="30" a="1"/>
  <c r="R33" i="30" a="1"/>
  <c r="S33" i="30" a="1"/>
  <c r="T33" i="30" a="1"/>
  <c r="U33" i="30" a="1"/>
  <c r="V33" i="30" a="1"/>
  <c r="W33" i="30" a="1"/>
  <c r="X33" i="30" a="1"/>
  <c r="Y33" i="30" a="1"/>
  <c r="Z33" i="30" a="1"/>
  <c r="AA33" i="30" a="1"/>
  <c r="AB33" i="30" a="1"/>
  <c r="AC33" i="30" a="1"/>
  <c r="AD33" i="30" a="1"/>
  <c r="AE33" i="30" a="1"/>
  <c r="AF33" i="30" a="1"/>
  <c r="AG33" i="30" a="1"/>
  <c r="AH33" i="30" a="1"/>
  <c r="AI33" i="30" a="1"/>
  <c r="AJ33" i="30" a="1"/>
  <c r="AK33" i="30" a="1"/>
  <c r="AL33" i="30" a="1"/>
  <c r="AM33" i="30" a="1"/>
  <c r="AN33" i="30" a="1"/>
  <c r="AO33" i="30" a="1"/>
  <c r="AP33" i="30" a="1"/>
  <c r="AQ33" i="30" a="1"/>
  <c r="AR33" i="30" a="1"/>
  <c r="AS33" i="30" a="1"/>
  <c r="AT33" i="30" a="1"/>
  <c r="AU33" i="30" a="1"/>
  <c r="AV33" i="30" a="1"/>
  <c r="AW33" i="30" a="1"/>
  <c r="AX33" i="30" a="1"/>
  <c r="AY33" i="30" a="1"/>
  <c r="AZ33" i="30" a="1"/>
  <c r="BA33" i="30" a="1"/>
  <c r="BB33" i="30" a="1"/>
  <c r="BC33" i="30" a="1"/>
  <c r="BD33" i="30" a="1"/>
  <c r="BE33" i="30" a="1"/>
  <c r="BF33" i="30" a="1"/>
  <c r="BG33" i="30" a="1"/>
  <c r="BH33" i="30" a="1"/>
  <c r="BI33" i="30" a="1"/>
  <c r="BJ33" i="30" a="1"/>
  <c r="BK33" i="30" a="1"/>
  <c r="BL33" i="30" a="1"/>
  <c r="BM33" i="30" a="1"/>
  <c r="BN33" i="30" a="1"/>
  <c r="BO33" i="30" a="1"/>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F34" i="30" a="1"/>
  <c r="F34" i="30"/>
  <c r="G34" i="30" a="1"/>
  <c r="H34" i="30" a="1"/>
  <c r="I34" i="30" a="1"/>
  <c r="J34" i="30" a="1"/>
  <c r="K34" i="30" a="1"/>
  <c r="L34" i="30" a="1"/>
  <c r="M34" i="30" a="1"/>
  <c r="N34" i="30" a="1"/>
  <c r="O34" i="30" a="1"/>
  <c r="P34" i="30" a="1"/>
  <c r="Q34" i="30" a="1"/>
  <c r="R34" i="30" a="1"/>
  <c r="S34" i="30" a="1"/>
  <c r="T34" i="30" a="1"/>
  <c r="U34" i="30" a="1"/>
  <c r="V34" i="30" a="1"/>
  <c r="W34" i="30" a="1"/>
  <c r="X34" i="30" a="1"/>
  <c r="Y34" i="30" a="1"/>
  <c r="Z34" i="30" a="1"/>
  <c r="AA34" i="30" a="1"/>
  <c r="AB34" i="30" a="1"/>
  <c r="AC34" i="30" a="1"/>
  <c r="AD34" i="30" a="1"/>
  <c r="AE34" i="30" a="1"/>
  <c r="AF34" i="30" a="1"/>
  <c r="AG34" i="30" a="1"/>
  <c r="AH34" i="30" a="1"/>
  <c r="AI34" i="30" a="1"/>
  <c r="AJ34" i="30" a="1"/>
  <c r="AK34" i="30" a="1"/>
  <c r="AL34" i="30" a="1"/>
  <c r="AM34" i="30" a="1"/>
  <c r="AN34" i="30" a="1"/>
  <c r="AO34" i="30" a="1"/>
  <c r="AP34" i="30" a="1"/>
  <c r="AQ34" i="30" a="1"/>
  <c r="AR34" i="30" a="1"/>
  <c r="AS34" i="30" a="1"/>
  <c r="AT34" i="30" a="1"/>
  <c r="AU34" i="30" a="1"/>
  <c r="AV34" i="30" a="1"/>
  <c r="AW34" i="30" a="1"/>
  <c r="AX34" i="30" a="1"/>
  <c r="AY34" i="30" a="1"/>
  <c r="AZ34" i="30" a="1"/>
  <c r="BA34" i="30" a="1"/>
  <c r="BB34" i="30" a="1"/>
  <c r="BC34" i="30" a="1"/>
  <c r="BD34" i="30" a="1"/>
  <c r="BE34" i="30" a="1"/>
  <c r="BF34" i="30" a="1"/>
  <c r="BG34" i="30" a="1"/>
  <c r="BH34" i="30" a="1"/>
  <c r="BI34" i="30" a="1"/>
  <c r="BJ34" i="30" a="1"/>
  <c r="BK34" i="30" a="1"/>
  <c r="BL34" i="30" a="1"/>
  <c r="BM34" i="30" a="1"/>
  <c r="BN34" i="30" a="1"/>
  <c r="BO34" i="30" a="1"/>
  <c r="BP34" i="30" a="1"/>
  <c r="G34" i="30"/>
  <c r="H34" i="30"/>
  <c r="I34" i="30"/>
  <c r="J34" i="30"/>
  <c r="K34" i="30"/>
  <c r="L34" i="30"/>
  <c r="M34" i="30"/>
  <c r="N34" i="30"/>
  <c r="O34" i="30"/>
  <c r="P34" i="30"/>
  <c r="Q34" i="30"/>
  <c r="R34" i="30"/>
  <c r="S34" i="30"/>
  <c r="T34" i="30"/>
  <c r="U34" i="30"/>
  <c r="V34" i="30"/>
  <c r="W34" i="30"/>
  <c r="X34" i="30"/>
  <c r="Y34" i="30"/>
  <c r="Z34" i="30"/>
  <c r="AA34" i="30"/>
  <c r="AB34" i="30"/>
  <c r="AC34" i="30"/>
  <c r="AD34" i="30"/>
  <c r="AE34" i="30"/>
  <c r="AF34" i="30"/>
  <c r="AG34" i="30"/>
  <c r="AH34" i="30"/>
  <c r="AI34" i="30"/>
  <c r="AJ34" i="30"/>
  <c r="AK34" i="30"/>
  <c r="AL34" i="30"/>
  <c r="AM34" i="30"/>
  <c r="AN34" i="30"/>
  <c r="AO34" i="30"/>
  <c r="AP34" i="30"/>
  <c r="AQ34" i="30"/>
  <c r="AR34" i="30"/>
  <c r="AS34" i="30"/>
  <c r="AT34" i="30"/>
  <c r="AU34" i="30"/>
  <c r="AV34" i="30"/>
  <c r="AW34" i="30"/>
  <c r="AX34" i="30"/>
  <c r="AY34" i="30"/>
  <c r="AZ34" i="30"/>
  <c r="BA34" i="30"/>
  <c r="BB34" i="30"/>
  <c r="BC34" i="30"/>
  <c r="BD34" i="30"/>
  <c r="BE34" i="30"/>
  <c r="BF34" i="30"/>
  <c r="BG34" i="30"/>
  <c r="BH34" i="30"/>
  <c r="BI34" i="30"/>
  <c r="BJ34" i="30"/>
  <c r="BK34" i="30"/>
  <c r="BL34" i="30"/>
  <c r="BM34" i="30"/>
  <c r="BN34" i="30"/>
  <c r="BO34" i="30"/>
  <c r="BP34" i="30"/>
  <c r="E45" i="30" a="1"/>
  <c r="E45" i="30"/>
  <c r="F45" i="30" a="1"/>
  <c r="F45" i="30"/>
  <c r="G45" i="30" a="1"/>
  <c r="H45" i="30" a="1"/>
  <c r="I45" i="30" a="1"/>
  <c r="J45" i="30" a="1"/>
  <c r="K45" i="30" a="1"/>
  <c r="L45" i="30" a="1"/>
  <c r="M45" i="30" a="1"/>
  <c r="N45" i="30" a="1"/>
  <c r="O45" i="30" a="1"/>
  <c r="P45" i="30" a="1"/>
  <c r="Q45" i="30" a="1"/>
  <c r="R45" i="30" a="1"/>
  <c r="S45" i="30" a="1"/>
  <c r="T45" i="30" a="1"/>
  <c r="U45" i="30" a="1"/>
  <c r="V45" i="30" a="1"/>
  <c r="W45" i="30" a="1"/>
  <c r="X45" i="30" a="1"/>
  <c r="Y45" i="30" a="1"/>
  <c r="Z45" i="30" a="1"/>
  <c r="AA45" i="30" a="1"/>
  <c r="AB45" i="30" a="1"/>
  <c r="AC45" i="30" a="1"/>
  <c r="AD45" i="30" a="1"/>
  <c r="AE45" i="30" a="1"/>
  <c r="AF45" i="30" a="1"/>
  <c r="AG45" i="30" a="1"/>
  <c r="AH45" i="30" a="1"/>
  <c r="AI45" i="30" a="1"/>
  <c r="AJ45" i="30" a="1"/>
  <c r="AK45" i="30" a="1"/>
  <c r="AL45" i="30" a="1"/>
  <c r="AM45" i="30" a="1"/>
  <c r="AN45" i="30" a="1"/>
  <c r="AO45" i="30" a="1"/>
  <c r="AP45" i="30" a="1"/>
  <c r="AQ45" i="30" a="1"/>
  <c r="AR45" i="30" a="1"/>
  <c r="AS45" i="30" a="1"/>
  <c r="AT45" i="30" a="1"/>
  <c r="AU45" i="30" a="1"/>
  <c r="AV45" i="30" a="1"/>
  <c r="AW45" i="30" a="1"/>
  <c r="AX45" i="30" a="1"/>
  <c r="AY45" i="30" a="1"/>
  <c r="AZ45" i="30" a="1"/>
  <c r="BA45" i="30" a="1"/>
  <c r="BB45" i="30" a="1"/>
  <c r="BC45" i="30" a="1"/>
  <c r="BD45" i="30" a="1"/>
  <c r="BE45" i="30" a="1"/>
  <c r="BF45" i="30" a="1"/>
  <c r="BG45" i="30" a="1"/>
  <c r="BH45" i="30" a="1"/>
  <c r="BI45" i="30" a="1"/>
  <c r="BJ45" i="30" a="1"/>
  <c r="BK45" i="30" a="1"/>
  <c r="BL45" i="30" a="1"/>
  <c r="BM45" i="30" a="1"/>
  <c r="BN45" i="30" a="1"/>
  <c r="BO45" i="30" a="1"/>
  <c r="BP45" i="30" a="1"/>
  <c r="G45" i="30"/>
  <c r="H45" i="30"/>
  <c r="I45" i="30"/>
  <c r="J45" i="30"/>
  <c r="K45" i="30"/>
  <c r="L45" i="30"/>
  <c r="M45" i="30"/>
  <c r="N45" i="30"/>
  <c r="O45" i="30"/>
  <c r="P45" i="30"/>
  <c r="Q45" i="30"/>
  <c r="R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BM45" i="30"/>
  <c r="BN45" i="30"/>
  <c r="BO45" i="30"/>
  <c r="BP45" i="30"/>
  <c r="AB21" i="30"/>
  <c r="F35" i="30" a="1"/>
  <c r="F35" i="30"/>
  <c r="G35" i="30" a="1"/>
  <c r="H35" i="30" a="1"/>
  <c r="I35" i="30" a="1"/>
  <c r="J35" i="30" a="1"/>
  <c r="K35" i="30" a="1"/>
  <c r="L35" i="30" a="1"/>
  <c r="M35" i="30" a="1"/>
  <c r="N35" i="30" a="1"/>
  <c r="O35" i="30" a="1"/>
  <c r="P35" i="30" a="1"/>
  <c r="Q35" i="30" a="1"/>
  <c r="R35" i="30" a="1"/>
  <c r="S35" i="30" a="1"/>
  <c r="T35" i="30" a="1"/>
  <c r="U35" i="30" a="1"/>
  <c r="V35" i="30" a="1"/>
  <c r="W35" i="30" a="1"/>
  <c r="X35" i="30" a="1"/>
  <c r="Y35" i="30" a="1"/>
  <c r="Z35" i="30" a="1"/>
  <c r="AA35" i="30" a="1"/>
  <c r="AB35" i="30" a="1"/>
  <c r="AC35" i="30" a="1"/>
  <c r="AD35" i="30" a="1"/>
  <c r="AE35" i="30" a="1"/>
  <c r="AF35" i="30" a="1"/>
  <c r="AG35" i="30" a="1"/>
  <c r="AH35" i="30" a="1"/>
  <c r="AI35" i="30" a="1"/>
  <c r="AJ35" i="30" a="1"/>
  <c r="AK35" i="30" a="1"/>
  <c r="AL35" i="30" a="1"/>
  <c r="AM35" i="30" a="1"/>
  <c r="AN35" i="30" a="1"/>
  <c r="AO35" i="30" a="1"/>
  <c r="AP35" i="30" a="1"/>
  <c r="AQ35" i="30" a="1"/>
  <c r="AR35" i="30" a="1"/>
  <c r="AS35" i="30" a="1"/>
  <c r="AT35" i="30" a="1"/>
  <c r="AU35" i="30" a="1"/>
  <c r="AV35" i="30" a="1"/>
  <c r="AW35" i="30" a="1"/>
  <c r="AX35" i="30" a="1"/>
  <c r="AY35" i="30" a="1"/>
  <c r="AZ35" i="30" a="1"/>
  <c r="BA35" i="30" a="1"/>
  <c r="BB35" i="30" a="1"/>
  <c r="BC35" i="30" a="1"/>
  <c r="BD35" i="30" a="1"/>
  <c r="BE35" i="30" a="1"/>
  <c r="BF35" i="30" a="1"/>
  <c r="BG35" i="30" a="1"/>
  <c r="BH35" i="30" a="1"/>
  <c r="BI35" i="30" a="1"/>
  <c r="BJ35" i="30" a="1"/>
  <c r="BK35" i="30" a="1"/>
  <c r="BL35" i="30" a="1"/>
  <c r="BM35" i="30" a="1"/>
  <c r="BN35" i="30" a="1"/>
  <c r="BO35" i="30" a="1"/>
  <c r="BP35" i="30" a="1"/>
  <c r="G35" i="30"/>
  <c r="H35" i="30"/>
  <c r="I35" i="30"/>
  <c r="J35" i="30"/>
  <c r="K35" i="30"/>
  <c r="L35" i="30"/>
  <c r="M35" i="30"/>
  <c r="N35" i="30"/>
  <c r="O35" i="30"/>
  <c r="P35" i="30"/>
  <c r="Q35" i="30"/>
  <c r="R35" i="30"/>
  <c r="S35" i="30"/>
  <c r="T35" i="30"/>
  <c r="U35" i="30"/>
  <c r="V35" i="30"/>
  <c r="W35" i="30"/>
  <c r="X35" i="30"/>
  <c r="Y35" i="30"/>
  <c r="Z35" i="30"/>
  <c r="AA35" i="30"/>
  <c r="AB35" i="30"/>
  <c r="AC35" i="30"/>
  <c r="AD35" i="30"/>
  <c r="AE35" i="30"/>
  <c r="AF35" i="30"/>
  <c r="AG35" i="30"/>
  <c r="AH35" i="30"/>
  <c r="AI35" i="30"/>
  <c r="AJ35" i="30"/>
  <c r="AK35" i="30"/>
  <c r="AL35" i="30"/>
  <c r="AM35" i="30"/>
  <c r="AN35" i="30"/>
  <c r="AO35" i="30"/>
  <c r="AP35" i="30"/>
  <c r="AQ35" i="30"/>
  <c r="AR35" i="30"/>
  <c r="AS35" i="30"/>
  <c r="AT35" i="30"/>
  <c r="AU35" i="30"/>
  <c r="AV35" i="30"/>
  <c r="AW35" i="30"/>
  <c r="AX35" i="30"/>
  <c r="AY35" i="30"/>
  <c r="AZ35" i="30"/>
  <c r="BA35" i="30"/>
  <c r="BB35" i="30"/>
  <c r="BC35" i="30"/>
  <c r="BD35" i="30"/>
  <c r="BE35" i="30"/>
  <c r="BF35" i="30"/>
  <c r="BG35" i="30"/>
  <c r="BH35" i="30"/>
  <c r="BI35" i="30"/>
  <c r="BJ35" i="30"/>
  <c r="BK35" i="30"/>
  <c r="BL35" i="30"/>
  <c r="BM35" i="30"/>
  <c r="BN35" i="30"/>
  <c r="BO35" i="30"/>
  <c r="BP35" i="30"/>
  <c r="E46" i="30" a="1"/>
  <c r="E46" i="30"/>
  <c r="F46" i="30" a="1"/>
  <c r="F46" i="30"/>
  <c r="G46" i="30" a="1"/>
  <c r="H46" i="30" a="1"/>
  <c r="I46" i="30" a="1"/>
  <c r="J46" i="30" a="1"/>
  <c r="K46" i="30" a="1"/>
  <c r="L46" i="30" a="1"/>
  <c r="M46" i="30" a="1"/>
  <c r="N46" i="30" a="1"/>
  <c r="O46" i="30" a="1"/>
  <c r="P46" i="30" a="1"/>
  <c r="Q46" i="30" a="1"/>
  <c r="R46" i="30" a="1"/>
  <c r="S46" i="30" a="1"/>
  <c r="T46" i="30" a="1"/>
  <c r="U46" i="30" a="1"/>
  <c r="V46" i="30" a="1"/>
  <c r="W46" i="30" a="1"/>
  <c r="X46" i="30" a="1"/>
  <c r="Y46" i="30" a="1"/>
  <c r="Z46" i="30" a="1"/>
  <c r="AA46" i="30" a="1"/>
  <c r="AB46" i="30" a="1"/>
  <c r="AC46" i="30" a="1"/>
  <c r="AD46" i="30" a="1"/>
  <c r="AE46" i="30" a="1"/>
  <c r="AF46" i="30" a="1"/>
  <c r="AG46" i="30" a="1"/>
  <c r="AH46" i="30" a="1"/>
  <c r="AI46" i="30" a="1"/>
  <c r="AJ46" i="30" a="1"/>
  <c r="AK46" i="30" a="1"/>
  <c r="AL46" i="30" a="1"/>
  <c r="AM46" i="30" a="1"/>
  <c r="AN46" i="30" a="1"/>
  <c r="AO46" i="30" a="1"/>
  <c r="AP46" i="30" a="1"/>
  <c r="AQ46" i="30" a="1"/>
  <c r="AR46" i="30" a="1"/>
  <c r="AS46" i="30" a="1"/>
  <c r="AT46" i="30" a="1"/>
  <c r="AU46" i="30" a="1"/>
  <c r="AV46" i="30" a="1"/>
  <c r="AW46" i="30" a="1"/>
  <c r="AX46" i="30" a="1"/>
  <c r="AY46" i="30" a="1"/>
  <c r="AZ46" i="30" a="1"/>
  <c r="BA46" i="30" a="1"/>
  <c r="BB46" i="30" a="1"/>
  <c r="BC46" i="30" a="1"/>
  <c r="BD46" i="30" a="1"/>
  <c r="BE46" i="30" a="1"/>
  <c r="BF46" i="30" a="1"/>
  <c r="BG46" i="30" a="1"/>
  <c r="BH46" i="30" a="1"/>
  <c r="BI46" i="30" a="1"/>
  <c r="BJ46" i="30" a="1"/>
  <c r="BK46" i="30" a="1"/>
  <c r="BL46" i="30" a="1"/>
  <c r="BM46" i="30" a="1"/>
  <c r="BN46" i="30" a="1"/>
  <c r="BO46" i="30" a="1"/>
  <c r="BP46" i="30" a="1"/>
  <c r="G46" i="30"/>
  <c r="H46" i="30"/>
  <c r="I46" i="30"/>
  <c r="J46" i="30"/>
  <c r="K46" i="30"/>
  <c r="L46" i="30"/>
  <c r="M46" i="30"/>
  <c r="N46" i="30"/>
  <c r="O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AY46" i="30"/>
  <c r="AZ46" i="30"/>
  <c r="BA46" i="30"/>
  <c r="BB46" i="30"/>
  <c r="BC46" i="30"/>
  <c r="BD46" i="30"/>
  <c r="BE46" i="30"/>
  <c r="BF46" i="30"/>
  <c r="BG46" i="30"/>
  <c r="BH46" i="30"/>
  <c r="BI46" i="30"/>
  <c r="BJ46" i="30"/>
  <c r="BK46" i="30"/>
  <c r="BL46" i="30"/>
  <c r="BM46" i="30"/>
  <c r="BN46" i="30"/>
  <c r="BO46" i="30"/>
  <c r="BP46" i="30"/>
  <c r="AB22" i="30"/>
  <c r="F36" i="30" a="1"/>
  <c r="F36" i="30"/>
  <c r="G36" i="30" a="1"/>
  <c r="H36" i="30" a="1"/>
  <c r="I36" i="30" a="1"/>
  <c r="J36" i="30" a="1"/>
  <c r="K36" i="30" a="1"/>
  <c r="L36" i="30" a="1"/>
  <c r="M36" i="30" a="1"/>
  <c r="N36" i="30" a="1"/>
  <c r="O36" i="30" a="1"/>
  <c r="P36" i="30" a="1"/>
  <c r="Q36" i="30" a="1"/>
  <c r="R36" i="30" a="1"/>
  <c r="S36" i="30" a="1"/>
  <c r="T36" i="30" a="1"/>
  <c r="U36" i="30" a="1"/>
  <c r="V36" i="30" a="1"/>
  <c r="W36" i="30" a="1"/>
  <c r="X36" i="30" a="1"/>
  <c r="Y36" i="30" a="1"/>
  <c r="Z36" i="30" a="1"/>
  <c r="AA36" i="30" a="1"/>
  <c r="AB36" i="30" a="1"/>
  <c r="AC36" i="30" a="1"/>
  <c r="AD36" i="30" a="1"/>
  <c r="AE36" i="30" a="1"/>
  <c r="AF36" i="30" a="1"/>
  <c r="AG36" i="30" a="1"/>
  <c r="AH36" i="30" a="1"/>
  <c r="AI36" i="30" a="1"/>
  <c r="AJ36" i="30" a="1"/>
  <c r="AK36" i="30" a="1"/>
  <c r="AL36" i="30" a="1"/>
  <c r="AM36" i="30" a="1"/>
  <c r="AN36" i="30" a="1"/>
  <c r="AO36" i="30" a="1"/>
  <c r="AP36" i="30" a="1"/>
  <c r="AQ36" i="30" a="1"/>
  <c r="AR36" i="30" a="1"/>
  <c r="AS36" i="30" a="1"/>
  <c r="AT36" i="30" a="1"/>
  <c r="AU36" i="30" a="1"/>
  <c r="AV36" i="30" a="1"/>
  <c r="AW36" i="30" a="1"/>
  <c r="AX36" i="30" a="1"/>
  <c r="AY36" i="30" a="1"/>
  <c r="AZ36" i="30" a="1"/>
  <c r="BA36" i="30" a="1"/>
  <c r="BB36" i="30" a="1"/>
  <c r="BC36" i="30" a="1"/>
  <c r="BD36" i="30" a="1"/>
  <c r="BE36" i="30" a="1"/>
  <c r="BF36" i="30" a="1"/>
  <c r="BG36" i="30" a="1"/>
  <c r="BH36" i="30" a="1"/>
  <c r="BI36" i="30" a="1"/>
  <c r="BJ36" i="30" a="1"/>
  <c r="BK36" i="30" a="1"/>
  <c r="BL36" i="30" a="1"/>
  <c r="BM36" i="30" a="1"/>
  <c r="BN36" i="30" a="1"/>
  <c r="BO36" i="30" a="1"/>
  <c r="BP36" i="30" a="1"/>
  <c r="G36" i="30"/>
  <c r="H36" i="30"/>
  <c r="I36" i="30"/>
  <c r="J36" i="30"/>
  <c r="K36" i="30"/>
  <c r="L36" i="30"/>
  <c r="M36" i="30"/>
  <c r="N36" i="30"/>
  <c r="O36" i="30"/>
  <c r="P36" i="30"/>
  <c r="Q36" i="30"/>
  <c r="R36" i="30"/>
  <c r="S36" i="30"/>
  <c r="T36" i="30"/>
  <c r="U36" i="30"/>
  <c r="V36" i="30"/>
  <c r="W36" i="30"/>
  <c r="X36" i="30"/>
  <c r="Y36" i="30"/>
  <c r="Z36" i="30"/>
  <c r="AA36" i="30"/>
  <c r="AB36" i="30"/>
  <c r="AC36" i="30"/>
  <c r="AD36" i="30"/>
  <c r="AE36" i="30"/>
  <c r="AF36" i="30"/>
  <c r="AG36" i="30"/>
  <c r="AH36" i="30"/>
  <c r="AI36" i="30"/>
  <c r="AJ36" i="30"/>
  <c r="AK36" i="30"/>
  <c r="AL36" i="30"/>
  <c r="AM36" i="30"/>
  <c r="AN36" i="30"/>
  <c r="AO36" i="30"/>
  <c r="AP36" i="30"/>
  <c r="AQ36" i="30"/>
  <c r="AR36" i="30"/>
  <c r="AS36" i="30"/>
  <c r="AT36" i="30"/>
  <c r="AU36" i="30"/>
  <c r="AV36" i="30"/>
  <c r="AW36" i="30"/>
  <c r="AX36" i="30"/>
  <c r="AY36" i="30"/>
  <c r="AZ36" i="30"/>
  <c r="BA36" i="30"/>
  <c r="BB36" i="30"/>
  <c r="BC36" i="30"/>
  <c r="BD36" i="30"/>
  <c r="BE36" i="30"/>
  <c r="BF36" i="30"/>
  <c r="BG36" i="30"/>
  <c r="BH36" i="30"/>
  <c r="BI36" i="30"/>
  <c r="BJ36" i="30"/>
  <c r="BK36" i="30"/>
  <c r="BL36" i="30"/>
  <c r="BM36" i="30"/>
  <c r="BN36" i="30"/>
  <c r="BO36" i="30"/>
  <c r="BP36" i="30"/>
  <c r="E47" i="30" a="1"/>
  <c r="E47" i="30"/>
  <c r="F47" i="30" a="1"/>
  <c r="F47" i="30"/>
  <c r="G47" i="30" a="1"/>
  <c r="H47" i="30" a="1"/>
  <c r="I47" i="30" a="1"/>
  <c r="J47" i="30" a="1"/>
  <c r="K47" i="30" a="1"/>
  <c r="L47" i="30" a="1"/>
  <c r="M47" i="30" a="1"/>
  <c r="N47" i="30" a="1"/>
  <c r="O47" i="30" a="1"/>
  <c r="P47" i="30" a="1"/>
  <c r="Q47" i="30" a="1"/>
  <c r="R47" i="30" a="1"/>
  <c r="S47" i="30" a="1"/>
  <c r="T47" i="30" a="1"/>
  <c r="U47" i="30" a="1"/>
  <c r="V47" i="30" a="1"/>
  <c r="W47" i="30" a="1"/>
  <c r="X47" i="30" a="1"/>
  <c r="Y47" i="30" a="1"/>
  <c r="Z47" i="30" a="1"/>
  <c r="AA47" i="30" a="1"/>
  <c r="AB47" i="30" a="1"/>
  <c r="AC47" i="30" a="1"/>
  <c r="AD47" i="30" a="1"/>
  <c r="AE47" i="30" a="1"/>
  <c r="AF47" i="30" a="1"/>
  <c r="AG47" i="30" a="1"/>
  <c r="AH47" i="30" a="1"/>
  <c r="AI47" i="30" a="1"/>
  <c r="AJ47" i="30" a="1"/>
  <c r="AK47" i="30" a="1"/>
  <c r="AL47" i="30" a="1"/>
  <c r="AM47" i="30" a="1"/>
  <c r="AN47" i="30" a="1"/>
  <c r="AO47" i="30" a="1"/>
  <c r="AP47" i="30" a="1"/>
  <c r="AQ47" i="30" a="1"/>
  <c r="AR47" i="30" a="1"/>
  <c r="AS47" i="30" a="1"/>
  <c r="AT47" i="30" a="1"/>
  <c r="AU47" i="30" a="1"/>
  <c r="AV47" i="30" a="1"/>
  <c r="AW47" i="30" a="1"/>
  <c r="AX47" i="30" a="1"/>
  <c r="AY47" i="30" a="1"/>
  <c r="AZ47" i="30" a="1"/>
  <c r="BA47" i="30" a="1"/>
  <c r="BB47" i="30" a="1"/>
  <c r="BC47" i="30" a="1"/>
  <c r="BD47" i="30" a="1"/>
  <c r="BE47" i="30" a="1"/>
  <c r="BF47" i="30" a="1"/>
  <c r="BG47" i="30" a="1"/>
  <c r="BH47" i="30" a="1"/>
  <c r="BI47" i="30" a="1"/>
  <c r="BJ47" i="30" a="1"/>
  <c r="BK47" i="30" a="1"/>
  <c r="BL47" i="30" a="1"/>
  <c r="BM47" i="30" a="1"/>
  <c r="BN47" i="30" a="1"/>
  <c r="BO47" i="30" a="1"/>
  <c r="BP47" i="30" a="1"/>
  <c r="G47" i="30"/>
  <c r="H47" i="30"/>
  <c r="I47" i="30"/>
  <c r="J47" i="30"/>
  <c r="K47" i="30"/>
  <c r="L47" i="30"/>
  <c r="M47" i="30"/>
  <c r="N47" i="30"/>
  <c r="O47" i="30"/>
  <c r="P47" i="30"/>
  <c r="Q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BM47" i="30"/>
  <c r="BN47" i="30"/>
  <c r="BO47" i="30"/>
  <c r="BP47" i="30"/>
  <c r="AB23" i="30"/>
  <c r="F37" i="30" a="1"/>
  <c r="F37" i="30"/>
  <c r="G37" i="30" a="1"/>
  <c r="H37" i="30" a="1"/>
  <c r="I37" i="30" a="1"/>
  <c r="J37" i="30" a="1"/>
  <c r="K37" i="30" a="1"/>
  <c r="L37" i="30" a="1"/>
  <c r="M37" i="30" a="1"/>
  <c r="N37" i="30" a="1"/>
  <c r="O37" i="30" a="1"/>
  <c r="P37" i="30" a="1"/>
  <c r="Q37" i="30" a="1"/>
  <c r="R37" i="30" a="1"/>
  <c r="S37" i="30" a="1"/>
  <c r="T37" i="30" a="1"/>
  <c r="U37" i="30" a="1"/>
  <c r="V37" i="30" a="1"/>
  <c r="W37" i="30" a="1"/>
  <c r="X37" i="30" a="1"/>
  <c r="Y37" i="30" a="1"/>
  <c r="Z37" i="30" a="1"/>
  <c r="AA37" i="30" a="1"/>
  <c r="AB37" i="30" a="1"/>
  <c r="AC37" i="30" a="1"/>
  <c r="AD37" i="30" a="1"/>
  <c r="AE37" i="30" a="1"/>
  <c r="AF37" i="30" a="1"/>
  <c r="AG37" i="30" a="1"/>
  <c r="AH37" i="30" a="1"/>
  <c r="AI37" i="30" a="1"/>
  <c r="AJ37" i="30" a="1"/>
  <c r="AK37" i="30" a="1"/>
  <c r="AL37" i="30" a="1"/>
  <c r="AM37" i="30" a="1"/>
  <c r="AN37" i="30" a="1"/>
  <c r="AO37" i="30" a="1"/>
  <c r="AP37" i="30" a="1"/>
  <c r="AQ37" i="30" a="1"/>
  <c r="AR37" i="30" a="1"/>
  <c r="AS37" i="30" a="1"/>
  <c r="AT37" i="30" a="1"/>
  <c r="AU37" i="30" a="1"/>
  <c r="AV37" i="30" a="1"/>
  <c r="AW37" i="30" a="1"/>
  <c r="AX37" i="30" a="1"/>
  <c r="AY37" i="30" a="1"/>
  <c r="AZ37" i="30" a="1"/>
  <c r="BA37" i="30" a="1"/>
  <c r="BB37" i="30" a="1"/>
  <c r="BC37" i="30" a="1"/>
  <c r="BD37" i="30" a="1"/>
  <c r="BE37" i="30" a="1"/>
  <c r="BF37" i="30" a="1"/>
  <c r="BG37" i="30" a="1"/>
  <c r="BH37" i="30" a="1"/>
  <c r="BI37" i="30" a="1"/>
  <c r="BJ37" i="30" a="1"/>
  <c r="BK37" i="30" a="1"/>
  <c r="BL37" i="30" a="1"/>
  <c r="BM37" i="30" a="1"/>
  <c r="BN37" i="30" a="1"/>
  <c r="BO37" i="30" a="1"/>
  <c r="BP37" i="30" a="1"/>
  <c r="G37" i="30"/>
  <c r="H37" i="30"/>
  <c r="I37" i="30"/>
  <c r="J37" i="30"/>
  <c r="K37" i="30"/>
  <c r="L37" i="30"/>
  <c r="M37" i="30"/>
  <c r="N37" i="30"/>
  <c r="O37" i="30"/>
  <c r="P37" i="30"/>
  <c r="Q37" i="30"/>
  <c r="R37" i="30"/>
  <c r="S37" i="30"/>
  <c r="T37" i="30"/>
  <c r="U37" i="30"/>
  <c r="V37" i="30"/>
  <c r="W37" i="30"/>
  <c r="X37" i="30"/>
  <c r="Y37" i="30"/>
  <c r="Z37" i="30"/>
  <c r="AA37" i="30"/>
  <c r="AB37" i="30"/>
  <c r="AC37" i="30"/>
  <c r="AD37" i="30"/>
  <c r="AE37" i="30"/>
  <c r="AF37" i="30"/>
  <c r="AG37" i="30"/>
  <c r="AH37" i="30"/>
  <c r="AI37" i="30"/>
  <c r="AJ37" i="30"/>
  <c r="AK37" i="30"/>
  <c r="AL37" i="30"/>
  <c r="AM37" i="30"/>
  <c r="AN37" i="30"/>
  <c r="AO37" i="30"/>
  <c r="AP37" i="30"/>
  <c r="AQ37" i="30"/>
  <c r="AR37" i="30"/>
  <c r="AS37" i="30"/>
  <c r="AT37" i="30"/>
  <c r="AU37" i="30"/>
  <c r="AV37" i="30"/>
  <c r="AW37" i="30"/>
  <c r="AX37" i="30"/>
  <c r="AY37" i="30"/>
  <c r="AZ37" i="30"/>
  <c r="BA37" i="30"/>
  <c r="BB37" i="30"/>
  <c r="BC37" i="30"/>
  <c r="BD37" i="30"/>
  <c r="BE37" i="30"/>
  <c r="BF37" i="30"/>
  <c r="BG37" i="30"/>
  <c r="BH37" i="30"/>
  <c r="BI37" i="30"/>
  <c r="BJ37" i="30"/>
  <c r="BK37" i="30"/>
  <c r="BL37" i="30"/>
  <c r="BM37" i="30"/>
  <c r="BN37" i="30"/>
  <c r="BO37" i="30"/>
  <c r="BP37" i="30"/>
  <c r="E48" i="30" a="1"/>
  <c r="E48" i="30"/>
  <c r="F48" i="30" a="1"/>
  <c r="F48" i="30"/>
  <c r="G48" i="30" a="1"/>
  <c r="H48" i="30" a="1"/>
  <c r="I48" i="30" a="1"/>
  <c r="J48" i="30" a="1"/>
  <c r="K48" i="30" a="1"/>
  <c r="L48" i="30" a="1"/>
  <c r="M48" i="30" a="1"/>
  <c r="N48" i="30" a="1"/>
  <c r="O48" i="30" a="1"/>
  <c r="P48" i="30" a="1"/>
  <c r="Q48" i="30" a="1"/>
  <c r="R48" i="30" a="1"/>
  <c r="S48" i="30" a="1"/>
  <c r="T48" i="30" a="1"/>
  <c r="U48" i="30" a="1"/>
  <c r="V48" i="30" a="1"/>
  <c r="W48" i="30" a="1"/>
  <c r="X48" i="30" a="1"/>
  <c r="Y48" i="30" a="1"/>
  <c r="Z48" i="30" a="1"/>
  <c r="AA48" i="30" a="1"/>
  <c r="AB48" i="30" a="1"/>
  <c r="AC48" i="30" a="1"/>
  <c r="AD48" i="30" a="1"/>
  <c r="AE48" i="30" a="1"/>
  <c r="AF48" i="30" a="1"/>
  <c r="AG48" i="30" a="1"/>
  <c r="AH48" i="30" a="1"/>
  <c r="AI48" i="30" a="1"/>
  <c r="AJ48" i="30" a="1"/>
  <c r="AK48" i="30" a="1"/>
  <c r="AL48" i="30" a="1"/>
  <c r="AM48" i="30" a="1"/>
  <c r="AN48" i="30" a="1"/>
  <c r="AO48" i="30" a="1"/>
  <c r="AP48" i="30" a="1"/>
  <c r="AQ48" i="30" a="1"/>
  <c r="AR48" i="30" a="1"/>
  <c r="AS48" i="30" a="1"/>
  <c r="AT48" i="30" a="1"/>
  <c r="AU48" i="30" a="1"/>
  <c r="AV48" i="30" a="1"/>
  <c r="AW48" i="30" a="1"/>
  <c r="AX48" i="30" a="1"/>
  <c r="AY48" i="30" a="1"/>
  <c r="AZ48" i="30" a="1"/>
  <c r="BA48" i="30" a="1"/>
  <c r="BB48" i="30" a="1"/>
  <c r="BC48" i="30" a="1"/>
  <c r="BD48" i="30" a="1"/>
  <c r="BE48" i="30" a="1"/>
  <c r="BF48" i="30" a="1"/>
  <c r="BG48" i="30" a="1"/>
  <c r="BH48" i="30" a="1"/>
  <c r="BI48" i="30" a="1"/>
  <c r="BJ48" i="30" a="1"/>
  <c r="BK48" i="30" a="1"/>
  <c r="BL48" i="30" a="1"/>
  <c r="BM48" i="30" a="1"/>
  <c r="BN48" i="30" a="1"/>
  <c r="BO48" i="30" a="1"/>
  <c r="BP48" i="30" a="1"/>
  <c r="G48" i="30"/>
  <c r="H48" i="30"/>
  <c r="I48" i="30"/>
  <c r="J48" i="30"/>
  <c r="K48" i="30"/>
  <c r="L48" i="30"/>
  <c r="M48" i="30"/>
  <c r="N48" i="30"/>
  <c r="O48" i="30"/>
  <c r="P48" i="30"/>
  <c r="Q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AB24" i="30"/>
  <c r="AE25" i="30"/>
  <c r="AE17" i="30"/>
  <c r="AE18" i="30"/>
  <c r="AE19" i="30"/>
  <c r="AE20" i="30"/>
  <c r="AE21" i="30"/>
  <c r="AE22" i="30"/>
  <c r="AE23" i="30"/>
  <c r="AE24" i="30"/>
  <c r="AF25" i="30"/>
  <c r="AD24" i="30"/>
  <c r="AF24" i="30"/>
  <c r="AD23" i="30"/>
  <c r="AF23" i="30"/>
  <c r="AD22" i="30"/>
  <c r="AF22" i="30"/>
  <c r="AD21" i="30"/>
  <c r="AF21" i="30"/>
  <c r="AD20" i="30"/>
  <c r="AF20" i="30"/>
  <c r="AI29" i="27"/>
  <c r="Y20" i="30"/>
  <c r="AD19" i="30"/>
  <c r="AF19" i="30"/>
  <c r="AD18" i="30"/>
  <c r="AF18" i="30"/>
  <c r="AI27" i="27"/>
  <c r="Y18" i="30"/>
  <c r="AD17" i="30"/>
  <c r="AF17" i="30"/>
  <c r="K13" i="30"/>
  <c r="F13" i="30"/>
  <c r="AH30" i="27"/>
  <c r="T26" i="27"/>
  <c r="AD25" i="29"/>
  <c r="BT51" i="29"/>
  <c r="BT52" i="29"/>
  <c r="BU52" i="29"/>
  <c r="BV51" i="29"/>
  <c r="BV52" i="29"/>
  <c r="BW52" i="29"/>
  <c r="BX52" i="29"/>
  <c r="BY52" i="29"/>
  <c r="BZ52" i="29"/>
  <c r="CA52" i="29"/>
  <c r="BR53" i="29"/>
  <c r="BS53" i="29"/>
  <c r="BU53" i="29"/>
  <c r="BV53" i="29"/>
  <c r="BW53" i="29"/>
  <c r="BX53" i="29"/>
  <c r="BY53" i="29"/>
  <c r="BZ53" i="29"/>
  <c r="CA53" i="29"/>
  <c r="BS54" i="29"/>
  <c r="BT54" i="29"/>
  <c r="BV54" i="29"/>
  <c r="BW54" i="29"/>
  <c r="BX54" i="29"/>
  <c r="BY54" i="29"/>
  <c r="BZ54" i="29"/>
  <c r="CA54" i="29"/>
  <c r="BR55" i="29"/>
  <c r="BS55" i="29"/>
  <c r="BT55" i="29"/>
  <c r="BU55" i="29"/>
  <c r="BW55" i="29"/>
  <c r="BX55" i="29"/>
  <c r="BY55" i="29"/>
  <c r="BZ55" i="29"/>
  <c r="CA55" i="29"/>
  <c r="BS56" i="29"/>
  <c r="BT56" i="29"/>
  <c r="BU56" i="29"/>
  <c r="BV56" i="29"/>
  <c r="BX56" i="29"/>
  <c r="BY56" i="29"/>
  <c r="BZ56" i="29"/>
  <c r="CA56" i="29"/>
  <c r="BS57" i="29"/>
  <c r="BT57" i="29"/>
  <c r="BU57" i="29"/>
  <c r="BV57" i="29"/>
  <c r="BW57" i="29"/>
  <c r="BY57" i="29"/>
  <c r="BZ57" i="29"/>
  <c r="CA57" i="29"/>
  <c r="BS58" i="29"/>
  <c r="BT58" i="29"/>
  <c r="BU58" i="29"/>
  <c r="BV58" i="29"/>
  <c r="BW58" i="29"/>
  <c r="BX58" i="29"/>
  <c r="BZ58" i="29"/>
  <c r="CA58" i="29"/>
  <c r="BS59" i="29"/>
  <c r="BT59" i="29"/>
  <c r="BU59" i="29"/>
  <c r="BV59" i="29"/>
  <c r="BW59" i="29"/>
  <c r="BX59" i="29"/>
  <c r="BY59" i="29"/>
  <c r="CA59" i="29"/>
  <c r="BS60" i="29"/>
  <c r="BT60" i="29"/>
  <c r="BU60" i="29"/>
  <c r="BV60" i="29"/>
  <c r="BW60" i="29"/>
  <c r="BX60" i="29"/>
  <c r="BY60" i="29"/>
  <c r="BZ60" i="29"/>
  <c r="F38" i="29" a="1"/>
  <c r="F38" i="29"/>
  <c r="G38" i="29" a="1"/>
  <c r="H38" i="29" a="1"/>
  <c r="I38" i="29" a="1"/>
  <c r="J38" i="29" a="1"/>
  <c r="K38" i="29" a="1"/>
  <c r="L38" i="29" a="1"/>
  <c r="M38" i="29" a="1"/>
  <c r="N38" i="29" a="1"/>
  <c r="O38" i="29" a="1"/>
  <c r="P38" i="29" a="1"/>
  <c r="Q38" i="29" a="1"/>
  <c r="R38" i="29" a="1"/>
  <c r="S38" i="29" a="1"/>
  <c r="T38" i="29" a="1"/>
  <c r="U38" i="29" a="1"/>
  <c r="V38" i="29" a="1"/>
  <c r="W38" i="29" a="1"/>
  <c r="X38" i="29" a="1"/>
  <c r="Y38" i="29" a="1"/>
  <c r="Z38" i="29" a="1"/>
  <c r="AA38" i="29" a="1"/>
  <c r="AB38" i="29" a="1"/>
  <c r="AC38" i="29" a="1"/>
  <c r="AD38" i="29" a="1"/>
  <c r="AE38" i="29" a="1"/>
  <c r="AF38" i="29" a="1"/>
  <c r="AG38" i="29" a="1"/>
  <c r="AH38" i="29" a="1"/>
  <c r="AI38" i="29" a="1"/>
  <c r="AJ38" i="29" a="1"/>
  <c r="AK38" i="29" a="1"/>
  <c r="AL38" i="29" a="1"/>
  <c r="AM38" i="29" a="1"/>
  <c r="AN38" i="29" a="1"/>
  <c r="AO38" i="29" a="1"/>
  <c r="AP38" i="29" a="1"/>
  <c r="AQ38" i="29" a="1"/>
  <c r="AR38" i="29" a="1"/>
  <c r="AS38" i="29" a="1"/>
  <c r="AT38" i="29" a="1"/>
  <c r="AU38" i="29" a="1"/>
  <c r="AV38" i="29" a="1"/>
  <c r="AW38" i="29" a="1"/>
  <c r="AX38" i="29" a="1"/>
  <c r="AY38" i="29" a="1"/>
  <c r="AZ38" i="29" a="1"/>
  <c r="BA38" i="29" a="1"/>
  <c r="BB38" i="29" a="1"/>
  <c r="BC38" i="29" a="1"/>
  <c r="BD38" i="29" a="1"/>
  <c r="BE38" i="29" a="1"/>
  <c r="BF38" i="29" a="1"/>
  <c r="BG38" i="29" a="1"/>
  <c r="BH38" i="29" a="1"/>
  <c r="BI38" i="29" a="1"/>
  <c r="BJ38" i="29" a="1"/>
  <c r="BK38" i="29" a="1"/>
  <c r="BL38" i="29" a="1"/>
  <c r="BM38" i="29" a="1"/>
  <c r="BN38" i="29" a="1"/>
  <c r="BO38" i="29" a="1"/>
  <c r="BP38" i="29" a="1"/>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I38" i="29"/>
  <c r="AJ38" i="29"/>
  <c r="AK38" i="29"/>
  <c r="AL38" i="29"/>
  <c r="AM38" i="29"/>
  <c r="AN38" i="29"/>
  <c r="AO38" i="29"/>
  <c r="AP38" i="29"/>
  <c r="AQ38" i="29"/>
  <c r="AR38" i="29"/>
  <c r="AS38" i="29"/>
  <c r="AT38" i="29"/>
  <c r="AU38" i="29"/>
  <c r="AV38" i="29"/>
  <c r="AW38" i="29"/>
  <c r="AX38" i="29"/>
  <c r="AY38" i="29"/>
  <c r="AZ38" i="29"/>
  <c r="BA38" i="29"/>
  <c r="BB38" i="29"/>
  <c r="BC38" i="29"/>
  <c r="BD38" i="29"/>
  <c r="BE38" i="29"/>
  <c r="BF38" i="29"/>
  <c r="BG38" i="29"/>
  <c r="BH38" i="29"/>
  <c r="BI38" i="29"/>
  <c r="BJ38" i="29"/>
  <c r="BK38" i="29"/>
  <c r="BL38" i="29"/>
  <c r="BM38" i="29"/>
  <c r="BN38" i="29"/>
  <c r="BO38" i="29"/>
  <c r="BP38" i="29"/>
  <c r="BT40" i="29"/>
  <c r="BT29" i="29"/>
  <c r="BT30" i="29"/>
  <c r="BR31" i="29"/>
  <c r="BS31" i="29"/>
  <c r="BT41" i="29"/>
  <c r="BU30" i="29"/>
  <c r="BS32" i="29"/>
  <c r="BU41" i="29"/>
  <c r="BV40" i="29"/>
  <c r="BV29" i="29"/>
  <c r="BV30" i="29"/>
  <c r="BR33" i="29"/>
  <c r="BS33" i="29"/>
  <c r="BV41" i="29"/>
  <c r="BW30" i="29"/>
  <c r="BS34" i="29"/>
  <c r="BW41" i="29"/>
  <c r="BX30" i="29"/>
  <c r="BS35" i="29"/>
  <c r="BX41" i="29"/>
  <c r="BY30" i="29"/>
  <c r="BS36" i="29"/>
  <c r="BY41" i="29"/>
  <c r="BZ30" i="29"/>
  <c r="BS37" i="29"/>
  <c r="BZ41" i="29"/>
  <c r="CA30" i="29"/>
  <c r="BS38" i="29"/>
  <c r="CA41" i="29"/>
  <c r="BR42" i="29"/>
  <c r="BS42" i="29"/>
  <c r="BU31" i="29"/>
  <c r="BT32" i="29"/>
  <c r="BU42" i="29"/>
  <c r="BV31" i="29"/>
  <c r="BT33" i="29"/>
  <c r="BV42" i="29"/>
  <c r="BW31" i="29"/>
  <c r="BT34" i="29"/>
  <c r="BW42" i="29"/>
  <c r="BX31" i="29"/>
  <c r="BT35" i="29"/>
  <c r="BX42" i="29"/>
  <c r="BY31" i="29"/>
  <c r="BT36" i="29"/>
  <c r="BY42" i="29"/>
  <c r="BZ31" i="29"/>
  <c r="BT37" i="29"/>
  <c r="BZ42" i="29"/>
  <c r="CA31" i="29"/>
  <c r="BT38" i="29"/>
  <c r="CA42" i="29"/>
  <c r="BS43" i="29"/>
  <c r="BT43" i="29"/>
  <c r="BV32" i="29"/>
  <c r="BU33" i="29"/>
  <c r="BV43" i="29"/>
  <c r="BW32" i="29"/>
  <c r="BU34" i="29"/>
  <c r="BW43" i="29"/>
  <c r="BX32" i="29"/>
  <c r="BU35" i="29"/>
  <c r="BX43" i="29"/>
  <c r="BY32" i="29"/>
  <c r="BU36" i="29"/>
  <c r="BY43" i="29"/>
  <c r="BZ32" i="29"/>
  <c r="BU37" i="29"/>
  <c r="BZ43" i="29"/>
  <c r="CA32" i="29"/>
  <c r="BU38" i="29"/>
  <c r="CA43" i="29"/>
  <c r="BR44" i="29"/>
  <c r="BS44" i="29"/>
  <c r="BT44" i="29"/>
  <c r="BU44" i="29"/>
  <c r="BW33" i="29"/>
  <c r="BV34" i="29"/>
  <c r="BW44" i="29"/>
  <c r="BX33" i="29"/>
  <c r="BV35" i="29"/>
  <c r="BX44" i="29"/>
  <c r="BY33" i="29"/>
  <c r="BV36" i="29"/>
  <c r="BY44" i="29"/>
  <c r="BZ33" i="29"/>
  <c r="BV37" i="29"/>
  <c r="BZ44" i="29"/>
  <c r="CA33" i="29"/>
  <c r="BV38" i="29"/>
  <c r="CA44" i="29"/>
  <c r="BS45" i="29"/>
  <c r="BT45" i="29"/>
  <c r="BU45" i="29"/>
  <c r="BV45" i="29"/>
  <c r="BX34" i="29"/>
  <c r="BW35" i="29"/>
  <c r="BX45" i="29"/>
  <c r="BY34" i="29"/>
  <c r="BW36" i="29"/>
  <c r="BY45" i="29"/>
  <c r="BZ34" i="29"/>
  <c r="BW37" i="29"/>
  <c r="BZ45" i="29"/>
  <c r="CA34" i="29"/>
  <c r="BW38" i="29"/>
  <c r="CA45" i="29"/>
  <c r="BS46" i="29"/>
  <c r="BT46" i="29"/>
  <c r="BU46" i="29"/>
  <c r="BV46" i="29"/>
  <c r="BW46" i="29"/>
  <c r="BY35" i="29"/>
  <c r="BX36" i="29"/>
  <c r="BY46" i="29"/>
  <c r="BZ35" i="29"/>
  <c r="BX37" i="29"/>
  <c r="BZ46" i="29"/>
  <c r="CA35" i="29"/>
  <c r="BX38" i="29"/>
  <c r="CA46" i="29"/>
  <c r="BS47" i="29"/>
  <c r="BT47" i="29"/>
  <c r="BU47" i="29"/>
  <c r="BV47" i="29"/>
  <c r="BW47" i="29"/>
  <c r="BX47" i="29"/>
  <c r="BZ36" i="29"/>
  <c r="BY37" i="29"/>
  <c r="BZ47" i="29"/>
  <c r="CA36" i="29"/>
  <c r="BY38" i="29"/>
  <c r="CA47" i="29"/>
  <c r="BS48" i="29"/>
  <c r="BT48" i="29"/>
  <c r="BU48" i="29"/>
  <c r="BV48" i="29"/>
  <c r="BW48" i="29"/>
  <c r="BX48" i="29"/>
  <c r="BY48" i="29"/>
  <c r="CA37" i="29"/>
  <c r="BZ38" i="29"/>
  <c r="CA48" i="29"/>
  <c r="BS49" i="29"/>
  <c r="BT49" i="29"/>
  <c r="BU49" i="29"/>
  <c r="BV49" i="29"/>
  <c r="BW49" i="29"/>
  <c r="BX49" i="29"/>
  <c r="BY49" i="29"/>
  <c r="BZ49" i="29"/>
  <c r="E49" i="29" a="1"/>
  <c r="E49" i="29"/>
  <c r="F49" i="29" a="1"/>
  <c r="F49" i="29"/>
  <c r="G49" i="29" a="1"/>
  <c r="H49" i="29" a="1"/>
  <c r="I49" i="29" a="1"/>
  <c r="J49" i="29" a="1"/>
  <c r="K49" i="29" a="1"/>
  <c r="L49" i="29" a="1"/>
  <c r="M49" i="29" a="1"/>
  <c r="N49" i="29" a="1"/>
  <c r="O49" i="29" a="1"/>
  <c r="P49" i="29" a="1"/>
  <c r="Q49" i="29" a="1"/>
  <c r="R49" i="29" a="1"/>
  <c r="S49" i="29" a="1"/>
  <c r="T49" i="29" a="1"/>
  <c r="U49" i="29" a="1"/>
  <c r="V49" i="29" a="1"/>
  <c r="W49" i="29" a="1"/>
  <c r="X49" i="29" a="1"/>
  <c r="Y49" i="29" a="1"/>
  <c r="Z49" i="29" a="1"/>
  <c r="AA49" i="29" a="1"/>
  <c r="AB49" i="29" a="1"/>
  <c r="AC49" i="29" a="1"/>
  <c r="AD49" i="29" a="1"/>
  <c r="AE49" i="29" a="1"/>
  <c r="AF49" i="29" a="1"/>
  <c r="AG49" i="29" a="1"/>
  <c r="AH49" i="29" a="1"/>
  <c r="AI49" i="29" a="1"/>
  <c r="AJ49" i="29" a="1"/>
  <c r="AK49" i="29" a="1"/>
  <c r="AL49" i="29" a="1"/>
  <c r="AM49" i="29" a="1"/>
  <c r="AN49" i="29" a="1"/>
  <c r="AO49" i="29" a="1"/>
  <c r="AP49" i="29" a="1"/>
  <c r="AQ49" i="29" a="1"/>
  <c r="AR49" i="29" a="1"/>
  <c r="AS49" i="29" a="1"/>
  <c r="AT49" i="29" a="1"/>
  <c r="AU49" i="29" a="1"/>
  <c r="AV49" i="29" a="1"/>
  <c r="AW49" i="29" a="1"/>
  <c r="AX49" i="29" a="1"/>
  <c r="AY49" i="29" a="1"/>
  <c r="AZ49" i="29" a="1"/>
  <c r="BA49" i="29" a="1"/>
  <c r="BB49" i="29" a="1"/>
  <c r="BC49" i="29" a="1"/>
  <c r="BD49" i="29" a="1"/>
  <c r="BE49" i="29" a="1"/>
  <c r="BF49" i="29" a="1"/>
  <c r="BG49" i="29" a="1"/>
  <c r="BH49" i="29" a="1"/>
  <c r="BI49" i="29" a="1"/>
  <c r="BJ49" i="29" a="1"/>
  <c r="BK49" i="29" a="1"/>
  <c r="BL49" i="29" a="1"/>
  <c r="BM49" i="29" a="1"/>
  <c r="BN49" i="29" a="1"/>
  <c r="BO49" i="29" a="1"/>
  <c r="BP49" i="29" a="1"/>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AB25" i="29"/>
  <c r="F34" i="29" a="1"/>
  <c r="F34" i="29"/>
  <c r="G34" i="29" a="1"/>
  <c r="H34" i="29" a="1"/>
  <c r="I34" i="29" a="1"/>
  <c r="J34" i="29" a="1"/>
  <c r="K34" i="29" a="1"/>
  <c r="L34" i="29" a="1"/>
  <c r="M34" i="29" a="1"/>
  <c r="N34" i="29" a="1"/>
  <c r="O34" i="29" a="1"/>
  <c r="P34" i="29" a="1"/>
  <c r="Q34" i="29" a="1"/>
  <c r="R34" i="29" a="1"/>
  <c r="S34" i="29" a="1"/>
  <c r="T34" i="29" a="1"/>
  <c r="U34" i="29" a="1"/>
  <c r="V34" i="29" a="1"/>
  <c r="W34" i="29" a="1"/>
  <c r="X34" i="29" a="1"/>
  <c r="Y34" i="29" a="1"/>
  <c r="Z34" i="29" a="1"/>
  <c r="AA34" i="29" a="1"/>
  <c r="AB34" i="29" a="1"/>
  <c r="AC34" i="29" a="1"/>
  <c r="AD34" i="29" a="1"/>
  <c r="AE34" i="29" a="1"/>
  <c r="AF34" i="29" a="1"/>
  <c r="AG34" i="29" a="1"/>
  <c r="AH34" i="29" a="1"/>
  <c r="AI34" i="29" a="1"/>
  <c r="AJ34" i="29" a="1"/>
  <c r="AK34" i="29" a="1"/>
  <c r="AL34" i="29" a="1"/>
  <c r="AM34" i="29" a="1"/>
  <c r="AN34" i="29" a="1"/>
  <c r="AO34" i="29" a="1"/>
  <c r="AP34" i="29" a="1"/>
  <c r="AQ34" i="29" a="1"/>
  <c r="AR34" i="29" a="1"/>
  <c r="AS34" i="29" a="1"/>
  <c r="AT34" i="29" a="1"/>
  <c r="AU34" i="29" a="1"/>
  <c r="AV34" i="29" a="1"/>
  <c r="AW34" i="29" a="1"/>
  <c r="AX34" i="29" a="1"/>
  <c r="AY34" i="29" a="1"/>
  <c r="AZ34" i="29" a="1"/>
  <c r="BA34" i="29" a="1"/>
  <c r="BB34" i="29" a="1"/>
  <c r="BC34" i="29" a="1"/>
  <c r="BD34" i="29" a="1"/>
  <c r="BE34" i="29" a="1"/>
  <c r="BF34" i="29" a="1"/>
  <c r="BG34" i="29" a="1"/>
  <c r="BH34" i="29" a="1"/>
  <c r="BI34" i="29" a="1"/>
  <c r="BJ34" i="29" a="1"/>
  <c r="BK34" i="29" a="1"/>
  <c r="BL34" i="29" a="1"/>
  <c r="BM34" i="29" a="1"/>
  <c r="BN34" i="29" a="1"/>
  <c r="BO34" i="29" a="1"/>
  <c r="BP34" i="29" a="1"/>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I34" i="29"/>
  <c r="AJ34" i="29"/>
  <c r="AK34" i="29"/>
  <c r="AL34" i="29"/>
  <c r="AM34" i="29"/>
  <c r="AN34" i="29"/>
  <c r="AO34" i="29"/>
  <c r="AP34" i="29"/>
  <c r="AQ34" i="29"/>
  <c r="AR34" i="29"/>
  <c r="AS34" i="29"/>
  <c r="AT34" i="29"/>
  <c r="AU34" i="29"/>
  <c r="AV34" i="29"/>
  <c r="AW34" i="29"/>
  <c r="AX34" i="29"/>
  <c r="AY34" i="29"/>
  <c r="AZ34" i="29"/>
  <c r="BA34" i="29"/>
  <c r="BB34" i="29"/>
  <c r="BC34" i="29"/>
  <c r="BD34" i="29"/>
  <c r="BE34" i="29"/>
  <c r="BF34" i="29"/>
  <c r="BG34" i="29"/>
  <c r="BH34" i="29"/>
  <c r="BI34" i="29"/>
  <c r="BJ34" i="29"/>
  <c r="BK34" i="29"/>
  <c r="BL34" i="29"/>
  <c r="BM34" i="29"/>
  <c r="BN34" i="29"/>
  <c r="BO34" i="29"/>
  <c r="BP34" i="29"/>
  <c r="E45" i="29" a="1"/>
  <c r="E45" i="29"/>
  <c r="F45" i="29" a="1"/>
  <c r="F45" i="29"/>
  <c r="G45" i="29" a="1"/>
  <c r="H45" i="29" a="1"/>
  <c r="I45" i="29" a="1"/>
  <c r="J45" i="29" a="1"/>
  <c r="K45" i="29" a="1"/>
  <c r="L45" i="29" a="1"/>
  <c r="M45" i="29" a="1"/>
  <c r="N45" i="29" a="1"/>
  <c r="O45" i="29" a="1"/>
  <c r="P45" i="29" a="1"/>
  <c r="Q45" i="29" a="1"/>
  <c r="R45" i="29" a="1"/>
  <c r="S45" i="29" a="1"/>
  <c r="T45" i="29" a="1"/>
  <c r="U45" i="29" a="1"/>
  <c r="V45" i="29" a="1"/>
  <c r="W45" i="29" a="1"/>
  <c r="X45" i="29" a="1"/>
  <c r="Y45" i="29" a="1"/>
  <c r="Z45" i="29" a="1"/>
  <c r="AA45" i="29" a="1"/>
  <c r="AB45" i="29" a="1"/>
  <c r="AC45" i="29" a="1"/>
  <c r="AD45" i="29" a="1"/>
  <c r="AE45" i="29" a="1"/>
  <c r="AF45" i="29" a="1"/>
  <c r="AG45" i="29" a="1"/>
  <c r="AH45" i="29" a="1"/>
  <c r="AI45" i="29" a="1"/>
  <c r="AJ45" i="29" a="1"/>
  <c r="AK45" i="29" a="1"/>
  <c r="AL45" i="29" a="1"/>
  <c r="AM45" i="29" a="1"/>
  <c r="AN45" i="29" a="1"/>
  <c r="AO45" i="29" a="1"/>
  <c r="AP45" i="29" a="1"/>
  <c r="AQ45" i="29" a="1"/>
  <c r="AR45" i="29" a="1"/>
  <c r="AS45" i="29" a="1"/>
  <c r="AT45" i="29" a="1"/>
  <c r="AU45" i="29" a="1"/>
  <c r="AV45" i="29" a="1"/>
  <c r="AW45" i="29" a="1"/>
  <c r="AX45" i="29" a="1"/>
  <c r="AY45" i="29" a="1"/>
  <c r="AZ45" i="29" a="1"/>
  <c r="BA45" i="29" a="1"/>
  <c r="BB45" i="29" a="1"/>
  <c r="BC45" i="29" a="1"/>
  <c r="BD45" i="29" a="1"/>
  <c r="BE45" i="29" a="1"/>
  <c r="BF45" i="29" a="1"/>
  <c r="BG45" i="29" a="1"/>
  <c r="BH45" i="29" a="1"/>
  <c r="BI45" i="29" a="1"/>
  <c r="BJ45" i="29" a="1"/>
  <c r="BK45" i="29" a="1"/>
  <c r="BL45" i="29" a="1"/>
  <c r="BM45" i="29" a="1"/>
  <c r="BN45" i="29" a="1"/>
  <c r="BO45" i="29" a="1"/>
  <c r="BP45" i="29" a="1"/>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AB21" i="29"/>
  <c r="F35" i="29" a="1"/>
  <c r="F35" i="29"/>
  <c r="G35" i="29" a="1"/>
  <c r="H35" i="29" a="1"/>
  <c r="I35" i="29" a="1"/>
  <c r="J35" i="29" a="1"/>
  <c r="K35" i="29" a="1"/>
  <c r="L35" i="29" a="1"/>
  <c r="M35" i="29" a="1"/>
  <c r="N35" i="29" a="1"/>
  <c r="O35" i="29" a="1"/>
  <c r="P35" i="29" a="1"/>
  <c r="Q35" i="29" a="1"/>
  <c r="R35" i="29" a="1"/>
  <c r="S35" i="29" a="1"/>
  <c r="T35" i="29" a="1"/>
  <c r="U35" i="29" a="1"/>
  <c r="V35" i="29" a="1"/>
  <c r="W35" i="29" a="1"/>
  <c r="X35" i="29" a="1"/>
  <c r="Y35" i="29" a="1"/>
  <c r="Z35" i="29" a="1"/>
  <c r="AA35" i="29" a="1"/>
  <c r="AB35" i="29" a="1"/>
  <c r="AC35" i="29" a="1"/>
  <c r="AD35" i="29" a="1"/>
  <c r="AE35" i="29" a="1"/>
  <c r="AF35" i="29" a="1"/>
  <c r="AG35" i="29" a="1"/>
  <c r="AH35" i="29" a="1"/>
  <c r="AI35" i="29" a="1"/>
  <c r="AJ35" i="29" a="1"/>
  <c r="AK35" i="29" a="1"/>
  <c r="AL35" i="29" a="1"/>
  <c r="AM35" i="29" a="1"/>
  <c r="AN35" i="29" a="1"/>
  <c r="AO35" i="29" a="1"/>
  <c r="AP35" i="29" a="1"/>
  <c r="AQ35" i="29" a="1"/>
  <c r="AR35" i="29" a="1"/>
  <c r="AS35" i="29" a="1"/>
  <c r="AT35" i="29" a="1"/>
  <c r="AU35" i="29" a="1"/>
  <c r="AV35" i="29" a="1"/>
  <c r="AW35" i="29" a="1"/>
  <c r="AX35" i="29" a="1"/>
  <c r="AY35" i="29" a="1"/>
  <c r="AZ35" i="29" a="1"/>
  <c r="BA35" i="29" a="1"/>
  <c r="BB35" i="29" a="1"/>
  <c r="BC35" i="29" a="1"/>
  <c r="BD35" i="29" a="1"/>
  <c r="BE35" i="29" a="1"/>
  <c r="BF35" i="29" a="1"/>
  <c r="BG35" i="29" a="1"/>
  <c r="BH35" i="29" a="1"/>
  <c r="BI35" i="29" a="1"/>
  <c r="BJ35" i="29" a="1"/>
  <c r="BK35" i="29" a="1"/>
  <c r="BL35" i="29" a="1"/>
  <c r="BM35" i="29" a="1"/>
  <c r="BN35" i="29" a="1"/>
  <c r="BO35" i="29" a="1"/>
  <c r="BP35" i="29" a="1"/>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I35" i="29"/>
  <c r="AJ35" i="29"/>
  <c r="AK35" i="29"/>
  <c r="AL35" i="29"/>
  <c r="AM35" i="29"/>
  <c r="AN35" i="29"/>
  <c r="AO35" i="29"/>
  <c r="AP35" i="29"/>
  <c r="AQ35" i="29"/>
  <c r="AR35" i="29"/>
  <c r="AS35" i="29"/>
  <c r="AT35" i="29"/>
  <c r="AU35" i="29"/>
  <c r="AV35" i="29"/>
  <c r="AW35" i="29"/>
  <c r="AX35" i="29"/>
  <c r="AY35" i="29"/>
  <c r="AZ35" i="29"/>
  <c r="BA35" i="29"/>
  <c r="BB35" i="29"/>
  <c r="BC35" i="29"/>
  <c r="BD35" i="29"/>
  <c r="BE35" i="29"/>
  <c r="BF35" i="29"/>
  <c r="BG35" i="29"/>
  <c r="BH35" i="29"/>
  <c r="BI35" i="29"/>
  <c r="BJ35" i="29"/>
  <c r="BK35" i="29"/>
  <c r="BL35" i="29"/>
  <c r="BM35" i="29"/>
  <c r="BN35" i="29"/>
  <c r="BO35" i="29"/>
  <c r="BP35" i="29"/>
  <c r="E46" i="29" a="1"/>
  <c r="E46" i="29"/>
  <c r="F46" i="29" a="1"/>
  <c r="F46" i="29"/>
  <c r="G46" i="29" a="1"/>
  <c r="H46" i="29" a="1"/>
  <c r="I46" i="29" a="1"/>
  <c r="J46" i="29" a="1"/>
  <c r="K46" i="29" a="1"/>
  <c r="L46" i="29" a="1"/>
  <c r="M46" i="29" a="1"/>
  <c r="N46" i="29" a="1"/>
  <c r="O46" i="29" a="1"/>
  <c r="P46" i="29" a="1"/>
  <c r="Q46" i="29" a="1"/>
  <c r="R46" i="29" a="1"/>
  <c r="S46" i="29" a="1"/>
  <c r="T46" i="29" a="1"/>
  <c r="U46" i="29" a="1"/>
  <c r="V46" i="29" a="1"/>
  <c r="W46" i="29" a="1"/>
  <c r="X46" i="29" a="1"/>
  <c r="Y46" i="29" a="1"/>
  <c r="Z46" i="29" a="1"/>
  <c r="AA46" i="29" a="1"/>
  <c r="AB46" i="29" a="1"/>
  <c r="AC46" i="29" a="1"/>
  <c r="AD46" i="29" a="1"/>
  <c r="AE46" i="29" a="1"/>
  <c r="AF46" i="29" a="1"/>
  <c r="AG46" i="29" a="1"/>
  <c r="AH46" i="29" a="1"/>
  <c r="AI46" i="29" a="1"/>
  <c r="AJ46" i="29" a="1"/>
  <c r="AK46" i="29" a="1"/>
  <c r="AL46" i="29" a="1"/>
  <c r="AM46" i="29" a="1"/>
  <c r="AN46" i="29" a="1"/>
  <c r="AO46" i="29" a="1"/>
  <c r="AP46" i="29" a="1"/>
  <c r="AQ46" i="29" a="1"/>
  <c r="AR46" i="29" a="1"/>
  <c r="AS46" i="29" a="1"/>
  <c r="AT46" i="29" a="1"/>
  <c r="AU46" i="29" a="1"/>
  <c r="AV46" i="29" a="1"/>
  <c r="AW46" i="29" a="1"/>
  <c r="AX46" i="29" a="1"/>
  <c r="AY46" i="29" a="1"/>
  <c r="AZ46" i="29" a="1"/>
  <c r="BA46" i="29" a="1"/>
  <c r="BB46" i="29" a="1"/>
  <c r="BC46" i="29" a="1"/>
  <c r="BD46" i="29" a="1"/>
  <c r="BE46" i="29" a="1"/>
  <c r="BF46" i="29" a="1"/>
  <c r="BG46" i="29" a="1"/>
  <c r="BH46" i="29" a="1"/>
  <c r="BI46" i="29" a="1"/>
  <c r="BJ46" i="29" a="1"/>
  <c r="BK46" i="29" a="1"/>
  <c r="BL46" i="29" a="1"/>
  <c r="BM46" i="29" a="1"/>
  <c r="BN46" i="29" a="1"/>
  <c r="BO46" i="29" a="1"/>
  <c r="BP46" i="29" a="1"/>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AB22" i="29"/>
  <c r="F36" i="29" a="1"/>
  <c r="F36" i="29"/>
  <c r="G36" i="29" a="1"/>
  <c r="H36" i="29" a="1"/>
  <c r="I36" i="29" a="1"/>
  <c r="J36" i="29" a="1"/>
  <c r="K36" i="29" a="1"/>
  <c r="L36" i="29" a="1"/>
  <c r="M36" i="29" a="1"/>
  <c r="N36" i="29" a="1"/>
  <c r="O36" i="29" a="1"/>
  <c r="P36" i="29" a="1"/>
  <c r="Q36" i="29" a="1"/>
  <c r="R36" i="29" a="1"/>
  <c r="S36" i="29" a="1"/>
  <c r="T36" i="29" a="1"/>
  <c r="U36" i="29" a="1"/>
  <c r="V36" i="29" a="1"/>
  <c r="W36" i="29" a="1"/>
  <c r="X36" i="29" a="1"/>
  <c r="Y36" i="29" a="1"/>
  <c r="Z36" i="29" a="1"/>
  <c r="AA36" i="29" a="1"/>
  <c r="AB36" i="29" a="1"/>
  <c r="AC36" i="29" a="1"/>
  <c r="AD36" i="29" a="1"/>
  <c r="AE36" i="29" a="1"/>
  <c r="AF36" i="29" a="1"/>
  <c r="AG36" i="29" a="1"/>
  <c r="AH36" i="29" a="1"/>
  <c r="AI36" i="29" a="1"/>
  <c r="AJ36" i="29" a="1"/>
  <c r="AK36" i="29" a="1"/>
  <c r="AL36" i="29" a="1"/>
  <c r="AM36" i="29" a="1"/>
  <c r="AN36" i="29" a="1"/>
  <c r="AO36" i="29" a="1"/>
  <c r="AP36" i="29" a="1"/>
  <c r="AQ36" i="29" a="1"/>
  <c r="AR36" i="29" a="1"/>
  <c r="AS36" i="29" a="1"/>
  <c r="AT36" i="29" a="1"/>
  <c r="AU36" i="29" a="1"/>
  <c r="AV36" i="29" a="1"/>
  <c r="AW36" i="29" a="1"/>
  <c r="AX36" i="29" a="1"/>
  <c r="AY36" i="29" a="1"/>
  <c r="AZ36" i="29" a="1"/>
  <c r="BA36" i="29" a="1"/>
  <c r="BB36" i="29" a="1"/>
  <c r="BC36" i="29" a="1"/>
  <c r="BD36" i="29" a="1"/>
  <c r="BE36" i="29" a="1"/>
  <c r="BF36" i="29" a="1"/>
  <c r="BG36" i="29" a="1"/>
  <c r="BH36" i="29" a="1"/>
  <c r="BI36" i="29" a="1"/>
  <c r="BJ36" i="29" a="1"/>
  <c r="BK36" i="29" a="1"/>
  <c r="BL36" i="29" a="1"/>
  <c r="BM36" i="29" a="1"/>
  <c r="BN36" i="29" a="1"/>
  <c r="BO36" i="29" a="1"/>
  <c r="BP36" i="29" a="1"/>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I36" i="29"/>
  <c r="AJ36" i="29"/>
  <c r="AK36" i="29"/>
  <c r="AL36" i="29"/>
  <c r="AM36" i="29"/>
  <c r="AN36" i="29"/>
  <c r="AO36" i="29"/>
  <c r="AP36" i="29"/>
  <c r="AQ36" i="29"/>
  <c r="AR36" i="29"/>
  <c r="AS36" i="29"/>
  <c r="AT36" i="29"/>
  <c r="AU36" i="29"/>
  <c r="AV36" i="29"/>
  <c r="AW36" i="29"/>
  <c r="AX36" i="29"/>
  <c r="AY36" i="29"/>
  <c r="AZ36" i="29"/>
  <c r="BA36" i="29"/>
  <c r="BB36" i="29"/>
  <c r="BC36" i="29"/>
  <c r="BD36" i="29"/>
  <c r="BE36" i="29"/>
  <c r="BF36" i="29"/>
  <c r="BG36" i="29"/>
  <c r="BH36" i="29"/>
  <c r="BI36" i="29"/>
  <c r="BJ36" i="29"/>
  <c r="BK36" i="29"/>
  <c r="BL36" i="29"/>
  <c r="BM36" i="29"/>
  <c r="BN36" i="29"/>
  <c r="BO36" i="29"/>
  <c r="BP36" i="29"/>
  <c r="E47" i="29" a="1"/>
  <c r="E47" i="29"/>
  <c r="F47" i="29" a="1"/>
  <c r="F47" i="29"/>
  <c r="G47" i="29" a="1"/>
  <c r="H47" i="29" a="1"/>
  <c r="I47" i="29" a="1"/>
  <c r="J47" i="29" a="1"/>
  <c r="K47" i="29" a="1"/>
  <c r="L47" i="29" a="1"/>
  <c r="M47" i="29" a="1"/>
  <c r="N47" i="29" a="1"/>
  <c r="O47" i="29" a="1"/>
  <c r="P47" i="29" a="1"/>
  <c r="Q47" i="29" a="1"/>
  <c r="R47" i="29" a="1"/>
  <c r="S47" i="29" a="1"/>
  <c r="T47" i="29" a="1"/>
  <c r="U47" i="29" a="1"/>
  <c r="V47" i="29" a="1"/>
  <c r="W47" i="29" a="1"/>
  <c r="X47" i="29" a="1"/>
  <c r="Y47" i="29" a="1"/>
  <c r="Z47" i="29" a="1"/>
  <c r="AA47" i="29" a="1"/>
  <c r="AB47" i="29" a="1"/>
  <c r="AC47" i="29" a="1"/>
  <c r="AD47" i="29" a="1"/>
  <c r="AE47" i="29" a="1"/>
  <c r="AF47" i="29" a="1"/>
  <c r="AG47" i="29" a="1"/>
  <c r="AH47" i="29" a="1"/>
  <c r="AI47" i="29" a="1"/>
  <c r="AJ47" i="29" a="1"/>
  <c r="AK47" i="29" a="1"/>
  <c r="AL47" i="29" a="1"/>
  <c r="AM47" i="29" a="1"/>
  <c r="AN47" i="29" a="1"/>
  <c r="AO47" i="29" a="1"/>
  <c r="AP47" i="29" a="1"/>
  <c r="AQ47" i="29" a="1"/>
  <c r="AR47" i="29" a="1"/>
  <c r="AS47" i="29" a="1"/>
  <c r="AT47" i="29" a="1"/>
  <c r="AU47" i="29" a="1"/>
  <c r="AV47" i="29" a="1"/>
  <c r="AW47" i="29" a="1"/>
  <c r="AX47" i="29" a="1"/>
  <c r="AY47" i="29" a="1"/>
  <c r="AZ47" i="29" a="1"/>
  <c r="BA47" i="29" a="1"/>
  <c r="BB47" i="29" a="1"/>
  <c r="BC47" i="29" a="1"/>
  <c r="BD47" i="29" a="1"/>
  <c r="BE47" i="29" a="1"/>
  <c r="BF47" i="29" a="1"/>
  <c r="BG47" i="29" a="1"/>
  <c r="BH47" i="29" a="1"/>
  <c r="BI47" i="29" a="1"/>
  <c r="BJ47" i="29" a="1"/>
  <c r="BK47" i="29" a="1"/>
  <c r="BL47" i="29" a="1"/>
  <c r="BM47" i="29" a="1"/>
  <c r="BN47" i="29" a="1"/>
  <c r="BO47" i="29" a="1"/>
  <c r="BP47" i="29" a="1"/>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AB23" i="29"/>
  <c r="F37" i="29" a="1"/>
  <c r="F37" i="29"/>
  <c r="G37" i="29" a="1"/>
  <c r="H37" i="29" a="1"/>
  <c r="I37" i="29" a="1"/>
  <c r="J37" i="29" a="1"/>
  <c r="K37" i="29" a="1"/>
  <c r="L37" i="29" a="1"/>
  <c r="M37" i="29" a="1"/>
  <c r="N37" i="29" a="1"/>
  <c r="O37" i="29" a="1"/>
  <c r="P37" i="29" a="1"/>
  <c r="Q37" i="29" a="1"/>
  <c r="R37" i="29" a="1"/>
  <c r="S37" i="29" a="1"/>
  <c r="T37" i="29" a="1"/>
  <c r="U37" i="29" a="1"/>
  <c r="V37" i="29" a="1"/>
  <c r="W37" i="29" a="1"/>
  <c r="X37" i="29" a="1"/>
  <c r="Y37" i="29" a="1"/>
  <c r="Z37" i="29" a="1"/>
  <c r="AA37" i="29" a="1"/>
  <c r="AB37" i="29" a="1"/>
  <c r="AC37" i="29" a="1"/>
  <c r="AD37" i="29" a="1"/>
  <c r="AE37" i="29" a="1"/>
  <c r="AF37" i="29" a="1"/>
  <c r="AG37" i="29" a="1"/>
  <c r="AH37" i="29" a="1"/>
  <c r="AI37" i="29" a="1"/>
  <c r="AJ37" i="29" a="1"/>
  <c r="AK37" i="29" a="1"/>
  <c r="AL37" i="29" a="1"/>
  <c r="AM37" i="29" a="1"/>
  <c r="AN37" i="29" a="1"/>
  <c r="AO37" i="29" a="1"/>
  <c r="AP37" i="29" a="1"/>
  <c r="AQ37" i="29" a="1"/>
  <c r="AR37" i="29" a="1"/>
  <c r="AS37" i="29" a="1"/>
  <c r="AT37" i="29" a="1"/>
  <c r="AU37" i="29" a="1"/>
  <c r="AV37" i="29" a="1"/>
  <c r="AW37" i="29" a="1"/>
  <c r="AX37" i="29" a="1"/>
  <c r="AY37" i="29" a="1"/>
  <c r="AZ37" i="29" a="1"/>
  <c r="BA37" i="29" a="1"/>
  <c r="BB37" i="29" a="1"/>
  <c r="BC37" i="29" a="1"/>
  <c r="BD37" i="29" a="1"/>
  <c r="BE37" i="29" a="1"/>
  <c r="BF37" i="29" a="1"/>
  <c r="BG37" i="29" a="1"/>
  <c r="BH37" i="29" a="1"/>
  <c r="BI37" i="29" a="1"/>
  <c r="BJ37" i="29" a="1"/>
  <c r="BK37" i="29" a="1"/>
  <c r="BL37" i="29" a="1"/>
  <c r="BM37" i="29" a="1"/>
  <c r="BN37" i="29" a="1"/>
  <c r="BO37" i="29" a="1"/>
  <c r="BP37" i="29" a="1"/>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I37" i="29"/>
  <c r="AJ37" i="29"/>
  <c r="AK37" i="29"/>
  <c r="AL37" i="29"/>
  <c r="AM37" i="29"/>
  <c r="AN37" i="29"/>
  <c r="AO37" i="29"/>
  <c r="AP37" i="29"/>
  <c r="AQ37" i="29"/>
  <c r="AR37" i="29"/>
  <c r="AS37" i="29"/>
  <c r="AT37" i="29"/>
  <c r="AU37" i="29"/>
  <c r="AV37" i="29"/>
  <c r="AW37" i="29"/>
  <c r="AX37" i="29"/>
  <c r="AY37" i="29"/>
  <c r="AZ37" i="29"/>
  <c r="BA37" i="29"/>
  <c r="BB37" i="29"/>
  <c r="BC37" i="29"/>
  <c r="BD37" i="29"/>
  <c r="BE37" i="29"/>
  <c r="BF37" i="29"/>
  <c r="BG37" i="29"/>
  <c r="BH37" i="29"/>
  <c r="BI37" i="29"/>
  <c r="BJ37" i="29"/>
  <c r="BK37" i="29"/>
  <c r="BL37" i="29"/>
  <c r="BM37" i="29"/>
  <c r="BN37" i="29"/>
  <c r="BO37" i="29"/>
  <c r="BP37" i="29"/>
  <c r="E48" i="29" a="1"/>
  <c r="E48" i="29"/>
  <c r="F48" i="29" a="1"/>
  <c r="F48" i="29"/>
  <c r="G48" i="29" a="1"/>
  <c r="H48" i="29" a="1"/>
  <c r="I48" i="29" a="1"/>
  <c r="J48" i="29" a="1"/>
  <c r="K48" i="29" a="1"/>
  <c r="L48" i="29" a="1"/>
  <c r="M48" i="29" a="1"/>
  <c r="N48" i="29" a="1"/>
  <c r="O48" i="29" a="1"/>
  <c r="P48" i="29" a="1"/>
  <c r="Q48" i="29" a="1"/>
  <c r="R48" i="29" a="1"/>
  <c r="S48" i="29" a="1"/>
  <c r="T48" i="29" a="1"/>
  <c r="U48" i="29" a="1"/>
  <c r="V48" i="29" a="1"/>
  <c r="W48" i="29" a="1"/>
  <c r="X48" i="29" a="1"/>
  <c r="Y48" i="29" a="1"/>
  <c r="Z48" i="29" a="1"/>
  <c r="AA48" i="29" a="1"/>
  <c r="AB48" i="29" a="1"/>
  <c r="AC48" i="29" a="1"/>
  <c r="AD48" i="29" a="1"/>
  <c r="AE48" i="29" a="1"/>
  <c r="AF48" i="29" a="1"/>
  <c r="AG48" i="29" a="1"/>
  <c r="AH48" i="29" a="1"/>
  <c r="AI48" i="29" a="1"/>
  <c r="AJ48" i="29" a="1"/>
  <c r="AK48" i="29" a="1"/>
  <c r="AL48" i="29" a="1"/>
  <c r="AM48" i="29" a="1"/>
  <c r="AN48" i="29" a="1"/>
  <c r="AO48" i="29" a="1"/>
  <c r="AP48" i="29" a="1"/>
  <c r="AQ48" i="29" a="1"/>
  <c r="AR48" i="29" a="1"/>
  <c r="AS48" i="29" a="1"/>
  <c r="AT48" i="29" a="1"/>
  <c r="AU48" i="29" a="1"/>
  <c r="AV48" i="29" a="1"/>
  <c r="AW48" i="29" a="1"/>
  <c r="AX48" i="29" a="1"/>
  <c r="AY48" i="29" a="1"/>
  <c r="AZ48" i="29" a="1"/>
  <c r="BA48" i="29" a="1"/>
  <c r="BB48" i="29" a="1"/>
  <c r="BC48" i="29" a="1"/>
  <c r="BD48" i="29" a="1"/>
  <c r="BE48" i="29" a="1"/>
  <c r="BF48" i="29" a="1"/>
  <c r="BG48" i="29" a="1"/>
  <c r="BH48" i="29" a="1"/>
  <c r="BI48" i="29" a="1"/>
  <c r="BJ48" i="29" a="1"/>
  <c r="BK48" i="29" a="1"/>
  <c r="BL48" i="29" a="1"/>
  <c r="BM48" i="29" a="1"/>
  <c r="BN48" i="29" a="1"/>
  <c r="BO48" i="29" a="1"/>
  <c r="BP48" i="29" a="1"/>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AB24" i="29"/>
  <c r="AE25" i="29"/>
  <c r="AE17" i="29"/>
  <c r="AE18" i="29"/>
  <c r="AE19" i="29"/>
  <c r="AE20" i="29"/>
  <c r="AE21" i="29"/>
  <c r="AE22" i="29"/>
  <c r="AE23" i="29"/>
  <c r="AE24" i="29"/>
  <c r="AF25" i="29"/>
  <c r="AD24" i="29"/>
  <c r="AF24" i="29"/>
  <c r="AD23" i="29"/>
  <c r="AF23" i="29"/>
  <c r="AD22" i="29"/>
  <c r="AF22" i="29"/>
  <c r="AD21" i="29"/>
  <c r="AF21" i="29"/>
  <c r="AD20" i="29"/>
  <c r="AF20" i="29"/>
  <c r="AI22" i="27"/>
  <c r="Y20" i="29"/>
  <c r="AD19" i="29"/>
  <c r="AF19" i="29"/>
  <c r="AD18" i="29"/>
  <c r="AF18" i="29"/>
  <c r="AI20" i="27"/>
  <c r="Y18" i="29"/>
  <c r="AD17" i="29"/>
  <c r="AF17" i="29"/>
  <c r="K13" i="29"/>
  <c r="F13" i="29"/>
  <c r="AH23" i="27"/>
  <c r="T19" i="27"/>
  <c r="AG25" i="17"/>
  <c r="AH25" i="17"/>
  <c r="Z25" i="17"/>
  <c r="AG24" i="17"/>
  <c r="AH24" i="17"/>
  <c r="Z24" i="17"/>
  <c r="AG23" i="17"/>
  <c r="AH23" i="17"/>
  <c r="Z23" i="17"/>
  <c r="AG22" i="17"/>
  <c r="AH22" i="17"/>
  <c r="Z22" i="17"/>
  <c r="AG21" i="17"/>
  <c r="AH21" i="17"/>
  <c r="Z21" i="17"/>
  <c r="AG20" i="17"/>
  <c r="AH20" i="17"/>
  <c r="Z20" i="17"/>
  <c r="AG19" i="17"/>
  <c r="AH19" i="17"/>
  <c r="Z19" i="17"/>
  <c r="AG18" i="17"/>
  <c r="AH18" i="17"/>
  <c r="Z18" i="17"/>
  <c r="AG17" i="17"/>
  <c r="AH17" i="17"/>
  <c r="Z17" i="17"/>
  <c r="C40" i="20"/>
  <c r="F40" i="20"/>
  <c r="C39" i="20"/>
  <c r="F39" i="20"/>
  <c r="C38" i="20"/>
  <c r="F38" i="20"/>
  <c r="C37" i="20"/>
  <c r="F37" i="20"/>
  <c r="C36" i="20"/>
  <c r="F36" i="20"/>
  <c r="C35" i="20"/>
  <c r="F35" i="20"/>
  <c r="C31" i="20"/>
  <c r="F31" i="20"/>
  <c r="C30" i="20"/>
  <c r="F30" i="20"/>
  <c r="C29" i="20"/>
  <c r="F29" i="20"/>
  <c r="C28" i="20"/>
  <c r="F28" i="20"/>
  <c r="C27" i="20"/>
  <c r="F27" i="20"/>
  <c r="C26" i="20"/>
  <c r="F26" i="20"/>
  <c r="C22" i="20"/>
  <c r="F22" i="20"/>
  <c r="C21" i="20"/>
  <c r="F21" i="20"/>
  <c r="C20" i="20"/>
  <c r="F20" i="20"/>
  <c r="C19" i="20"/>
  <c r="F19" i="20"/>
  <c r="C18" i="20"/>
  <c r="F18" i="20"/>
  <c r="C17" i="20"/>
  <c r="F17" i="20"/>
  <c r="C13" i="20"/>
  <c r="F13" i="20"/>
  <c r="C12" i="20"/>
  <c r="F12" i="20"/>
  <c r="C11" i="20"/>
  <c r="F11" i="20"/>
  <c r="C10" i="20"/>
  <c r="F10" i="20"/>
  <c r="C9" i="20"/>
  <c r="F9" i="20"/>
  <c r="C8" i="20"/>
  <c r="F8" i="20"/>
  <c r="G25" i="26"/>
  <c r="G24" i="26"/>
  <c r="G23" i="26"/>
  <c r="G22" i="26"/>
  <c r="G38" i="24"/>
  <c r="G37" i="24"/>
  <c r="G36" i="24"/>
  <c r="G35" i="24"/>
  <c r="G34" i="24"/>
  <c r="G33" i="24"/>
  <c r="G32" i="24"/>
  <c r="G31" i="24"/>
  <c r="G30" i="24"/>
  <c r="G29" i="24"/>
  <c r="G28" i="24"/>
  <c r="G27" i="24"/>
  <c r="G34" i="21"/>
  <c r="G33" i="21"/>
  <c r="G32" i="21"/>
  <c r="G31" i="21"/>
  <c r="G30" i="21"/>
  <c r="G29" i="21"/>
  <c r="G28" i="21"/>
  <c r="G27" i="21"/>
  <c r="G26" i="21"/>
  <c r="G25" i="21"/>
  <c r="G24" i="21"/>
  <c r="G23" i="21"/>
  <c r="C33" i="30"/>
  <c r="C31" i="30"/>
  <c r="I25" i="30"/>
  <c r="H25" i="30"/>
  <c r="G25" i="30"/>
  <c r="F25" i="30"/>
  <c r="E25" i="30"/>
  <c r="D25" i="30"/>
  <c r="I24" i="30"/>
  <c r="H24" i="30"/>
  <c r="G24" i="30"/>
  <c r="F24" i="30"/>
  <c r="E24" i="30"/>
  <c r="D24" i="30"/>
  <c r="I23" i="30"/>
  <c r="H23" i="30"/>
  <c r="G23" i="30"/>
  <c r="F23" i="30"/>
  <c r="E23" i="30"/>
  <c r="D23" i="30"/>
  <c r="I22" i="30"/>
  <c r="H22" i="30"/>
  <c r="G22" i="30"/>
  <c r="F22" i="30"/>
  <c r="E22" i="30"/>
  <c r="D22" i="30"/>
  <c r="I21" i="30"/>
  <c r="H21" i="30"/>
  <c r="G21" i="30"/>
  <c r="F21" i="30"/>
  <c r="E21" i="30"/>
  <c r="D21" i="30"/>
  <c r="I20" i="30"/>
  <c r="H20" i="30"/>
  <c r="G20" i="30"/>
  <c r="F20" i="30"/>
  <c r="E20" i="30"/>
  <c r="D20" i="30"/>
  <c r="I19" i="30"/>
  <c r="H19" i="30"/>
  <c r="G19" i="30"/>
  <c r="F19" i="30"/>
  <c r="E19" i="30"/>
  <c r="D19" i="30"/>
  <c r="I18" i="30"/>
  <c r="H18" i="30"/>
  <c r="G18" i="30"/>
  <c r="F18" i="30"/>
  <c r="E18" i="30"/>
  <c r="D18" i="30"/>
  <c r="I17" i="30"/>
  <c r="H17" i="30"/>
  <c r="G17" i="30"/>
  <c r="F17" i="30"/>
  <c r="E17" i="30"/>
  <c r="D17" i="30"/>
  <c r="C33" i="29"/>
  <c r="C31" i="29"/>
  <c r="I25" i="29"/>
  <c r="H25" i="29"/>
  <c r="G25" i="29"/>
  <c r="F25" i="29"/>
  <c r="E25" i="29"/>
  <c r="D25" i="29"/>
  <c r="I24" i="29"/>
  <c r="H24" i="29"/>
  <c r="G24" i="29"/>
  <c r="F24" i="29"/>
  <c r="E24" i="29"/>
  <c r="D24" i="29"/>
  <c r="I23" i="29"/>
  <c r="H23" i="29"/>
  <c r="G23" i="29"/>
  <c r="F23" i="29"/>
  <c r="E23" i="29"/>
  <c r="D23" i="29"/>
  <c r="I22" i="29"/>
  <c r="H22" i="29"/>
  <c r="G22" i="29"/>
  <c r="F22" i="29"/>
  <c r="E22" i="29"/>
  <c r="D22" i="29"/>
  <c r="I21" i="29"/>
  <c r="H21" i="29"/>
  <c r="G21" i="29"/>
  <c r="F21" i="29"/>
  <c r="E21" i="29"/>
  <c r="D21" i="29"/>
  <c r="I20" i="29"/>
  <c r="H20" i="29"/>
  <c r="G20" i="29"/>
  <c r="F20" i="29"/>
  <c r="E20" i="29"/>
  <c r="D20" i="29"/>
  <c r="I19" i="29"/>
  <c r="H19" i="29"/>
  <c r="G19" i="29"/>
  <c r="F19" i="29"/>
  <c r="E19" i="29"/>
  <c r="D19" i="29"/>
  <c r="I18" i="29"/>
  <c r="H18" i="29"/>
  <c r="G18" i="29"/>
  <c r="F18" i="29"/>
  <c r="E18" i="29"/>
  <c r="D18" i="29"/>
  <c r="I17" i="29"/>
  <c r="H17" i="29"/>
  <c r="G17" i="29"/>
  <c r="F17" i="29"/>
  <c r="E17" i="29"/>
  <c r="D17" i="29"/>
  <c r="AI153" i="30"/>
  <c r="AA153" i="30"/>
  <c r="AB153" i="30"/>
  <c r="Z153" i="30"/>
  <c r="AI152" i="30"/>
  <c r="AA152" i="30"/>
  <c r="AB152" i="30"/>
  <c r="Z152" i="30"/>
  <c r="AI151" i="30"/>
  <c r="AA151" i="30"/>
  <c r="AB151" i="30"/>
  <c r="Z151" i="30"/>
  <c r="AI150" i="30"/>
  <c r="AA150" i="30"/>
  <c r="AB150" i="30"/>
  <c r="Z150" i="30"/>
  <c r="AI149" i="30"/>
  <c r="AA149" i="30"/>
  <c r="AB149" i="30"/>
  <c r="Z149" i="30"/>
  <c r="AI148" i="30"/>
  <c r="AA148" i="30"/>
  <c r="AB148" i="30"/>
  <c r="Z148" i="30"/>
  <c r="AI147" i="30"/>
  <c r="AA147" i="30"/>
  <c r="AB147" i="30"/>
  <c r="Z147" i="30"/>
  <c r="AI146" i="30"/>
  <c r="AA146" i="30"/>
  <c r="AB146" i="30"/>
  <c r="Z146" i="30"/>
  <c r="AI145" i="30"/>
  <c r="AA145" i="30"/>
  <c r="AB145" i="30"/>
  <c r="Z145" i="30"/>
  <c r="AI141" i="30"/>
  <c r="AA141" i="30"/>
  <c r="AB141" i="30"/>
  <c r="Z141" i="30"/>
  <c r="AI140" i="30"/>
  <c r="AA140" i="30"/>
  <c r="AB140" i="30"/>
  <c r="Z140" i="30"/>
  <c r="AI139" i="30"/>
  <c r="AA139" i="30"/>
  <c r="AB139" i="30"/>
  <c r="Z139" i="30"/>
  <c r="AI138" i="30"/>
  <c r="AA138" i="30"/>
  <c r="AB138" i="30"/>
  <c r="Z138" i="30"/>
  <c r="AI137" i="30"/>
  <c r="AA137" i="30"/>
  <c r="AB137" i="30"/>
  <c r="Z137" i="30"/>
  <c r="AI136" i="30"/>
  <c r="AA136" i="30"/>
  <c r="AB136" i="30"/>
  <c r="Z136" i="30"/>
  <c r="AI81" i="30"/>
  <c r="Z81" i="30"/>
  <c r="AI80" i="30"/>
  <c r="Z80" i="30"/>
  <c r="AI79" i="30"/>
  <c r="Z79" i="30"/>
  <c r="AI78" i="30"/>
  <c r="Z78" i="30"/>
  <c r="AI77" i="30"/>
  <c r="Z77" i="30"/>
  <c r="AI76" i="30"/>
  <c r="Z76" i="30"/>
  <c r="AI75" i="30"/>
  <c r="Z75" i="30"/>
  <c r="AI74" i="30"/>
  <c r="Z74" i="30"/>
  <c r="AI73" i="30"/>
  <c r="Z73" i="30"/>
  <c r="AI69" i="30"/>
  <c r="Z69" i="30"/>
  <c r="AI68" i="30"/>
  <c r="Z68" i="30"/>
  <c r="AI67" i="30"/>
  <c r="Z67" i="30"/>
  <c r="AI66" i="30"/>
  <c r="Z66" i="30"/>
  <c r="AI65" i="30"/>
  <c r="Z65" i="30"/>
  <c r="AI64" i="30"/>
  <c r="Z64" i="30"/>
  <c r="AI153" i="29"/>
  <c r="AA153" i="29"/>
  <c r="AB153" i="29"/>
  <c r="Z153" i="29"/>
  <c r="AI152" i="29"/>
  <c r="AA152" i="29"/>
  <c r="AB152" i="29"/>
  <c r="Z152" i="29"/>
  <c r="AI151" i="29"/>
  <c r="AA151" i="29"/>
  <c r="AB151" i="29"/>
  <c r="Z151" i="29"/>
  <c r="AI150" i="29"/>
  <c r="AA150" i="29"/>
  <c r="AB150" i="29"/>
  <c r="Z150" i="29"/>
  <c r="AI149" i="29"/>
  <c r="AA149" i="29"/>
  <c r="AB149" i="29"/>
  <c r="Z149" i="29"/>
  <c r="AI148" i="29"/>
  <c r="AA148" i="29"/>
  <c r="AB148" i="29"/>
  <c r="Z148" i="29"/>
  <c r="AI147" i="29"/>
  <c r="AA147" i="29"/>
  <c r="AB147" i="29"/>
  <c r="Z147" i="29"/>
  <c r="AI146" i="29"/>
  <c r="AA146" i="29"/>
  <c r="AB146" i="29"/>
  <c r="Z146" i="29"/>
  <c r="AI145" i="29"/>
  <c r="AA145" i="29"/>
  <c r="AB145" i="29"/>
  <c r="Z145" i="29"/>
  <c r="AI141" i="29"/>
  <c r="AA141" i="29"/>
  <c r="AB141" i="29"/>
  <c r="Z141" i="29"/>
  <c r="AI140" i="29"/>
  <c r="AA140" i="29"/>
  <c r="AB140" i="29"/>
  <c r="Z140" i="29"/>
  <c r="AI139" i="29"/>
  <c r="AA139" i="29"/>
  <c r="AB139" i="29"/>
  <c r="Z139" i="29"/>
  <c r="AI138" i="29"/>
  <c r="AA138" i="29"/>
  <c r="AB138" i="29"/>
  <c r="Z138" i="29"/>
  <c r="AI137" i="29"/>
  <c r="AA137" i="29"/>
  <c r="AB137" i="29"/>
  <c r="Z137" i="29"/>
  <c r="AI136" i="29"/>
  <c r="AA136" i="29"/>
  <c r="AB136" i="29"/>
  <c r="Z136" i="29"/>
  <c r="AI81" i="29"/>
  <c r="Z81" i="29"/>
  <c r="AI80" i="29"/>
  <c r="Z80" i="29"/>
  <c r="AI79" i="29"/>
  <c r="Z79" i="29"/>
  <c r="AI78" i="29"/>
  <c r="Z78" i="29"/>
  <c r="AI77" i="29"/>
  <c r="Z77" i="29"/>
  <c r="AI76" i="29"/>
  <c r="Z76" i="29"/>
  <c r="AI75" i="29"/>
  <c r="Z75" i="29"/>
  <c r="AI74" i="29"/>
  <c r="Z74" i="29"/>
  <c r="AI73" i="29"/>
  <c r="Z73" i="29"/>
  <c r="AI69" i="29"/>
  <c r="Z69" i="29"/>
  <c r="AI68" i="29"/>
  <c r="Z68" i="29"/>
  <c r="AI67" i="29"/>
  <c r="Z67" i="29"/>
  <c r="AI66" i="29"/>
  <c r="Z66" i="29"/>
  <c r="AI65" i="29"/>
  <c r="Z65" i="29"/>
  <c r="AI64" i="29"/>
  <c r="Z64" i="29"/>
  <c r="C33" i="28"/>
  <c r="C31" i="28"/>
  <c r="I25" i="28"/>
  <c r="H25" i="28"/>
  <c r="G25" i="28"/>
  <c r="F25" i="28"/>
  <c r="E25" i="28"/>
  <c r="D25" i="28"/>
  <c r="I24" i="28"/>
  <c r="H24" i="28"/>
  <c r="G24" i="28"/>
  <c r="F24" i="28"/>
  <c r="E24" i="28"/>
  <c r="D24" i="28"/>
  <c r="I23" i="28"/>
  <c r="H23" i="28"/>
  <c r="G23" i="28"/>
  <c r="F23" i="28"/>
  <c r="E23" i="28"/>
  <c r="D23" i="28"/>
  <c r="I22" i="28"/>
  <c r="H22" i="28"/>
  <c r="G22" i="28"/>
  <c r="F22" i="28"/>
  <c r="E22" i="28"/>
  <c r="D22" i="28"/>
  <c r="I21" i="28"/>
  <c r="H21" i="28"/>
  <c r="G21" i="28"/>
  <c r="F21" i="28"/>
  <c r="E21" i="28"/>
  <c r="D21" i="28"/>
  <c r="I20" i="28"/>
  <c r="H20" i="28"/>
  <c r="G20" i="28"/>
  <c r="F20" i="28"/>
  <c r="E20" i="28"/>
  <c r="D20" i="28"/>
  <c r="I19" i="28"/>
  <c r="H19" i="28"/>
  <c r="G19" i="28"/>
  <c r="F19" i="28"/>
  <c r="E19" i="28"/>
  <c r="D19" i="28"/>
  <c r="I18" i="28"/>
  <c r="H18" i="28"/>
  <c r="G18" i="28"/>
  <c r="F18" i="28"/>
  <c r="E18" i="28"/>
  <c r="D18" i="28"/>
  <c r="I17" i="28"/>
  <c r="H17" i="28"/>
  <c r="G17" i="28"/>
  <c r="F17" i="28"/>
  <c r="E17" i="28"/>
  <c r="D17" i="28"/>
  <c r="F13" i="28"/>
  <c r="B13" i="28"/>
  <c r="AI153" i="28"/>
  <c r="AA153" i="28"/>
  <c r="AB153" i="28"/>
  <c r="Z153" i="28"/>
  <c r="AI152" i="28"/>
  <c r="AA152" i="28"/>
  <c r="AB152" i="28"/>
  <c r="Z152" i="28"/>
  <c r="AI151" i="28"/>
  <c r="AA151" i="28"/>
  <c r="AB151" i="28"/>
  <c r="Z151" i="28"/>
  <c r="AI150" i="28"/>
  <c r="AA150" i="28"/>
  <c r="AB150" i="28"/>
  <c r="Z150" i="28"/>
  <c r="AI149" i="28"/>
  <c r="AA149" i="28"/>
  <c r="AB149" i="28"/>
  <c r="Z149" i="28"/>
  <c r="AI148" i="28"/>
  <c r="AA148" i="28"/>
  <c r="AB148" i="28"/>
  <c r="Z148" i="28"/>
  <c r="AI147" i="28"/>
  <c r="AA147" i="28"/>
  <c r="AB147" i="28"/>
  <c r="Z147" i="28"/>
  <c r="AI146" i="28"/>
  <c r="AA146" i="28"/>
  <c r="AB146" i="28"/>
  <c r="Z146" i="28"/>
  <c r="AI145" i="28"/>
  <c r="AA145" i="28"/>
  <c r="AB145" i="28"/>
  <c r="Z145" i="28"/>
  <c r="AI141" i="28"/>
  <c r="AA141" i="28"/>
  <c r="AB141" i="28"/>
  <c r="Z141" i="28"/>
  <c r="AI140" i="28"/>
  <c r="AA140" i="28"/>
  <c r="AB140" i="28"/>
  <c r="Z140" i="28"/>
  <c r="AI139" i="28"/>
  <c r="AA139" i="28"/>
  <c r="AB139" i="28"/>
  <c r="Z139" i="28"/>
  <c r="AI138" i="28"/>
  <c r="AA138" i="28"/>
  <c r="AB138" i="28"/>
  <c r="Z138" i="28"/>
  <c r="AI137" i="28"/>
  <c r="AA137" i="28"/>
  <c r="AB137" i="28"/>
  <c r="Z137" i="28"/>
  <c r="AI136" i="28"/>
  <c r="AA136" i="28"/>
  <c r="AB136" i="28"/>
  <c r="Z136" i="28"/>
  <c r="AI81" i="28"/>
  <c r="AB81" i="28"/>
  <c r="Z81" i="28"/>
  <c r="AI80" i="28"/>
  <c r="AB80" i="28"/>
  <c r="Z80" i="28"/>
  <c r="AI79" i="28"/>
  <c r="AB79" i="28"/>
  <c r="Z79" i="28"/>
  <c r="AI78" i="28"/>
  <c r="AB78" i="28"/>
  <c r="Z78" i="28"/>
  <c r="AI77" i="28"/>
  <c r="AB77" i="28"/>
  <c r="Z77" i="28"/>
  <c r="AI76" i="28"/>
  <c r="AB76" i="28"/>
  <c r="Z76" i="28"/>
  <c r="AI75" i="28"/>
  <c r="AB75" i="28"/>
  <c r="Z75" i="28"/>
  <c r="AI74" i="28"/>
  <c r="AB74" i="28"/>
  <c r="Z74" i="28"/>
  <c r="AI73" i="28"/>
  <c r="AB73" i="28"/>
  <c r="Z73" i="28"/>
  <c r="AI69" i="28"/>
  <c r="AB69" i="28"/>
  <c r="Z69" i="28"/>
  <c r="AI68" i="28"/>
  <c r="AB68" i="28"/>
  <c r="Z68" i="28"/>
  <c r="AI67" i="28"/>
  <c r="AB67" i="28"/>
  <c r="Z67" i="28"/>
  <c r="AI66" i="28"/>
  <c r="AB66" i="28"/>
  <c r="Z66" i="28"/>
  <c r="AI65" i="28"/>
  <c r="AB65" i="28"/>
  <c r="Z65" i="28"/>
  <c r="AI64" i="28"/>
  <c r="AB64" i="28"/>
  <c r="Z64" i="28"/>
  <c r="C15" i="27" a="1"/>
  <c r="C15" i="27"/>
  <c r="D15" i="27" a="1"/>
  <c r="D15" i="27"/>
  <c r="C16" i="27" a="1"/>
  <c r="C16" i="27"/>
  <c r="D16" i="27" a="1"/>
  <c r="D16" i="27"/>
  <c r="C17" i="27" a="1"/>
  <c r="C17" i="27"/>
  <c r="D17" i="27" a="1"/>
  <c r="D17" i="27"/>
  <c r="C28" i="27" a="1"/>
  <c r="C28" i="27"/>
  <c r="D28" i="27" a="1"/>
  <c r="D28" i="27"/>
  <c r="C27" i="27" a="1"/>
  <c r="C27" i="27"/>
  <c r="D27" i="27" a="1"/>
  <c r="D27" i="27"/>
  <c r="C26" i="27" a="1"/>
  <c r="C26" i="27"/>
  <c r="D26" i="27" a="1"/>
  <c r="D26" i="27"/>
  <c r="C25" i="27" a="1"/>
  <c r="C25" i="27"/>
  <c r="D25" i="27" a="1"/>
  <c r="D25" i="27"/>
  <c r="C24" i="27" a="1"/>
  <c r="C24" i="27"/>
  <c r="D24" i="27" a="1"/>
  <c r="D24" i="27"/>
  <c r="C23" i="27" a="1"/>
  <c r="C23" i="27"/>
  <c r="D23" i="27" a="1"/>
  <c r="D23" i="27"/>
  <c r="C22" i="27" a="1"/>
  <c r="C22" i="27"/>
  <c r="D22" i="27" a="1"/>
  <c r="D22" i="27"/>
  <c r="C21" i="27" a="1"/>
  <c r="C21" i="27"/>
  <c r="D21" i="27" a="1"/>
  <c r="D21" i="27"/>
  <c r="C20" i="27" a="1"/>
  <c r="C20" i="27"/>
  <c r="D20" i="27" a="1"/>
  <c r="D20" i="27"/>
  <c r="C19" i="27" a="1"/>
  <c r="C19" i="27"/>
  <c r="D19" i="27" a="1"/>
  <c r="D19" i="27"/>
  <c r="C18" i="27" a="1"/>
  <c r="C18" i="27"/>
  <c r="D18" i="27" a="1"/>
  <c r="D18" i="27"/>
  <c r="C14" i="27" a="1"/>
  <c r="C14" i="27"/>
  <c r="D14" i="27" a="1"/>
  <c r="D14" i="27"/>
  <c r="C13" i="27" a="1"/>
  <c r="C13" i="27"/>
  <c r="D13" i="27" a="1"/>
  <c r="D13" i="27"/>
  <c r="C13" i="21" a="1"/>
  <c r="C13" i="21"/>
  <c r="D13" i="21" a="1"/>
  <c r="D13" i="21"/>
  <c r="C16" i="21" a="1"/>
  <c r="C16" i="21"/>
  <c r="D16" i="21" a="1"/>
  <c r="D16" i="21"/>
  <c r="C15" i="21" a="1"/>
  <c r="C15" i="21"/>
  <c r="D15" i="21" a="1"/>
  <c r="D15" i="21"/>
  <c r="C14" i="21" a="1"/>
  <c r="C14" i="21"/>
  <c r="D14" i="21" a="1"/>
  <c r="D14" i="21"/>
  <c r="C17" i="21" a="1"/>
  <c r="C17" i="21"/>
  <c r="D17" i="21" a="1"/>
  <c r="D17" i="21"/>
  <c r="I19" i="21"/>
  <c r="R15" i="22"/>
  <c r="C13" i="24" a="1"/>
  <c r="C13" i="24"/>
  <c r="D13" i="24" a="1"/>
  <c r="D13" i="24"/>
  <c r="C14" i="24" a="1"/>
  <c r="C14" i="24"/>
  <c r="D14" i="24" a="1"/>
  <c r="D14" i="24"/>
  <c r="C15" i="24" a="1"/>
  <c r="C15" i="24"/>
  <c r="D15" i="24" a="1"/>
  <c r="D15" i="24"/>
  <c r="C17" i="24" a="1"/>
  <c r="C17" i="24"/>
  <c r="C18" i="24"/>
  <c r="D18" i="24" a="1"/>
  <c r="D18" i="24"/>
  <c r="D20" i="24"/>
  <c r="D21" i="24"/>
  <c r="I23" i="24"/>
  <c r="R16" i="22"/>
  <c r="D17" i="24" a="1"/>
  <c r="D17" i="24"/>
  <c r="C29" i="27" a="1"/>
  <c r="C29" i="27"/>
  <c r="D29" i="27" a="1"/>
  <c r="D29" i="27"/>
  <c r="K31" i="27"/>
  <c r="R18" i="22"/>
  <c r="E18" i="27"/>
  <c r="E19" i="27"/>
  <c r="E20" i="27"/>
  <c r="E21" i="27"/>
  <c r="E22" i="27"/>
  <c r="E23" i="27"/>
  <c r="E24" i="27"/>
  <c r="E25" i="27"/>
  <c r="E26" i="27"/>
  <c r="E27" i="27"/>
  <c r="E28" i="27"/>
  <c r="E29" i="27"/>
  <c r="E16" i="27"/>
  <c r="E15" i="27"/>
  <c r="E17" i="27"/>
  <c r="E14" i="27"/>
  <c r="E13" i="27"/>
  <c r="C21" i="24"/>
  <c r="C20" i="24"/>
  <c r="E17" i="24"/>
  <c r="E18" i="24"/>
  <c r="E15" i="24"/>
  <c r="E14" i="24"/>
  <c r="E13" i="24"/>
  <c r="E17" i="21"/>
  <c r="E14" i="21"/>
  <c r="E15" i="21"/>
  <c r="E16" i="21"/>
  <c r="E13" i="21"/>
  <c r="AD20" i="6"/>
  <c r="AE20" i="6"/>
  <c r="AF20" i="6"/>
  <c r="AG20" i="6"/>
  <c r="AH20" i="6"/>
  <c r="AI20" i="6"/>
  <c r="AJ22" i="6"/>
  <c r="AJ23" i="6"/>
  <c r="AJ24" i="6"/>
  <c r="AJ25" i="6"/>
  <c r="AJ26" i="6"/>
  <c r="AJ27" i="6"/>
  <c r="P23" i="6"/>
  <c r="P24" i="6"/>
  <c r="P25" i="6"/>
  <c r="P26" i="6"/>
  <c r="P27" i="6"/>
  <c r="R22" i="6"/>
  <c r="S22" i="6"/>
  <c r="T22" i="6"/>
  <c r="U22" i="6"/>
  <c r="Y22" i="6"/>
  <c r="AA22" i="6"/>
  <c r="R23" i="6"/>
  <c r="S23" i="6"/>
  <c r="T23" i="6"/>
  <c r="U23" i="6"/>
  <c r="Y23" i="6"/>
  <c r="AA23" i="6"/>
  <c r="R24" i="6"/>
  <c r="S24" i="6"/>
  <c r="T24" i="6"/>
  <c r="U24" i="6"/>
  <c r="Y24" i="6"/>
  <c r="AA24" i="6"/>
  <c r="R25" i="6"/>
  <c r="S25" i="6"/>
  <c r="T25" i="6"/>
  <c r="U25" i="6"/>
  <c r="Y25" i="6"/>
  <c r="AA25" i="6"/>
  <c r="R26" i="6"/>
  <c r="S26" i="6"/>
  <c r="T26" i="6"/>
  <c r="U26" i="6"/>
  <c r="Y26" i="6"/>
  <c r="AA26" i="6"/>
  <c r="R27" i="6"/>
  <c r="S27" i="6"/>
  <c r="T27" i="6"/>
  <c r="U27" i="6"/>
  <c r="Y27" i="6"/>
  <c r="AA27" i="6"/>
  <c r="G7" i="20"/>
  <c r="G6" i="20"/>
  <c r="H7" i="20"/>
  <c r="H6" i="20"/>
  <c r="I7" i="20"/>
  <c r="I6" i="20"/>
  <c r="J7" i="20"/>
  <c r="J6" i="20"/>
  <c r="K7" i="20"/>
  <c r="K6" i="20"/>
  <c r="L7" i="20"/>
  <c r="L6" i="20"/>
  <c r="M8" i="20"/>
  <c r="M9" i="20"/>
  <c r="M10" i="20"/>
  <c r="M11" i="20"/>
  <c r="M12" i="20"/>
  <c r="M13" i="20"/>
  <c r="G16" i="20"/>
  <c r="G15" i="20"/>
  <c r="H16" i="20"/>
  <c r="H15" i="20"/>
  <c r="I16" i="20"/>
  <c r="I15" i="20"/>
  <c r="J16" i="20"/>
  <c r="J15" i="20"/>
  <c r="K16" i="20"/>
  <c r="K15" i="20"/>
  <c r="L16" i="20"/>
  <c r="L15" i="20"/>
  <c r="M17" i="20"/>
  <c r="M18" i="20"/>
  <c r="M19" i="20"/>
  <c r="M20" i="20"/>
  <c r="M21" i="20"/>
  <c r="M22" i="20"/>
  <c r="G25" i="20"/>
  <c r="G24" i="20"/>
  <c r="H25" i="20"/>
  <c r="H24" i="20"/>
  <c r="I25" i="20"/>
  <c r="I24" i="20"/>
  <c r="J25" i="20"/>
  <c r="J24" i="20"/>
  <c r="K25" i="20"/>
  <c r="K24" i="20"/>
  <c r="L25" i="20"/>
  <c r="L24" i="20"/>
  <c r="M26" i="20"/>
  <c r="M27" i="20"/>
  <c r="M28" i="20"/>
  <c r="M29" i="20"/>
  <c r="M30" i="20"/>
  <c r="M31" i="20"/>
  <c r="G34" i="20"/>
  <c r="G33" i="20"/>
  <c r="H34" i="20"/>
  <c r="H33" i="20"/>
  <c r="I34" i="20"/>
  <c r="I33" i="20"/>
  <c r="J34" i="20"/>
  <c r="J33" i="20"/>
  <c r="K34" i="20"/>
  <c r="K33" i="20"/>
  <c r="L34" i="20"/>
  <c r="L33" i="20"/>
  <c r="M35" i="20"/>
  <c r="M36" i="20"/>
  <c r="M37" i="20"/>
  <c r="M38" i="20"/>
  <c r="M39" i="20"/>
  <c r="M40" i="20"/>
  <c r="B8" i="20"/>
  <c r="D8" i="20"/>
  <c r="E8" i="20"/>
  <c r="B9" i="20"/>
  <c r="D9" i="20"/>
  <c r="E9" i="20"/>
  <c r="B10" i="20"/>
  <c r="D10" i="20"/>
  <c r="E10" i="20"/>
  <c r="B11" i="20"/>
  <c r="D11" i="20"/>
  <c r="E11" i="20"/>
  <c r="B12" i="20"/>
  <c r="D12" i="20"/>
  <c r="E12" i="20"/>
  <c r="B13" i="20"/>
  <c r="D13" i="20"/>
  <c r="E13" i="20"/>
  <c r="B17" i="20"/>
  <c r="D17" i="20"/>
  <c r="E17" i="20"/>
  <c r="B18" i="20"/>
  <c r="D18" i="20"/>
  <c r="E18" i="20"/>
  <c r="B19" i="20"/>
  <c r="D19" i="20"/>
  <c r="E19" i="20"/>
  <c r="B20" i="20"/>
  <c r="D20" i="20"/>
  <c r="E20" i="20"/>
  <c r="B21" i="20"/>
  <c r="D21" i="20"/>
  <c r="E21" i="20"/>
  <c r="B22" i="20"/>
  <c r="D22" i="20"/>
  <c r="E22" i="20"/>
  <c r="B26" i="20"/>
  <c r="D26" i="20"/>
  <c r="E26" i="20"/>
  <c r="B27" i="20"/>
  <c r="D27" i="20"/>
  <c r="E27" i="20"/>
  <c r="B28" i="20"/>
  <c r="D28" i="20"/>
  <c r="E28" i="20"/>
  <c r="B29" i="20"/>
  <c r="D29" i="20"/>
  <c r="E29" i="20"/>
  <c r="B30" i="20"/>
  <c r="D30" i="20"/>
  <c r="E30" i="20"/>
  <c r="B31" i="20"/>
  <c r="D31" i="20"/>
  <c r="E31" i="20"/>
  <c r="B35" i="20"/>
  <c r="D35" i="20"/>
  <c r="E35" i="20"/>
  <c r="B36" i="20"/>
  <c r="D36" i="20"/>
  <c r="E36" i="20"/>
  <c r="B37" i="20"/>
  <c r="D37" i="20"/>
  <c r="E37" i="20"/>
  <c r="B38" i="20"/>
  <c r="D38" i="20"/>
  <c r="E38" i="20"/>
  <c r="B39" i="20"/>
  <c r="D39" i="20"/>
  <c r="E39" i="20"/>
  <c r="B40" i="20"/>
  <c r="D40" i="20"/>
  <c r="E40" i="20"/>
  <c r="H8" i="20"/>
  <c r="I8" i="20"/>
  <c r="J8" i="20"/>
  <c r="K8" i="20"/>
  <c r="L8" i="20"/>
  <c r="G9" i="20"/>
  <c r="I9" i="20"/>
  <c r="J9" i="20"/>
  <c r="K9" i="20"/>
  <c r="L9" i="20"/>
  <c r="G10" i="20"/>
  <c r="H10" i="20"/>
  <c r="J10" i="20"/>
  <c r="K10" i="20"/>
  <c r="L10" i="20"/>
  <c r="G11" i="20"/>
  <c r="H11" i="20"/>
  <c r="I11" i="20"/>
  <c r="K11" i="20"/>
  <c r="L11" i="20"/>
  <c r="G12" i="20"/>
  <c r="H12" i="20"/>
  <c r="I12" i="20"/>
  <c r="J12" i="20"/>
  <c r="L12" i="20"/>
  <c r="G13" i="20"/>
  <c r="H13" i="20"/>
  <c r="I13" i="20"/>
  <c r="J13" i="20"/>
  <c r="K13" i="20"/>
  <c r="H17" i="20"/>
  <c r="I17" i="20"/>
  <c r="J17" i="20"/>
  <c r="K17" i="20"/>
  <c r="L17" i="20"/>
  <c r="G18" i="20"/>
  <c r="I18" i="20"/>
  <c r="J18" i="20"/>
  <c r="K18" i="20"/>
  <c r="L18" i="20"/>
  <c r="G19" i="20"/>
  <c r="H19" i="20"/>
  <c r="J19" i="20"/>
  <c r="K19" i="20"/>
  <c r="L19" i="20"/>
  <c r="G20" i="20"/>
  <c r="H20" i="20"/>
  <c r="I20" i="20"/>
  <c r="K20" i="20"/>
  <c r="L20" i="20"/>
  <c r="G21" i="20"/>
  <c r="H21" i="20"/>
  <c r="I21" i="20"/>
  <c r="J21" i="20"/>
  <c r="L21" i="20"/>
  <c r="G22" i="20"/>
  <c r="H22" i="20"/>
  <c r="I22" i="20"/>
  <c r="J22" i="20"/>
  <c r="K22" i="20"/>
  <c r="H26" i="20"/>
  <c r="I26" i="20"/>
  <c r="J26" i="20"/>
  <c r="K26" i="20"/>
  <c r="L26" i="20"/>
  <c r="G27" i="20"/>
  <c r="I27" i="20"/>
  <c r="J27" i="20"/>
  <c r="K27" i="20"/>
  <c r="L27" i="20"/>
  <c r="G28" i="20"/>
  <c r="H28" i="20"/>
  <c r="J28" i="20"/>
  <c r="K28" i="20"/>
  <c r="L28" i="20"/>
  <c r="G29" i="20"/>
  <c r="H29" i="20"/>
  <c r="I29" i="20"/>
  <c r="K29" i="20"/>
  <c r="L29" i="20"/>
  <c r="G30" i="20"/>
  <c r="H30" i="20"/>
  <c r="I30" i="20"/>
  <c r="J30" i="20"/>
  <c r="L30" i="20"/>
  <c r="G31" i="20"/>
  <c r="H31" i="20"/>
  <c r="I31" i="20"/>
  <c r="J31" i="20"/>
  <c r="K31" i="20"/>
  <c r="H35" i="20"/>
  <c r="I35" i="20"/>
  <c r="J35" i="20"/>
  <c r="K35" i="20"/>
  <c r="L35" i="20"/>
  <c r="G36" i="20"/>
  <c r="I36" i="20"/>
  <c r="J36" i="20"/>
  <c r="K36" i="20"/>
  <c r="L36" i="20"/>
  <c r="G37" i="20"/>
  <c r="H37" i="20"/>
  <c r="J37" i="20"/>
  <c r="K37" i="20"/>
  <c r="L37" i="20"/>
  <c r="G38" i="20"/>
  <c r="H38" i="20"/>
  <c r="I38" i="20"/>
  <c r="K38" i="20"/>
  <c r="L38" i="20"/>
  <c r="G39" i="20"/>
  <c r="H39" i="20"/>
  <c r="I39" i="20"/>
  <c r="J39" i="20"/>
  <c r="L39" i="20"/>
  <c r="G40" i="20"/>
  <c r="H40" i="20"/>
  <c r="I40" i="20"/>
  <c r="J40" i="20"/>
  <c r="K40" i="20"/>
  <c r="K13" i="28"/>
  <c r="BT51" i="28"/>
  <c r="BT52" i="28"/>
  <c r="BU52" i="28"/>
  <c r="BV51" i="28"/>
  <c r="BV52" i="28"/>
  <c r="BW52" i="28"/>
  <c r="BX52" i="28"/>
  <c r="BY52" i="28"/>
  <c r="BZ52" i="28"/>
  <c r="CA52" i="28"/>
  <c r="BR53" i="28"/>
  <c r="BS53" i="28"/>
  <c r="BU53" i="28"/>
  <c r="BV53" i="28"/>
  <c r="BW53" i="28"/>
  <c r="BX53" i="28"/>
  <c r="BY53" i="28"/>
  <c r="BZ53" i="28"/>
  <c r="CA53" i="28"/>
  <c r="BS54" i="28"/>
  <c r="BT54" i="28"/>
  <c r="BV54" i="28"/>
  <c r="BW54" i="28"/>
  <c r="BX54" i="28"/>
  <c r="BY54" i="28"/>
  <c r="BZ54" i="28"/>
  <c r="CA54" i="28"/>
  <c r="BR55" i="28"/>
  <c r="BS55" i="28"/>
  <c r="BT55" i="28"/>
  <c r="BU55" i="28"/>
  <c r="BW55" i="28"/>
  <c r="BX55" i="28"/>
  <c r="BY55" i="28"/>
  <c r="BZ55" i="28"/>
  <c r="CA55" i="28"/>
  <c r="BS56" i="28"/>
  <c r="BT56" i="28"/>
  <c r="BU56" i="28"/>
  <c r="BV56" i="28"/>
  <c r="BX56" i="28"/>
  <c r="BY56" i="28"/>
  <c r="BZ56" i="28"/>
  <c r="CA56" i="28"/>
  <c r="BS57" i="28"/>
  <c r="BT57" i="28"/>
  <c r="BU57" i="28"/>
  <c r="BV57" i="28"/>
  <c r="BW57" i="28"/>
  <c r="BY57" i="28"/>
  <c r="BZ57" i="28"/>
  <c r="CA57" i="28"/>
  <c r="BS58" i="28"/>
  <c r="BT58" i="28"/>
  <c r="BU58" i="28"/>
  <c r="BV58" i="28"/>
  <c r="BW58" i="28"/>
  <c r="BX58" i="28"/>
  <c r="BZ58" i="28"/>
  <c r="CA58" i="28"/>
  <c r="BS59" i="28"/>
  <c r="BT59" i="28"/>
  <c r="BU59" i="28"/>
  <c r="BV59" i="28"/>
  <c r="BW59" i="28"/>
  <c r="BX59" i="28"/>
  <c r="BY59" i="28"/>
  <c r="CA59" i="28"/>
  <c r="BS60" i="28"/>
  <c r="BT60" i="28"/>
  <c r="BU60" i="28"/>
  <c r="BV60" i="28"/>
  <c r="BW60" i="28"/>
  <c r="BX60" i="28"/>
  <c r="BY60" i="28"/>
  <c r="BZ60" i="28"/>
  <c r="F34" i="28" a="1"/>
  <c r="F34" i="28"/>
  <c r="G34" i="28" a="1"/>
  <c r="H34" i="28" a="1"/>
  <c r="I34" i="28" a="1"/>
  <c r="J34" i="28" a="1"/>
  <c r="K34" i="28" a="1"/>
  <c r="L34" i="28" a="1"/>
  <c r="M34" i="28" a="1"/>
  <c r="N34" i="28" a="1"/>
  <c r="O34" i="28" a="1"/>
  <c r="P34" i="28" a="1"/>
  <c r="Q34" i="28" a="1"/>
  <c r="R34" i="28" a="1"/>
  <c r="S34" i="28" a="1"/>
  <c r="T34" i="28" a="1"/>
  <c r="U34" i="28" a="1"/>
  <c r="V34" i="28" a="1"/>
  <c r="W34" i="28" a="1"/>
  <c r="X34" i="28" a="1"/>
  <c r="Y34" i="28" a="1"/>
  <c r="Z34" i="28" a="1"/>
  <c r="AA34" i="28" a="1"/>
  <c r="AB34" i="28" a="1"/>
  <c r="AC34" i="28" a="1"/>
  <c r="AD34" i="28" a="1"/>
  <c r="AE34" i="28" a="1"/>
  <c r="AF34" i="28" a="1"/>
  <c r="AG34" i="28" a="1"/>
  <c r="AH34" i="28" a="1"/>
  <c r="AI34" i="28" a="1"/>
  <c r="AJ34" i="28" a="1"/>
  <c r="AK34" i="28" a="1"/>
  <c r="AL34" i="28" a="1"/>
  <c r="AM34" i="28" a="1"/>
  <c r="AN34" i="28" a="1"/>
  <c r="AO34" i="28" a="1"/>
  <c r="AP34" i="28" a="1"/>
  <c r="AQ34" i="28" a="1"/>
  <c r="AR34" i="28" a="1"/>
  <c r="AS34" i="28" a="1"/>
  <c r="AT34" i="28" a="1"/>
  <c r="AU34" i="28" a="1"/>
  <c r="AV34" i="28" a="1"/>
  <c r="AW34" i="28" a="1"/>
  <c r="AX34" i="28" a="1"/>
  <c r="AY34" i="28" a="1"/>
  <c r="AZ34" i="28" a="1"/>
  <c r="BA34" i="28" a="1"/>
  <c r="BB34" i="28" a="1"/>
  <c r="BC34" i="28" a="1"/>
  <c r="BD34" i="28" a="1"/>
  <c r="BE34" i="28" a="1"/>
  <c r="BF34" i="28" a="1"/>
  <c r="BG34" i="28" a="1"/>
  <c r="BH34" i="28" a="1"/>
  <c r="BI34" i="28" a="1"/>
  <c r="BJ34" i="28" a="1"/>
  <c r="BK34" i="28" a="1"/>
  <c r="BL34" i="28" a="1"/>
  <c r="BM34" i="28" a="1"/>
  <c r="BN34" i="28" a="1"/>
  <c r="BO34" i="28" a="1"/>
  <c r="BP34" i="28" a="1"/>
  <c r="G34" i="28"/>
  <c r="H34" i="28"/>
  <c r="I34" i="28"/>
  <c r="J34" i="28"/>
  <c r="K34" i="28"/>
  <c r="L34" i="28"/>
  <c r="M34" i="28"/>
  <c r="N34" i="28"/>
  <c r="O34" i="28"/>
  <c r="P34" i="28"/>
  <c r="Q34" i="28"/>
  <c r="R34" i="28"/>
  <c r="S34" i="28"/>
  <c r="T34" i="28"/>
  <c r="U34" i="28"/>
  <c r="V34" i="28"/>
  <c r="W34" i="28"/>
  <c r="X34" i="28"/>
  <c r="Y34" i="28"/>
  <c r="Z34" i="28"/>
  <c r="AA34" i="28"/>
  <c r="AB34" i="28"/>
  <c r="AC34" i="28"/>
  <c r="AD34" i="28"/>
  <c r="AE34" i="28"/>
  <c r="AF34" i="28"/>
  <c r="AG34" i="28"/>
  <c r="AH34" i="28"/>
  <c r="AI34" i="28"/>
  <c r="AJ34" i="28"/>
  <c r="AK34" i="28"/>
  <c r="AL34" i="28"/>
  <c r="AM34" i="28"/>
  <c r="AN34" i="28"/>
  <c r="AO34" i="28"/>
  <c r="AP34" i="28"/>
  <c r="AQ34" i="28"/>
  <c r="AR34" i="28"/>
  <c r="AS34" i="28"/>
  <c r="AT34" i="28"/>
  <c r="AU34" i="28"/>
  <c r="AV34" i="28"/>
  <c r="AW34" i="28"/>
  <c r="AX34" i="28"/>
  <c r="AY34" i="28"/>
  <c r="AZ34" i="28"/>
  <c r="BA34" i="28"/>
  <c r="BB34" i="28"/>
  <c r="BC34" i="28"/>
  <c r="BD34" i="28"/>
  <c r="BE34" i="28"/>
  <c r="BF34" i="28"/>
  <c r="BG34" i="28"/>
  <c r="BH34" i="28"/>
  <c r="BI34" i="28"/>
  <c r="BJ34" i="28"/>
  <c r="BK34" i="28"/>
  <c r="BL34" i="28"/>
  <c r="BM34" i="28"/>
  <c r="BN34" i="28"/>
  <c r="BO34" i="28"/>
  <c r="BP34" i="28"/>
  <c r="BT40" i="28"/>
  <c r="BT29" i="28"/>
  <c r="BT30" i="28"/>
  <c r="BR31" i="28"/>
  <c r="BS31" i="28"/>
  <c r="BT41" i="28"/>
  <c r="BU30" i="28"/>
  <c r="BS32" i="28"/>
  <c r="BU41" i="28"/>
  <c r="BV40" i="28"/>
  <c r="BV29" i="28"/>
  <c r="BV30" i="28"/>
  <c r="BR33" i="28"/>
  <c r="BS33" i="28"/>
  <c r="BV41" i="28"/>
  <c r="BW30" i="28"/>
  <c r="BS34" i="28"/>
  <c r="BW41" i="28"/>
  <c r="BX30" i="28"/>
  <c r="BS35" i="28"/>
  <c r="BX41" i="28"/>
  <c r="BY30" i="28"/>
  <c r="BS36" i="28"/>
  <c r="BY41" i="28"/>
  <c r="BZ30" i="28"/>
  <c r="BS37" i="28"/>
  <c r="BZ41" i="28"/>
  <c r="CA30" i="28"/>
  <c r="BS38" i="28"/>
  <c r="CA41" i="28"/>
  <c r="BR42" i="28"/>
  <c r="BS42" i="28"/>
  <c r="BU31" i="28"/>
  <c r="BT32" i="28"/>
  <c r="BU42" i="28"/>
  <c r="BV31" i="28"/>
  <c r="BT33" i="28"/>
  <c r="BV42" i="28"/>
  <c r="BW31" i="28"/>
  <c r="BT34" i="28"/>
  <c r="BW42" i="28"/>
  <c r="BX31" i="28"/>
  <c r="BT35" i="28"/>
  <c r="BX42" i="28"/>
  <c r="BY31" i="28"/>
  <c r="BT36" i="28"/>
  <c r="BY42" i="28"/>
  <c r="BZ31" i="28"/>
  <c r="BT37" i="28"/>
  <c r="BZ42" i="28"/>
  <c r="CA31" i="28"/>
  <c r="BT38" i="28"/>
  <c r="CA42" i="28"/>
  <c r="BS43" i="28"/>
  <c r="BT43" i="28"/>
  <c r="BV32" i="28"/>
  <c r="BU33" i="28"/>
  <c r="BV43" i="28"/>
  <c r="BW32" i="28"/>
  <c r="BU34" i="28"/>
  <c r="BW43" i="28"/>
  <c r="BX32" i="28"/>
  <c r="BU35" i="28"/>
  <c r="BX43" i="28"/>
  <c r="BY32" i="28"/>
  <c r="BU36" i="28"/>
  <c r="BY43" i="28"/>
  <c r="BZ32" i="28"/>
  <c r="BU37" i="28"/>
  <c r="BZ43" i="28"/>
  <c r="CA32" i="28"/>
  <c r="BU38" i="28"/>
  <c r="CA43" i="28"/>
  <c r="BR44" i="28"/>
  <c r="BS44" i="28"/>
  <c r="BT44" i="28"/>
  <c r="BU44" i="28"/>
  <c r="BW33" i="28"/>
  <c r="BV34" i="28"/>
  <c r="BW44" i="28"/>
  <c r="BX33" i="28"/>
  <c r="BV35" i="28"/>
  <c r="BX44" i="28"/>
  <c r="BY33" i="28"/>
  <c r="BV36" i="28"/>
  <c r="BY44" i="28"/>
  <c r="BZ33" i="28"/>
  <c r="BV37" i="28"/>
  <c r="BZ44" i="28"/>
  <c r="CA33" i="28"/>
  <c r="BV38" i="28"/>
  <c r="CA44" i="28"/>
  <c r="BS45" i="28"/>
  <c r="BT45" i="28"/>
  <c r="BU45" i="28"/>
  <c r="BV45" i="28"/>
  <c r="BX34" i="28"/>
  <c r="BW35" i="28"/>
  <c r="BX45" i="28"/>
  <c r="BY34" i="28"/>
  <c r="BW36" i="28"/>
  <c r="BY45" i="28"/>
  <c r="BZ34" i="28"/>
  <c r="BW37" i="28"/>
  <c r="BZ45" i="28"/>
  <c r="CA34" i="28"/>
  <c r="BW38" i="28"/>
  <c r="CA45" i="28"/>
  <c r="BS46" i="28"/>
  <c r="BT46" i="28"/>
  <c r="BU46" i="28"/>
  <c r="BV46" i="28"/>
  <c r="BW46" i="28"/>
  <c r="BY35" i="28"/>
  <c r="BX36" i="28"/>
  <c r="BY46" i="28"/>
  <c r="BZ35" i="28"/>
  <c r="BX37" i="28"/>
  <c r="BZ46" i="28"/>
  <c r="CA35" i="28"/>
  <c r="BX38" i="28"/>
  <c r="CA46" i="28"/>
  <c r="BS47" i="28"/>
  <c r="BT47" i="28"/>
  <c r="BU47" i="28"/>
  <c r="BV47" i="28"/>
  <c r="BW47" i="28"/>
  <c r="BX47" i="28"/>
  <c r="BZ36" i="28"/>
  <c r="BY37" i="28"/>
  <c r="BZ47" i="28"/>
  <c r="CA36" i="28"/>
  <c r="BY38" i="28"/>
  <c r="CA47" i="28"/>
  <c r="BS48" i="28"/>
  <c r="BT48" i="28"/>
  <c r="BU48" i="28"/>
  <c r="BV48" i="28"/>
  <c r="BW48" i="28"/>
  <c r="BX48" i="28"/>
  <c r="BY48" i="28"/>
  <c r="CA37" i="28"/>
  <c r="BZ38" i="28"/>
  <c r="CA48" i="28"/>
  <c r="BS49" i="28"/>
  <c r="BT49" i="28"/>
  <c r="BU49" i="28"/>
  <c r="BV49" i="28"/>
  <c r="BW49" i="28"/>
  <c r="BX49" i="28"/>
  <c r="BY49" i="28"/>
  <c r="BZ49" i="28"/>
  <c r="E45" i="28" a="1"/>
  <c r="E45" i="28"/>
  <c r="F45" i="28" a="1"/>
  <c r="F45" i="28"/>
  <c r="G45" i="28" a="1"/>
  <c r="H45" i="28" a="1"/>
  <c r="I45" i="28" a="1"/>
  <c r="J45" i="28" a="1"/>
  <c r="K45" i="28" a="1"/>
  <c r="L45" i="28" a="1"/>
  <c r="M45" i="28" a="1"/>
  <c r="N45" i="28" a="1"/>
  <c r="O45" i="28" a="1"/>
  <c r="P45" i="28" a="1"/>
  <c r="Q45" i="28" a="1"/>
  <c r="R45" i="28" a="1"/>
  <c r="S45" i="28" a="1"/>
  <c r="T45" i="28" a="1"/>
  <c r="U45" i="28" a="1"/>
  <c r="V45" i="28" a="1"/>
  <c r="W45" i="28" a="1"/>
  <c r="X45" i="28" a="1"/>
  <c r="Y45" i="28" a="1"/>
  <c r="Z45" i="28" a="1"/>
  <c r="AA45" i="28" a="1"/>
  <c r="AB45" i="28" a="1"/>
  <c r="AC45" i="28" a="1"/>
  <c r="AD45" i="28" a="1"/>
  <c r="AE45" i="28" a="1"/>
  <c r="AF45" i="28" a="1"/>
  <c r="AG45" i="28" a="1"/>
  <c r="AH45" i="28" a="1"/>
  <c r="AI45" i="28" a="1"/>
  <c r="AJ45" i="28" a="1"/>
  <c r="AK45" i="28" a="1"/>
  <c r="AL45" i="28" a="1"/>
  <c r="AM45" i="28" a="1"/>
  <c r="AN45" i="28" a="1"/>
  <c r="AO45" i="28" a="1"/>
  <c r="AP45" i="28" a="1"/>
  <c r="AQ45" i="28" a="1"/>
  <c r="AR45" i="28" a="1"/>
  <c r="AS45" i="28" a="1"/>
  <c r="AT45" i="28" a="1"/>
  <c r="AU45" i="28" a="1"/>
  <c r="AV45" i="28" a="1"/>
  <c r="AW45" i="28" a="1"/>
  <c r="AX45" i="28" a="1"/>
  <c r="AY45" i="28" a="1"/>
  <c r="AZ45" i="28" a="1"/>
  <c r="BA45" i="28" a="1"/>
  <c r="BB45" i="28" a="1"/>
  <c r="BC45" i="28" a="1"/>
  <c r="BD45" i="28" a="1"/>
  <c r="BE45" i="28" a="1"/>
  <c r="BF45" i="28" a="1"/>
  <c r="BG45" i="28" a="1"/>
  <c r="BH45" i="28" a="1"/>
  <c r="BI45" i="28" a="1"/>
  <c r="BJ45" i="28" a="1"/>
  <c r="BK45" i="28" a="1"/>
  <c r="BL45" i="28" a="1"/>
  <c r="BM45" i="28" a="1"/>
  <c r="BN45" i="28" a="1"/>
  <c r="BO45" i="28" a="1"/>
  <c r="BP45" i="28" a="1"/>
  <c r="G45" i="28"/>
  <c r="H45" i="28"/>
  <c r="I45" i="28"/>
  <c r="J45" i="28"/>
  <c r="K45" i="28"/>
  <c r="L45" i="28"/>
  <c r="M45" i="28"/>
  <c r="N45" i="28"/>
  <c r="O45" i="28"/>
  <c r="P45" i="28"/>
  <c r="Q45" i="28"/>
  <c r="R45" i="28"/>
  <c r="S45" i="28"/>
  <c r="T45" i="28"/>
  <c r="U45" i="28"/>
  <c r="V45" i="28"/>
  <c r="W45" i="28"/>
  <c r="X45" i="28"/>
  <c r="Y45" i="28"/>
  <c r="Z45" i="28"/>
  <c r="AA45" i="28"/>
  <c r="AB45" i="28"/>
  <c r="AC45" i="28"/>
  <c r="AD45" i="28"/>
  <c r="AE45" i="28"/>
  <c r="AF45" i="28"/>
  <c r="AG45" i="28"/>
  <c r="AH45" i="28"/>
  <c r="AI45" i="28"/>
  <c r="AJ45" i="28"/>
  <c r="AK45" i="28"/>
  <c r="AL45" i="28"/>
  <c r="AM45" i="28"/>
  <c r="AN45" i="28"/>
  <c r="AO45" i="28"/>
  <c r="AP45" i="28"/>
  <c r="AQ45" i="28"/>
  <c r="AR45" i="28"/>
  <c r="AS45" i="28"/>
  <c r="AT45" i="28"/>
  <c r="AU45" i="28"/>
  <c r="AV45" i="28"/>
  <c r="AW45" i="28"/>
  <c r="AX45" i="28"/>
  <c r="AY45" i="28"/>
  <c r="AZ45" i="28"/>
  <c r="BA45" i="28"/>
  <c r="BB45" i="28"/>
  <c r="BC45" i="28"/>
  <c r="BD45" i="28"/>
  <c r="BE45" i="28"/>
  <c r="BF45" i="28"/>
  <c r="BG45" i="28"/>
  <c r="BH45" i="28"/>
  <c r="BI45" i="28"/>
  <c r="BJ45" i="28"/>
  <c r="BK45" i="28"/>
  <c r="BL45" i="28"/>
  <c r="BM45" i="28"/>
  <c r="BN45" i="28"/>
  <c r="BO45" i="28"/>
  <c r="BP45" i="28"/>
  <c r="AB21" i="28"/>
  <c r="F35" i="28" a="1"/>
  <c r="F35" i="28"/>
  <c r="G35" i="28" a="1"/>
  <c r="H35" i="28" a="1"/>
  <c r="I35" i="28" a="1"/>
  <c r="J35" i="28" a="1"/>
  <c r="K35" i="28" a="1"/>
  <c r="L35" i="28" a="1"/>
  <c r="M35" i="28" a="1"/>
  <c r="N35" i="28" a="1"/>
  <c r="O35" i="28" a="1"/>
  <c r="P35" i="28" a="1"/>
  <c r="Q35" i="28" a="1"/>
  <c r="R35" i="28" a="1"/>
  <c r="S35" i="28" a="1"/>
  <c r="T35" i="28" a="1"/>
  <c r="U35" i="28" a="1"/>
  <c r="V35" i="28" a="1"/>
  <c r="W35" i="28" a="1"/>
  <c r="X35" i="28" a="1"/>
  <c r="Y35" i="28" a="1"/>
  <c r="Z35" i="28" a="1"/>
  <c r="AA35" i="28" a="1"/>
  <c r="AB35" i="28" a="1"/>
  <c r="AC35" i="28" a="1"/>
  <c r="AD35" i="28" a="1"/>
  <c r="AE35" i="28" a="1"/>
  <c r="AF35" i="28" a="1"/>
  <c r="AG35" i="28" a="1"/>
  <c r="AH35" i="28" a="1"/>
  <c r="AI35" i="28" a="1"/>
  <c r="AJ35" i="28" a="1"/>
  <c r="AK35" i="28" a="1"/>
  <c r="AL35" i="28" a="1"/>
  <c r="AM35" i="28" a="1"/>
  <c r="AN35" i="28" a="1"/>
  <c r="AO35" i="28" a="1"/>
  <c r="AP35" i="28" a="1"/>
  <c r="AQ35" i="28" a="1"/>
  <c r="AR35" i="28" a="1"/>
  <c r="AS35" i="28" a="1"/>
  <c r="AT35" i="28" a="1"/>
  <c r="AU35" i="28" a="1"/>
  <c r="AV35" i="28" a="1"/>
  <c r="AW35" i="28" a="1"/>
  <c r="AX35" i="28" a="1"/>
  <c r="AY35" i="28" a="1"/>
  <c r="AZ35" i="28" a="1"/>
  <c r="BA35" i="28" a="1"/>
  <c r="BB35" i="28" a="1"/>
  <c r="BC35" i="28" a="1"/>
  <c r="BD35" i="28" a="1"/>
  <c r="BE35" i="28" a="1"/>
  <c r="BF35" i="28" a="1"/>
  <c r="BG35" i="28" a="1"/>
  <c r="BH35" i="28" a="1"/>
  <c r="BI35" i="28" a="1"/>
  <c r="BJ35" i="28" a="1"/>
  <c r="BK35" i="28" a="1"/>
  <c r="BL35" i="28" a="1"/>
  <c r="BM35" i="28" a="1"/>
  <c r="BN35" i="28" a="1"/>
  <c r="BO35" i="28" a="1"/>
  <c r="BP35" i="28" a="1"/>
  <c r="G35" i="28"/>
  <c r="H35" i="28"/>
  <c r="I35" i="28"/>
  <c r="J35" i="28"/>
  <c r="K35" i="28"/>
  <c r="L35" i="28"/>
  <c r="M35" i="28"/>
  <c r="N35" i="28"/>
  <c r="O35" i="28"/>
  <c r="P35" i="28"/>
  <c r="Q35" i="28"/>
  <c r="R35" i="28"/>
  <c r="S35" i="28"/>
  <c r="T35" i="28"/>
  <c r="U35" i="28"/>
  <c r="V35" i="28"/>
  <c r="W35" i="28"/>
  <c r="X35" i="28"/>
  <c r="Y35" i="28"/>
  <c r="Z35" i="28"/>
  <c r="AA35" i="28"/>
  <c r="AB35" i="28"/>
  <c r="AC35" i="28"/>
  <c r="AD35" i="28"/>
  <c r="AE35" i="28"/>
  <c r="AF35" i="28"/>
  <c r="AG35" i="28"/>
  <c r="AH35" i="28"/>
  <c r="AI35" i="28"/>
  <c r="AJ35" i="28"/>
  <c r="AK35" i="28"/>
  <c r="AL35" i="28"/>
  <c r="AM35" i="28"/>
  <c r="AN35" i="28"/>
  <c r="AO35" i="28"/>
  <c r="AP35" i="28"/>
  <c r="AQ35" i="28"/>
  <c r="AR35" i="28"/>
  <c r="AS35" i="28"/>
  <c r="AT35" i="28"/>
  <c r="AU35" i="28"/>
  <c r="AV35" i="28"/>
  <c r="AW35" i="28"/>
  <c r="AX35" i="28"/>
  <c r="AY35" i="28"/>
  <c r="AZ35" i="28"/>
  <c r="BA35" i="28"/>
  <c r="BB35" i="28"/>
  <c r="BC35" i="28"/>
  <c r="BD35" i="28"/>
  <c r="BE35" i="28"/>
  <c r="BF35" i="28"/>
  <c r="BG35" i="28"/>
  <c r="BH35" i="28"/>
  <c r="BI35" i="28"/>
  <c r="BJ35" i="28"/>
  <c r="BK35" i="28"/>
  <c r="BL35" i="28"/>
  <c r="BM35" i="28"/>
  <c r="BN35" i="28"/>
  <c r="BO35" i="28"/>
  <c r="BP35" i="28"/>
  <c r="E46" i="28" a="1"/>
  <c r="E46" i="28"/>
  <c r="F46" i="28" a="1"/>
  <c r="F46" i="28"/>
  <c r="G46" i="28" a="1"/>
  <c r="H46" i="28" a="1"/>
  <c r="I46" i="28" a="1"/>
  <c r="J46" i="28" a="1"/>
  <c r="K46" i="28" a="1"/>
  <c r="L46" i="28" a="1"/>
  <c r="M46" i="28" a="1"/>
  <c r="N46" i="28" a="1"/>
  <c r="O46" i="28" a="1"/>
  <c r="P46" i="28" a="1"/>
  <c r="Q46" i="28" a="1"/>
  <c r="R46" i="28" a="1"/>
  <c r="S46" i="28" a="1"/>
  <c r="T46" i="28" a="1"/>
  <c r="U46" i="28" a="1"/>
  <c r="V46" i="28" a="1"/>
  <c r="W46" i="28" a="1"/>
  <c r="X46" i="28" a="1"/>
  <c r="Y46" i="28" a="1"/>
  <c r="Z46" i="28" a="1"/>
  <c r="AA46" i="28" a="1"/>
  <c r="AB46" i="28" a="1"/>
  <c r="AC46" i="28" a="1"/>
  <c r="AD46" i="28" a="1"/>
  <c r="AE46" i="28" a="1"/>
  <c r="AF46" i="28" a="1"/>
  <c r="AG46" i="28" a="1"/>
  <c r="AH46" i="28" a="1"/>
  <c r="AI46" i="28" a="1"/>
  <c r="AJ46" i="28" a="1"/>
  <c r="AK46" i="28" a="1"/>
  <c r="AL46" i="28" a="1"/>
  <c r="AM46" i="28" a="1"/>
  <c r="AN46" i="28" a="1"/>
  <c r="AO46" i="28" a="1"/>
  <c r="AP46" i="28" a="1"/>
  <c r="AQ46" i="28" a="1"/>
  <c r="AR46" i="28" a="1"/>
  <c r="AS46" i="28" a="1"/>
  <c r="AT46" i="28" a="1"/>
  <c r="AU46" i="28" a="1"/>
  <c r="AV46" i="28" a="1"/>
  <c r="AW46" i="28" a="1"/>
  <c r="AX46" i="28" a="1"/>
  <c r="AY46" i="28" a="1"/>
  <c r="AZ46" i="28" a="1"/>
  <c r="BA46" i="28" a="1"/>
  <c r="BB46" i="28" a="1"/>
  <c r="BC46" i="28" a="1"/>
  <c r="BD46" i="28" a="1"/>
  <c r="BE46" i="28" a="1"/>
  <c r="BF46" i="28" a="1"/>
  <c r="BG46" i="28" a="1"/>
  <c r="BH46" i="28" a="1"/>
  <c r="BI46" i="28" a="1"/>
  <c r="BJ46" i="28" a="1"/>
  <c r="BK46" i="28" a="1"/>
  <c r="BL46" i="28" a="1"/>
  <c r="BM46" i="28" a="1"/>
  <c r="BN46" i="28" a="1"/>
  <c r="BO46" i="28" a="1"/>
  <c r="BP46" i="28" a="1"/>
  <c r="G46" i="28"/>
  <c r="H46" i="28"/>
  <c r="I46" i="28"/>
  <c r="J46" i="28"/>
  <c r="K46" i="28"/>
  <c r="L46" i="28"/>
  <c r="M46" i="28"/>
  <c r="N46" i="28"/>
  <c r="O46" i="28"/>
  <c r="P46" i="28"/>
  <c r="Q46" i="28"/>
  <c r="R46" i="28"/>
  <c r="S46" i="28"/>
  <c r="T46" i="28"/>
  <c r="U46" i="28"/>
  <c r="V46" i="28"/>
  <c r="W46" i="28"/>
  <c r="X46" i="28"/>
  <c r="Y46" i="28"/>
  <c r="Z46" i="28"/>
  <c r="AA46" i="28"/>
  <c r="AB46" i="28"/>
  <c r="AC46" i="28"/>
  <c r="AD46" i="28"/>
  <c r="AE46" i="28"/>
  <c r="AF46" i="28"/>
  <c r="AG46" i="28"/>
  <c r="AH46" i="28"/>
  <c r="AI46" i="28"/>
  <c r="AJ46" i="28"/>
  <c r="AK46" i="28"/>
  <c r="AL46" i="28"/>
  <c r="AM46" i="28"/>
  <c r="AN46" i="28"/>
  <c r="AO46" i="28"/>
  <c r="AP46" i="28"/>
  <c r="AQ46" i="28"/>
  <c r="AR46" i="28"/>
  <c r="AS46" i="28"/>
  <c r="AT46" i="28"/>
  <c r="AU46" i="28"/>
  <c r="AV46" i="28"/>
  <c r="AW46" i="28"/>
  <c r="AX46" i="28"/>
  <c r="AY46" i="28"/>
  <c r="AZ46" i="28"/>
  <c r="BA46" i="28"/>
  <c r="BB46" i="28"/>
  <c r="BC46" i="28"/>
  <c r="BD46" i="28"/>
  <c r="BE46" i="28"/>
  <c r="BF46" i="28"/>
  <c r="BG46" i="28"/>
  <c r="BH46" i="28"/>
  <c r="BI46" i="28"/>
  <c r="BJ46" i="28"/>
  <c r="BK46" i="28"/>
  <c r="BL46" i="28"/>
  <c r="BM46" i="28"/>
  <c r="BN46" i="28"/>
  <c r="BO46" i="28"/>
  <c r="BP46" i="28"/>
  <c r="AB22" i="28"/>
  <c r="F36" i="28" a="1"/>
  <c r="F36" i="28"/>
  <c r="G36" i="28" a="1"/>
  <c r="H36" i="28" a="1"/>
  <c r="I36" i="28" a="1"/>
  <c r="J36" i="28" a="1"/>
  <c r="K36" i="28" a="1"/>
  <c r="L36" i="28" a="1"/>
  <c r="M36" i="28" a="1"/>
  <c r="N36" i="28" a="1"/>
  <c r="O36" i="28" a="1"/>
  <c r="P36" i="28" a="1"/>
  <c r="Q36" i="28" a="1"/>
  <c r="R36" i="28" a="1"/>
  <c r="S36" i="28" a="1"/>
  <c r="T36" i="28" a="1"/>
  <c r="U36" i="28" a="1"/>
  <c r="V36" i="28" a="1"/>
  <c r="W36" i="28" a="1"/>
  <c r="X36" i="28" a="1"/>
  <c r="Y36" i="28" a="1"/>
  <c r="Z36" i="28" a="1"/>
  <c r="AA36" i="28" a="1"/>
  <c r="AB36" i="28" a="1"/>
  <c r="AC36" i="28" a="1"/>
  <c r="AD36" i="28" a="1"/>
  <c r="AE36" i="28" a="1"/>
  <c r="AF36" i="28" a="1"/>
  <c r="AG36" i="28" a="1"/>
  <c r="AH36" i="28" a="1"/>
  <c r="AI36" i="28" a="1"/>
  <c r="AJ36" i="28" a="1"/>
  <c r="AK36" i="28" a="1"/>
  <c r="AL36" i="28" a="1"/>
  <c r="AM36" i="28" a="1"/>
  <c r="AN36" i="28" a="1"/>
  <c r="AO36" i="28" a="1"/>
  <c r="AP36" i="28" a="1"/>
  <c r="AQ36" i="28" a="1"/>
  <c r="AR36" i="28" a="1"/>
  <c r="AS36" i="28" a="1"/>
  <c r="AT36" i="28" a="1"/>
  <c r="AU36" i="28" a="1"/>
  <c r="AV36" i="28" a="1"/>
  <c r="AW36" i="28" a="1"/>
  <c r="AX36" i="28" a="1"/>
  <c r="AY36" i="28" a="1"/>
  <c r="AZ36" i="28" a="1"/>
  <c r="BA36" i="28" a="1"/>
  <c r="BB36" i="28" a="1"/>
  <c r="BC36" i="28" a="1"/>
  <c r="BD36" i="28" a="1"/>
  <c r="BE36" i="28" a="1"/>
  <c r="BF36" i="28" a="1"/>
  <c r="BG36" i="28" a="1"/>
  <c r="BH36" i="28" a="1"/>
  <c r="BI36" i="28" a="1"/>
  <c r="BJ36" i="28" a="1"/>
  <c r="BK36" i="28" a="1"/>
  <c r="BL36" i="28" a="1"/>
  <c r="BM36" i="28" a="1"/>
  <c r="BN36" i="28" a="1"/>
  <c r="BO36" i="28" a="1"/>
  <c r="BP36" i="28" a="1"/>
  <c r="G36" i="28"/>
  <c r="H36" i="28"/>
  <c r="I36" i="28"/>
  <c r="J36" i="28"/>
  <c r="K36" i="28"/>
  <c r="L36" i="28"/>
  <c r="M36" i="28"/>
  <c r="N36" i="28"/>
  <c r="O36" i="28"/>
  <c r="P36" i="28"/>
  <c r="Q36" i="28"/>
  <c r="R36" i="28"/>
  <c r="S36" i="28"/>
  <c r="T36" i="28"/>
  <c r="U36" i="28"/>
  <c r="V36" i="28"/>
  <c r="W36" i="28"/>
  <c r="X36" i="28"/>
  <c r="Y36" i="28"/>
  <c r="Z36" i="28"/>
  <c r="AA36" i="28"/>
  <c r="AB36" i="28"/>
  <c r="AC36" i="28"/>
  <c r="AD36" i="28"/>
  <c r="AE36" i="28"/>
  <c r="AF36" i="28"/>
  <c r="AG36" i="28"/>
  <c r="AH36" i="28"/>
  <c r="AI36" i="28"/>
  <c r="AJ36" i="28"/>
  <c r="AK36" i="28"/>
  <c r="AL36" i="28"/>
  <c r="AM36" i="28"/>
  <c r="AN36" i="28"/>
  <c r="AO36" i="28"/>
  <c r="AP36" i="28"/>
  <c r="AQ36" i="28"/>
  <c r="AR36" i="28"/>
  <c r="AS36" i="28"/>
  <c r="AT36" i="28"/>
  <c r="AU36" i="28"/>
  <c r="AV36" i="28"/>
  <c r="AW36" i="28"/>
  <c r="AX36" i="28"/>
  <c r="AY36" i="28"/>
  <c r="AZ36" i="28"/>
  <c r="BA36" i="28"/>
  <c r="BB36" i="28"/>
  <c r="BC36" i="28"/>
  <c r="BD36" i="28"/>
  <c r="BE36" i="28"/>
  <c r="BF36" i="28"/>
  <c r="BG36" i="28"/>
  <c r="BH36" i="28"/>
  <c r="BI36" i="28"/>
  <c r="BJ36" i="28"/>
  <c r="BK36" i="28"/>
  <c r="BL36" i="28"/>
  <c r="BM36" i="28"/>
  <c r="BN36" i="28"/>
  <c r="BO36" i="28"/>
  <c r="BP36" i="28"/>
  <c r="E47" i="28" a="1"/>
  <c r="E47" i="28"/>
  <c r="F47" i="28" a="1"/>
  <c r="F47" i="28"/>
  <c r="G47" i="28" a="1"/>
  <c r="H47" i="28" a="1"/>
  <c r="I47" i="28" a="1"/>
  <c r="J47" i="28" a="1"/>
  <c r="K47" i="28" a="1"/>
  <c r="L47" i="28" a="1"/>
  <c r="M47" i="28" a="1"/>
  <c r="N47" i="28" a="1"/>
  <c r="O47" i="28" a="1"/>
  <c r="P47" i="28" a="1"/>
  <c r="Q47" i="28" a="1"/>
  <c r="R47" i="28" a="1"/>
  <c r="S47" i="28" a="1"/>
  <c r="T47" i="28" a="1"/>
  <c r="U47" i="28" a="1"/>
  <c r="V47" i="28" a="1"/>
  <c r="W47" i="28" a="1"/>
  <c r="X47" i="28" a="1"/>
  <c r="Y47" i="28" a="1"/>
  <c r="Z47" i="28" a="1"/>
  <c r="AA47" i="28" a="1"/>
  <c r="AB47" i="28" a="1"/>
  <c r="AC47" i="28" a="1"/>
  <c r="AD47" i="28" a="1"/>
  <c r="AE47" i="28" a="1"/>
  <c r="AF47" i="28" a="1"/>
  <c r="AG47" i="28" a="1"/>
  <c r="AH47" i="28" a="1"/>
  <c r="AI47" i="28" a="1"/>
  <c r="AJ47" i="28" a="1"/>
  <c r="AK47" i="28" a="1"/>
  <c r="AL47" i="28" a="1"/>
  <c r="AM47" i="28" a="1"/>
  <c r="AN47" i="28" a="1"/>
  <c r="AO47" i="28" a="1"/>
  <c r="AP47" i="28" a="1"/>
  <c r="AQ47" i="28" a="1"/>
  <c r="AR47" i="28" a="1"/>
  <c r="AS47" i="28" a="1"/>
  <c r="AT47" i="28" a="1"/>
  <c r="AU47" i="28" a="1"/>
  <c r="AV47" i="28" a="1"/>
  <c r="AW47" i="28" a="1"/>
  <c r="AX47" i="28" a="1"/>
  <c r="AY47" i="28" a="1"/>
  <c r="AZ47" i="28" a="1"/>
  <c r="BA47" i="28" a="1"/>
  <c r="BB47" i="28" a="1"/>
  <c r="BC47" i="28" a="1"/>
  <c r="BD47" i="28" a="1"/>
  <c r="BE47" i="28" a="1"/>
  <c r="BF47" i="28" a="1"/>
  <c r="BG47" i="28" a="1"/>
  <c r="BH47" i="28" a="1"/>
  <c r="BI47" i="28" a="1"/>
  <c r="BJ47" i="28" a="1"/>
  <c r="BK47" i="28" a="1"/>
  <c r="BL47" i="28" a="1"/>
  <c r="BM47" i="28" a="1"/>
  <c r="BN47" i="28" a="1"/>
  <c r="BO47" i="28" a="1"/>
  <c r="BP47" i="28" a="1"/>
  <c r="G47" i="28"/>
  <c r="H47" i="28"/>
  <c r="I47" i="28"/>
  <c r="J47" i="28"/>
  <c r="K47" i="28"/>
  <c r="L47" i="28"/>
  <c r="M47" i="28"/>
  <c r="N47" i="28"/>
  <c r="O47" i="28"/>
  <c r="P47" i="28"/>
  <c r="Q47" i="28"/>
  <c r="R47" i="28"/>
  <c r="S47" i="28"/>
  <c r="T47" i="28"/>
  <c r="U47" i="28"/>
  <c r="V47" i="28"/>
  <c r="W47" i="28"/>
  <c r="X47" i="28"/>
  <c r="Y47" i="28"/>
  <c r="Z47" i="28"/>
  <c r="AA47" i="28"/>
  <c r="AB47" i="28"/>
  <c r="AC47" i="28"/>
  <c r="AD47" i="28"/>
  <c r="AE47" i="28"/>
  <c r="AF47" i="28"/>
  <c r="AG47" i="28"/>
  <c r="AH47" i="28"/>
  <c r="AI47" i="28"/>
  <c r="AJ47" i="28"/>
  <c r="AK47" i="28"/>
  <c r="AL47" i="28"/>
  <c r="AM47" i="28"/>
  <c r="AN47" i="28"/>
  <c r="AO47" i="28"/>
  <c r="AP47" i="28"/>
  <c r="AQ47" i="28"/>
  <c r="AR47" i="28"/>
  <c r="AS47" i="28"/>
  <c r="AT47" i="28"/>
  <c r="AU47" i="28"/>
  <c r="AV47" i="28"/>
  <c r="AW47" i="28"/>
  <c r="AX47" i="28"/>
  <c r="AY47" i="28"/>
  <c r="AZ47" i="28"/>
  <c r="BA47" i="28"/>
  <c r="BB47" i="28"/>
  <c r="BC47" i="28"/>
  <c r="BD47" i="28"/>
  <c r="BE47" i="28"/>
  <c r="BF47" i="28"/>
  <c r="BG47" i="28"/>
  <c r="BH47" i="28"/>
  <c r="BI47" i="28"/>
  <c r="BJ47" i="28"/>
  <c r="BK47" i="28"/>
  <c r="BL47" i="28"/>
  <c r="BM47" i="28"/>
  <c r="BN47" i="28"/>
  <c r="BO47" i="28"/>
  <c r="BP47" i="28"/>
  <c r="AB23" i="28"/>
  <c r="F37" i="28" a="1"/>
  <c r="F37" i="28"/>
  <c r="G37" i="28" a="1"/>
  <c r="H37" i="28" a="1"/>
  <c r="I37" i="28" a="1"/>
  <c r="J37" i="28" a="1"/>
  <c r="K37" i="28" a="1"/>
  <c r="L37" i="28" a="1"/>
  <c r="M37" i="28" a="1"/>
  <c r="N37" i="28" a="1"/>
  <c r="O37" i="28" a="1"/>
  <c r="P37" i="28" a="1"/>
  <c r="Q37" i="28" a="1"/>
  <c r="R37" i="28" a="1"/>
  <c r="S37" i="28" a="1"/>
  <c r="T37" i="28" a="1"/>
  <c r="U37" i="28" a="1"/>
  <c r="V37" i="28" a="1"/>
  <c r="W37" i="28" a="1"/>
  <c r="X37" i="28" a="1"/>
  <c r="Y37" i="28" a="1"/>
  <c r="Z37" i="28" a="1"/>
  <c r="AA37" i="28" a="1"/>
  <c r="AB37" i="28" a="1"/>
  <c r="AC37" i="28" a="1"/>
  <c r="AD37" i="28" a="1"/>
  <c r="AE37" i="28" a="1"/>
  <c r="AF37" i="28" a="1"/>
  <c r="AG37" i="28" a="1"/>
  <c r="AH37" i="28" a="1"/>
  <c r="AI37" i="28" a="1"/>
  <c r="AJ37" i="28" a="1"/>
  <c r="AK37" i="28" a="1"/>
  <c r="AL37" i="28" a="1"/>
  <c r="AM37" i="28" a="1"/>
  <c r="AN37" i="28" a="1"/>
  <c r="AO37" i="28" a="1"/>
  <c r="AP37" i="28" a="1"/>
  <c r="AQ37" i="28" a="1"/>
  <c r="AR37" i="28" a="1"/>
  <c r="AS37" i="28" a="1"/>
  <c r="AT37" i="28" a="1"/>
  <c r="AU37" i="28" a="1"/>
  <c r="AV37" i="28" a="1"/>
  <c r="AW37" i="28" a="1"/>
  <c r="AX37" i="28" a="1"/>
  <c r="AY37" i="28" a="1"/>
  <c r="AZ37" i="28" a="1"/>
  <c r="BA37" i="28" a="1"/>
  <c r="BB37" i="28" a="1"/>
  <c r="BC37" i="28" a="1"/>
  <c r="BD37" i="28" a="1"/>
  <c r="BE37" i="28" a="1"/>
  <c r="BF37" i="28" a="1"/>
  <c r="BG37" i="28" a="1"/>
  <c r="BH37" i="28" a="1"/>
  <c r="BI37" i="28" a="1"/>
  <c r="BJ37" i="28" a="1"/>
  <c r="BK37" i="28" a="1"/>
  <c r="BL37" i="28" a="1"/>
  <c r="BM37" i="28" a="1"/>
  <c r="BN37" i="28" a="1"/>
  <c r="BO37" i="28" a="1"/>
  <c r="BP37" i="28" a="1"/>
  <c r="G37" i="28"/>
  <c r="H37" i="28"/>
  <c r="I37" i="28"/>
  <c r="J37" i="28"/>
  <c r="K37" i="28"/>
  <c r="L37" i="28"/>
  <c r="M37" i="28"/>
  <c r="N37" i="28"/>
  <c r="O37" i="28"/>
  <c r="P37" i="28"/>
  <c r="Q37" i="28"/>
  <c r="R37" i="28"/>
  <c r="S37" i="28"/>
  <c r="T37" i="28"/>
  <c r="U37" i="28"/>
  <c r="V37" i="28"/>
  <c r="W37" i="28"/>
  <c r="X37" i="28"/>
  <c r="Y37" i="28"/>
  <c r="Z37" i="28"/>
  <c r="AA37" i="28"/>
  <c r="AB37" i="28"/>
  <c r="AC37" i="28"/>
  <c r="AD37" i="28"/>
  <c r="AE37" i="28"/>
  <c r="AF37" i="28"/>
  <c r="AG37" i="28"/>
  <c r="AH37" i="28"/>
  <c r="AI37" i="28"/>
  <c r="AJ37" i="28"/>
  <c r="AK37" i="28"/>
  <c r="AL37" i="28"/>
  <c r="AM37" i="28"/>
  <c r="AN37" i="28"/>
  <c r="AO37" i="28"/>
  <c r="AP37" i="28"/>
  <c r="AQ37" i="28"/>
  <c r="AR37" i="28"/>
  <c r="AS37" i="28"/>
  <c r="AT37" i="28"/>
  <c r="AU37" i="28"/>
  <c r="AV37" i="28"/>
  <c r="AW37" i="28"/>
  <c r="AX37" i="28"/>
  <c r="AY37" i="28"/>
  <c r="AZ37" i="28"/>
  <c r="BA37" i="28"/>
  <c r="BB37" i="28"/>
  <c r="BC37" i="28"/>
  <c r="BD37" i="28"/>
  <c r="BE37" i="28"/>
  <c r="BF37" i="28"/>
  <c r="BG37" i="28"/>
  <c r="BH37" i="28"/>
  <c r="BI37" i="28"/>
  <c r="BJ37" i="28"/>
  <c r="BK37" i="28"/>
  <c r="BL37" i="28"/>
  <c r="BM37" i="28"/>
  <c r="BN37" i="28"/>
  <c r="BO37" i="28"/>
  <c r="BP37" i="28"/>
  <c r="E48" i="28" a="1"/>
  <c r="E48" i="28"/>
  <c r="F48" i="28" a="1"/>
  <c r="F48" i="28"/>
  <c r="G48" i="28" a="1"/>
  <c r="H48" i="28" a="1"/>
  <c r="I48" i="28" a="1"/>
  <c r="J48" i="28" a="1"/>
  <c r="K48" i="28" a="1"/>
  <c r="L48" i="28" a="1"/>
  <c r="M48" i="28" a="1"/>
  <c r="N48" i="28" a="1"/>
  <c r="O48" i="28" a="1"/>
  <c r="P48" i="28" a="1"/>
  <c r="Q48" i="28" a="1"/>
  <c r="R48" i="28" a="1"/>
  <c r="S48" i="28" a="1"/>
  <c r="T48" i="28" a="1"/>
  <c r="U48" i="28" a="1"/>
  <c r="V48" i="28" a="1"/>
  <c r="W48" i="28" a="1"/>
  <c r="X48" i="28" a="1"/>
  <c r="Y48" i="28" a="1"/>
  <c r="Z48" i="28" a="1"/>
  <c r="AA48" i="28" a="1"/>
  <c r="AB48" i="28" a="1"/>
  <c r="AC48" i="28" a="1"/>
  <c r="AD48" i="28" a="1"/>
  <c r="AE48" i="28" a="1"/>
  <c r="AF48" i="28" a="1"/>
  <c r="AG48" i="28" a="1"/>
  <c r="AH48" i="28" a="1"/>
  <c r="AI48" i="28" a="1"/>
  <c r="AJ48" i="28" a="1"/>
  <c r="AK48" i="28" a="1"/>
  <c r="AL48" i="28" a="1"/>
  <c r="AM48" i="28" a="1"/>
  <c r="AN48" i="28" a="1"/>
  <c r="AO48" i="28" a="1"/>
  <c r="AP48" i="28" a="1"/>
  <c r="AQ48" i="28" a="1"/>
  <c r="AR48" i="28" a="1"/>
  <c r="AS48" i="28" a="1"/>
  <c r="AT48" i="28" a="1"/>
  <c r="AU48" i="28" a="1"/>
  <c r="AV48" i="28" a="1"/>
  <c r="AW48" i="28" a="1"/>
  <c r="AX48" i="28" a="1"/>
  <c r="AY48" i="28" a="1"/>
  <c r="AZ48" i="28" a="1"/>
  <c r="BA48" i="28" a="1"/>
  <c r="BB48" i="28" a="1"/>
  <c r="BC48" i="28" a="1"/>
  <c r="BD48" i="28" a="1"/>
  <c r="BE48" i="28" a="1"/>
  <c r="BF48" i="28" a="1"/>
  <c r="BG48" i="28" a="1"/>
  <c r="BH48" i="28" a="1"/>
  <c r="BI48" i="28" a="1"/>
  <c r="BJ48" i="28" a="1"/>
  <c r="BK48" i="28" a="1"/>
  <c r="BL48" i="28" a="1"/>
  <c r="BM48" i="28" a="1"/>
  <c r="BN48" i="28" a="1"/>
  <c r="BO48" i="28" a="1"/>
  <c r="BP48" i="28" a="1"/>
  <c r="G48" i="28"/>
  <c r="H48" i="28"/>
  <c r="I48" i="28"/>
  <c r="J48" i="28"/>
  <c r="K48" i="28"/>
  <c r="L48" i="28"/>
  <c r="M48" i="28"/>
  <c r="N48" i="28"/>
  <c r="O48" i="28"/>
  <c r="P48" i="28"/>
  <c r="Q48" i="28"/>
  <c r="R48" i="28"/>
  <c r="S48" i="28"/>
  <c r="T48" i="28"/>
  <c r="U48" i="28"/>
  <c r="V48" i="28"/>
  <c r="W48" i="28"/>
  <c r="X48" i="28"/>
  <c r="Y48" i="28"/>
  <c r="Z48" i="28"/>
  <c r="AA48" i="28"/>
  <c r="AB48" i="28"/>
  <c r="AC48" i="28"/>
  <c r="AD48" i="28"/>
  <c r="AE48" i="28"/>
  <c r="AF48" i="28"/>
  <c r="AG48" i="28"/>
  <c r="AH48" i="28"/>
  <c r="AI48" i="28"/>
  <c r="AJ48" i="28"/>
  <c r="AK48" i="28"/>
  <c r="AL48" i="28"/>
  <c r="AM48" i="28"/>
  <c r="AN48" i="28"/>
  <c r="AO48" i="28"/>
  <c r="AP48" i="28"/>
  <c r="AQ48" i="28"/>
  <c r="AR48" i="28"/>
  <c r="AS48" i="28"/>
  <c r="AT48" i="28"/>
  <c r="AU48" i="28"/>
  <c r="AV48" i="28"/>
  <c r="AW48" i="28"/>
  <c r="AX48" i="28"/>
  <c r="AY48" i="28"/>
  <c r="AZ48" i="28"/>
  <c r="BA48" i="28"/>
  <c r="BB48" i="28"/>
  <c r="BC48" i="28"/>
  <c r="BD48" i="28"/>
  <c r="BE48" i="28"/>
  <c r="BF48" i="28"/>
  <c r="BG48" i="28"/>
  <c r="BH48" i="28"/>
  <c r="BI48" i="28"/>
  <c r="BJ48" i="28"/>
  <c r="BK48" i="28"/>
  <c r="BL48" i="28"/>
  <c r="BM48" i="28"/>
  <c r="BN48" i="28"/>
  <c r="BO48" i="28"/>
  <c r="BP48" i="28"/>
  <c r="AB24" i="28"/>
  <c r="F38" i="28" a="1"/>
  <c r="F38" i="28"/>
  <c r="G38" i="28" a="1"/>
  <c r="H38" i="28" a="1"/>
  <c r="I38" i="28" a="1"/>
  <c r="J38" i="28" a="1"/>
  <c r="K38" i="28" a="1"/>
  <c r="L38" i="28" a="1"/>
  <c r="M38" i="28" a="1"/>
  <c r="N38" i="28" a="1"/>
  <c r="O38" i="28" a="1"/>
  <c r="P38" i="28" a="1"/>
  <c r="Q38" i="28" a="1"/>
  <c r="R38" i="28" a="1"/>
  <c r="S38" i="28" a="1"/>
  <c r="T38" i="28" a="1"/>
  <c r="U38" i="28" a="1"/>
  <c r="V38" i="28" a="1"/>
  <c r="W38" i="28" a="1"/>
  <c r="X38" i="28" a="1"/>
  <c r="Y38" i="28" a="1"/>
  <c r="Z38" i="28" a="1"/>
  <c r="AA38" i="28" a="1"/>
  <c r="AB38" i="28" a="1"/>
  <c r="AC38" i="28" a="1"/>
  <c r="AD38" i="28" a="1"/>
  <c r="AE38" i="28" a="1"/>
  <c r="AF38" i="28" a="1"/>
  <c r="AG38" i="28" a="1"/>
  <c r="AH38" i="28" a="1"/>
  <c r="AI38" i="28" a="1"/>
  <c r="AJ38" i="28" a="1"/>
  <c r="AK38" i="28" a="1"/>
  <c r="AL38" i="28" a="1"/>
  <c r="AM38" i="28" a="1"/>
  <c r="AN38" i="28" a="1"/>
  <c r="AO38" i="28" a="1"/>
  <c r="AP38" i="28" a="1"/>
  <c r="AQ38" i="28" a="1"/>
  <c r="AR38" i="28" a="1"/>
  <c r="AS38" i="28" a="1"/>
  <c r="AT38" i="28" a="1"/>
  <c r="AU38" i="28" a="1"/>
  <c r="AV38" i="28" a="1"/>
  <c r="AW38" i="28" a="1"/>
  <c r="AX38" i="28" a="1"/>
  <c r="AY38" i="28" a="1"/>
  <c r="AZ38" i="28" a="1"/>
  <c r="BA38" i="28" a="1"/>
  <c r="BB38" i="28" a="1"/>
  <c r="BC38" i="28" a="1"/>
  <c r="BD38" i="28" a="1"/>
  <c r="BE38" i="28" a="1"/>
  <c r="BF38" i="28" a="1"/>
  <c r="BG38" i="28" a="1"/>
  <c r="BH38" i="28" a="1"/>
  <c r="BI38" i="28" a="1"/>
  <c r="BJ38" i="28" a="1"/>
  <c r="BK38" i="28" a="1"/>
  <c r="BL38" i="28" a="1"/>
  <c r="BM38" i="28" a="1"/>
  <c r="BN38" i="28" a="1"/>
  <c r="BO38" i="28" a="1"/>
  <c r="BP38" i="28" a="1"/>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S38" i="28"/>
  <c r="AT38" i="28"/>
  <c r="AU38" i="28"/>
  <c r="AV38" i="28"/>
  <c r="AW38" i="28"/>
  <c r="AX38" i="28"/>
  <c r="AY38" i="28"/>
  <c r="AZ38" i="28"/>
  <c r="BA38" i="28"/>
  <c r="BB38" i="28"/>
  <c r="BC38" i="28"/>
  <c r="BD38" i="28"/>
  <c r="BE38" i="28"/>
  <c r="BF38" i="28"/>
  <c r="BG38" i="28"/>
  <c r="BH38" i="28"/>
  <c r="BI38" i="28"/>
  <c r="BJ38" i="28"/>
  <c r="BK38" i="28"/>
  <c r="BL38" i="28"/>
  <c r="BM38" i="28"/>
  <c r="BN38" i="28"/>
  <c r="BO38" i="28"/>
  <c r="BP38" i="28"/>
  <c r="E49" i="28" a="1"/>
  <c r="E49" i="28"/>
  <c r="F49" i="28" a="1"/>
  <c r="F49" i="28"/>
  <c r="G49" i="28" a="1"/>
  <c r="H49" i="28" a="1"/>
  <c r="I49" i="28" a="1"/>
  <c r="J49" i="28" a="1"/>
  <c r="K49" i="28" a="1"/>
  <c r="L49" i="28" a="1"/>
  <c r="M49" i="28" a="1"/>
  <c r="N49" i="28" a="1"/>
  <c r="O49" i="28" a="1"/>
  <c r="P49" i="28" a="1"/>
  <c r="Q49" i="28" a="1"/>
  <c r="R49" i="28" a="1"/>
  <c r="S49" i="28" a="1"/>
  <c r="T49" i="28" a="1"/>
  <c r="U49" i="28" a="1"/>
  <c r="V49" i="28" a="1"/>
  <c r="W49" i="28" a="1"/>
  <c r="X49" i="28" a="1"/>
  <c r="Y49" i="28" a="1"/>
  <c r="Z49" i="28" a="1"/>
  <c r="AA49" i="28" a="1"/>
  <c r="AB49" i="28" a="1"/>
  <c r="AC49" i="28" a="1"/>
  <c r="AD49" i="28" a="1"/>
  <c r="AE49" i="28" a="1"/>
  <c r="AF49" i="28" a="1"/>
  <c r="AG49" i="28" a="1"/>
  <c r="AH49" i="28" a="1"/>
  <c r="AI49" i="28" a="1"/>
  <c r="AJ49" i="28" a="1"/>
  <c r="AK49" i="28" a="1"/>
  <c r="AL49" i="28" a="1"/>
  <c r="AM49" i="28" a="1"/>
  <c r="AN49" i="28" a="1"/>
  <c r="AO49" i="28" a="1"/>
  <c r="AP49" i="28" a="1"/>
  <c r="AQ49" i="28" a="1"/>
  <c r="AR49" i="28" a="1"/>
  <c r="AS49" i="28" a="1"/>
  <c r="AT49" i="28" a="1"/>
  <c r="AU49" i="28" a="1"/>
  <c r="AV49" i="28" a="1"/>
  <c r="AW49" i="28" a="1"/>
  <c r="AX49" i="28" a="1"/>
  <c r="AY49" i="28" a="1"/>
  <c r="AZ49" i="28" a="1"/>
  <c r="BA49" i="28" a="1"/>
  <c r="BB49" i="28" a="1"/>
  <c r="BC49" i="28" a="1"/>
  <c r="BD49" i="28" a="1"/>
  <c r="BE49" i="28" a="1"/>
  <c r="BF49" i="28" a="1"/>
  <c r="BG49" i="28" a="1"/>
  <c r="BH49" i="28" a="1"/>
  <c r="BI49" i="28" a="1"/>
  <c r="BJ49" i="28" a="1"/>
  <c r="BK49" i="28" a="1"/>
  <c r="BL49" i="28" a="1"/>
  <c r="BM49" i="28" a="1"/>
  <c r="BN49" i="28" a="1"/>
  <c r="BO49" i="28" a="1"/>
  <c r="BP49" i="28" a="1"/>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BC49" i="28"/>
  <c r="BD49" i="28"/>
  <c r="BE49" i="28"/>
  <c r="BF49" i="28"/>
  <c r="BG49" i="28"/>
  <c r="BH49" i="28"/>
  <c r="BI49" i="28"/>
  <c r="BJ49" i="28"/>
  <c r="BK49" i="28"/>
  <c r="BL49" i="28"/>
  <c r="BM49" i="28"/>
  <c r="BN49" i="28"/>
  <c r="BO49" i="28"/>
  <c r="BP49" i="28"/>
  <c r="AB25" i="28"/>
  <c r="AI13" i="27"/>
  <c r="Y18" i="28"/>
  <c r="AI15" i="27"/>
  <c r="Y20" i="28"/>
  <c r="T12" i="27"/>
  <c r="AD17" i="28"/>
  <c r="AE17" i="28"/>
  <c r="AE18" i="28"/>
  <c r="AE19" i="28"/>
  <c r="AE20" i="28"/>
  <c r="AE21" i="28"/>
  <c r="AE22" i="28"/>
  <c r="AE23" i="28"/>
  <c r="AE24" i="28"/>
  <c r="AE25" i="28"/>
  <c r="AF17" i="28"/>
  <c r="AD18" i="28"/>
  <c r="AF18" i="28"/>
  <c r="AD19" i="28"/>
  <c r="AF19" i="28"/>
  <c r="AD20" i="28"/>
  <c r="AF20" i="28"/>
  <c r="AD21" i="28"/>
  <c r="AF21" i="28"/>
  <c r="AD22" i="28"/>
  <c r="AF22" i="28"/>
  <c r="AD23" i="28"/>
  <c r="AF23" i="28"/>
  <c r="AD24" i="28"/>
  <c r="AF24" i="28"/>
  <c r="AD25" i="28"/>
  <c r="AF25" i="28"/>
  <c r="AB22" i="6"/>
  <c r="AB23" i="6"/>
  <c r="AB24" i="6"/>
  <c r="AB25" i="6"/>
  <c r="AB26" i="6"/>
  <c r="AB27" i="6"/>
  <c r="B13" i="29"/>
  <c r="B13" i="30"/>
  <c r="E34" i="28" a="1"/>
  <c r="E34" i="28"/>
  <c r="AA21" i="28"/>
  <c r="W21" i="28"/>
  <c r="E35" i="28" a="1"/>
  <c r="E35" i="28"/>
  <c r="AA22" i="28"/>
  <c r="W22" i="28"/>
  <c r="E36" i="28" a="1"/>
  <c r="E36" i="28"/>
  <c r="AA23" i="28"/>
  <c r="W23" i="28"/>
  <c r="E37" i="28" a="1"/>
  <c r="E37" i="28"/>
  <c r="AA24" i="28"/>
  <c r="W24" i="28"/>
  <c r="E38" i="28" a="1"/>
  <c r="E38" i="28"/>
  <c r="AA25" i="28"/>
  <c r="W25" i="28"/>
  <c r="X17" i="28"/>
  <c r="X18" i="28"/>
  <c r="X19" i="28"/>
  <c r="X20" i="28"/>
  <c r="X21" i="28"/>
  <c r="X22" i="28"/>
  <c r="X23" i="28"/>
  <c r="X24" i="28"/>
  <c r="X25" i="28"/>
  <c r="E4" i="28"/>
  <c r="D4" i="28"/>
  <c r="E5" i="28"/>
  <c r="D5" i="28"/>
  <c r="E6" i="28"/>
  <c r="D6" i="28"/>
  <c r="E7" i="28"/>
  <c r="D7" i="28"/>
  <c r="E8" i="28"/>
  <c r="D8" i="28"/>
  <c r="E9" i="28"/>
  <c r="D9" i="28"/>
  <c r="E10" i="28"/>
  <c r="D10" i="28"/>
  <c r="E11" i="28"/>
  <c r="D11" i="28"/>
  <c r="E12" i="28"/>
  <c r="D12" i="28"/>
  <c r="C4" i="28"/>
  <c r="C5" i="28"/>
  <c r="C6" i="28"/>
  <c r="C7" i="28"/>
  <c r="AC15" i="27"/>
  <c r="AC14" i="27"/>
  <c r="AC13" i="27"/>
  <c r="AC12" i="27"/>
  <c r="AG25" i="28"/>
  <c r="AH25" i="28"/>
  <c r="Z25" i="28"/>
  <c r="AG24" i="28"/>
  <c r="AH24" i="28"/>
  <c r="Z24" i="28"/>
  <c r="AG23" i="28"/>
  <c r="AH23" i="28"/>
  <c r="Z23" i="28"/>
  <c r="AG22" i="28"/>
  <c r="AH22" i="28"/>
  <c r="Z22" i="28"/>
  <c r="AG21" i="28"/>
  <c r="AH21" i="28"/>
  <c r="Z21" i="28"/>
  <c r="AG20" i="28"/>
  <c r="AH20" i="28"/>
  <c r="Z20" i="28"/>
  <c r="AG19" i="28"/>
  <c r="AH19" i="28"/>
  <c r="Z19" i="28"/>
  <c r="AG18" i="28"/>
  <c r="AH18" i="28"/>
  <c r="Z18" i="28"/>
  <c r="AG17" i="28"/>
  <c r="AH17" i="28"/>
  <c r="Z17" i="28"/>
  <c r="U15" i="27"/>
  <c r="I37" i="27"/>
  <c r="U14" i="27"/>
  <c r="I36" i="27"/>
  <c r="U13" i="27"/>
  <c r="I35" i="27"/>
  <c r="U12" i="27"/>
  <c r="I34" i="27"/>
  <c r="T13" i="27"/>
  <c r="T14" i="27"/>
  <c r="T15" i="27"/>
  <c r="AD15" i="27"/>
  <c r="AD14" i="27"/>
  <c r="AD13" i="27"/>
  <c r="AD12" i="27"/>
  <c r="AB15" i="27"/>
  <c r="AB14" i="27"/>
  <c r="AB13" i="27"/>
  <c r="AB12" i="27"/>
  <c r="Z15" i="27"/>
  <c r="Z14" i="27"/>
  <c r="Z13" i="27"/>
  <c r="Z12" i="27"/>
  <c r="Y13" i="27"/>
  <c r="Y12" i="27"/>
  <c r="Y15" i="27"/>
  <c r="Y14" i="27"/>
  <c r="X15" i="27"/>
  <c r="X14" i="27"/>
  <c r="X13" i="27"/>
  <c r="X12" i="27"/>
  <c r="W15" i="27"/>
  <c r="W14" i="27"/>
  <c r="W13" i="27"/>
  <c r="W12" i="27"/>
  <c r="V15" i="27"/>
  <c r="V14" i="27"/>
  <c r="V13" i="27"/>
  <c r="V12" i="27"/>
  <c r="Z4" i="28"/>
  <c r="Z5" i="28"/>
  <c r="Z6" i="28"/>
  <c r="Z7" i="28"/>
  <c r="Z8" i="28"/>
  <c r="Z9" i="28"/>
  <c r="Z10" i="28"/>
  <c r="Z11" i="28"/>
  <c r="Z12" i="28"/>
  <c r="AA4" i="28"/>
  <c r="AA5" i="28"/>
  <c r="AA6" i="28"/>
  <c r="AA7" i="28"/>
  <c r="AA8" i="28"/>
  <c r="AA9" i="28"/>
  <c r="AA10" i="28"/>
  <c r="AA11" i="28"/>
  <c r="AA12" i="28"/>
  <c r="X4" i="28"/>
  <c r="AE4" i="28"/>
  <c r="AE5" i="28"/>
  <c r="AE6" i="28"/>
  <c r="AE7" i="28"/>
  <c r="AE8" i="28"/>
  <c r="AE9" i="28"/>
  <c r="AE10" i="28"/>
  <c r="AE11" i="28"/>
  <c r="AE12" i="28"/>
  <c r="AF4" i="28"/>
  <c r="AF5" i="28"/>
  <c r="AF6" i="28"/>
  <c r="AF7" i="28"/>
  <c r="AF8" i="28"/>
  <c r="AF9" i="28"/>
  <c r="AF10" i="28"/>
  <c r="AF11" i="28"/>
  <c r="AF12" i="28"/>
  <c r="AC4" i="28"/>
  <c r="AJ4" i="28"/>
  <c r="AJ5" i="28"/>
  <c r="AJ6" i="28"/>
  <c r="AJ7" i="28"/>
  <c r="AJ8" i="28"/>
  <c r="AJ9" i="28"/>
  <c r="AJ10" i="28"/>
  <c r="AJ11" i="28"/>
  <c r="AJ12" i="28"/>
  <c r="AK4" i="28"/>
  <c r="AK5" i="28"/>
  <c r="AK6" i="28"/>
  <c r="AK7" i="28"/>
  <c r="AK8" i="28"/>
  <c r="AK9" i="28"/>
  <c r="AK10" i="28"/>
  <c r="AK11" i="28"/>
  <c r="AK12" i="28"/>
  <c r="AH4" i="28"/>
  <c r="AO4" i="28"/>
  <c r="AO5" i="28"/>
  <c r="AO6" i="28"/>
  <c r="AO7" i="28"/>
  <c r="AO8" i="28"/>
  <c r="AO9" i="28"/>
  <c r="AO10" i="28"/>
  <c r="AO11" i="28"/>
  <c r="AO12" i="28"/>
  <c r="AP4" i="28"/>
  <c r="AP5" i="28"/>
  <c r="AP6" i="28"/>
  <c r="AP7" i="28"/>
  <c r="AP8" i="28"/>
  <c r="AP9" i="28"/>
  <c r="AP10" i="28"/>
  <c r="AP11" i="28"/>
  <c r="AP12" i="28"/>
  <c r="AM4" i="28"/>
  <c r="X5" i="28"/>
  <c r="AC5" i="28"/>
  <c r="AH5" i="28"/>
  <c r="AM5" i="28"/>
  <c r="X6" i="28"/>
  <c r="AC6" i="28"/>
  <c r="AH6" i="28"/>
  <c r="AM6" i="28"/>
  <c r="X7" i="28"/>
  <c r="AC7" i="28"/>
  <c r="AH7" i="28"/>
  <c r="AM7" i="28"/>
  <c r="C8" i="28"/>
  <c r="X8" i="28"/>
  <c r="AC8" i="28"/>
  <c r="AH8" i="28"/>
  <c r="AM8" i="28"/>
  <c r="C9" i="28"/>
  <c r="X9" i="28"/>
  <c r="AC9" i="28"/>
  <c r="AH9" i="28"/>
  <c r="AM9" i="28"/>
  <c r="C10" i="28"/>
  <c r="X10" i="28"/>
  <c r="AC10" i="28"/>
  <c r="AH10" i="28"/>
  <c r="AM10" i="28"/>
  <c r="C11" i="28"/>
  <c r="X11" i="28"/>
  <c r="AC11" i="28"/>
  <c r="AH11" i="28"/>
  <c r="AM11" i="28"/>
  <c r="C12" i="28"/>
  <c r="X12" i="28"/>
  <c r="AC12" i="28"/>
  <c r="AH12" i="28"/>
  <c r="AM12" i="28"/>
  <c r="E34" i="29" a="1"/>
  <c r="E34" i="29"/>
  <c r="AA21" i="29"/>
  <c r="W21" i="29"/>
  <c r="E35" i="29" a="1"/>
  <c r="E35" i="29"/>
  <c r="AA22" i="29"/>
  <c r="W22" i="29"/>
  <c r="E36" i="29" a="1"/>
  <c r="E36" i="29"/>
  <c r="AA23" i="29"/>
  <c r="W23" i="29"/>
  <c r="E37" i="29" a="1"/>
  <c r="E37" i="29"/>
  <c r="AA24" i="29"/>
  <c r="W24" i="29"/>
  <c r="E38" i="29" a="1"/>
  <c r="E38" i="29"/>
  <c r="AA25" i="29"/>
  <c r="W25" i="29"/>
  <c r="X17" i="29"/>
  <c r="X18" i="29"/>
  <c r="X19" i="29"/>
  <c r="X20" i="29"/>
  <c r="X21" i="29"/>
  <c r="X22" i="29"/>
  <c r="X23" i="29"/>
  <c r="X24" i="29"/>
  <c r="X25" i="29"/>
  <c r="E4" i="29"/>
  <c r="D4" i="29"/>
  <c r="E5" i="29"/>
  <c r="D5" i="29"/>
  <c r="E6" i="29"/>
  <c r="D6" i="29"/>
  <c r="E7" i="29"/>
  <c r="D7" i="29"/>
  <c r="E8" i="29"/>
  <c r="D8" i="29"/>
  <c r="E9" i="29"/>
  <c r="D9" i="29"/>
  <c r="E10" i="29"/>
  <c r="D10" i="29"/>
  <c r="E11" i="29"/>
  <c r="D11" i="29"/>
  <c r="E12" i="29"/>
  <c r="D12" i="29"/>
  <c r="C4" i="29"/>
  <c r="C5" i="29"/>
  <c r="C6" i="29"/>
  <c r="AC22" i="27"/>
  <c r="C7" i="29"/>
  <c r="AC21" i="27"/>
  <c r="AC20" i="27"/>
  <c r="AC19" i="27"/>
  <c r="T20" i="27"/>
  <c r="T21" i="27"/>
  <c r="T22" i="27"/>
  <c r="V19" i="27"/>
  <c r="W19" i="27"/>
  <c r="X19" i="27"/>
  <c r="Y19" i="27"/>
  <c r="Z19" i="27"/>
  <c r="AB19" i="27"/>
  <c r="AD19" i="27"/>
  <c r="V20" i="27"/>
  <c r="W20" i="27"/>
  <c r="X20" i="27"/>
  <c r="Y20" i="27"/>
  <c r="Z20" i="27"/>
  <c r="AB20" i="27"/>
  <c r="AD20" i="27"/>
  <c r="V21" i="27"/>
  <c r="W21" i="27"/>
  <c r="X21" i="27"/>
  <c r="Y21" i="27"/>
  <c r="Z21" i="27"/>
  <c r="AB21" i="27"/>
  <c r="AD21" i="27"/>
  <c r="V22" i="27"/>
  <c r="W22" i="27"/>
  <c r="X22" i="27"/>
  <c r="Y22" i="27"/>
  <c r="Z22" i="27"/>
  <c r="AB22" i="27"/>
  <c r="AD22" i="27"/>
  <c r="U20" i="27"/>
  <c r="I39" i="27"/>
  <c r="U21" i="27"/>
  <c r="I40" i="27"/>
  <c r="U22" i="27"/>
  <c r="I41" i="27"/>
  <c r="U19" i="27"/>
  <c r="I38" i="27"/>
  <c r="Z17" i="29"/>
  <c r="AG17" i="29"/>
  <c r="AH17" i="29"/>
  <c r="Z18" i="29"/>
  <c r="AG18" i="29"/>
  <c r="AH18" i="29"/>
  <c r="Z19" i="29"/>
  <c r="AG19" i="29"/>
  <c r="AH19" i="29"/>
  <c r="Z20" i="29"/>
  <c r="AG20" i="29"/>
  <c r="AH20" i="29"/>
  <c r="Z21" i="29"/>
  <c r="AG21" i="29"/>
  <c r="AH21" i="29"/>
  <c r="Z22" i="29"/>
  <c r="AG22" i="29"/>
  <c r="AH22" i="29"/>
  <c r="Z23" i="29"/>
  <c r="AG23" i="29"/>
  <c r="AH23" i="29"/>
  <c r="Z24" i="29"/>
  <c r="AG24" i="29"/>
  <c r="AH24" i="29"/>
  <c r="Z25" i="29"/>
  <c r="AG25" i="29"/>
  <c r="AH25" i="29"/>
  <c r="Z4" i="29"/>
  <c r="Z5" i="29"/>
  <c r="Z6" i="29"/>
  <c r="Z7" i="29"/>
  <c r="Z8" i="29"/>
  <c r="Z9" i="29"/>
  <c r="Z10" i="29"/>
  <c r="Z11" i="29"/>
  <c r="Z12" i="29"/>
  <c r="AA4" i="29"/>
  <c r="AA5" i="29"/>
  <c r="AA6" i="29"/>
  <c r="AA7" i="29"/>
  <c r="AA8" i="29"/>
  <c r="AA9" i="29"/>
  <c r="AA10" i="29"/>
  <c r="AA11" i="29"/>
  <c r="AA12" i="29"/>
  <c r="X4" i="29"/>
  <c r="AE4" i="29"/>
  <c r="AE5" i="29"/>
  <c r="AE6" i="29"/>
  <c r="AE7" i="29"/>
  <c r="AE8" i="29"/>
  <c r="AE9" i="29"/>
  <c r="AE10" i="29"/>
  <c r="AE11" i="29"/>
  <c r="AE12" i="29"/>
  <c r="AF4" i="29"/>
  <c r="AF5" i="29"/>
  <c r="AF6" i="29"/>
  <c r="AF7" i="29"/>
  <c r="AF8" i="29"/>
  <c r="AF9" i="29"/>
  <c r="AF10" i="29"/>
  <c r="AF11" i="29"/>
  <c r="AF12" i="29"/>
  <c r="AC4" i="29"/>
  <c r="AJ4" i="29"/>
  <c r="AJ5" i="29"/>
  <c r="AJ6" i="29"/>
  <c r="AJ7" i="29"/>
  <c r="AJ8" i="29"/>
  <c r="AJ9" i="29"/>
  <c r="AJ10" i="29"/>
  <c r="AJ11" i="29"/>
  <c r="AJ12" i="29"/>
  <c r="AK4" i="29"/>
  <c r="AK5" i="29"/>
  <c r="AK6" i="29"/>
  <c r="AK7" i="29"/>
  <c r="AK8" i="29"/>
  <c r="AK9" i="29"/>
  <c r="AK10" i="29"/>
  <c r="AK11" i="29"/>
  <c r="AK12" i="29"/>
  <c r="AH4" i="29"/>
  <c r="AO4" i="29"/>
  <c r="AO5" i="29"/>
  <c r="AO6" i="29"/>
  <c r="AO7" i="29"/>
  <c r="AO8" i="29"/>
  <c r="AO9" i="29"/>
  <c r="AO10" i="29"/>
  <c r="AO11" i="29"/>
  <c r="AO12" i="29"/>
  <c r="AP4" i="29"/>
  <c r="AP5" i="29"/>
  <c r="AP6" i="29"/>
  <c r="AP7" i="29"/>
  <c r="AP8" i="29"/>
  <c r="AP9" i="29"/>
  <c r="AP10" i="29"/>
  <c r="AP11" i="29"/>
  <c r="AP12" i="29"/>
  <c r="AM4" i="29"/>
  <c r="X5" i="29"/>
  <c r="AC5" i="29"/>
  <c r="AH5" i="29"/>
  <c r="AM5" i="29"/>
  <c r="X6" i="29"/>
  <c r="AC6" i="29"/>
  <c r="AH6" i="29"/>
  <c r="AM6" i="29"/>
  <c r="X7" i="29"/>
  <c r="AC7" i="29"/>
  <c r="AH7" i="29"/>
  <c r="AM7" i="29"/>
  <c r="C8" i="29"/>
  <c r="X8" i="29"/>
  <c r="AC8" i="29"/>
  <c r="AH8" i="29"/>
  <c r="AM8" i="29"/>
  <c r="C9" i="29"/>
  <c r="X9" i="29"/>
  <c r="AC9" i="29"/>
  <c r="AH9" i="29"/>
  <c r="AM9" i="29"/>
  <c r="C10" i="29"/>
  <c r="X10" i="29"/>
  <c r="AC10" i="29"/>
  <c r="AH10" i="29"/>
  <c r="AM10" i="29"/>
  <c r="C11" i="29"/>
  <c r="X11" i="29"/>
  <c r="AC11" i="29"/>
  <c r="AH11" i="29"/>
  <c r="AM11" i="29"/>
  <c r="C12" i="29"/>
  <c r="X12" i="29"/>
  <c r="AC12" i="29"/>
  <c r="AH12" i="29"/>
  <c r="AM12" i="29"/>
  <c r="E32" i="30" a="1"/>
  <c r="E32" i="30"/>
  <c r="AA19" i="30"/>
  <c r="W19" i="30"/>
  <c r="E33" i="30" a="1"/>
  <c r="E33" i="30"/>
  <c r="AA20" i="30"/>
  <c r="W20" i="30"/>
  <c r="E34" i="30" a="1"/>
  <c r="E34" i="30"/>
  <c r="AA21" i="30"/>
  <c r="W21" i="30"/>
  <c r="E35" i="30" a="1"/>
  <c r="E35" i="30"/>
  <c r="AA22" i="30"/>
  <c r="W22" i="30"/>
  <c r="E36" i="30" a="1"/>
  <c r="E36" i="30"/>
  <c r="AA23" i="30"/>
  <c r="W23" i="30"/>
  <c r="E37" i="30" a="1"/>
  <c r="E37" i="30"/>
  <c r="AA24" i="30"/>
  <c r="W24" i="30"/>
  <c r="E38" i="30" a="1"/>
  <c r="E38" i="30"/>
  <c r="AA25" i="30"/>
  <c r="W25" i="30"/>
  <c r="X17" i="30"/>
  <c r="X18" i="30"/>
  <c r="X19" i="30"/>
  <c r="X20" i="30"/>
  <c r="X21" i="30"/>
  <c r="X22" i="30"/>
  <c r="X23" i="30"/>
  <c r="X24" i="30"/>
  <c r="X25" i="30"/>
  <c r="E4" i="30"/>
  <c r="D4" i="30"/>
  <c r="E5" i="30"/>
  <c r="D5" i="30"/>
  <c r="E6" i="30"/>
  <c r="D6" i="30"/>
  <c r="E7" i="30"/>
  <c r="D7" i="30"/>
  <c r="E8" i="30"/>
  <c r="D8" i="30"/>
  <c r="E9" i="30"/>
  <c r="D9" i="30"/>
  <c r="E10" i="30"/>
  <c r="D10" i="30"/>
  <c r="E11" i="30"/>
  <c r="D11" i="30"/>
  <c r="E12" i="30"/>
  <c r="D12" i="30"/>
  <c r="C4" i="30"/>
  <c r="C5" i="30"/>
  <c r="C6" i="30"/>
  <c r="C7" i="30"/>
  <c r="AC29" i="27"/>
  <c r="AC28" i="27"/>
  <c r="AC27" i="27"/>
  <c r="AC26" i="27"/>
  <c r="T27" i="27"/>
  <c r="T28" i="27"/>
  <c r="T29" i="27"/>
  <c r="V26" i="27"/>
  <c r="W26" i="27"/>
  <c r="X26" i="27"/>
  <c r="Y26" i="27"/>
  <c r="Z26" i="27"/>
  <c r="AB26" i="27"/>
  <c r="AD26" i="27"/>
  <c r="V27" i="27"/>
  <c r="W27" i="27"/>
  <c r="X27" i="27"/>
  <c r="Y27" i="27"/>
  <c r="Z27" i="27"/>
  <c r="AB27" i="27"/>
  <c r="AD27" i="27"/>
  <c r="V28" i="27"/>
  <c r="W28" i="27"/>
  <c r="X28" i="27"/>
  <c r="Y28" i="27"/>
  <c r="Z28" i="27"/>
  <c r="AB28" i="27"/>
  <c r="AD28" i="27"/>
  <c r="V29" i="27"/>
  <c r="W29" i="27"/>
  <c r="X29" i="27"/>
  <c r="Y29" i="27"/>
  <c r="Z29" i="27"/>
  <c r="AB29" i="27"/>
  <c r="AD29" i="27"/>
  <c r="U27" i="27"/>
  <c r="I43" i="27"/>
  <c r="U28" i="27"/>
  <c r="I44" i="27"/>
  <c r="U29" i="27"/>
  <c r="I45" i="27"/>
  <c r="U26" i="27"/>
  <c r="I42" i="27"/>
  <c r="Z17" i="30"/>
  <c r="AG17" i="30"/>
  <c r="AH17" i="30"/>
  <c r="Z18" i="30"/>
  <c r="AG18" i="30"/>
  <c r="AH18" i="30"/>
  <c r="Z19" i="30"/>
  <c r="AG19" i="30"/>
  <c r="AH19" i="30"/>
  <c r="Z20" i="30"/>
  <c r="AG20" i="30"/>
  <c r="AH20" i="30"/>
  <c r="Z21" i="30"/>
  <c r="AG21" i="30"/>
  <c r="AH21" i="30"/>
  <c r="Z22" i="30"/>
  <c r="AG22" i="30"/>
  <c r="AH22" i="30"/>
  <c r="Z23" i="30"/>
  <c r="AG23" i="30"/>
  <c r="AH23" i="30"/>
  <c r="Z24" i="30"/>
  <c r="AG24" i="30"/>
  <c r="AH24" i="30"/>
  <c r="Z25" i="30"/>
  <c r="AG25" i="30"/>
  <c r="AH25" i="30"/>
  <c r="Z4" i="30"/>
  <c r="Z5" i="30"/>
  <c r="Z6" i="30"/>
  <c r="Z7" i="30"/>
  <c r="Z8" i="30"/>
  <c r="Z9" i="30"/>
  <c r="Z10" i="30"/>
  <c r="Z11" i="30"/>
  <c r="Z12" i="30"/>
  <c r="AA4" i="30"/>
  <c r="AA5" i="30"/>
  <c r="AA6" i="30"/>
  <c r="AA7" i="30"/>
  <c r="AA8" i="30"/>
  <c r="AA9" i="30"/>
  <c r="AA10" i="30"/>
  <c r="AA11" i="30"/>
  <c r="AA12" i="30"/>
  <c r="X4" i="30"/>
  <c r="AE4" i="30"/>
  <c r="AE5" i="30"/>
  <c r="AE6" i="30"/>
  <c r="AE7" i="30"/>
  <c r="AE8" i="30"/>
  <c r="AE9" i="30"/>
  <c r="AE10" i="30"/>
  <c r="AE11" i="30"/>
  <c r="AE12" i="30"/>
  <c r="AF4" i="30"/>
  <c r="AF5" i="30"/>
  <c r="AF6" i="30"/>
  <c r="AF7" i="30"/>
  <c r="AF8" i="30"/>
  <c r="AF9" i="30"/>
  <c r="AF10" i="30"/>
  <c r="AF11" i="30"/>
  <c r="AF12" i="30"/>
  <c r="AC4" i="30"/>
  <c r="AJ4" i="30"/>
  <c r="AJ5" i="30"/>
  <c r="AJ6" i="30"/>
  <c r="AJ7" i="30"/>
  <c r="AJ8" i="30"/>
  <c r="AJ9" i="30"/>
  <c r="AJ10" i="30"/>
  <c r="AJ11" i="30"/>
  <c r="AJ12" i="30"/>
  <c r="AK4" i="30"/>
  <c r="AK5" i="30"/>
  <c r="AK6" i="30"/>
  <c r="AK7" i="30"/>
  <c r="AK8" i="30"/>
  <c r="AK9" i="30"/>
  <c r="AK10" i="30"/>
  <c r="AK11" i="30"/>
  <c r="AK12" i="30"/>
  <c r="AH4" i="30"/>
  <c r="AO4" i="30"/>
  <c r="AO5" i="30"/>
  <c r="AO6" i="30"/>
  <c r="AO7" i="30"/>
  <c r="AO8" i="30"/>
  <c r="AO9" i="30"/>
  <c r="AO10" i="30"/>
  <c r="AO11" i="30"/>
  <c r="AO12" i="30"/>
  <c r="AP4" i="30"/>
  <c r="AP5" i="30"/>
  <c r="AP6" i="30"/>
  <c r="AP7" i="30"/>
  <c r="AP8" i="30"/>
  <c r="AP9" i="30"/>
  <c r="AP10" i="30"/>
  <c r="AP11" i="30"/>
  <c r="AP12" i="30"/>
  <c r="AM4" i="30"/>
  <c r="X5" i="30"/>
  <c r="AC5" i="30"/>
  <c r="AH5" i="30"/>
  <c r="AM5" i="30"/>
  <c r="X6" i="30"/>
  <c r="AC6" i="30"/>
  <c r="AH6" i="30"/>
  <c r="AM6" i="30"/>
  <c r="X7" i="30"/>
  <c r="AC7" i="30"/>
  <c r="AH7" i="30"/>
  <c r="AM7" i="30"/>
  <c r="C8" i="30"/>
  <c r="X8" i="30"/>
  <c r="AC8" i="30"/>
  <c r="AH8" i="30"/>
  <c r="AM8" i="30"/>
  <c r="C9" i="30"/>
  <c r="X9" i="30"/>
  <c r="AC9" i="30"/>
  <c r="AH9" i="30"/>
  <c r="AM9" i="30"/>
  <c r="C10" i="30"/>
  <c r="X10" i="30"/>
  <c r="AC10" i="30"/>
  <c r="AH10" i="30"/>
  <c r="AM10" i="30"/>
  <c r="C11" i="30"/>
  <c r="X11" i="30"/>
  <c r="AC11" i="30"/>
  <c r="AH11" i="30"/>
  <c r="AM11" i="30"/>
  <c r="C12" i="30"/>
  <c r="X12" i="30"/>
  <c r="AC12" i="30"/>
  <c r="AH12" i="30"/>
  <c r="AM12" i="30"/>
</calcChain>
</file>

<file path=xl/sharedStrings.xml><?xml version="1.0" encoding="utf-8"?>
<sst xmlns="http://schemas.openxmlformats.org/spreadsheetml/2006/main" count="1717" uniqueCount="382">
  <si>
    <t>Nr.</t>
  </si>
  <si>
    <t>Spielpaarung</t>
  </si>
  <si>
    <t>Ergebnis</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</si>
  <si>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</si>
  <si>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</si>
  <si>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</si>
  <si>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</si>
  <si>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</si>
  <si>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</si>
  <si>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</si>
  <si>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</si>
  <si>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</si>
  <si>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</si>
  <si>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</si>
  <si>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</si>
  <si>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</si>
  <si>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</si>
  <si>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</si>
  <si>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</si>
  <si>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</si>
  <si>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</si>
  <si>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</si>
  <si>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</si>
  <si>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</si>
  <si>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</si>
  <si>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</si>
  <si>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</si>
  <si>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</si>
  <si>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</si>
  <si>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</si>
  <si>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</si>
  <si>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</si>
  <si>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</si>
  <si>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</si>
  <si>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</si>
  <si>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</si>
  <si>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</si>
  <si>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</si>
  <si>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</si>
  <si>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</si>
  <si>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</si>
  <si>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</si>
  <si>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</si>
  <si>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</si>
  <si>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</si>
  <si>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</si>
  <si>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</si>
  <si>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</si>
  <si>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</si>
  <si>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</si>
  <si>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</si>
  <si>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</si>
  <si>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</si>
  <si>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</si>
  <si>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</si>
  <si>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</si>
  <si>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</si>
  <si>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</si>
  <si>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</si>
  <si>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</si>
  <si>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</si>
  <si>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</si>
  <si>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</si>
  <si>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</si>
  <si>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</si>
  <si>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</si>
  <si>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</si>
  <si>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</si>
  <si>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</si>
  <si>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</si>
  <si>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</si>
  <si>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</si>
  <si>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</si>
  <si>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</si>
  <si>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</si>
  <si>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</si>
  <si>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</si>
  <si>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</si>
  <si>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</si>
  <si>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</si>
  <si>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</si>
  <si>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</si>
  <si>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</si>
  <si>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</si>
  <si>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</si>
  <si>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</si>
  <si>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</si>
  <si>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</si>
  <si>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</si>
  <si>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</si>
  <si>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</si>
  <si>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</si>
  <si>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</si>
  <si>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</si>
  <si>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</si>
  <si>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</si>
  <si>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</si>
  <si>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</si>
  <si>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</si>
  <si>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</si>
  <si>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</si>
  <si>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Difference</t>
  </si>
  <si>
    <t>Pld</t>
  </si>
  <si>
    <t>W</t>
  </si>
  <si>
    <t>D</t>
  </si>
  <si>
    <t>L</t>
  </si>
  <si>
    <t>GF</t>
  </si>
  <si>
    <t>GA</t>
  </si>
  <si>
    <t>GD</t>
  </si>
  <si>
    <t>Pts</t>
  </si>
  <si>
    <t>Choose language</t>
  </si>
  <si>
    <t>my language</t>
  </si>
  <si>
    <t>english</t>
  </si>
  <si>
    <t>Direct comparisons</t>
  </si>
  <si>
    <t>Captions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</si>
  <si>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</si>
  <si>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</si>
  <si>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</si>
  <si>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</si>
  <si>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</si>
  <si>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</si>
  <si>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</si>
  <si>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</si>
  <si>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</si>
  <si>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</si>
  <si>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</si>
  <si>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</si>
  <si>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</si>
  <si>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</si>
  <si>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</si>
  <si>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</si>
  <si>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</si>
  <si>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</si>
  <si>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</si>
  <si>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</si>
  <si>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</si>
  <si>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</si>
  <si>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</si>
  <si>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</si>
  <si>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</si>
  <si>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</si>
  <si>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</si>
  <si>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</si>
  <si>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</si>
  <si>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</si>
  <si>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</si>
  <si>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</si>
  <si>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</si>
  <si>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</si>
  <si>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</si>
  <si>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</si>
  <si>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erz. Tore</t>
  </si>
  <si>
    <t>Double match pairings and matches against oneself
lead to incorrect values in the overall table!</t>
  </si>
  <si>
    <t>first leg</t>
  </si>
  <si>
    <t>second leg</t>
  </si>
  <si>
    <t>pairing first</t>
  </si>
  <si>
    <t>pairing second</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</si>
  <si>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</si>
  <si>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</si>
  <si>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</si>
  <si>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</si>
  <si>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</si>
  <si>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</si>
  <si>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</si>
  <si>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</si>
  <si>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</si>
  <si>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</si>
  <si>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</si>
  <si>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</si>
  <si>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</si>
  <si>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</si>
  <si>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</si>
  <si>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</si>
  <si>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</si>
  <si>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</si>
  <si>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</si>
  <si>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</si>
  <si>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</si>
  <si>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</si>
  <si>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</si>
  <si>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</si>
  <si>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DirC</t>
  </si>
  <si>
    <t>Direct comparison over goal difference and goals forced</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</si>
  <si>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</si>
  <si>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</si>
  <si>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</si>
  <si>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</si>
  <si>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</si>
  <si>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</si>
  <si>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</si>
  <si>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</si>
  <si>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</si>
  <si>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</si>
  <si>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</si>
  <si>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</si>
  <si>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</si>
  <si>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</si>
  <si>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</si>
  <si>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</si>
  <si>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</si>
  <si>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</si>
  <si>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</si>
  <si>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</si>
  <si>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</si>
  <si>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</si>
  <si>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</si>
  <si>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</si>
  <si>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</si>
  <si>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TieBr.</t>
  </si>
  <si>
    <t>DirC + TieBreak</t>
  </si>
  <si>
    <t>Tie Break Vorrunde</t>
  </si>
  <si>
    <t>Tie break preliminary round</t>
  </si>
  <si>
    <t>6A - 6B</t>
  </si>
  <si>
    <t>5A - 5B</t>
  </si>
  <si>
    <t>4A - 4B</t>
  </si>
  <si>
    <t>3A - 3B</t>
  </si>
  <si>
    <t>2A - 2B</t>
  </si>
  <si>
    <t>1A - 1B</t>
  </si>
  <si>
    <t>:</t>
  </si>
  <si>
    <t>Zusätzl. Pause (min)</t>
  </si>
  <si>
    <t>Addit. Pause (min)</t>
  </si>
  <si>
    <t>Turnierende:</t>
  </si>
  <si>
    <t>Tournament end:</t>
  </si>
  <si>
    <t>End of preliminary round:</t>
  </si>
  <si>
    <t>Ende der Vorrunde:</t>
  </si>
  <si>
    <t>Playing time per match:</t>
  </si>
  <si>
    <t>Spielzeit pro Spiel:</t>
  </si>
  <si>
    <t>Change time:</t>
  </si>
  <si>
    <t>Wechselzeit:</t>
  </si>
  <si>
    <t>Field</t>
  </si>
  <si>
    <t>Rang</t>
  </si>
  <si>
    <t>Rank</t>
  </si>
  <si>
    <t>Sind zwei oder mehr Mannschaften nicht unterscheidbar und wird eine Entscheidung z.B. durch Elfmeterschießen oder Los getroffen, genügt es, für die bevorzugte Mannschaft einen Bonuspunkt einzutragen.</t>
  </si>
  <si>
    <t>If two or more teams cannot be distinguished and a decision is made, for example, through a penalty shootout or drawing lots, it is sufficient to enter a bonus point for the preferred team.</t>
  </si>
  <si>
    <t>1A - 2B</t>
  </si>
  <si>
    <t>1B - 2A</t>
  </si>
  <si>
    <t>3. Platz</t>
  </si>
  <si>
    <t>Finale</t>
  </si>
  <si>
    <t>Final</t>
  </si>
  <si>
    <t>3rd place</t>
  </si>
  <si>
    <t>Halbfinale</t>
  </si>
  <si>
    <t>Endspiele</t>
  </si>
  <si>
    <t>Finals</t>
  </si>
  <si>
    <t>Semi-finals</t>
  </si>
  <si>
    <t xml:space="preserve">Spiele um die Plätze </t>
  </si>
  <si>
    <t xml:space="preserve">Games for places </t>
  </si>
  <si>
    <t>Beginn:  9:00 Uhr</t>
  </si>
  <si>
    <t>Veranstalter:  1. FC Riedwald</t>
  </si>
  <si>
    <t>Vorrunde Gruppe</t>
  </si>
  <si>
    <t>Preliminary round group</t>
  </si>
  <si>
    <t>1. FC Riedwald</t>
  </si>
  <si>
    <t>FC Barcelona</t>
  </si>
  <si>
    <t>Eintracht Frankfurt</t>
  </si>
  <si>
    <t>Maibach 1822 eV</t>
  </si>
  <si>
    <t>Mainz 05</t>
  </si>
  <si>
    <t>Inter Mailand</t>
  </si>
  <si>
    <t>Manchester City</t>
  </si>
  <si>
    <t>SSV Wildbach</t>
  </si>
  <si>
    <t>FC Grönlingen</t>
  </si>
  <si>
    <t>Sporthalle Wiesengrund, Wendiger Str. 51, 65432 Riedwald</t>
  </si>
  <si>
    <t>dummy</t>
  </si>
  <si>
    <t>Spielplätze:</t>
  </si>
  <si>
    <t>Anzahl der</t>
  </si>
  <si>
    <t>Maximale</t>
  </si>
  <si>
    <t>Zeiten und Spielplatz</t>
  </si>
  <si>
    <t>ausblenden:</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</si>
  <si>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</si>
  <si>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</si>
  <si>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</si>
  <si>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</si>
  <si>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</si>
  <si>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End of tournament (final round 1):</t>
  </si>
  <si>
    <t>Turnierende (Endrunde 1):</t>
  </si>
  <si>
    <t>End of tournament (final round 2):</t>
  </si>
  <si>
    <t>Turnierende (Endrunde 2):</t>
  </si>
  <si>
    <t>TIME CONFLICT
Too many pitches!</t>
  </si>
  <si>
    <t>ZEITKONFLIKT
Zu viele Spielplätze!</t>
  </si>
  <si>
    <t xml:space="preserve"> pitches at the same time.</t>
  </si>
  <si>
    <t>(eff. Anz.)</t>
  </si>
  <si>
    <t>Erste Position des doppelten Elements</t>
  </si>
  <si>
    <t>Zweite Position des doppelten Elements</t>
  </si>
  <si>
    <t>Doppeltes Element finden</t>
  </si>
  <si>
    <t xml:space="preserve">TIME CONFLICT for team </t>
  </si>
  <si>
    <t xml:space="preserve">ZEITKONFLIKT für Team </t>
  </si>
  <si>
    <t xml:space="preserve">in matches </t>
  </si>
  <si>
    <t xml:space="preserve">in den Spielen </t>
  </si>
  <si>
    <t xml:space="preserve"> and </t>
  </si>
  <si>
    <t xml:space="preserve"> und </t>
  </si>
  <si>
    <t>*</t>
  </si>
  <si>
    <t>wegen</t>
  </si>
  <si>
    <t>bei drei</t>
  </si>
  <si>
    <t>Spielplätzen</t>
  </si>
  <si>
    <t>due to time</t>
  </si>
  <si>
    <t>conflict at</t>
  </si>
  <si>
    <t>three fields</t>
  </si>
  <si>
    <t>* vertauscht</t>
  </si>
  <si>
    <t>* swapped</t>
  </si>
  <si>
    <t>Anzahl der Spielfelder:</t>
  </si>
  <si>
    <t>Number of fields:</t>
  </si>
  <si>
    <t>Feld</t>
  </si>
  <si>
    <t>Start</t>
  </si>
  <si>
    <t>Beginn</t>
  </si>
  <si>
    <t>End of tournament (final round 3):</t>
  </si>
  <si>
    <t>Turnierende (Endrunde 3):</t>
  </si>
  <si>
    <t>GDz</t>
  </si>
  <si>
    <t>3A</t>
  </si>
  <si>
    <t>1B</t>
  </si>
  <si>
    <t>First and second in the group</t>
  </si>
  <si>
    <t>Gruppenerste und -zweite</t>
  </si>
  <si>
    <t>Third and fourth in the group</t>
  </si>
  <si>
    <t>Gruppendritte und -vierte</t>
  </si>
  <si>
    <t>Fifth and sixth in the group</t>
  </si>
  <si>
    <t>Gruppenfünfte und -sechste</t>
  </si>
  <si>
    <t>1A</t>
  </si>
  <si>
    <t>2A</t>
  </si>
  <si>
    <t>2B</t>
  </si>
  <si>
    <t>3B</t>
  </si>
  <si>
    <t>4A</t>
  </si>
  <si>
    <t>4B</t>
  </si>
  <si>
    <t>5A</t>
  </si>
  <si>
    <t>5B</t>
  </si>
  <si>
    <t>6A</t>
  </si>
  <si>
    <t>6B</t>
  </si>
  <si>
    <t>End of tournament (final round 4):</t>
  </si>
  <si>
    <t>Turnierende (Endrunde 4):</t>
  </si>
  <si>
    <t>VFB Essenheim</t>
  </si>
  <si>
    <t>1st set</t>
  </si>
  <si>
    <t>1. Satz</t>
  </si>
  <si>
    <t>2nd set</t>
  </si>
  <si>
    <t>2. Satz</t>
  </si>
  <si>
    <t>balls</t>
  </si>
  <si>
    <t>Bälle</t>
  </si>
  <si>
    <t>3rd set</t>
  </si>
  <si>
    <t>3. Satz</t>
  </si>
  <si>
    <t>Sets won</t>
  </si>
  <si>
    <t>result</t>
  </si>
  <si>
    <t>W (sets)</t>
  </si>
  <si>
    <t>Pts+ GD</t>
  </si>
  <si>
    <t>&lt;-- max(A;B) --&gt;</t>
  </si>
  <si>
    <t>Tie-Break</t>
  </si>
  <si>
    <t>Tie break</t>
  </si>
  <si>
    <t>invalid 1</t>
  </si>
  <si>
    <t>invalid 2</t>
  </si>
  <si>
    <t>invalid 3</t>
  </si>
  <si>
    <t>Tie break final round 4</t>
  </si>
  <si>
    <t>Tie Break Endrunde 4</t>
  </si>
  <si>
    <t>Team IDs</t>
  </si>
  <si>
    <t>Team-Kürzel</t>
  </si>
  <si>
    <t>e.g.  A2 - A4</t>
  </si>
  <si>
    <t>z.B.  A2 - A4</t>
  </si>
  <si>
    <t>Winner</t>
  </si>
  <si>
    <t>Sieger</t>
  </si>
  <si>
    <t>Red font means that the ranking is not clear even with the direct comparison. A playoff match or drawing of lots must decide here.</t>
  </si>
  <si>
    <t>Rote Schrift bedeutet, dass die Rangfolge auch mit dem direkten Vergleich nicht geklärt ist. Ein Entscheidungsspiel oder Los muss hier entscheiden.</t>
  </si>
  <si>
    <t>Internationales U10-Turnier am 12.03.2025</t>
  </si>
  <si>
    <t>Ball difference or ball quotient</t>
  </si>
  <si>
    <t>Balldifferenz oder Ballquotient</t>
  </si>
  <si>
    <t>Ball difference</t>
  </si>
  <si>
    <t>Balldifferenz</t>
  </si>
  <si>
    <t>Ball quotient</t>
  </si>
  <si>
    <t>Ballquotient</t>
  </si>
  <si>
    <t>Diff./Quot.</t>
  </si>
  <si>
    <t>max quot.</t>
  </si>
  <si>
    <t>Quot.</t>
  </si>
  <si>
    <t>Nr of dec places</t>
  </si>
  <si>
    <t>Display in the crosstabs of the preliminary round:</t>
  </si>
  <si>
    <t>Anzeige in den Kreuztabellen der Vorrunde:</t>
  </si>
  <si>
    <t>Ball points</t>
  </si>
  <si>
    <t>Ballpunkte</t>
  </si>
  <si>
    <t>Set points</t>
  </si>
  <si>
    <t>Satzpunkte</t>
  </si>
  <si>
    <t>Ball/Set points</t>
  </si>
  <si>
    <t>3rd set?</t>
  </si>
  <si>
    <t>winner</t>
  </si>
  <si>
    <t>looser</t>
  </si>
  <si>
    <t>valid 3</t>
  </si>
  <si>
    <t>valid 1 + 2</t>
  </si>
  <si>
    <t>Version  1.2
19.03.2025</t>
  </si>
  <si>
    <t>Diff/Quot</t>
  </si>
  <si>
    <t>Sets lost</t>
  </si>
  <si>
    <t>sets</t>
  </si>
  <si>
    <t>Sätze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</si>
</sst>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6"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3"/>
      <name val="Calibri"/>
      <family val="2"/>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b/>
      <sz val="12"/>
      <color rgb="FFFF0000"/>
      <name val="Calibri"/>
      <family val="2"/>
      <scheme val="minor"/>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2"/>
      <color theme="1" tint="0.499984740745262"/>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sz val="10"/>
      <color theme="8" tint="-0.499984740745262"/>
      <name val="Calibri"/>
      <family val="2"/>
    </font>
    <font>
      <b/>
      <sz val="14"/>
      <color rgb="FFDA0000"/>
      <name val="Calibri"/>
      <family val="2"/>
      <scheme val="minor"/>
    </font>
    <font>
      <sz val="10"/>
      <color rgb="FFDA0000"/>
      <name val="Arial"/>
      <family val="2"/>
    </font>
    <font>
      <b/>
      <sz val="18"/>
      <color rgb="FF0070C0"/>
      <name val="Calibri"/>
      <family val="2"/>
    </font>
    <font>
      <sz val="11"/>
      <color theme="8" tint="-0.249977111117893"/>
      <name val="Calibri"/>
      <family val="2"/>
      <scheme val="minor"/>
    </font>
    <font>
      <b/>
      <sz val="10"/>
      <color rgb="FF0070C0"/>
      <name val="Calibri"/>
      <family val="2"/>
      <scheme val="minor"/>
    </font>
    <font>
      <sz val="11"/>
      <color theme="5" tint="-0.249977111117893"/>
      <name val="Calibri"/>
      <family val="2"/>
      <scheme val="minor"/>
    </font>
    <font>
      <b/>
      <sz val="10"/>
      <name val="Calibri"/>
      <family val="2"/>
      <scheme val="minor"/>
    </font>
    <font>
      <sz val="9"/>
      <color theme="5"/>
      <name val="Calibri"/>
      <family val="2"/>
      <scheme val="minor"/>
    </font>
  </fonts>
  <fills count="2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s>
  <borders count="28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0" tint="-0.499984740745262"/>
      </left>
      <right style="thick">
        <color theme="0" tint="-0.499984740745262"/>
      </right>
      <top/>
      <bottom style="thick">
        <color rgb="FFFF0000"/>
      </bottom>
      <diagonal/>
    </border>
    <border>
      <left style="thick">
        <color theme="0" tint="-0.499984740745262"/>
      </left>
      <right/>
      <top/>
      <bottom style="thick">
        <color rgb="FFFF0000"/>
      </bottom>
      <diagonal/>
    </border>
    <border>
      <left/>
      <right/>
      <top/>
      <bottom style="thick">
        <color rgb="FFFF0000"/>
      </bottom>
      <diagonal/>
    </border>
    <border>
      <left/>
      <right style="thick">
        <color theme="2" tint="-0.499984740745262"/>
      </right>
      <top/>
      <bottom style="thick">
        <color rgb="FFFF0000"/>
      </bottom>
      <diagonal/>
    </border>
    <border>
      <left style="thick">
        <color theme="2" tint="-0.499984740745262"/>
      </left>
      <right/>
      <top/>
      <bottom style="thick">
        <color rgb="FFFF0000"/>
      </bottom>
      <diagonal/>
    </border>
    <border>
      <left style="thick">
        <color theme="0" tint="-0.499984740745262"/>
      </left>
      <right style="thick">
        <color theme="0" tint="-0.499984740745262"/>
      </right>
      <top style="thick">
        <color rgb="FFFF0000"/>
      </top>
      <bottom/>
      <diagonal/>
    </border>
    <border>
      <left style="thick">
        <color theme="0" tint="-0.499984740745262"/>
      </left>
      <right/>
      <top style="thick">
        <color rgb="FFFF0000"/>
      </top>
      <bottom/>
      <diagonal/>
    </border>
    <border>
      <left/>
      <right/>
      <top style="thick">
        <color rgb="FFFF0000"/>
      </top>
      <bottom/>
      <diagonal/>
    </border>
    <border>
      <left/>
      <right style="thick">
        <color theme="0" tint="-0.499984740745262"/>
      </right>
      <top style="thick">
        <color rgb="FFFF0000"/>
      </top>
      <bottom/>
      <diagonal/>
    </border>
    <border>
      <left/>
      <right style="thick">
        <color theme="2" tint="-0.499984740745262"/>
      </right>
      <top style="thick">
        <color rgb="FFFF0000"/>
      </top>
      <bottom/>
      <diagonal/>
    </border>
    <border>
      <left style="thick">
        <color theme="2" tint="-0.499984740745262"/>
      </left>
      <right/>
      <top style="thick">
        <color rgb="FFFF0000"/>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ck">
        <color theme="2" tint="-0.499984740745262"/>
      </left>
      <right style="medium">
        <color theme="2" tint="-0.499984740745262"/>
      </right>
      <top style="thin">
        <color theme="2" tint="-0.24994659260841701"/>
      </top>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ck">
        <color theme="2" tint="-0.499984740745262"/>
      </bottom>
      <diagonal/>
    </border>
    <border>
      <left style="thin">
        <color theme="2" tint="-0.499984740745262"/>
      </left>
      <right/>
      <top/>
      <bottom style="thin">
        <color theme="2" tint="-0.24994659260841701"/>
      </bottom>
      <diagonal/>
    </border>
    <border>
      <left style="thin">
        <color theme="2" tint="-0.499984740745262"/>
      </left>
      <right/>
      <top style="thin">
        <color theme="2" tint="-0.24994659260841701"/>
      </top>
      <bottom style="thin">
        <color theme="2" tint="-0.24994659260841701"/>
      </bottom>
      <diagonal/>
    </border>
    <border>
      <left style="thin">
        <color theme="2" tint="-0.499984740745262"/>
      </left>
      <right/>
      <top style="thin">
        <color theme="2" tint="-0.24994659260841701"/>
      </top>
      <bottom style="thick">
        <color theme="2" tint="-0.499984740745262"/>
      </bottom>
      <diagonal/>
    </border>
    <border>
      <left/>
      <right/>
      <top style="thin">
        <color theme="7"/>
      </top>
      <bottom style="thin">
        <color theme="7"/>
      </bottom>
      <diagonal/>
    </border>
    <border>
      <left style="thin">
        <color theme="2" tint="-0.499984740745262"/>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499984740745262"/>
      </right>
      <top style="thin">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medium">
        <color auto="1"/>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auto="1"/>
      </left>
      <right style="thin">
        <color theme="2" tint="-0.24994659260841701"/>
      </right>
      <top style="thin">
        <color theme="2" tint="-0.24994659260841701"/>
      </top>
      <bottom style="thin">
        <color theme="2" tint="-0.24994659260841701"/>
      </bottom>
      <diagonal/>
    </border>
    <border>
      <left style="thick">
        <color theme="2" tint="-0.24994659260841701"/>
      </left>
      <right style="medium">
        <color auto="1"/>
      </right>
      <top style="thick">
        <color theme="2" tint="-0.24994659260841701"/>
      </top>
      <bottom style="medium">
        <color auto="1"/>
      </bottom>
      <diagonal/>
    </border>
    <border>
      <left/>
      <right/>
      <top style="thick">
        <color theme="2" tint="-0.24994659260841701"/>
      </top>
      <bottom style="medium">
        <color auto="1"/>
      </bottom>
      <diagonal/>
    </border>
    <border>
      <left/>
      <right style="thick">
        <color theme="2" tint="-0.24994659260841701"/>
      </right>
      <top style="thick">
        <color theme="2" tint="-0.24994659260841701"/>
      </top>
      <bottom style="medium">
        <color auto="1"/>
      </bottom>
      <diagonal/>
    </border>
    <border>
      <left style="thick">
        <color theme="2" tint="-0.24994659260841701"/>
      </left>
      <right style="medium">
        <color auto="1"/>
      </right>
      <top/>
      <bottom/>
      <diagonal/>
    </border>
    <border>
      <left style="thin">
        <color theme="2" tint="-0.24994659260841701"/>
      </left>
      <right style="thick">
        <color theme="2" tint="-0.24994659260841701"/>
      </right>
      <top style="medium">
        <color auto="1"/>
      </top>
      <bottom style="thin">
        <color theme="2" tint="-0.24994659260841701"/>
      </bottom>
      <diagonal/>
    </border>
    <border>
      <left style="thin">
        <color theme="2" tint="-0.24994659260841701"/>
      </left>
      <right style="thick">
        <color theme="2" tint="-0.24994659260841701"/>
      </right>
      <top style="thin">
        <color theme="2" tint="-0.24994659260841701"/>
      </top>
      <bottom style="thin">
        <color theme="2" tint="-0.24994659260841701"/>
      </bottom>
      <diagonal/>
    </border>
    <border>
      <left style="thick">
        <color theme="2" tint="-0.24994659260841701"/>
      </left>
      <right style="medium">
        <color auto="1"/>
      </right>
      <top/>
      <bottom style="thick">
        <color theme="2" tint="-0.24994659260841701"/>
      </bottom>
      <diagonal/>
    </border>
    <border>
      <left style="medium">
        <color auto="1"/>
      </left>
      <right style="thin">
        <color theme="2" tint="-0.24994659260841701"/>
      </right>
      <top style="thin">
        <color theme="2" tint="-0.24994659260841701"/>
      </top>
      <bottom style="thick">
        <color theme="2" tint="-0.24994659260841701"/>
      </bottom>
      <diagonal/>
    </border>
    <border>
      <left style="thin">
        <color theme="2" tint="-0.24994659260841701"/>
      </left>
      <right style="thin">
        <color theme="2" tint="-0.24994659260841701"/>
      </right>
      <top style="thin">
        <color theme="2" tint="-0.24994659260841701"/>
      </top>
      <bottom style="thick">
        <color theme="2" tint="-0.24994659260841701"/>
      </bottom>
      <diagonal/>
    </border>
    <border>
      <left style="thin">
        <color theme="2" tint="-0.24994659260841701"/>
      </left>
      <right style="thick">
        <color theme="2" tint="-0.24994659260841701"/>
      </right>
      <top style="thin">
        <color theme="2" tint="-0.24994659260841701"/>
      </top>
      <bottom style="thick">
        <color theme="2" tint="-0.24994659260841701"/>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ck">
        <color theme="2" tint="-0.499984740745262"/>
      </left>
      <right/>
      <top/>
      <bottom style="thin">
        <color theme="2" tint="-0.24994659260841701"/>
      </bottom>
      <diagonal/>
    </border>
    <border>
      <left style="thick">
        <color theme="7"/>
      </left>
      <right style="thick">
        <color theme="7"/>
      </right>
      <top style="thick">
        <color theme="7"/>
      </top>
      <bottom style="thick">
        <color theme="7"/>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thin">
        <color theme="2" tint="-0.24994659260841701"/>
      </left>
      <right style="medium">
        <color theme="2" tint="-0.499984740745262"/>
      </right>
      <top style="thin">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style="thick">
        <color theme="2" tint="-0.499984740745262"/>
      </top>
      <bottom style="thick">
        <color theme="2" tint="-0.499984740745262"/>
      </bottom>
      <diagonal/>
    </border>
    <border>
      <left/>
      <right/>
      <top/>
      <bottom style="medium">
        <color auto="1"/>
      </bottom>
      <diagonal/>
    </border>
    <border>
      <left style="medium">
        <color theme="7"/>
      </left>
      <right style="medium">
        <color theme="7"/>
      </right>
      <top style="medium">
        <color theme="7"/>
      </top>
      <bottom style="medium">
        <color theme="7"/>
      </bottom>
      <diagonal/>
    </border>
    <border>
      <left style="thin">
        <color theme="2" tint="-0.24994659260841701"/>
      </left>
      <right/>
      <top style="thick">
        <color theme="2" tint="-0.499984740745262"/>
      </top>
      <bottom style="thin">
        <color theme="2" tint="-0.499984740745262"/>
      </bottom>
      <diagonal/>
    </border>
    <border>
      <left style="thick">
        <color theme="2" tint="-0.499984740745262"/>
      </left>
      <right/>
      <top style="thick">
        <color theme="2" tint="-0.499984740745262"/>
      </top>
      <bottom style="medium">
        <color theme="2" tint="-0.499984740745262"/>
      </bottom>
      <diagonal/>
    </border>
    <border>
      <left/>
      <right style="thick">
        <color theme="2" tint="-0.499984740745262"/>
      </right>
      <top style="thick">
        <color theme="2" tint="-0.499984740745262"/>
      </top>
      <bottom style="medium">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right style="thin">
        <color theme="2" tint="-0.24994659260841701"/>
      </right>
      <top/>
      <bottom/>
      <diagonal/>
    </border>
    <border>
      <left/>
      <right style="thin">
        <color theme="2" tint="-0.24994659260841701"/>
      </right>
      <top/>
      <bottom style="thick">
        <color theme="2" tint="-0.499984740745262"/>
      </bottom>
      <diagonal/>
    </border>
    <border>
      <left style="thin">
        <color theme="2" tint="-0.24994659260841701"/>
      </left>
      <right/>
      <top style="medium">
        <color theme="2" tint="-0.499984740745262"/>
      </top>
      <bottom style="thick">
        <color theme="2" tint="-0.499984740745262"/>
      </bottom>
      <diagonal/>
    </border>
    <border>
      <left/>
      <right/>
      <top style="medium">
        <color theme="2" tint="-0.499984740745262"/>
      </top>
      <bottom style="thick">
        <color theme="2" tint="-0.499984740745262"/>
      </bottom>
      <diagonal/>
    </border>
    <border>
      <left/>
      <right style="medium">
        <color theme="2" tint="-0.499984740745262"/>
      </right>
      <top style="medium">
        <color theme="2" tint="-0.499984740745262"/>
      </top>
      <bottom style="thick">
        <color theme="2" tint="-0.499984740745262"/>
      </bottom>
      <diagonal/>
    </border>
    <border>
      <left/>
      <right style="thick">
        <color theme="7"/>
      </right>
      <top/>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right style="thick">
        <color theme="9" tint="0.39991454817346722"/>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right style="thick">
        <color theme="9" tint="0.39991454817346722"/>
      </right>
      <top/>
      <bottom style="thick">
        <color theme="9" tint="0.39991454817346722"/>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
      <left/>
      <right style="thick">
        <color theme="2" tint="-0.499984740745262"/>
      </right>
      <top style="thick">
        <color theme="2" tint="-0.499984740745262"/>
      </top>
      <bottom style="thin">
        <color theme="2" tint="-0.499984740745262"/>
      </bottom>
      <diagonal/>
    </border>
    <border>
      <left style="thick">
        <color theme="2" tint="-0.499984740745262"/>
      </left>
      <right style="thick">
        <color theme="2" tint="-0.499984740745262"/>
      </right>
      <top style="thick">
        <color theme="2" tint="-0.499984740745262"/>
      </top>
      <bottom/>
      <diagonal/>
    </border>
    <border>
      <left style="thick">
        <color theme="2" tint="-0.499984740745262"/>
      </left>
      <right style="thick">
        <color theme="2" tint="-0.499984740745262"/>
      </right>
      <top/>
      <bottom/>
      <diagonal/>
    </border>
    <border>
      <left style="thick">
        <color theme="2" tint="-0.499984740745262"/>
      </left>
      <right style="thick">
        <color theme="2" tint="-0.499984740745262"/>
      </right>
      <top/>
      <bottom style="thick">
        <color rgb="FFFF0000"/>
      </bottom>
      <diagonal/>
    </border>
    <border>
      <left style="thick">
        <color theme="2" tint="-0.499984740745262"/>
      </left>
      <right style="thick">
        <color theme="2" tint="-0.499984740745262"/>
      </right>
      <top/>
      <bottom style="thick">
        <color theme="2" tint="-0.499984740745262"/>
      </bottom>
      <diagonal/>
    </border>
    <border>
      <left style="thin">
        <color theme="2" tint="-0.499984740745262"/>
      </left>
      <right style="thin">
        <color theme="2" tint="-0.499984740745262"/>
      </right>
      <top style="thin">
        <color theme="2" tint="-0.499984740745262"/>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499984740745262"/>
      </bottom>
      <diagonal/>
    </border>
    <border>
      <left style="thick">
        <color theme="2" tint="-0.499984740745262"/>
      </left>
      <right style="thick">
        <color theme="2" tint="-0.499984740745262"/>
      </right>
      <top style="thick">
        <color theme="2" tint="-0.499984740745262"/>
      </top>
      <bottom style="thin">
        <color theme="2" tint="-0.499984740745262"/>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24994659260841701"/>
      </top>
      <bottom style="thin">
        <color theme="2" tint="-0.24994659260841701"/>
      </bottom>
      <diagonal/>
    </border>
    <border>
      <left style="thick">
        <color theme="2" tint="-0.499984740745262"/>
      </left>
      <right style="thick">
        <color theme="2" tint="-0.499984740745262"/>
      </right>
      <top style="thin">
        <color theme="2" tint="-0.24994659260841701"/>
      </top>
      <bottom style="thick">
        <color theme="2" tint="-0.499984740745262"/>
      </bottom>
      <diagonal/>
    </border>
    <border>
      <left/>
      <right style="medium">
        <color theme="2" tint="-0.499984740745262"/>
      </right>
      <top style="thin">
        <color theme="2" tint="-0.24994659260841701"/>
      </top>
      <bottom/>
      <diagonal/>
    </border>
    <border>
      <left style="thin">
        <color theme="2" tint="-0.499984740745262"/>
      </left>
      <right style="thin">
        <color theme="2" tint="-0.24994659260841701"/>
      </right>
      <top style="thick">
        <color theme="2" tint="-0.499984740745262"/>
      </top>
      <bottom style="thin">
        <color theme="2" tint="-0.499984740745262"/>
      </bottom>
      <diagonal/>
    </border>
    <border>
      <left style="thin">
        <color theme="2" tint="-0.24994659260841701"/>
      </left>
      <right/>
      <top style="thin">
        <color theme="2" tint="-0.24994659260841701"/>
      </top>
      <bottom/>
      <diagonal/>
    </border>
    <border>
      <left/>
      <right style="thick">
        <color theme="0" tint="-0.499984740745262"/>
      </right>
      <top/>
      <bottom style="thick">
        <color rgb="FFFF0000"/>
      </bottom>
      <diagonal/>
    </border>
  </borders>
  <cellStyleXfs count="5">
    <xf numFmtId="0" fontId="0" fillId="0" borderId="0"/>
    <xf numFmtId="0" fontId="4" fillId="2" borderId="0"/>
    <xf numFmtId="0" fontId="9" fillId="6" borderId="3" applyNumberFormat="0" applyAlignment="0" applyProtection="0"/>
    <xf numFmtId="0" fontId="30" fillId="0" borderId="0" applyNumberFormat="0" applyFill="0" applyBorder="0" applyAlignment="0" applyProtection="0"/>
    <xf numFmtId="0" fontId="4" fillId="0" borderId="0"/>
  </cellStyleXfs>
  <cellXfs count="938">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5" fillId="0" borderId="0" xfId="0" applyFont="1"/>
    <xf numFmtId="0" fontId="15" fillId="0" borderId="0" xfId="0" applyFont="1"/>
    <xf numFmtId="0" fontId="7" fillId="0" borderId="36" xfId="0" applyNumberFormat="1" applyFont="1" applyFill="1" applyBorder="1" applyAlignment="1" applyProtection="1">
      <alignment horizontal="right" vertical="center" indent="1"/>
      <protection hidden="1"/>
    </xf>
    <xf numFmtId="0" fontId="7" fillId="0" borderId="39" xfId="0" applyNumberFormat="1" applyFont="1" applyFill="1" applyBorder="1" applyAlignment="1" applyProtection="1">
      <alignment horizontal="right" vertical="center" indent="1"/>
      <protection hidden="1"/>
    </xf>
    <xf numFmtId="0" fontId="7" fillId="0" borderId="41" xfId="0" applyNumberFormat="1" applyFont="1" applyFill="1" applyBorder="1" applyAlignment="1" applyProtection="1">
      <alignment horizontal="right" vertical="center" indent="1"/>
      <protection hidden="1"/>
    </xf>
    <xf numFmtId="0" fontId="18" fillId="0" borderId="0" xfId="0" applyFont="1"/>
    <xf numFmtId="0" fontId="21" fillId="0" borderId="55" xfId="0" applyFont="1" applyBorder="1" applyAlignment="1">
      <alignment horizontal="center" vertical="center"/>
    </xf>
    <xf numFmtId="0" fontId="21" fillId="0" borderId="69" xfId="0" applyFont="1" applyBorder="1" applyAlignment="1">
      <alignment horizontal="left" vertical="center"/>
    </xf>
    <xf numFmtId="0" fontId="21" fillId="0" borderId="50"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72" xfId="0" applyNumberFormat="1" applyFont="1" applyFill="1" applyBorder="1" applyAlignment="1" applyProtection="1">
      <alignment vertical="center"/>
      <protection hidden="1"/>
    </xf>
    <xf numFmtId="0" fontId="7" fillId="0" borderId="73" xfId="0" applyNumberFormat="1" applyFont="1" applyFill="1" applyBorder="1" applyAlignment="1" applyProtection="1">
      <alignment vertical="center"/>
      <protection hidden="1"/>
    </xf>
    <xf numFmtId="0" fontId="7" fillId="0" borderId="74" xfId="0" applyNumberFormat="1" applyFont="1" applyFill="1" applyBorder="1" applyAlignment="1" applyProtection="1">
      <alignment vertical="center"/>
      <protection hidden="1"/>
    </xf>
    <xf numFmtId="0" fontId="7" fillId="0" borderId="75" xfId="0" applyNumberFormat="1" applyFont="1" applyFill="1" applyBorder="1" applyAlignment="1" applyProtection="1">
      <alignment vertical="center"/>
      <protection hidden="1"/>
    </xf>
    <xf numFmtId="0" fontId="7" fillId="0" borderId="76" xfId="0" applyNumberFormat="1" applyFont="1" applyFill="1" applyBorder="1" applyAlignment="1" applyProtection="1">
      <alignment vertical="center"/>
      <protection hidden="1"/>
    </xf>
    <xf numFmtId="0" fontId="7" fillId="0" borderId="77" xfId="0" applyNumberFormat="1" applyFont="1" applyFill="1" applyBorder="1" applyAlignment="1" applyProtection="1">
      <alignment vertical="center"/>
      <protection hidden="1"/>
    </xf>
    <xf numFmtId="0" fontId="7" fillId="0" borderId="78" xfId="0" applyNumberFormat="1" applyFont="1" applyFill="1" applyBorder="1" applyAlignment="1" applyProtection="1">
      <alignment vertical="center"/>
      <protection hidden="1"/>
    </xf>
    <xf numFmtId="0" fontId="7" fillId="0" borderId="38" xfId="0" applyNumberFormat="1" applyFont="1" applyFill="1" applyBorder="1" applyAlignment="1" applyProtection="1">
      <alignment horizontal="left" vertical="center"/>
      <protection hidden="1"/>
    </xf>
    <xf numFmtId="0" fontId="7" fillId="0" borderId="40" xfId="0" applyNumberFormat="1" applyFont="1" applyFill="1" applyBorder="1" applyAlignment="1" applyProtection="1">
      <alignment horizontal="left" vertical="center"/>
      <protection hidden="1"/>
    </xf>
    <xf numFmtId="0" fontId="7" fillId="0" borderId="42"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8" fillId="0" borderId="0" xfId="0" applyNumberFormat="1" applyFont="1" applyAlignment="1">
      <alignment horizontal="center"/>
    </xf>
    <xf numFmtId="0" fontId="7" fillId="0" borderId="81" xfId="0" applyNumberFormat="1" applyFont="1" applyFill="1" applyBorder="1" applyAlignment="1" applyProtection="1">
      <alignment horizontal="right" vertical="center" indent="1"/>
      <protection hidden="1"/>
    </xf>
    <xf numFmtId="0" fontId="7" fillId="0" borderId="82" xfId="0" applyNumberFormat="1" applyFont="1" applyFill="1" applyBorder="1" applyAlignment="1" applyProtection="1">
      <alignment horizontal="right" vertical="center" indent="1"/>
      <protection hidden="1"/>
    </xf>
    <xf numFmtId="0" fontId="7" fillId="0" borderId="83"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4"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96" xfId="0" applyFill="1" applyBorder="1" applyAlignment="1" applyProtection="1">
      <alignment horizontal="left" indent="1"/>
      <protection locked="0"/>
    </xf>
    <xf numFmtId="0" fontId="0" fillId="13" borderId="97" xfId="0" applyFill="1" applyBorder="1" applyAlignment="1" applyProtection="1">
      <alignment horizontal="left" indent="1"/>
      <protection locked="0"/>
    </xf>
    <xf numFmtId="0" fontId="0" fillId="14" borderId="98" xfId="0" applyFill="1" applyBorder="1" applyAlignment="1" applyProtection="1">
      <alignment horizontal="left" indent="1"/>
      <protection locked="0"/>
    </xf>
    <xf numFmtId="0" fontId="36" fillId="0" borderId="91" xfId="0" applyFont="1" applyFill="1" applyBorder="1" applyAlignment="1">
      <alignment horizontal="left" indent="1"/>
    </xf>
    <xf numFmtId="0" fontId="0" fillId="0" borderId="92" xfId="0" applyBorder="1" applyAlignment="1">
      <alignment horizontal="left" indent="1"/>
    </xf>
    <xf numFmtId="0" fontId="0" fillId="0" borderId="99" xfId="0" applyBorder="1" applyAlignment="1">
      <alignment horizontal="left" indent="1"/>
    </xf>
    <xf numFmtId="0" fontId="36" fillId="0" borderId="94" xfId="0" applyFont="1" applyFill="1" applyBorder="1" applyAlignment="1">
      <alignment horizontal="left" indent="1"/>
    </xf>
    <xf numFmtId="0" fontId="0" fillId="0" borderId="0" xfId="0" applyBorder="1" applyAlignment="1">
      <alignment horizontal="left" indent="1"/>
    </xf>
    <xf numFmtId="0" fontId="0" fillId="0" borderId="90" xfId="0" applyBorder="1" applyAlignment="1">
      <alignment horizontal="left" indent="1"/>
    </xf>
    <xf numFmtId="0" fontId="33" fillId="0" borderId="0" xfId="0" applyFont="1" applyFill="1" applyBorder="1"/>
    <xf numFmtId="0" fontId="37" fillId="0" borderId="0" xfId="0" applyFont="1" applyFill="1" applyBorder="1"/>
    <xf numFmtId="0" fontId="0" fillId="0" borderId="0" xfId="0" applyFill="1" applyAlignment="1">
      <alignment vertical="center"/>
    </xf>
    <xf numFmtId="0" fontId="0" fillId="14" borderId="98" xfId="0" applyFill="1" applyBorder="1" applyAlignment="1" applyProtection="1">
      <alignment horizontal="left" vertical="top" wrapText="1" indent="1"/>
      <protection locked="0"/>
    </xf>
    <xf numFmtId="0" fontId="0" fillId="12" borderId="96" xfId="0" applyFill="1" applyBorder="1" applyAlignment="1" applyProtection="1">
      <alignment horizontal="left" vertical="top" wrapText="1" indent="1"/>
      <protection locked="0"/>
    </xf>
    <xf numFmtId="0" fontId="0" fillId="13" borderId="97" xfId="0" applyFill="1" applyBorder="1" applyAlignment="1" applyProtection="1">
      <alignment horizontal="left" vertical="top" wrapText="1" indent="1"/>
      <protection locked="0"/>
    </xf>
    <xf numFmtId="0" fontId="0" fillId="13" borderId="101" xfId="0" applyFill="1" applyBorder="1" applyAlignment="1" applyProtection="1">
      <alignment horizontal="left" vertical="top" wrapText="1" indent="1"/>
      <protection locked="0"/>
    </xf>
    <xf numFmtId="0" fontId="0" fillId="13" borderId="95" xfId="0" applyFill="1" applyBorder="1" applyAlignment="1" applyProtection="1">
      <alignment horizontal="left" vertical="top" indent="1"/>
      <protection locked="0"/>
    </xf>
    <xf numFmtId="0" fontId="4" fillId="12" borderId="96" xfId="0" applyFont="1" applyFill="1" applyBorder="1" applyAlignment="1" applyProtection="1">
      <alignment horizontal="left" vertical="center" indent="1"/>
      <protection locked="0"/>
    </xf>
    <xf numFmtId="0" fontId="4" fillId="14" borderId="98" xfId="0" applyFont="1" applyFill="1" applyBorder="1" applyAlignment="1" applyProtection="1">
      <alignment horizontal="left" vertical="center" indent="1"/>
      <protection locked="0"/>
    </xf>
    <xf numFmtId="0" fontId="4" fillId="14" borderId="98" xfId="0" applyFont="1" applyFill="1" applyBorder="1" applyAlignment="1" applyProtection="1">
      <alignment horizontal="left" vertical="top" wrapText="1" indent="1"/>
      <protection locked="0"/>
    </xf>
    <xf numFmtId="0" fontId="4" fillId="12" borderId="96" xfId="0" applyFont="1" applyFill="1" applyBorder="1" applyAlignment="1" applyProtection="1">
      <alignment horizontal="left" indent="1"/>
      <protection locked="0"/>
    </xf>
    <xf numFmtId="0" fontId="4" fillId="14" borderId="98" xfId="0" applyFont="1" applyFill="1" applyBorder="1" applyAlignment="1" applyProtection="1">
      <alignment horizontal="left" indent="1"/>
      <protection locked="0"/>
    </xf>
    <xf numFmtId="0" fontId="4" fillId="14" borderId="98" xfId="0" applyFont="1" applyFill="1" applyBorder="1" applyAlignment="1">
      <alignment horizontal="left" indent="1"/>
    </xf>
    <xf numFmtId="0" fontId="4" fillId="13" borderId="97" xfId="0" applyFont="1" applyFill="1" applyBorder="1" applyAlignment="1" applyProtection="1">
      <alignment horizontal="left" indent="1"/>
      <protection locked="0"/>
    </xf>
    <xf numFmtId="0" fontId="4" fillId="12" borderId="100" xfId="0" applyFont="1" applyFill="1" applyBorder="1" applyAlignment="1" applyProtection="1">
      <alignment horizontal="left" vertical="top" indent="1"/>
      <protection locked="0"/>
    </xf>
    <xf numFmtId="0" fontId="4" fillId="14" borderId="98" xfId="0" applyFont="1" applyFill="1" applyBorder="1" applyAlignment="1" applyProtection="1">
      <alignment horizontal="left" vertical="top" indent="1"/>
      <protection locked="0"/>
    </xf>
    <xf numFmtId="0" fontId="4" fillId="0" borderId="0" xfId="0" applyFont="1"/>
    <xf numFmtId="0" fontId="27" fillId="0" borderId="0" xfId="0" applyFont="1"/>
    <xf numFmtId="0" fontId="32" fillId="0" borderId="0" xfId="0" applyFont="1" applyBorder="1" applyAlignment="1">
      <alignment horizontal="left" vertical="center" wrapText="1"/>
    </xf>
    <xf numFmtId="0" fontId="4" fillId="12" borderId="102" xfId="0" applyFont="1" applyFill="1" applyBorder="1" applyAlignment="1" applyProtection="1">
      <alignment horizontal="left" vertical="top" indent="1"/>
      <protection locked="0"/>
    </xf>
    <xf numFmtId="0" fontId="1" fillId="13" borderId="89" xfId="0" applyFont="1" applyFill="1" applyBorder="1" applyAlignment="1" applyProtection="1">
      <alignment horizontal="center" vertical="center"/>
      <protection locked="0"/>
    </xf>
    <xf numFmtId="0" fontId="4" fillId="14" borderId="94" xfId="0" applyFont="1" applyFill="1" applyBorder="1" applyAlignment="1" applyProtection="1">
      <alignment horizontal="left" vertical="top" indent="1"/>
      <protection locked="0"/>
    </xf>
    <xf numFmtId="0" fontId="7" fillId="0" borderId="31" xfId="0" applyNumberFormat="1" applyFont="1" applyFill="1" applyBorder="1" applyAlignment="1" applyProtection="1">
      <alignment horizontal="center" vertical="center"/>
      <protection hidden="1"/>
    </xf>
    <xf numFmtId="0" fontId="7" fillId="0" borderId="28" xfId="0" applyNumberFormat="1" applyFont="1" applyFill="1" applyBorder="1" applyAlignment="1" applyProtection="1">
      <alignment horizontal="center" vertical="center"/>
      <protection hidden="1"/>
    </xf>
    <xf numFmtId="0" fontId="20" fillId="0" borderId="110" xfId="0" applyFont="1" applyBorder="1" applyAlignment="1">
      <alignment horizontal="center" vertical="center"/>
    </xf>
    <xf numFmtId="0" fontId="20" fillId="0" borderId="44" xfId="0" applyFont="1" applyBorder="1" applyAlignment="1">
      <alignment horizontal="center" vertical="center"/>
    </xf>
    <xf numFmtId="0" fontId="20" fillId="0" borderId="47" xfId="0" applyFont="1" applyBorder="1" applyAlignment="1">
      <alignment horizontal="center" vertical="center"/>
    </xf>
    <xf numFmtId="0" fontId="31" fillId="13" borderId="111" xfId="0" applyFont="1" applyFill="1" applyBorder="1" applyAlignment="1">
      <alignment horizontal="center" vertical="center"/>
    </xf>
    <xf numFmtId="164" fontId="20" fillId="0" borderId="34" xfId="0" applyNumberFormat="1" applyFont="1" applyBorder="1" applyAlignment="1">
      <alignment horizontal="center" vertical="center"/>
    </xf>
    <xf numFmtId="164" fontId="20" fillId="0" borderId="35" xfId="0" applyNumberFormat="1" applyFont="1" applyBorder="1" applyAlignment="1">
      <alignment horizontal="center" vertical="center"/>
    </xf>
    <xf numFmtId="0" fontId="18" fillId="13" borderId="33" xfId="0" applyFont="1" applyFill="1" applyBorder="1"/>
    <xf numFmtId="3" fontId="7" fillId="0" borderId="31"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4" xfId="0" applyFont="1" applyFill="1" applyBorder="1" applyAlignment="1">
      <alignment horizontal="center" vertical="center"/>
    </xf>
    <xf numFmtId="0" fontId="31" fillId="13" borderId="115" xfId="0" applyFont="1" applyFill="1" applyBorder="1" applyAlignment="1">
      <alignment horizontal="left" vertical="center" indent="1"/>
    </xf>
    <xf numFmtId="0" fontId="20" fillId="0" borderId="116" xfId="0" applyFont="1" applyBorder="1" applyAlignment="1">
      <alignment horizontal="left" vertical="center" indent="1"/>
    </xf>
    <xf numFmtId="0" fontId="20" fillId="0" borderId="117" xfId="0" applyFont="1" applyBorder="1" applyAlignment="1">
      <alignment horizontal="left" vertical="center" indent="1"/>
    </xf>
    <xf numFmtId="0" fontId="20" fillId="0" borderId="118" xfId="0" applyFont="1" applyBorder="1" applyAlignment="1">
      <alignment horizontal="left" vertical="center" indent="1"/>
    </xf>
    <xf numFmtId="0" fontId="31" fillId="13" borderId="113" xfId="0" applyFont="1" applyFill="1" applyBorder="1" applyAlignment="1">
      <alignment horizontal="center" vertical="center"/>
    </xf>
    <xf numFmtId="0" fontId="40" fillId="0" borderId="114" xfId="0" applyFont="1" applyBorder="1" applyAlignment="1">
      <alignment horizontal="center" vertical="center"/>
    </xf>
    <xf numFmtId="0" fontId="40" fillId="0" borderId="49" xfId="0" applyFont="1" applyBorder="1" applyAlignment="1">
      <alignment horizontal="center" vertical="center"/>
    </xf>
    <xf numFmtId="0" fontId="40" fillId="0" borderId="51" xfId="0" applyFont="1" applyBorder="1" applyAlignment="1">
      <alignment horizontal="center" vertical="center"/>
    </xf>
    <xf numFmtId="165" fontId="21" fillId="13" borderId="119" xfId="0" applyNumberFormat="1" applyFont="1" applyFill="1" applyBorder="1" applyAlignment="1">
      <alignment horizontal="center" vertical="center"/>
    </xf>
    <xf numFmtId="165" fontId="21" fillId="13" borderId="111"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40" fillId="0" borderId="0" xfId="0" applyFont="1" applyBorder="1" applyAlignment="1">
      <alignment horizontal="center" vertical="center"/>
    </xf>
    <xf numFmtId="0" fontId="20" fillId="8" borderId="121" xfId="0" applyFont="1" applyFill="1" applyBorder="1" applyAlignment="1">
      <alignment horizontal="center" vertical="center"/>
    </xf>
    <xf numFmtId="0" fontId="20" fillId="0" borderId="122" xfId="0" applyFont="1" applyBorder="1" applyAlignment="1">
      <alignment horizontal="center" vertical="center"/>
    </xf>
    <xf numFmtId="0" fontId="20" fillId="0" borderId="124" xfId="0" applyFont="1" applyBorder="1" applyAlignment="1">
      <alignment horizontal="center" vertical="center"/>
    </xf>
    <xf numFmtId="0" fontId="4" fillId="12" borderId="96" xfId="0" applyFont="1" applyFill="1" applyBorder="1" applyAlignment="1" applyProtection="1">
      <alignment horizontal="left" vertical="top" wrapText="1" indent="1"/>
      <protection locked="0"/>
    </xf>
    <xf numFmtId="0" fontId="7" fillId="0" borderId="37" xfId="0" applyNumberFormat="1" applyFont="1" applyFill="1" applyBorder="1" applyAlignment="1" applyProtection="1">
      <alignment horizontal="center" vertical="center"/>
      <protection hidden="1"/>
    </xf>
    <xf numFmtId="0" fontId="7" fillId="0" borderId="38" xfId="0" applyNumberFormat="1" applyFont="1" applyFill="1" applyBorder="1" applyAlignment="1" applyProtection="1">
      <alignment horizontal="center" vertical="center"/>
      <protection hidden="1"/>
    </xf>
    <xf numFmtId="0" fontId="7" fillId="0" borderId="40" xfId="0" applyNumberFormat="1" applyFont="1" applyFill="1" applyBorder="1" applyAlignment="1" applyProtection="1">
      <alignment horizontal="center" vertical="center"/>
      <protection hidden="1"/>
    </xf>
    <xf numFmtId="0" fontId="7" fillId="0" borderId="71" xfId="0" applyNumberFormat="1" applyFont="1" applyFill="1" applyBorder="1" applyAlignment="1" applyProtection="1">
      <alignment horizontal="center" vertical="center"/>
      <protection hidden="1"/>
    </xf>
    <xf numFmtId="0" fontId="7" fillId="0" borderId="42" xfId="0" applyNumberFormat="1" applyFont="1" applyFill="1" applyBorder="1" applyAlignment="1" applyProtection="1">
      <alignment horizontal="center" vertical="center"/>
      <protection hidden="1"/>
    </xf>
    <xf numFmtId="0" fontId="7" fillId="0" borderId="71" xfId="0" applyNumberFormat="1" applyFont="1" applyFill="1" applyBorder="1" applyAlignment="1" applyProtection="1">
      <alignment vertical="center"/>
      <protection hidden="1"/>
    </xf>
    <xf numFmtId="0" fontId="7" fillId="0" borderId="36" xfId="0" applyNumberFormat="1" applyFont="1" applyFill="1" applyBorder="1" applyAlignment="1" applyProtection="1">
      <alignment horizontal="center" vertical="center"/>
      <protection hidden="1"/>
    </xf>
    <xf numFmtId="0" fontId="7" fillId="0" borderId="39" xfId="0" applyNumberFormat="1" applyFont="1" applyFill="1" applyBorder="1" applyAlignment="1" applyProtection="1">
      <alignment horizontal="center" vertical="center"/>
      <protection hidden="1"/>
    </xf>
    <xf numFmtId="0" fontId="7" fillId="0" borderId="41" xfId="0" applyNumberFormat="1" applyFont="1" applyFill="1" applyBorder="1" applyAlignment="1" applyProtection="1">
      <alignment horizontal="center" vertical="center"/>
      <protection hidden="1"/>
    </xf>
    <xf numFmtId="0" fontId="18" fillId="0" borderId="125" xfId="0" applyFont="1" applyBorder="1" applyAlignment="1">
      <alignment horizontal="center" vertical="center"/>
    </xf>
    <xf numFmtId="0" fontId="18" fillId="0" borderId="126" xfId="0" applyFont="1" applyBorder="1" applyAlignment="1">
      <alignment horizontal="center" vertical="center"/>
    </xf>
    <xf numFmtId="0" fontId="18" fillId="0" borderId="127" xfId="0" applyFont="1" applyBorder="1" applyAlignment="1">
      <alignment horizontal="center" vertical="center"/>
    </xf>
    <xf numFmtId="0" fontId="31" fillId="13" borderId="130" xfId="0" applyFont="1" applyFill="1" applyBorder="1" applyAlignment="1">
      <alignment horizontal="center" vertical="center"/>
    </xf>
    <xf numFmtId="0" fontId="20" fillId="0" borderId="120"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165" fontId="21" fillId="13" borderId="133" xfId="0" applyNumberFormat="1" applyFont="1" applyFill="1" applyBorder="1" applyAlignment="1">
      <alignment horizontal="center" vertical="center"/>
    </xf>
    <xf numFmtId="0" fontId="20" fillId="0" borderId="134" xfId="0" applyFont="1" applyBorder="1" applyAlignment="1">
      <alignment horizontal="center" vertical="center"/>
    </xf>
    <xf numFmtId="0" fontId="20" fillId="0" borderId="45" xfId="0" applyFont="1" applyBorder="1" applyAlignment="1">
      <alignment horizontal="center" vertical="center"/>
    </xf>
    <xf numFmtId="0" fontId="20" fillId="8" borderId="48"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2" fillId="0" borderId="0" xfId="0" applyNumberFormat="1" applyFont="1" applyFill="1" applyAlignment="1" applyProtection="1">
      <alignment horizontal="center" vertical="center"/>
      <protection hidden="1"/>
    </xf>
    <xf numFmtId="0" fontId="42" fillId="0" borderId="71" xfId="0" applyNumberFormat="1" applyFont="1" applyFill="1" applyBorder="1" applyAlignment="1" applyProtection="1">
      <alignment horizontal="center" vertical="center"/>
      <protection hidden="1"/>
    </xf>
    <xf numFmtId="0" fontId="4" fillId="12" borderId="102" xfId="0" applyFont="1" applyFill="1" applyBorder="1" applyAlignment="1" applyProtection="1">
      <alignment horizontal="left" vertical="top" wrapText="1" indent="1"/>
      <protection locked="0"/>
    </xf>
    <xf numFmtId="0" fontId="4" fillId="14" borderId="94"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3" fillId="0" borderId="0" xfId="0" applyNumberFormat="1" applyFont="1" applyAlignment="1">
      <alignment horizontal="right" vertical="center" indent="1"/>
    </xf>
    <xf numFmtId="165" fontId="44" fillId="0" borderId="0" xfId="0" applyNumberFormat="1" applyFont="1"/>
    <xf numFmtId="0" fontId="18" fillId="0" borderId="0" xfId="0" applyFont="1" applyProtection="1"/>
    <xf numFmtId="0" fontId="21" fillId="0" borderId="0" xfId="0" applyFont="1" applyProtection="1"/>
    <xf numFmtId="0" fontId="47" fillId="0" borderId="0" xfId="0" applyFont="1" applyBorder="1" applyAlignment="1">
      <alignment horizontal="left" vertical="center" wrapText="1"/>
    </xf>
    <xf numFmtId="0" fontId="48" fillId="0" borderId="0" xfId="0" applyFont="1" applyAlignment="1">
      <alignment horizontal="right" indent="1"/>
    </xf>
    <xf numFmtId="167" fontId="23" fillId="0" borderId="44" xfId="0" applyNumberFormat="1" applyFont="1" applyBorder="1" applyAlignment="1">
      <alignment horizontal="center" vertical="center"/>
    </xf>
    <xf numFmtId="0" fontId="23" fillId="0" borderId="110" xfId="0" applyNumberFormat="1" applyFont="1" applyBorder="1" applyAlignment="1">
      <alignment horizontal="center" vertical="center"/>
    </xf>
    <xf numFmtId="0" fontId="23" fillId="0" borderId="44" xfId="0" applyNumberFormat="1" applyFont="1" applyBorder="1" applyAlignment="1">
      <alignment horizontal="center" vertical="center"/>
    </xf>
    <xf numFmtId="167" fontId="23" fillId="0" borderId="47" xfId="0" applyNumberFormat="1" applyFont="1" applyBorder="1" applyAlignment="1">
      <alignment horizontal="center" vertical="center"/>
    </xf>
    <xf numFmtId="0" fontId="23" fillId="0" borderId="47" xfId="0" applyNumberFormat="1" applyFont="1" applyBorder="1" applyAlignment="1">
      <alignment horizontal="center" vertical="center"/>
    </xf>
    <xf numFmtId="0" fontId="21" fillId="0" borderId="56" xfId="0" applyFont="1" applyBorder="1" applyAlignment="1">
      <alignment horizontal="center" vertical="center"/>
    </xf>
    <xf numFmtId="0" fontId="21" fillId="0" borderId="146" xfId="0" applyFont="1" applyBorder="1" applyAlignment="1">
      <alignment horizontal="right" vertical="center"/>
    </xf>
    <xf numFmtId="0" fontId="21" fillId="0" borderId="147" xfId="0" applyFont="1" applyBorder="1" applyAlignment="1">
      <alignment horizontal="center" vertical="center"/>
    </xf>
    <xf numFmtId="0" fontId="21" fillId="0" borderId="149" xfId="0" applyFont="1" applyBorder="1" applyAlignment="1">
      <alignment horizontal="left" vertical="center"/>
    </xf>
    <xf numFmtId="0" fontId="19" fillId="9" borderId="150" xfId="0" applyFont="1" applyFill="1" applyBorder="1" applyAlignment="1">
      <alignment horizontal="center"/>
    </xf>
    <xf numFmtId="0" fontId="19" fillId="9" borderId="113" xfId="0" applyFont="1" applyFill="1" applyBorder="1" applyAlignment="1">
      <alignment horizontal="center"/>
    </xf>
    <xf numFmtId="167" fontId="23" fillId="0" borderId="110" xfId="0" applyNumberFormat="1" applyFont="1" applyBorder="1" applyAlignment="1">
      <alignment horizontal="center" vertical="center"/>
    </xf>
    <xf numFmtId="0" fontId="20" fillId="0" borderId="131" xfId="0" applyFont="1" applyBorder="1" applyAlignment="1">
      <alignment horizontal="left" vertical="center"/>
    </xf>
    <xf numFmtId="0" fontId="20" fillId="0" borderId="123" xfId="0" applyFont="1" applyBorder="1" applyAlignment="1">
      <alignment horizontal="left" vertical="center"/>
    </xf>
    <xf numFmtId="0" fontId="20" fillId="0" borderId="132" xfId="0" applyFont="1" applyBorder="1" applyAlignment="1">
      <alignment horizontal="left" vertical="center"/>
    </xf>
    <xf numFmtId="0" fontId="50" fillId="0" borderId="0" xfId="0" applyNumberFormat="1" applyFont="1" applyAlignment="1">
      <alignment horizontal="center" vertical="center"/>
    </xf>
    <xf numFmtId="0" fontId="0" fillId="0" borderId="153" xfId="0" applyBorder="1"/>
    <xf numFmtId="0" fontId="0" fillId="0" borderId="154" xfId="0" applyBorder="1" applyAlignment="1">
      <alignment horizontal="left" indent="1"/>
    </xf>
    <xf numFmtId="0" fontId="0" fillId="0" borderId="105" xfId="0" applyBorder="1"/>
    <xf numFmtId="0" fontId="0" fillId="0" borderId="106" xfId="0" applyBorder="1" applyAlignment="1">
      <alignment horizontal="left" indent="1"/>
    </xf>
    <xf numFmtId="0" fontId="0" fillId="0" borderId="107" xfId="0" applyBorder="1"/>
    <xf numFmtId="0" fontId="0" fillId="0" borderId="109" xfId="0" applyBorder="1" applyAlignment="1">
      <alignment horizontal="left" indent="1"/>
    </xf>
    <xf numFmtId="0" fontId="7" fillId="0" borderId="156" xfId="0" applyNumberFormat="1" applyFont="1" applyFill="1" applyBorder="1" applyAlignment="1" applyProtection="1">
      <alignment vertical="center"/>
      <protection hidden="1"/>
    </xf>
    <xf numFmtId="0" fontId="7" fillId="0" borderId="155" xfId="0" applyNumberFormat="1" applyFont="1" applyFill="1" applyBorder="1" applyAlignment="1" applyProtection="1">
      <alignment horizontal="center" vertical="center"/>
      <protection hidden="1"/>
    </xf>
    <xf numFmtId="0" fontId="6" fillId="0" borderId="44"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61" xfId="0" applyFont="1" applyFill="1" applyBorder="1" applyAlignment="1">
      <alignment horizontal="center" vertical="center" shrinkToFit="1"/>
    </xf>
    <xf numFmtId="0" fontId="14" fillId="9" borderId="70" xfId="0" applyFont="1" applyFill="1" applyBorder="1" applyAlignment="1">
      <alignment horizontal="center" vertical="center" shrinkToFit="1"/>
    </xf>
    <xf numFmtId="0" fontId="14" fillId="9" borderId="53" xfId="0" applyFont="1" applyFill="1" applyBorder="1" applyAlignment="1">
      <alignment horizontal="center" vertical="center" shrinkToFit="1"/>
    </xf>
    <xf numFmtId="0" fontId="14" fillId="9" borderId="65" xfId="0" applyFont="1" applyFill="1" applyBorder="1" applyAlignment="1">
      <alignment horizontal="center" vertical="center" shrinkToFit="1"/>
    </xf>
    <xf numFmtId="165" fontId="14" fillId="9" borderId="61" xfId="0" applyNumberFormat="1" applyFont="1" applyFill="1" applyBorder="1" applyAlignment="1">
      <alignment vertical="center" shrinkToFit="1"/>
    </xf>
    <xf numFmtId="165" fontId="14" fillId="9" borderId="70" xfId="0" applyNumberFormat="1" applyFont="1" applyFill="1" applyBorder="1" applyAlignment="1">
      <alignment vertical="center" shrinkToFit="1"/>
    </xf>
    <xf numFmtId="0" fontId="6" fillId="0" borderId="135" xfId="0" applyFont="1" applyBorder="1" applyAlignment="1">
      <alignment horizontal="center" vertical="center" shrinkToFit="1"/>
    </xf>
    <xf numFmtId="0" fontId="6" fillId="0" borderId="136" xfId="0" applyFont="1" applyBorder="1" applyAlignment="1">
      <alignment horizontal="center" vertical="center" shrinkToFit="1"/>
    </xf>
    <xf numFmtId="0" fontId="6" fillId="0" borderId="137" xfId="0" applyFont="1" applyBorder="1" applyAlignment="1">
      <alignment horizontal="center" vertical="center" shrinkToFit="1"/>
    </xf>
    <xf numFmtId="0" fontId="6" fillId="0" borderId="137" xfId="0" applyFont="1" applyBorder="1" applyAlignment="1">
      <alignment horizontal="right" vertical="center" shrinkToFit="1"/>
    </xf>
    <xf numFmtId="0" fontId="6" fillId="0" borderId="138" xfId="0" applyFont="1" applyBorder="1" applyAlignment="1">
      <alignment horizontal="center" vertical="center" shrinkToFit="1"/>
    </xf>
    <xf numFmtId="0" fontId="6" fillId="0" borderId="135" xfId="0" applyFont="1" applyBorder="1" applyAlignment="1">
      <alignment horizontal="left" vertical="center" shrinkToFit="1"/>
    </xf>
    <xf numFmtId="0" fontId="16" fillId="0" borderId="139" xfId="0" applyFont="1" applyBorder="1" applyAlignment="1">
      <alignment horizontal="center" vertical="center" shrinkToFit="1"/>
    </xf>
    <xf numFmtId="0" fontId="6" fillId="8" borderId="140" xfId="0" applyFont="1" applyFill="1" applyBorder="1" applyAlignment="1">
      <alignment horizontal="center" vertical="center" shrinkToFit="1"/>
    </xf>
    <xf numFmtId="0" fontId="6" fillId="0" borderId="139" xfId="0" applyFont="1" applyBorder="1" applyAlignment="1">
      <alignment horizontal="center" vertical="center" shrinkToFit="1"/>
    </xf>
    <xf numFmtId="0" fontId="6" fillId="0" borderId="128" xfId="0" applyFont="1" applyBorder="1" applyAlignment="1">
      <alignment horizontal="left" vertical="center" shrinkToFit="1"/>
    </xf>
    <xf numFmtId="0" fontId="6" fillId="0" borderId="49"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50" xfId="0" applyFont="1" applyBorder="1" applyAlignment="1">
      <alignment horizontal="right" vertical="center" shrinkToFit="1"/>
    </xf>
    <xf numFmtId="0" fontId="6" fillId="0" borderId="55" xfId="0" applyFont="1" applyBorder="1" applyAlignment="1">
      <alignment horizontal="center" vertical="center" shrinkToFit="1"/>
    </xf>
    <xf numFmtId="0" fontId="6" fillId="0" borderId="49" xfId="0" applyFont="1" applyBorder="1" applyAlignment="1">
      <alignment horizontal="left" vertical="center" shrinkToFit="1"/>
    </xf>
    <xf numFmtId="0" fontId="16" fillId="0" borderId="45" xfId="0" applyFont="1" applyBorder="1" applyAlignment="1">
      <alignment horizontal="center" vertical="center" shrinkToFit="1"/>
    </xf>
    <xf numFmtId="0" fontId="6" fillId="0" borderId="43" xfId="0" applyFont="1" applyBorder="1" applyAlignment="1">
      <alignment horizontal="center" vertical="center" shrinkToFit="1"/>
    </xf>
    <xf numFmtId="0" fontId="6" fillId="8" borderId="44" xfId="0" applyFont="1" applyFill="1" applyBorder="1" applyAlignment="1">
      <alignment horizontal="center" vertical="center" shrinkToFit="1"/>
    </xf>
    <xf numFmtId="0" fontId="6" fillId="0" borderId="45" xfId="0" applyFont="1" applyBorder="1" applyAlignment="1">
      <alignment horizontal="center" vertical="center" shrinkToFit="1"/>
    </xf>
    <xf numFmtId="0" fontId="6" fillId="0" borderId="129" xfId="0" applyFont="1" applyBorder="1" applyAlignment="1">
      <alignment horizontal="left" vertical="center" shrinkToFit="1"/>
    </xf>
    <xf numFmtId="0" fontId="6" fillId="0" borderId="51"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2" xfId="0" applyFont="1" applyBorder="1" applyAlignment="1">
      <alignment horizontal="right" vertical="center" shrinkToFit="1"/>
    </xf>
    <xf numFmtId="0" fontId="6" fillId="0" borderId="56" xfId="0" applyFont="1" applyBorder="1" applyAlignment="1">
      <alignment horizontal="center" vertical="center" shrinkToFit="1"/>
    </xf>
    <xf numFmtId="0" fontId="6" fillId="0" borderId="51" xfId="0" applyFont="1" applyBorder="1" applyAlignment="1">
      <alignment horizontal="left" vertical="center" shrinkToFit="1"/>
    </xf>
    <xf numFmtId="0" fontId="16" fillId="0" borderId="48" xfId="0" applyFont="1" applyBorder="1" applyAlignment="1">
      <alignment horizontal="center" vertical="center" shrinkToFit="1"/>
    </xf>
    <xf numFmtId="0" fontId="6" fillId="0" borderId="46" xfId="0" applyFont="1" applyBorder="1" applyAlignment="1">
      <alignment horizontal="center" vertical="center" shrinkToFit="1"/>
    </xf>
    <xf numFmtId="0" fontId="6" fillId="8" borderId="48" xfId="0" applyFont="1" applyFill="1" applyBorder="1" applyAlignment="1">
      <alignment horizontal="center" vertical="center" shrinkToFit="1"/>
    </xf>
    <xf numFmtId="0" fontId="25" fillId="0" borderId="0" xfId="0" applyFont="1" applyAlignment="1"/>
    <xf numFmtId="0" fontId="39" fillId="14" borderId="0" xfId="0" applyFont="1" applyFill="1" applyAlignment="1">
      <alignment horizontal="center"/>
    </xf>
    <xf numFmtId="0" fontId="0" fillId="13" borderId="90" xfId="0" applyFill="1" applyBorder="1" applyAlignment="1" applyProtection="1">
      <alignment horizontal="left" indent="1"/>
      <protection locked="0"/>
    </xf>
    <xf numFmtId="0" fontId="7" fillId="0" borderId="0" xfId="0" quotePrefix="1" applyNumberFormat="1" applyFont="1" applyFill="1" applyAlignment="1" applyProtection="1">
      <alignment vertical="center"/>
      <protection hidden="1"/>
    </xf>
    <xf numFmtId="0" fontId="52" fillId="0" borderId="0" xfId="0" applyFont="1"/>
    <xf numFmtId="0" fontId="39" fillId="15" borderId="159" xfId="0" applyFont="1" applyFill="1" applyBorder="1" applyAlignment="1" applyProtection="1">
      <alignment horizontal="center"/>
      <protection locked="0"/>
    </xf>
    <xf numFmtId="0" fontId="21" fillId="0" borderId="160" xfId="0" applyFont="1" applyBorder="1" applyAlignment="1">
      <alignment horizontal="right" vertical="center"/>
    </xf>
    <xf numFmtId="0" fontId="21" fillId="0" borderId="42"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61" xfId="0" applyNumberFormat="1" applyFont="1" applyFill="1" applyBorder="1" applyAlignment="1" applyProtection="1">
      <alignment horizontal="center" vertical="center"/>
      <protection hidden="1"/>
    </xf>
    <xf numFmtId="0" fontId="53" fillId="0" borderId="161"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62" xfId="2" applyNumberFormat="1" applyBorder="1" applyAlignment="1" applyProtection="1">
      <alignment horizontal="center" vertical="center" readingOrder="1"/>
    </xf>
    <xf numFmtId="0" fontId="7" fillId="13" borderId="166" xfId="0" applyNumberFormat="1" applyFont="1" applyFill="1" applyBorder="1" applyAlignment="1" applyProtection="1">
      <alignment horizontal="center" vertical="center"/>
      <protection hidden="1"/>
    </xf>
    <xf numFmtId="0" fontId="4" fillId="14" borderId="167" xfId="0" applyFont="1" applyFill="1" applyBorder="1" applyAlignment="1" applyProtection="1">
      <alignment horizontal="left" vertical="top" wrapText="1" indent="1"/>
      <protection locked="0"/>
    </xf>
    <xf numFmtId="0" fontId="4" fillId="12" borderId="168" xfId="0" applyFont="1" applyFill="1" applyBorder="1" applyAlignment="1" applyProtection="1">
      <alignment horizontal="left" vertical="top" wrapText="1" indent="1"/>
      <protection locked="0"/>
    </xf>
    <xf numFmtId="0" fontId="4" fillId="14" borderId="169" xfId="0" applyFont="1" applyFill="1" applyBorder="1" applyAlignment="1" applyProtection="1">
      <alignment horizontal="left" vertical="top" wrapText="1" indent="1"/>
      <protection locked="0"/>
    </xf>
    <xf numFmtId="0" fontId="4" fillId="12" borderId="170" xfId="0" applyFont="1" applyFill="1" applyBorder="1" applyAlignment="1" applyProtection="1">
      <alignment horizontal="left" vertical="top" wrapText="1" indent="1"/>
      <protection locked="0"/>
    </xf>
    <xf numFmtId="0" fontId="0" fillId="13" borderId="171" xfId="0" applyFill="1" applyBorder="1" applyAlignment="1" applyProtection="1">
      <alignment horizontal="left" vertical="top" wrapText="1" indent="1"/>
      <protection locked="0"/>
    </xf>
    <xf numFmtId="0" fontId="0" fillId="14" borderId="169" xfId="0" applyFill="1" applyBorder="1" applyAlignment="1" applyProtection="1">
      <alignment horizontal="left" vertical="top" indent="1"/>
      <protection locked="0"/>
    </xf>
    <xf numFmtId="0" fontId="0" fillId="12" borderId="174" xfId="0" applyFill="1" applyBorder="1" applyAlignment="1" applyProtection="1">
      <alignment horizontal="left" vertical="top" indent="1"/>
      <protection locked="0"/>
    </xf>
    <xf numFmtId="0" fontId="0" fillId="13" borderId="175" xfId="0" applyFill="1" applyBorder="1" applyAlignment="1" applyProtection="1">
      <alignment horizontal="left" vertical="top" wrapText="1" indent="1"/>
      <protection locked="0"/>
    </xf>
    <xf numFmtId="0" fontId="0" fillId="14" borderId="176" xfId="0" applyFill="1" applyBorder="1" applyAlignment="1" applyProtection="1">
      <alignment horizontal="left" vertical="top" indent="1"/>
      <protection locked="0"/>
    </xf>
    <xf numFmtId="0" fontId="0" fillId="13" borderId="177" xfId="0" applyFill="1" applyBorder="1" applyAlignment="1" applyProtection="1">
      <alignment horizontal="left" vertical="top" wrapText="1" indent="1"/>
      <protection locked="0"/>
    </xf>
    <xf numFmtId="0" fontId="0" fillId="14" borderId="169" xfId="0" applyFill="1" applyBorder="1" applyAlignment="1" applyProtection="1">
      <alignment horizontal="left" vertical="top" wrapText="1" indent="1"/>
      <protection locked="0"/>
    </xf>
    <xf numFmtId="0" fontId="0" fillId="12" borderId="173" xfId="0" applyFill="1" applyBorder="1" applyAlignment="1" applyProtection="1">
      <alignment horizontal="left" vertical="top" wrapText="1" indent="1"/>
      <protection locked="0"/>
    </xf>
    <xf numFmtId="0" fontId="0" fillId="0" borderId="0" xfId="0" applyAlignment="1"/>
    <xf numFmtId="0" fontId="0" fillId="14" borderId="178" xfId="0" applyFill="1" applyBorder="1" applyAlignment="1" applyProtection="1">
      <alignment horizontal="left" vertical="top" wrapText="1" indent="1"/>
      <protection locked="0"/>
    </xf>
    <xf numFmtId="0" fontId="0" fillId="12" borderId="179" xfId="0" applyFill="1" applyBorder="1" applyAlignment="1" applyProtection="1">
      <alignment horizontal="left" vertical="top" wrapText="1" indent="1"/>
      <protection locked="0"/>
    </xf>
    <xf numFmtId="0" fontId="0" fillId="13" borderId="180" xfId="0" applyFill="1" applyBorder="1" applyAlignment="1" applyProtection="1">
      <alignment horizontal="left" vertical="top" wrapText="1" indent="1"/>
      <protection locked="0"/>
    </xf>
    <xf numFmtId="0" fontId="0" fillId="0" borderId="0" xfId="0" applyAlignment="1">
      <alignment horizontal="right"/>
    </xf>
    <xf numFmtId="0" fontId="54" fillId="15" borderId="159" xfId="0" applyFont="1" applyFill="1" applyBorder="1" applyAlignment="1" applyProtection="1">
      <alignment horizontal="left" vertical="center" indent="1"/>
      <protection locked="0"/>
    </xf>
    <xf numFmtId="0" fontId="39" fillId="0" borderId="0" xfId="0" applyFont="1"/>
    <xf numFmtId="0" fontId="39" fillId="0" borderId="0" xfId="0" applyFont="1" applyAlignment="1"/>
    <xf numFmtId="0" fontId="39" fillId="0" borderId="0" xfId="0" applyFont="1" applyAlignment="1">
      <alignment horizontal="right"/>
    </xf>
    <xf numFmtId="0" fontId="4" fillId="12" borderId="172" xfId="0" applyFont="1" applyFill="1" applyBorder="1" applyAlignment="1" applyProtection="1">
      <alignment horizontal="left" vertical="top" indent="1"/>
      <protection locked="0"/>
    </xf>
    <xf numFmtId="0" fontId="14" fillId="9" borderId="53" xfId="0" applyFont="1" applyFill="1" applyBorder="1" applyAlignment="1">
      <alignment horizontal="center" vertical="center" shrinkToFit="1"/>
    </xf>
    <xf numFmtId="0" fontId="5" fillId="0" borderId="0" xfId="0" applyFont="1" applyBorder="1"/>
    <xf numFmtId="0" fontId="38" fillId="0" borderId="0" xfId="0" applyFont="1" applyAlignment="1"/>
    <xf numFmtId="0" fontId="5" fillId="0" borderId="0" xfId="0" applyFont="1" applyFill="1" applyBorder="1"/>
    <xf numFmtId="0" fontId="16" fillId="0" borderId="0" xfId="0" applyFont="1" applyFill="1" applyBorder="1" applyAlignment="1">
      <alignment vertical="top"/>
    </xf>
    <xf numFmtId="0" fontId="6" fillId="0" borderId="0" xfId="0" applyFont="1" applyFill="1" applyBorder="1" applyAlignment="1">
      <alignment vertical="center" shrinkToFit="1"/>
    </xf>
    <xf numFmtId="0" fontId="28" fillId="0" borderId="0" xfId="0" applyFont="1" applyFill="1" applyBorder="1" applyAlignment="1">
      <alignment horizontal="center" vertical="center" shrinkToFit="1"/>
    </xf>
    <xf numFmtId="0" fontId="5" fillId="0" borderId="0" xfId="0" applyFont="1" applyFill="1" applyBorder="1" applyAlignment="1">
      <alignment shrinkToFit="1"/>
    </xf>
    <xf numFmtId="0" fontId="14" fillId="0" borderId="0" xfId="0" applyFont="1" applyFill="1" applyBorder="1" applyAlignment="1">
      <alignment horizontal="center" vertical="center" shrinkToFit="1"/>
    </xf>
    <xf numFmtId="165" fontId="14" fillId="0" borderId="0" xfId="0" applyNumberFormat="1"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0" fontId="20" fillId="0" borderId="0" xfId="0" applyFont="1" applyFill="1" applyBorder="1" applyAlignment="1" applyProtection="1">
      <alignment vertical="center"/>
    </xf>
    <xf numFmtId="164" fontId="24" fillId="0" borderId="0" xfId="0" applyNumberFormat="1" applyFont="1" applyFill="1" applyBorder="1" applyAlignment="1">
      <alignment vertical="center"/>
    </xf>
    <xf numFmtId="0" fontId="6" fillId="0" borderId="0" xfId="0" applyFont="1" applyFill="1" applyBorder="1" applyAlignment="1" applyProtection="1">
      <alignment horizontal="center" vertical="center" shrinkToFit="1"/>
    </xf>
    <xf numFmtId="167" fontId="49" fillId="0" borderId="0" xfId="0" applyNumberFormat="1" applyFont="1" applyFill="1" applyBorder="1" applyAlignment="1" applyProtection="1">
      <alignment horizontal="center" vertical="center" shrinkToFit="1"/>
    </xf>
    <xf numFmtId="0" fontId="49" fillId="0" borderId="0" xfId="0" applyFont="1" applyFill="1" applyBorder="1" applyAlignment="1" applyProtection="1">
      <alignment horizontal="center" vertical="center" shrinkToFit="1"/>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horizontal="right" vertical="center" shrinkToFit="1"/>
    </xf>
    <xf numFmtId="0" fontId="6" fillId="0" borderId="0" xfId="0" applyFont="1" applyFill="1" applyBorder="1" applyAlignment="1" applyProtection="1">
      <alignment horizontal="left" vertical="center" shrinkToFit="1"/>
    </xf>
    <xf numFmtId="164" fontId="23" fillId="0" borderId="0" xfId="0" applyNumberFormat="1" applyFont="1" applyFill="1" applyBorder="1" applyAlignment="1" applyProtection="1">
      <alignment horizontal="center" vertical="center"/>
    </xf>
    <xf numFmtId="167" fontId="23"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4" fillId="0" borderId="0" xfId="0" applyFont="1" applyAlignment="1">
      <alignment vertical="center"/>
    </xf>
    <xf numFmtId="0" fontId="55" fillId="0" borderId="125" xfId="0" applyFont="1" applyBorder="1" applyAlignment="1">
      <alignment horizontal="center" vertical="center" shrinkToFit="1"/>
    </xf>
    <xf numFmtId="0" fontId="55" fillId="0" borderId="126" xfId="0" applyFont="1" applyBorder="1" applyAlignment="1">
      <alignment horizontal="center" vertical="center" shrinkToFit="1"/>
    </xf>
    <xf numFmtId="0" fontId="55" fillId="0" borderId="127" xfId="0" applyFont="1" applyBorder="1" applyAlignment="1">
      <alignment horizontal="center" vertical="center" shrinkToFit="1"/>
    </xf>
    <xf numFmtId="0" fontId="41" fillId="0" borderId="0" xfId="0" applyNumberFormat="1" applyFont="1" applyBorder="1" applyAlignment="1">
      <alignment vertical="top"/>
    </xf>
    <xf numFmtId="0" fontId="7" fillId="0" borderId="181" xfId="0" applyNumberFormat="1" applyFont="1" applyFill="1" applyBorder="1" applyAlignment="1" applyProtection="1">
      <alignment horizontal="right" vertical="center" indent="1"/>
      <protection hidden="1"/>
    </xf>
    <xf numFmtId="0" fontId="7" fillId="0" borderId="183" xfId="0" applyNumberFormat="1" applyFont="1" applyFill="1" applyBorder="1" applyAlignment="1" applyProtection="1">
      <alignment horizontal="center" vertical="center"/>
      <protection hidden="1"/>
    </xf>
    <xf numFmtId="0" fontId="7" fillId="0" borderId="182" xfId="0" applyNumberFormat="1" applyFont="1" applyFill="1" applyBorder="1" applyAlignment="1" applyProtection="1">
      <alignment vertical="center"/>
      <protection hidden="1"/>
    </xf>
    <xf numFmtId="0" fontId="7" fillId="0" borderId="183" xfId="0" applyNumberFormat="1" applyFont="1" applyFill="1" applyBorder="1" applyAlignment="1" applyProtection="1">
      <alignment vertical="center"/>
      <protection hidden="1"/>
    </xf>
    <xf numFmtId="0" fontId="7" fillId="0" borderId="184" xfId="0" applyNumberFormat="1" applyFont="1" applyFill="1" applyBorder="1" applyAlignment="1" applyProtection="1">
      <alignment horizontal="center" vertical="center"/>
      <protection hidden="1"/>
    </xf>
    <xf numFmtId="0" fontId="7" fillId="0" borderId="185" xfId="0" applyNumberFormat="1" applyFont="1" applyFill="1" applyBorder="1" applyAlignment="1" applyProtection="1">
      <alignment horizontal="center" vertical="center"/>
      <protection hidden="1"/>
    </xf>
    <xf numFmtId="0" fontId="7" fillId="0" borderId="186" xfId="0" applyNumberFormat="1" applyFont="1" applyFill="1" applyBorder="1" applyAlignment="1" applyProtection="1">
      <alignment horizontal="right" vertical="center" indent="1"/>
      <protection hidden="1"/>
    </xf>
    <xf numFmtId="0" fontId="7" fillId="0" borderId="187" xfId="0" applyNumberFormat="1" applyFont="1" applyFill="1" applyBorder="1" applyAlignment="1" applyProtection="1">
      <alignment horizontal="center" vertical="center"/>
      <protection hidden="1"/>
    </xf>
    <xf numFmtId="0" fontId="7" fillId="0" borderId="188" xfId="0" applyNumberFormat="1" applyFont="1" applyFill="1" applyBorder="1" applyAlignment="1" applyProtection="1">
      <alignment horizontal="center" vertical="center"/>
      <protection hidden="1"/>
    </xf>
    <xf numFmtId="0" fontId="7" fillId="0" borderId="189" xfId="0" applyNumberFormat="1" applyFont="1" applyFill="1" applyBorder="1" applyAlignment="1" applyProtection="1">
      <alignment horizontal="center" vertical="center"/>
      <protection hidden="1"/>
    </xf>
    <xf numFmtId="0" fontId="7" fillId="0" borderId="187" xfId="0" applyNumberFormat="1" applyFont="1" applyFill="1" applyBorder="1" applyAlignment="1" applyProtection="1">
      <alignment vertical="center"/>
      <protection hidden="1"/>
    </xf>
    <xf numFmtId="0" fontId="7" fillId="0" borderId="188" xfId="0" applyNumberFormat="1" applyFont="1" applyFill="1" applyBorder="1" applyAlignment="1" applyProtection="1">
      <alignment vertical="center"/>
      <protection hidden="1"/>
    </xf>
    <xf numFmtId="0" fontId="7" fillId="0" borderId="190" xfId="0" applyNumberFormat="1" applyFont="1" applyFill="1" applyBorder="1" applyAlignment="1" applyProtection="1">
      <alignment horizontal="center" vertical="center"/>
      <protection hidden="1"/>
    </xf>
    <xf numFmtId="0" fontId="7" fillId="0" borderId="191" xfId="0" applyNumberFormat="1" applyFont="1" applyFill="1" applyBorder="1" applyAlignment="1" applyProtection="1">
      <alignment horizontal="center" vertical="center"/>
      <protection hidden="1"/>
    </xf>
    <xf numFmtId="0" fontId="23" fillId="0" borderId="146" xfId="0" applyNumberFormat="1" applyFont="1" applyBorder="1" applyAlignment="1">
      <alignment horizontal="center" vertical="center"/>
    </xf>
    <xf numFmtId="0" fontId="23" fillId="0" borderId="50"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9" fillId="0" borderId="0" xfId="0" applyFont="1" applyFill="1" applyAlignment="1">
      <alignment horizontal="center"/>
    </xf>
    <xf numFmtId="0" fontId="23" fillId="0" borderId="160" xfId="0" applyNumberFormat="1" applyFont="1" applyBorder="1" applyAlignment="1">
      <alignment horizontal="center" vertical="center"/>
    </xf>
    <xf numFmtId="164" fontId="6" fillId="0" borderId="0" xfId="0" applyNumberFormat="1" applyFont="1" applyFill="1" applyBorder="1" applyAlignment="1">
      <alignment vertical="center" shrinkToFit="1"/>
    </xf>
    <xf numFmtId="0" fontId="6" fillId="0" borderId="192" xfId="0" applyFont="1" applyBorder="1" applyAlignment="1">
      <alignment horizontal="left" vertical="center" shrinkToFit="1"/>
    </xf>
    <xf numFmtId="0" fontId="38" fillId="0" borderId="0" xfId="0" applyFont="1" applyAlignment="1" applyProtection="1">
      <alignment horizontal="center" vertical="center" wrapText="1"/>
    </xf>
    <xf numFmtId="0" fontId="45" fillId="0" borderId="71" xfId="0" applyFont="1" applyBorder="1" applyAlignment="1" applyProtection="1"/>
    <xf numFmtId="0" fontId="14" fillId="0" borderId="0" xfId="0" applyFont="1" applyFill="1" applyBorder="1" applyAlignment="1">
      <alignment vertical="center" shrinkToFit="1"/>
    </xf>
    <xf numFmtId="0" fontId="13" fillId="0" borderId="0" xfId="0" applyFont="1" applyFill="1" applyBorder="1" applyAlignment="1">
      <alignment vertical="center" shrinkToFit="1"/>
    </xf>
    <xf numFmtId="0" fontId="41" fillId="0" borderId="0" xfId="0" applyNumberFormat="1" applyFont="1" applyFill="1" applyBorder="1" applyAlignment="1"/>
    <xf numFmtId="0" fontId="56" fillId="0" borderId="0" xfId="0" applyFont="1" applyAlignment="1" applyProtection="1"/>
    <xf numFmtId="0" fontId="58" fillId="0" borderId="71" xfId="0" applyFont="1" applyFill="1" applyBorder="1" applyAlignment="1"/>
    <xf numFmtId="0" fontId="58"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0" fontId="59" fillId="0" borderId="0" xfId="0" applyFont="1" applyAlignment="1" applyProtection="1">
      <alignment vertical="top" wrapText="1"/>
    </xf>
    <xf numFmtId="165" fontId="29" fillId="0" borderId="71"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46" xfId="0" applyFont="1" applyFill="1" applyBorder="1" applyAlignment="1" applyProtection="1">
      <alignment horizontal="right" vertical="center"/>
    </xf>
    <xf numFmtId="0" fontId="22" fillId="17" borderId="147" xfId="0" applyFont="1" applyFill="1" applyBorder="1" applyAlignment="1" applyProtection="1">
      <alignment horizontal="center" vertical="center"/>
    </xf>
    <xf numFmtId="0" fontId="22" fillId="17" borderId="148" xfId="0" applyFont="1" applyFill="1" applyBorder="1" applyAlignment="1" applyProtection="1">
      <alignment horizontal="left" vertical="center"/>
    </xf>
    <xf numFmtId="0" fontId="22" fillId="17" borderId="50" xfId="0" applyFont="1" applyFill="1" applyBorder="1" applyAlignment="1" applyProtection="1">
      <alignment horizontal="right" vertical="center"/>
    </xf>
    <xf numFmtId="0" fontId="22" fillId="17" borderId="55" xfId="0" applyFont="1" applyFill="1" applyBorder="1" applyAlignment="1" applyProtection="1">
      <alignment horizontal="center" vertical="center"/>
    </xf>
    <xf numFmtId="0" fontId="22" fillId="17" borderId="49" xfId="0" applyFont="1" applyFill="1" applyBorder="1" applyAlignment="1" applyProtection="1">
      <alignment horizontal="left" vertical="center"/>
    </xf>
    <xf numFmtId="0" fontId="22" fillId="17" borderId="52" xfId="0" applyFont="1" applyFill="1" applyBorder="1" applyAlignment="1" applyProtection="1">
      <alignment horizontal="right" vertical="center"/>
    </xf>
    <xf numFmtId="0" fontId="22" fillId="17" borderId="56" xfId="0" applyFont="1" applyFill="1" applyBorder="1" applyAlignment="1" applyProtection="1">
      <alignment horizontal="center" vertical="center"/>
    </xf>
    <xf numFmtId="0" fontId="22" fillId="17" borderId="51" xfId="0" applyFont="1" applyFill="1" applyBorder="1" applyAlignment="1" applyProtection="1">
      <alignment horizontal="left" vertical="center"/>
    </xf>
    <xf numFmtId="0" fontId="18" fillId="0" borderId="0" xfId="0" applyFont="1" applyAlignment="1">
      <alignment vertical="center"/>
    </xf>
    <xf numFmtId="0" fontId="21" fillId="10" borderId="128" xfId="0" applyFont="1" applyFill="1" applyBorder="1" applyAlignment="1" applyProtection="1">
      <alignment horizontal="center"/>
      <protection locked="0"/>
    </xf>
    <xf numFmtId="0" fontId="21" fillId="10" borderId="129" xfId="0" applyFont="1" applyFill="1" applyBorder="1" applyAlignment="1" applyProtection="1">
      <alignment horizontal="center"/>
      <protection locked="0"/>
    </xf>
    <xf numFmtId="0" fontId="21" fillId="10" borderId="199" xfId="0" applyFont="1" applyFill="1" applyBorder="1" applyAlignment="1" applyProtection="1">
      <alignment horizontal="center"/>
      <protection locked="0"/>
    </xf>
    <xf numFmtId="0" fontId="20" fillId="10" borderId="55" xfId="0" applyFont="1" applyFill="1" applyBorder="1" applyAlignment="1" applyProtection="1">
      <alignment horizontal="center" vertical="center"/>
      <protection locked="0"/>
    </xf>
    <xf numFmtId="0" fontId="20" fillId="10" borderId="69" xfId="0" applyFont="1" applyFill="1" applyBorder="1" applyAlignment="1" applyProtection="1">
      <alignment horizontal="center" vertical="center"/>
      <protection locked="0"/>
    </xf>
    <xf numFmtId="0" fontId="20" fillId="10" borderId="56" xfId="0" applyFont="1" applyFill="1" applyBorder="1" applyAlignment="1" applyProtection="1">
      <alignment horizontal="center" vertical="center"/>
      <protection locked="0"/>
    </xf>
    <xf numFmtId="0" fontId="20" fillId="10" borderId="201" xfId="0" applyFont="1" applyFill="1" applyBorder="1" applyAlignment="1" applyProtection="1">
      <alignment horizontal="center" vertical="center"/>
      <protection locked="0"/>
    </xf>
    <xf numFmtId="0" fontId="20" fillId="0" borderId="50" xfId="0" applyFont="1" applyBorder="1" applyAlignment="1">
      <alignment horizontal="left" vertical="center"/>
    </xf>
    <xf numFmtId="0" fontId="20" fillId="0" borderId="52" xfId="0" applyFont="1" applyBorder="1" applyAlignment="1">
      <alignment horizontal="left" vertical="center"/>
    </xf>
    <xf numFmtId="0" fontId="20" fillId="0" borderId="49" xfId="0" applyFont="1" applyBorder="1" applyAlignment="1">
      <alignment horizontal="left" vertical="center"/>
    </xf>
    <xf numFmtId="0" fontId="20" fillId="0" borderId="51" xfId="0" applyFont="1" applyBorder="1" applyAlignment="1">
      <alignment horizontal="left" vertical="center"/>
    </xf>
    <xf numFmtId="0" fontId="61" fillId="0" borderId="44" xfId="0" applyFont="1" applyBorder="1" applyAlignment="1">
      <alignment horizontal="center" vertical="center"/>
    </xf>
    <xf numFmtId="0" fontId="61" fillId="0" borderId="47" xfId="0" applyFont="1" applyBorder="1" applyAlignment="1">
      <alignment horizontal="center" vertical="center"/>
    </xf>
    <xf numFmtId="0" fontId="61" fillId="0" borderId="202" xfId="0" applyFont="1" applyBorder="1" applyAlignment="1">
      <alignment horizontal="center" vertical="center"/>
    </xf>
    <xf numFmtId="0" fontId="20" fillId="0" borderId="146" xfId="0" applyFont="1" applyBorder="1" applyAlignment="1">
      <alignment horizontal="left" vertical="center"/>
    </xf>
    <xf numFmtId="0" fontId="20" fillId="0" borderId="147" xfId="0" applyFont="1" applyBorder="1" applyAlignment="1">
      <alignment horizontal="center" vertical="center"/>
    </xf>
    <xf numFmtId="0" fontId="20" fillId="0" borderId="148" xfId="0" applyFont="1" applyBorder="1" applyAlignment="1">
      <alignment horizontal="left" vertical="center"/>
    </xf>
    <xf numFmtId="0" fontId="14" fillId="9" borderId="111" xfId="0" applyFont="1" applyFill="1" applyBorder="1" applyAlignment="1">
      <alignment horizontal="center" vertical="center"/>
    </xf>
    <xf numFmtId="0" fontId="20" fillId="10" borderId="146" xfId="0" applyFont="1" applyFill="1" applyBorder="1" applyAlignment="1" applyProtection="1">
      <alignment horizontal="center" vertical="center"/>
      <protection locked="0"/>
    </xf>
    <xf numFmtId="0" fontId="20" fillId="10" borderId="149" xfId="0" applyFont="1" applyFill="1" applyBorder="1" applyAlignment="1" applyProtection="1">
      <alignment horizontal="center" vertical="center"/>
      <protection locked="0"/>
    </xf>
    <xf numFmtId="0" fontId="20" fillId="10" borderId="50" xfId="0" applyFont="1" applyFill="1" applyBorder="1" applyAlignment="1" applyProtection="1">
      <alignment horizontal="center" vertical="center"/>
      <protection locked="0"/>
    </xf>
    <xf numFmtId="0" fontId="20" fillId="10" borderId="52" xfId="0" applyFont="1" applyFill="1" applyBorder="1" applyAlignment="1" applyProtection="1">
      <alignment horizontal="center" vertical="center"/>
      <protection locked="0"/>
    </xf>
    <xf numFmtId="0" fontId="20" fillId="10" borderId="147" xfId="0" applyFont="1" applyFill="1" applyBorder="1" applyAlignment="1">
      <alignment horizontal="center" vertical="center"/>
    </xf>
    <xf numFmtId="0" fontId="20" fillId="10" borderId="55" xfId="0" applyFont="1" applyFill="1" applyBorder="1" applyAlignment="1">
      <alignment horizontal="center" vertical="center"/>
    </xf>
    <xf numFmtId="0" fontId="20" fillId="10" borderId="71" xfId="0" applyFont="1" applyFill="1" applyBorder="1" applyAlignment="1">
      <alignment horizontal="center" vertical="center"/>
    </xf>
    <xf numFmtId="0" fontId="21" fillId="0" borderId="202" xfId="0" applyFont="1" applyBorder="1" applyAlignment="1">
      <alignment horizontal="center" vertical="center"/>
    </xf>
    <xf numFmtId="0" fontId="21" fillId="10" borderId="128" xfId="0" applyFont="1" applyFill="1" applyBorder="1" applyAlignment="1" applyProtection="1">
      <alignment horizontal="center" vertical="center"/>
      <protection locked="0"/>
    </xf>
    <xf numFmtId="0" fontId="21" fillId="0" borderId="203" xfId="0" applyFont="1" applyBorder="1" applyAlignment="1">
      <alignment horizontal="center" vertical="center"/>
    </xf>
    <xf numFmtId="0" fontId="14" fillId="9" borderId="113" xfId="0" applyFont="1" applyFill="1" applyBorder="1" applyAlignment="1">
      <alignment horizontal="center" vertical="center"/>
    </xf>
    <xf numFmtId="167" fontId="21" fillId="0" borderId="148" xfId="0" applyNumberFormat="1" applyFont="1" applyBorder="1" applyAlignment="1">
      <alignment horizontal="center" vertical="center"/>
    </xf>
    <xf numFmtId="167" fontId="21" fillId="0" borderId="49" xfId="0" applyNumberFormat="1" applyFont="1" applyBorder="1" applyAlignment="1">
      <alignment horizontal="center" vertical="center"/>
    </xf>
    <xf numFmtId="167" fontId="21" fillId="0" borderId="51" xfId="0" applyNumberFormat="1" applyFont="1" applyBorder="1" applyAlignment="1">
      <alignment horizontal="center" vertical="center"/>
    </xf>
    <xf numFmtId="0" fontId="14" fillId="0" borderId="40"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0" fontId="20" fillId="10" borderId="147" xfId="0" applyFont="1" applyFill="1" applyBorder="1" applyAlignment="1" applyProtection="1">
      <alignment horizontal="center" vertical="center"/>
      <protection locked="0"/>
    </xf>
    <xf numFmtId="0" fontId="20" fillId="10" borderId="204" xfId="0" applyFont="1" applyFill="1" applyBorder="1" applyAlignment="1" applyProtection="1">
      <alignment horizontal="center" vertical="center"/>
      <protection locked="0"/>
    </xf>
    <xf numFmtId="0" fontId="20" fillId="10" borderId="205" xfId="0" applyFont="1" applyFill="1" applyBorder="1" applyAlignment="1" applyProtection="1">
      <alignment horizontal="center" vertical="center"/>
      <protection locked="0"/>
    </xf>
    <xf numFmtId="0" fontId="20" fillId="10" borderId="206" xfId="0" applyFont="1" applyFill="1" applyBorder="1" applyAlignment="1" applyProtection="1">
      <alignment horizontal="center" vertical="center"/>
      <protection locked="0"/>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left" vertical="center"/>
    </xf>
    <xf numFmtId="0" fontId="18" fillId="15" borderId="0" xfId="0" applyFont="1" applyFill="1"/>
    <xf numFmtId="0" fontId="18" fillId="0" borderId="192" xfId="0" applyFont="1" applyBorder="1" applyAlignment="1">
      <alignment vertical="center"/>
    </xf>
    <xf numFmtId="0" fontId="21" fillId="0" borderId="208" xfId="0" applyFont="1" applyBorder="1" applyAlignment="1">
      <alignment horizontal="center" vertical="center"/>
    </xf>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211" xfId="0" applyFont="1" applyBorder="1" applyAlignment="1">
      <alignment horizontal="center" vertical="center"/>
    </xf>
    <xf numFmtId="0" fontId="61" fillId="0" borderId="211" xfId="0" applyFont="1" applyBorder="1" applyAlignment="1">
      <alignment horizontal="center" vertical="center"/>
    </xf>
    <xf numFmtId="0" fontId="20" fillId="0" borderId="212" xfId="0" applyFont="1" applyBorder="1" applyAlignment="1">
      <alignment horizontal="left" vertical="center"/>
    </xf>
    <xf numFmtId="0" fontId="20" fillId="0" borderId="142" xfId="0" applyFont="1" applyBorder="1" applyAlignment="1">
      <alignment horizontal="center" vertical="center"/>
    </xf>
    <xf numFmtId="0" fontId="20" fillId="0" borderId="213" xfId="0" applyFont="1" applyBorder="1" applyAlignment="1">
      <alignment horizontal="left" vertical="center"/>
    </xf>
    <xf numFmtId="0" fontId="20" fillId="10" borderId="212" xfId="0" applyFont="1" applyFill="1" applyBorder="1" applyAlignment="1" applyProtection="1">
      <alignment horizontal="center" vertical="center"/>
      <protection locked="0"/>
    </xf>
    <xf numFmtId="0" fontId="20" fillId="10" borderId="142" xfId="0" applyFont="1" applyFill="1" applyBorder="1" applyAlignment="1">
      <alignment horizontal="center" vertical="center"/>
    </xf>
    <xf numFmtId="0" fontId="20" fillId="10" borderId="143" xfId="0" applyFont="1" applyFill="1" applyBorder="1" applyAlignment="1" applyProtection="1">
      <alignment horizontal="center" vertical="center"/>
      <protection locked="0"/>
    </xf>
    <xf numFmtId="0" fontId="21" fillId="0" borderId="47" xfId="0" applyFont="1" applyBorder="1" applyAlignment="1">
      <alignment horizontal="center" vertical="center"/>
    </xf>
    <xf numFmtId="0" fontId="20" fillId="10" borderId="56" xfId="0" applyFont="1" applyFill="1" applyBorder="1" applyAlignment="1">
      <alignment horizontal="center" vertical="center"/>
    </xf>
    <xf numFmtId="0" fontId="21" fillId="10" borderId="192" xfId="0" applyFont="1" applyFill="1" applyBorder="1" applyAlignment="1" applyProtection="1">
      <alignment horizontal="center" vertical="center"/>
      <protection locked="0"/>
    </xf>
    <xf numFmtId="0" fontId="21" fillId="0" borderId="110" xfId="0" applyFont="1" applyBorder="1" applyAlignment="1">
      <alignment horizontal="center" vertical="center"/>
    </xf>
    <xf numFmtId="0" fontId="61" fillId="0" borderId="110" xfId="0" applyFont="1" applyBorder="1" applyAlignment="1">
      <alignment horizontal="center" vertical="center"/>
    </xf>
    <xf numFmtId="0" fontId="20" fillId="0" borderId="214" xfId="0" applyFont="1" applyBorder="1" applyAlignment="1">
      <alignment horizontal="left" vertical="center"/>
    </xf>
    <xf numFmtId="0" fontId="20" fillId="0" borderId="114" xfId="0" applyFont="1" applyBorder="1" applyAlignment="1">
      <alignment horizontal="left" vertical="center"/>
    </xf>
    <xf numFmtId="0" fontId="20" fillId="10" borderId="214" xfId="0" applyFont="1" applyFill="1" applyBorder="1" applyAlignment="1" applyProtection="1">
      <alignment horizontal="center" vertical="center"/>
      <protection locked="0"/>
    </xf>
    <xf numFmtId="0" fontId="20" fillId="10" borderId="120" xfId="0" applyFont="1" applyFill="1" applyBorder="1" applyAlignment="1">
      <alignment horizontal="center" vertical="center"/>
    </xf>
    <xf numFmtId="164" fontId="6" fillId="0" borderId="140" xfId="0" applyNumberFormat="1" applyFont="1" applyBorder="1" applyAlignment="1">
      <alignment vertical="center" shrinkToFit="1"/>
    </xf>
    <xf numFmtId="0" fontId="6" fillId="0" borderId="139" xfId="0" applyFont="1" applyBorder="1" applyAlignment="1">
      <alignment horizontal="left" vertical="center" shrinkToFit="1"/>
    </xf>
    <xf numFmtId="164" fontId="6" fillId="0" borderId="43" xfId="0" applyNumberFormat="1" applyFont="1" applyBorder="1" applyAlignment="1">
      <alignment vertical="center" shrinkToFit="1"/>
    </xf>
    <xf numFmtId="0" fontId="6" fillId="0" borderId="45" xfId="0" applyFont="1" applyBorder="1" applyAlignment="1">
      <alignment horizontal="left" vertical="center" shrinkToFit="1"/>
    </xf>
    <xf numFmtId="164" fontId="6" fillId="0" borderId="46" xfId="0" applyNumberFormat="1" applyFont="1" applyBorder="1" applyAlignment="1">
      <alignment vertical="center" shrinkToFit="1"/>
    </xf>
    <xf numFmtId="0" fontId="6" fillId="0" borderId="48" xfId="0" applyFont="1" applyBorder="1" applyAlignment="1">
      <alignment horizontal="left" vertical="center" shrinkToFit="1"/>
    </xf>
    <xf numFmtId="0" fontId="21" fillId="0" borderId="40"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43" xfId="0" applyNumberFormat="1" applyFont="1" applyBorder="1" applyAlignment="1">
      <alignment horizontal="center" vertical="center"/>
    </xf>
    <xf numFmtId="0" fontId="21" fillId="0" borderId="46" xfId="0" applyNumberFormat="1" applyFont="1" applyBorder="1" applyAlignment="1">
      <alignment horizontal="center" vertical="center"/>
    </xf>
    <xf numFmtId="0" fontId="21" fillId="0" borderId="216" xfId="0" applyNumberFormat="1" applyFont="1" applyBorder="1" applyAlignment="1">
      <alignment horizontal="center" vertical="center"/>
    </xf>
    <xf numFmtId="0" fontId="21" fillId="0" borderId="144" xfId="0" applyNumberFormat="1" applyFont="1" applyBorder="1" applyAlignment="1">
      <alignment horizontal="center" vertical="center"/>
    </xf>
    <xf numFmtId="0" fontId="21" fillId="0" borderId="200" xfId="0" applyNumberFormat="1" applyFont="1" applyBorder="1" applyAlignment="1">
      <alignment horizontal="center" vertical="center"/>
    </xf>
    <xf numFmtId="167" fontId="21" fillId="0" borderId="110" xfId="0" applyNumberFormat="1" applyFont="1" applyBorder="1" applyAlignment="1">
      <alignment horizontal="center" vertical="center"/>
    </xf>
    <xf numFmtId="167" fontId="21" fillId="0" borderId="44" xfId="0" applyNumberFormat="1" applyFont="1" applyBorder="1" applyAlignment="1">
      <alignment horizontal="center" vertical="center"/>
    </xf>
    <xf numFmtId="167" fontId="21" fillId="0" borderId="47" xfId="0" applyNumberFormat="1" applyFont="1" applyBorder="1" applyAlignment="1">
      <alignment horizontal="center" vertical="center"/>
    </xf>
    <xf numFmtId="0" fontId="21" fillId="0" borderId="141" xfId="0" applyNumberFormat="1" applyFont="1" applyBorder="1" applyAlignment="1">
      <alignment horizontal="center" vertical="center"/>
    </xf>
    <xf numFmtId="167" fontId="21" fillId="0" borderId="211" xfId="0" applyNumberFormat="1" applyFont="1" applyBorder="1" applyAlignment="1">
      <alignment horizontal="center" vertical="center"/>
    </xf>
    <xf numFmtId="0" fontId="21" fillId="0" borderId="57" xfId="0" applyNumberFormat="1" applyFont="1" applyBorder="1" applyAlignment="1">
      <alignment horizontal="center" vertical="center"/>
    </xf>
    <xf numFmtId="0" fontId="14" fillId="9" borderId="150" xfId="0" applyFont="1" applyFill="1" applyBorder="1" applyAlignment="1">
      <alignment horizontal="center" vertical="center"/>
    </xf>
    <xf numFmtId="164" fontId="20" fillId="18" borderId="141" xfId="0" applyNumberFormat="1" applyFont="1" applyFill="1" applyBorder="1" applyAlignment="1">
      <alignment horizontal="center" vertical="center"/>
    </xf>
    <xf numFmtId="164" fontId="20" fillId="19" borderId="144" xfId="0" applyNumberFormat="1" applyFont="1" applyFill="1" applyBorder="1" applyAlignment="1">
      <alignment horizontal="center" vertical="center"/>
    </xf>
    <xf numFmtId="164" fontId="20" fillId="11" borderId="144" xfId="0" applyNumberFormat="1" applyFont="1" applyFill="1" applyBorder="1" applyAlignment="1">
      <alignment horizontal="center" vertical="center"/>
    </xf>
    <xf numFmtId="164" fontId="20" fillId="0" borderId="144" xfId="0" applyNumberFormat="1" applyFont="1" applyBorder="1" applyAlignment="1">
      <alignment horizontal="center" vertical="center"/>
    </xf>
    <xf numFmtId="164" fontId="20" fillId="0" borderId="200" xfId="0" applyNumberFormat="1" applyFont="1" applyBorder="1" applyAlignment="1">
      <alignment horizontal="center" vertical="center"/>
    </xf>
    <xf numFmtId="0" fontId="18" fillId="0" borderId="0" xfId="0" applyFont="1" applyFill="1" applyBorder="1" applyProtection="1"/>
    <xf numFmtId="0" fontId="0" fillId="0" borderId="0" xfId="0" applyFill="1" applyBorder="1"/>
    <xf numFmtId="0" fontId="30" fillId="0" borderId="0" xfId="3" applyFill="1" applyBorder="1" applyAlignment="1" applyProtection="1">
      <alignment vertical="center"/>
      <protection locked="0"/>
    </xf>
    <xf numFmtId="0" fontId="18" fillId="0" borderId="0" xfId="0" applyFont="1" applyFill="1" applyBorder="1" applyAlignment="1" applyProtection="1">
      <alignment horizontal="center" vertical="center"/>
    </xf>
    <xf numFmtId="165" fontId="20" fillId="0" borderId="0" xfId="0" applyNumberFormat="1" applyFont="1" applyBorder="1" applyAlignment="1">
      <alignment horizontal="left" vertical="center"/>
    </xf>
    <xf numFmtId="0" fontId="0" fillId="0" borderId="220" xfId="0" applyBorder="1" applyAlignment="1">
      <alignment horizontal="center" vertical="center"/>
    </xf>
    <xf numFmtId="0" fontId="0" fillId="0" borderId="221" xfId="0" applyBorder="1" applyAlignment="1">
      <alignment horizontal="center" vertical="center"/>
    </xf>
    <xf numFmtId="0" fontId="0" fillId="0" borderId="222" xfId="0" applyBorder="1" applyAlignment="1">
      <alignment horizontal="center" vertical="center"/>
    </xf>
    <xf numFmtId="0" fontId="0" fillId="0" borderId="223" xfId="0" applyBorder="1" applyAlignment="1">
      <alignment horizontal="center" vertical="center"/>
    </xf>
    <xf numFmtId="0" fontId="0" fillId="0" borderId="226" xfId="0" applyBorder="1" applyAlignment="1">
      <alignment horizontal="center"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6" fillId="0" borderId="44" xfId="0" applyFont="1" applyFill="1" applyBorder="1" applyAlignment="1">
      <alignment horizontal="center" vertical="center" shrinkToFit="1"/>
    </xf>
    <xf numFmtId="0" fontId="21" fillId="15" borderId="149" xfId="0" applyFont="1" applyFill="1" applyBorder="1" applyAlignment="1" applyProtection="1"/>
    <xf numFmtId="0" fontId="21" fillId="15" borderId="201" xfId="0" applyFont="1" applyFill="1" applyBorder="1" applyAlignment="1" applyProtection="1"/>
    <xf numFmtId="164" fontId="15" fillId="0" borderId="43" xfId="0" applyNumberFormat="1" applyFont="1" applyBorder="1" applyAlignment="1">
      <alignment horizontal="center" vertical="center" shrinkToFit="1"/>
    </xf>
    <xf numFmtId="164" fontId="15" fillId="0" borderId="46" xfId="0" applyNumberFormat="1" applyFont="1" applyBorder="1" applyAlignment="1">
      <alignment horizontal="center" vertical="center" shrinkToFit="1"/>
    </xf>
    <xf numFmtId="164" fontId="15" fillId="0" borderId="57" xfId="0" applyNumberFormat="1" applyFont="1" applyBorder="1" applyAlignment="1">
      <alignment horizontal="center" vertical="center" shrinkToFit="1"/>
    </xf>
    <xf numFmtId="0" fontId="14" fillId="9" borderId="150" xfId="0" applyFont="1" applyFill="1" applyBorder="1" applyAlignment="1">
      <alignment horizontal="center" vertical="center" shrinkToFit="1"/>
    </xf>
    <xf numFmtId="0" fontId="5" fillId="0" borderId="0" xfId="0" applyFont="1" applyAlignment="1">
      <alignment wrapText="1"/>
    </xf>
    <xf numFmtId="0" fontId="0" fillId="0" borderId="0" xfId="0" applyAlignment="1">
      <alignment horizontal="center" vertical="center"/>
    </xf>
    <xf numFmtId="0" fontId="20" fillId="0" borderId="235" xfId="0" applyFont="1" applyBorder="1" applyAlignment="1">
      <alignment horizontal="center" vertical="center"/>
    </xf>
    <xf numFmtId="0" fontId="18" fillId="0" borderId="0" xfId="0" applyFont="1" applyAlignment="1">
      <alignment horizontal="center" vertical="top"/>
    </xf>
    <xf numFmtId="0" fontId="23" fillId="0" borderId="57" xfId="0" applyNumberFormat="1" applyFont="1" applyBorder="1" applyAlignment="1">
      <alignment horizontal="center" vertical="center"/>
    </xf>
    <xf numFmtId="0" fontId="23" fillId="0" borderId="43" xfId="0" applyNumberFormat="1" applyFont="1" applyBorder="1" applyAlignment="1">
      <alignment horizontal="center" vertical="center"/>
    </xf>
    <xf numFmtId="0" fontId="23" fillId="0" borderId="46" xfId="0" applyNumberFormat="1" applyFont="1" applyBorder="1" applyAlignment="1">
      <alignment horizontal="center" vertical="center"/>
    </xf>
    <xf numFmtId="0" fontId="21" fillId="10" borderId="236" xfId="0" applyFont="1" applyFill="1" applyBorder="1" applyAlignment="1" applyProtection="1">
      <alignment horizontal="center"/>
      <protection locked="0"/>
    </xf>
    <xf numFmtId="0" fontId="6" fillId="0" borderId="120" xfId="0" applyFont="1" applyBorder="1" applyAlignment="1">
      <alignment horizontal="center" vertical="center" shrinkToFit="1"/>
    </xf>
    <xf numFmtId="0" fontId="6" fillId="10" borderId="120" xfId="0" applyFont="1" applyFill="1" applyBorder="1" applyAlignment="1">
      <alignment horizontal="center" vertical="center" shrinkToFit="1"/>
    </xf>
    <xf numFmtId="0" fontId="6" fillId="10" borderId="215" xfId="0" applyFont="1" applyFill="1" applyBorder="1" applyAlignment="1" applyProtection="1">
      <alignment horizontal="left" vertical="center" shrinkToFit="1"/>
      <protection locked="0"/>
    </xf>
    <xf numFmtId="0" fontId="6" fillId="10" borderId="55" xfId="0" applyFont="1" applyFill="1" applyBorder="1" applyAlignment="1">
      <alignment horizontal="center" vertical="center" shrinkToFit="1"/>
    </xf>
    <xf numFmtId="0" fontId="6" fillId="10" borderId="69" xfId="0" applyFont="1" applyFill="1" applyBorder="1" applyAlignment="1" applyProtection="1">
      <alignment horizontal="left" vertical="center" shrinkToFit="1"/>
      <protection locked="0"/>
    </xf>
    <xf numFmtId="0" fontId="6" fillId="10" borderId="56" xfId="0" applyFont="1" applyFill="1" applyBorder="1" applyAlignment="1">
      <alignment horizontal="center" vertical="center" shrinkToFit="1"/>
    </xf>
    <xf numFmtId="0" fontId="6" fillId="10" borderId="201" xfId="0" applyFont="1" applyFill="1" applyBorder="1" applyAlignment="1" applyProtection="1">
      <alignment horizontal="left" vertical="center" shrinkToFit="1"/>
      <protection locked="0"/>
    </xf>
    <xf numFmtId="0" fontId="13" fillId="0" borderId="216" xfId="0" applyFont="1" applyBorder="1" applyAlignment="1">
      <alignment horizontal="center" vertical="center" shrinkToFit="1"/>
    </xf>
    <xf numFmtId="0" fontId="13" fillId="0" borderId="144" xfId="0" applyFont="1" applyBorder="1" applyAlignment="1">
      <alignment horizontal="center" vertical="center" shrinkToFit="1"/>
    </xf>
    <xf numFmtId="0" fontId="13" fillId="0" borderId="200" xfId="0" applyFont="1" applyBorder="1" applyAlignment="1">
      <alignment horizontal="center" vertical="center" shrinkToFit="1"/>
    </xf>
    <xf numFmtId="0" fontId="6" fillId="10" borderId="120" xfId="0" applyFont="1" applyFill="1" applyBorder="1" applyAlignment="1" applyProtection="1">
      <alignment horizontal="right" vertical="center" shrinkToFit="1"/>
      <protection locked="0"/>
    </xf>
    <xf numFmtId="0" fontId="6" fillId="10" borderId="55" xfId="0" applyFont="1" applyFill="1" applyBorder="1" applyAlignment="1" applyProtection="1">
      <alignment horizontal="right" vertical="center" shrinkToFit="1"/>
      <protection locked="0"/>
    </xf>
    <xf numFmtId="0" fontId="6" fillId="10" borderId="56" xfId="0" applyFont="1" applyFill="1" applyBorder="1" applyAlignment="1" applyProtection="1">
      <alignment horizontal="right" vertical="center" shrinkToFit="1"/>
      <protection locked="0"/>
    </xf>
    <xf numFmtId="167" fontId="49" fillId="0" borderId="110" xfId="0" applyNumberFormat="1" applyFont="1" applyBorder="1" applyAlignment="1">
      <alignment horizontal="center" vertical="center" shrinkToFit="1"/>
    </xf>
    <xf numFmtId="0" fontId="49" fillId="0" borderId="110" xfId="0" applyFont="1" applyBorder="1" applyAlignment="1">
      <alignment horizontal="center" vertical="center" shrinkToFit="1"/>
    </xf>
    <xf numFmtId="167" fontId="49" fillId="0" borderId="44" xfId="0" applyNumberFormat="1" applyFont="1" applyBorder="1" applyAlignment="1">
      <alignment horizontal="center" vertical="center" shrinkToFit="1"/>
    </xf>
    <xf numFmtId="0" fontId="49" fillId="0" borderId="44" xfId="0" applyFont="1" applyBorder="1" applyAlignment="1">
      <alignment horizontal="center" vertical="center" shrinkToFit="1"/>
    </xf>
    <xf numFmtId="167" fontId="49" fillId="0" borderId="47" xfId="0" applyNumberFormat="1" applyFont="1" applyBorder="1" applyAlignment="1">
      <alignment horizontal="center" vertical="center" shrinkToFit="1"/>
    </xf>
    <xf numFmtId="0" fontId="49" fillId="0" borderId="47" xfId="0" applyFont="1" applyBorder="1" applyAlignment="1">
      <alignment horizontal="center" vertical="center" shrinkToFit="1"/>
    </xf>
    <xf numFmtId="0" fontId="6" fillId="0" borderId="214" xfId="0" applyFont="1" applyBorder="1" applyAlignment="1">
      <alignment vertical="center" shrinkToFit="1"/>
    </xf>
    <xf numFmtId="0" fontId="6" fillId="0" borderId="50" xfId="0" applyFont="1" applyBorder="1" applyAlignment="1">
      <alignment vertical="center" shrinkToFit="1"/>
    </xf>
    <xf numFmtId="0" fontId="6" fillId="0" borderId="52" xfId="0" applyFont="1" applyBorder="1" applyAlignment="1">
      <alignment vertical="center" shrinkToFit="1"/>
    </xf>
    <xf numFmtId="0" fontId="6" fillId="0" borderId="114" xfId="0" applyFont="1" applyBorder="1" applyAlignment="1">
      <alignment vertical="center" shrinkToFit="1"/>
    </xf>
    <xf numFmtId="0" fontId="6" fillId="0" borderId="49" xfId="0" applyFont="1" applyBorder="1" applyAlignment="1">
      <alignment vertical="center" shrinkToFit="1"/>
    </xf>
    <xf numFmtId="0" fontId="6" fillId="0" borderId="51" xfId="0" applyFont="1" applyBorder="1" applyAlignment="1">
      <alignment vertical="center" shrinkToFit="1"/>
    </xf>
    <xf numFmtId="0" fontId="20" fillId="0" borderId="0" xfId="0" applyNumberFormat="1" applyFont="1" applyBorder="1" applyAlignment="1">
      <alignment horizontal="left" vertical="center"/>
    </xf>
    <xf numFmtId="0" fontId="21" fillId="0" borderId="125" xfId="0" applyFont="1" applyBorder="1" applyAlignment="1">
      <alignment horizontal="center"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20" fillId="0" borderId="237" xfId="0" applyFont="1" applyBorder="1" applyAlignment="1">
      <alignment horizontal="center" vertical="center"/>
    </xf>
    <xf numFmtId="0" fontId="20" fillId="0" borderId="238" xfId="0" applyFont="1" applyBorder="1" applyAlignment="1">
      <alignment horizontal="center" vertical="center"/>
    </xf>
    <xf numFmtId="0" fontId="20" fillId="0" borderId="239" xfId="0" applyFont="1" applyBorder="1" applyAlignment="1">
      <alignment horizontal="center" vertical="center"/>
    </xf>
    <xf numFmtId="0" fontId="69" fillId="8" borderId="217" xfId="0" applyFont="1" applyFill="1" applyBorder="1" applyAlignment="1" applyProtection="1">
      <alignment horizontal="center" vertical="center"/>
      <protection locked="0"/>
    </xf>
    <xf numFmtId="0" fontId="69" fillId="8" borderId="218" xfId="0" applyFont="1" applyFill="1" applyBorder="1" applyAlignment="1" applyProtection="1">
      <alignment horizontal="center" vertical="center"/>
      <protection locked="0"/>
    </xf>
    <xf numFmtId="0" fontId="69" fillId="8" borderId="224" xfId="0" applyFont="1" applyFill="1" applyBorder="1" applyAlignment="1" applyProtection="1">
      <alignment horizontal="center" vertical="center"/>
      <protection locked="0"/>
    </xf>
    <xf numFmtId="0" fontId="69" fillId="8" borderId="219" xfId="0" applyFont="1" applyFill="1" applyBorder="1" applyAlignment="1" applyProtection="1">
      <alignment horizontal="center" vertical="center"/>
      <protection locked="0"/>
    </xf>
    <xf numFmtId="0" fontId="69" fillId="0" borderId="44" xfId="0" applyFont="1" applyBorder="1" applyAlignment="1" applyProtection="1">
      <alignment horizontal="center" vertical="center"/>
      <protection locked="0"/>
    </xf>
    <xf numFmtId="0" fontId="69" fillId="0" borderId="225" xfId="0" applyFont="1" applyBorder="1" applyAlignment="1" applyProtection="1">
      <alignment horizontal="center" vertical="center"/>
      <protection locked="0"/>
    </xf>
    <xf numFmtId="0" fontId="69" fillId="8" borderId="227" xfId="0" applyFont="1" applyFill="1" applyBorder="1" applyAlignment="1" applyProtection="1">
      <alignment horizontal="center" vertical="center"/>
      <protection locked="0"/>
    </xf>
    <xf numFmtId="0" fontId="69" fillId="0" borderId="228" xfId="0" applyFont="1" applyBorder="1" applyAlignment="1" applyProtection="1">
      <alignment horizontal="center" vertical="center"/>
      <protection locked="0"/>
    </xf>
    <xf numFmtId="0" fontId="69" fillId="0" borderId="229" xfId="0" applyFont="1" applyBorder="1" applyAlignment="1" applyProtection="1">
      <alignment horizontal="center" vertical="center"/>
      <protection locked="0"/>
    </xf>
    <xf numFmtId="0" fontId="0" fillId="0" borderId="249" xfId="0" applyBorder="1"/>
    <xf numFmtId="0" fontId="0" fillId="0" borderId="249" xfId="0" applyBorder="1" applyAlignment="1">
      <alignment horizontal="center"/>
    </xf>
    <xf numFmtId="0" fontId="0" fillId="0" borderId="0" xfId="0" applyAlignment="1" applyProtection="1">
      <alignment horizontal="left"/>
      <protection locked="0"/>
    </xf>
    <xf numFmtId="0" fontId="0" fillId="0" borderId="0" xfId="0" applyAlignment="1" applyProtection="1">
      <alignment horizontal="right"/>
      <protection locked="0"/>
    </xf>
    <xf numFmtId="0" fontId="4" fillId="0" borderId="250" xfId="0" applyFont="1" applyBorder="1" applyAlignment="1">
      <alignment horizontal="center" vertical="center"/>
    </xf>
    <xf numFmtId="165" fontId="18" fillId="0" borderId="0" xfId="0" applyNumberFormat="1" applyFont="1" applyAlignment="1">
      <alignment horizontal="right" indent="1"/>
    </xf>
    <xf numFmtId="0" fontId="21" fillId="0" borderId="234" xfId="0" applyNumberFormat="1" applyFont="1" applyBorder="1" applyAlignment="1">
      <alignment horizontal="center" vertical="center"/>
    </xf>
    <xf numFmtId="167" fontId="21" fillId="0" borderId="202" xfId="0" applyNumberFormat="1" applyFont="1" applyBorder="1" applyAlignment="1">
      <alignment horizontal="center" vertical="center"/>
    </xf>
    <xf numFmtId="0" fontId="21" fillId="15" borderId="69" xfId="0" applyFont="1" applyFill="1" applyBorder="1" applyAlignment="1" applyProtection="1"/>
    <xf numFmtId="0" fontId="18" fillId="15" borderId="234" xfId="0" applyFont="1" applyFill="1" applyBorder="1" applyAlignment="1" applyProtection="1">
      <alignment horizontal="left" vertical="center" indent="1" shrinkToFit="1"/>
    </xf>
    <xf numFmtId="0" fontId="18" fillId="15" borderId="144" xfId="0" applyFont="1" applyFill="1" applyBorder="1" applyAlignment="1" applyProtection="1">
      <alignment horizontal="left" vertical="center" indent="1" shrinkToFit="1"/>
    </xf>
    <xf numFmtId="0" fontId="18" fillId="15" borderId="200" xfId="0" applyFont="1" applyFill="1" applyBorder="1" applyAlignment="1" applyProtection="1">
      <alignment horizontal="left" vertical="center" indent="1" shrinkToFit="1"/>
    </xf>
    <xf numFmtId="167" fontId="53" fillId="15" borderId="147" xfId="0" applyNumberFormat="1" applyFont="1" applyFill="1" applyBorder="1" applyAlignment="1" applyProtection="1">
      <alignment horizontal="right" indent="1"/>
    </xf>
    <xf numFmtId="167" fontId="53" fillId="15" borderId="55" xfId="0" applyNumberFormat="1" applyFont="1" applyFill="1" applyBorder="1" applyAlignment="1" applyProtection="1">
      <alignment horizontal="right" indent="1"/>
    </xf>
    <xf numFmtId="167" fontId="53" fillId="15" borderId="56" xfId="0" applyNumberFormat="1" applyFont="1" applyFill="1" applyBorder="1" applyAlignment="1" applyProtection="1">
      <alignment horizontal="right" indent="1"/>
    </xf>
    <xf numFmtId="0" fontId="14" fillId="9" borderId="53" xfId="0" applyFont="1" applyFill="1" applyBorder="1" applyAlignment="1">
      <alignment horizontal="center" vertical="center" shrinkToFit="1"/>
    </xf>
    <xf numFmtId="167" fontId="24" fillId="0" borderId="0" xfId="0" applyNumberFormat="1" applyFont="1" applyBorder="1" applyAlignment="1">
      <alignment horizontal="left"/>
    </xf>
    <xf numFmtId="0" fontId="14" fillId="9" borderId="130" xfId="0" applyFont="1" applyFill="1" applyBorder="1" applyAlignment="1">
      <alignment horizontal="center" vertical="center"/>
    </xf>
    <xf numFmtId="0" fontId="20" fillId="0" borderId="147" xfId="0" applyFont="1" applyBorder="1" applyAlignment="1">
      <alignment horizontal="left" vertical="center"/>
    </xf>
    <xf numFmtId="0" fontId="20" fillId="0" borderId="55" xfId="0" applyFont="1" applyBorder="1" applyAlignment="1">
      <alignment horizontal="left" vertical="center"/>
    </xf>
    <xf numFmtId="0" fontId="14" fillId="9" borderId="251" xfId="0" applyFont="1" applyFill="1" applyBorder="1" applyAlignment="1">
      <alignment horizontal="center" vertical="center"/>
    </xf>
    <xf numFmtId="0" fontId="19" fillId="9" borderId="150" xfId="0" applyFont="1" applyFill="1" applyBorder="1" applyAlignment="1">
      <alignment vertical="center"/>
    </xf>
    <xf numFmtId="0" fontId="19" fillId="9" borderId="133" xfId="0" applyFont="1" applyFill="1" applyBorder="1" applyAlignment="1">
      <alignment vertical="center" shrinkToFit="1"/>
    </xf>
    <xf numFmtId="164" fontId="6" fillId="0" borderId="140" xfId="0" applyNumberFormat="1" applyFont="1" applyBorder="1" applyAlignment="1">
      <alignment horizontal="center" vertical="center" shrinkToFit="1"/>
    </xf>
    <xf numFmtId="0" fontId="6" fillId="0" borderId="140" xfId="0" applyFont="1" applyBorder="1" applyAlignment="1">
      <alignment horizontal="center" vertical="center" shrinkToFit="1"/>
    </xf>
    <xf numFmtId="0" fontId="6" fillId="0" borderId="138" xfId="0" applyFont="1" applyBorder="1" applyAlignment="1">
      <alignment horizontal="center" vertical="center"/>
    </xf>
    <xf numFmtId="0" fontId="20" fillId="0" borderId="58" xfId="0" applyFont="1" applyFill="1" applyBorder="1" applyAlignment="1" applyProtection="1">
      <alignment vertical="center" shrinkToFit="1"/>
    </xf>
    <xf numFmtId="164" fontId="6" fillId="0" borderId="43" xfId="0" applyNumberFormat="1" applyFont="1" applyBorder="1" applyAlignment="1">
      <alignment horizontal="center" vertical="center" shrinkToFit="1"/>
    </xf>
    <xf numFmtId="0" fontId="6" fillId="0" borderId="55" xfId="0" applyFont="1" applyBorder="1" applyAlignment="1">
      <alignment horizontal="center" vertical="center"/>
    </xf>
    <xf numFmtId="49" fontId="24" fillId="0" borderId="43" xfId="0" applyNumberFormat="1" applyFont="1" applyBorder="1" applyAlignment="1">
      <alignment horizontal="center" vertical="center"/>
    </xf>
    <xf numFmtId="0" fontId="20" fillId="0" borderId="45" xfId="0" applyFont="1" applyFill="1" applyBorder="1" applyAlignment="1" applyProtection="1">
      <alignment vertical="center" shrinkToFit="1"/>
    </xf>
    <xf numFmtId="164" fontId="6" fillId="0" borderId="46" xfId="0" applyNumberFormat="1" applyFont="1" applyBorder="1" applyAlignment="1">
      <alignment horizontal="center" vertical="center" shrinkToFit="1"/>
    </xf>
    <xf numFmtId="0" fontId="6" fillId="0" borderId="56" xfId="0" applyFont="1" applyBorder="1" applyAlignment="1">
      <alignment horizontal="center" vertical="center"/>
    </xf>
    <xf numFmtId="49" fontId="24" fillId="0" borderId="46" xfId="0" applyNumberFormat="1" applyFont="1" applyBorder="1" applyAlignment="1">
      <alignment horizontal="center" vertical="center"/>
    </xf>
    <xf numFmtId="0" fontId="20" fillId="0" borderId="48" xfId="0" applyFont="1" applyFill="1" applyBorder="1" applyAlignment="1" applyProtection="1">
      <alignment vertical="center" shrinkToFit="1"/>
    </xf>
    <xf numFmtId="0" fontId="21" fillId="0" borderId="0" xfId="0" applyFont="1" applyFill="1" applyBorder="1" applyAlignment="1">
      <alignment horizontal="center" vertical="center"/>
    </xf>
    <xf numFmtId="0" fontId="21" fillId="0" borderId="257" xfId="0" applyFont="1" applyFill="1" applyBorder="1" applyAlignment="1">
      <alignment horizontal="center" vertical="center"/>
    </xf>
    <xf numFmtId="164" fontId="20" fillId="0" borderId="0" xfId="0" applyNumberFormat="1" applyFont="1" applyFill="1" applyBorder="1" applyAlignment="1">
      <alignment horizontal="center" vertical="center"/>
    </xf>
    <xf numFmtId="0" fontId="21" fillId="17" borderId="146" xfId="0" applyFont="1" applyFill="1" applyBorder="1" applyAlignment="1">
      <alignment horizontal="right" vertical="center"/>
    </xf>
    <xf numFmtId="0" fontId="21" fillId="17" borderId="147" xfId="0" applyFont="1" applyFill="1" applyBorder="1" applyAlignment="1">
      <alignment horizontal="center" vertical="center"/>
    </xf>
    <xf numFmtId="0" fontId="21" fillId="17" borderId="148" xfId="0" applyFont="1" applyFill="1" applyBorder="1" applyAlignment="1">
      <alignment horizontal="left" vertical="center"/>
    </xf>
    <xf numFmtId="0" fontId="21" fillId="17" borderId="50" xfId="0" applyFont="1" applyFill="1" applyBorder="1" applyAlignment="1">
      <alignment horizontal="right" vertical="center"/>
    </xf>
    <xf numFmtId="0" fontId="21" fillId="17" borderId="55" xfId="0" applyFont="1" applyFill="1" applyBorder="1" applyAlignment="1">
      <alignment horizontal="center" vertical="center"/>
    </xf>
    <xf numFmtId="0" fontId="21" fillId="17" borderId="49" xfId="0" applyFont="1" applyFill="1" applyBorder="1" applyAlignment="1">
      <alignment horizontal="left" vertical="center"/>
    </xf>
    <xf numFmtId="0" fontId="21" fillId="17" borderId="52" xfId="0" applyFont="1" applyFill="1" applyBorder="1" applyAlignment="1">
      <alignment horizontal="right" vertical="center"/>
    </xf>
    <xf numFmtId="0" fontId="21" fillId="17" borderId="56" xfId="0" applyFont="1" applyFill="1" applyBorder="1" applyAlignment="1">
      <alignment horizontal="center" vertical="center"/>
    </xf>
    <xf numFmtId="0" fontId="21" fillId="17" borderId="51" xfId="0" applyFont="1" applyFill="1" applyBorder="1" applyAlignment="1">
      <alignment horizontal="left" vertical="center"/>
    </xf>
    <xf numFmtId="0" fontId="21" fillId="0" borderId="44" xfId="0" applyFont="1" applyBorder="1" applyAlignment="1">
      <alignment horizontal="center" vertical="center"/>
    </xf>
    <xf numFmtId="0" fontId="20" fillId="0" borderId="71" xfId="0" applyFont="1" applyBorder="1" applyAlignment="1">
      <alignment horizontal="left" vertical="center"/>
    </xf>
    <xf numFmtId="0" fontId="20" fillId="0" borderId="71" xfId="0" applyFont="1" applyBorder="1" applyAlignment="1">
      <alignment horizontal="center" vertical="center"/>
    </xf>
    <xf numFmtId="0" fontId="20" fillId="0" borderId="258" xfId="0" applyFont="1" applyBorder="1" applyAlignment="1">
      <alignment horizontal="left" vertical="center"/>
    </xf>
    <xf numFmtId="0" fontId="18" fillId="0" borderId="0" xfId="0" quotePrefix="1" applyFont="1"/>
    <xf numFmtId="0" fontId="60" fillId="0" borderId="0" xfId="0" applyFont="1" applyBorder="1" applyAlignment="1">
      <alignment vertical="center"/>
    </xf>
    <xf numFmtId="0" fontId="60" fillId="0" borderId="262" xfId="0" applyFont="1" applyBorder="1" applyAlignment="1">
      <alignment vertical="center"/>
    </xf>
    <xf numFmtId="14" fontId="62" fillId="0" borderId="0" xfId="0" applyNumberFormat="1" applyFont="1" applyBorder="1" applyAlignment="1">
      <alignment vertical="center"/>
    </xf>
    <xf numFmtId="14" fontId="62" fillId="0" borderId="262" xfId="0" applyNumberFormat="1" applyFont="1" applyBorder="1" applyAlignment="1">
      <alignment vertical="center"/>
    </xf>
    <xf numFmtId="0" fontId="62" fillId="0" borderId="0" xfId="0" applyFont="1" applyBorder="1" applyAlignment="1">
      <alignment vertical="center"/>
    </xf>
    <xf numFmtId="0" fontId="62" fillId="0" borderId="262" xfId="0" applyFont="1" applyBorder="1" applyAlignment="1">
      <alignment vertical="center"/>
    </xf>
    <xf numFmtId="0" fontId="13" fillId="0" borderId="0" xfId="0" applyFont="1" applyAlignment="1">
      <alignment horizontal="center" vertical="center"/>
    </xf>
    <xf numFmtId="165" fontId="21" fillId="0" borderId="0" xfId="0" applyNumberFormat="1" applyFont="1" applyAlignment="1">
      <alignment horizontal="center" vertical="center"/>
    </xf>
    <xf numFmtId="165" fontId="14" fillId="9" borderId="269" xfId="0" applyNumberFormat="1" applyFont="1" applyFill="1" applyBorder="1" applyAlignment="1">
      <alignment vertical="center" shrinkToFit="1"/>
    </xf>
    <xf numFmtId="0" fontId="7" fillId="0" borderId="153" xfId="1" applyNumberFormat="1" applyFont="1" applyFill="1" applyBorder="1" applyAlignment="1" applyProtection="1">
      <alignment vertical="center"/>
      <protection hidden="1"/>
    </xf>
    <xf numFmtId="0" fontId="7" fillId="0" borderId="270" xfId="1" applyNumberFormat="1" applyFont="1" applyFill="1" applyBorder="1" applyAlignment="1" applyProtection="1">
      <alignment vertical="center"/>
      <protection hidden="1"/>
    </xf>
    <xf numFmtId="0" fontId="7" fillId="0" borderId="270"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54" xfId="1" applyNumberFormat="1" applyFont="1" applyFill="1" applyBorder="1" applyAlignment="1" applyProtection="1">
      <alignment horizontal="center" vertical="center"/>
      <protection hidden="1"/>
    </xf>
    <xf numFmtId="0" fontId="7" fillId="0" borderId="105"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06" xfId="1" applyNumberFormat="1" applyFont="1" applyFill="1" applyBorder="1" applyAlignment="1" applyProtection="1">
      <alignment horizontal="center" vertical="center"/>
      <protection hidden="1"/>
    </xf>
    <xf numFmtId="0" fontId="7" fillId="0" borderId="107" xfId="1" applyNumberFormat="1" applyFont="1" applyFill="1" applyBorder="1" applyAlignment="1" applyProtection="1">
      <alignment vertical="center"/>
      <protection hidden="1"/>
    </xf>
    <xf numFmtId="0" fontId="7" fillId="0" borderId="108" xfId="1" applyNumberFormat="1" applyFont="1" applyFill="1" applyBorder="1" applyAlignment="1" applyProtection="1">
      <alignment vertical="center"/>
      <protection hidden="1"/>
    </xf>
    <xf numFmtId="0" fontId="7" fillId="0" borderId="108" xfId="1" applyNumberFormat="1" applyFont="1" applyFill="1" applyBorder="1" applyAlignment="1" applyProtection="1">
      <alignment horizontal="center" vertical="center"/>
      <protection hidden="1"/>
    </xf>
    <xf numFmtId="0" fontId="7" fillId="0" borderId="109" xfId="1" applyNumberFormat="1" applyFont="1" applyFill="1" applyBorder="1" applyAlignment="1" applyProtection="1">
      <alignment horizontal="center" vertical="center"/>
      <protection hidden="1"/>
    </xf>
    <xf numFmtId="166" fontId="7" fillId="0" borderId="108" xfId="1" applyNumberFormat="1" applyFont="1" applyFill="1" applyBorder="1" applyAlignment="1" applyProtection="1">
      <alignment horizontal="center" vertical="center"/>
      <protection hidden="1"/>
    </xf>
    <xf numFmtId="0" fontId="6" fillId="10" borderId="120" xfId="0" applyFont="1" applyFill="1" applyBorder="1" applyAlignment="1" applyProtection="1">
      <alignment horizontal="center" vertical="center" shrinkToFit="1"/>
    </xf>
    <xf numFmtId="0" fontId="6" fillId="10" borderId="55" xfId="0" applyFont="1" applyFill="1" applyBorder="1" applyAlignment="1" applyProtection="1">
      <alignment horizontal="center" vertical="center" shrinkToFit="1"/>
    </xf>
    <xf numFmtId="0" fontId="6" fillId="10" borderId="56" xfId="0" applyFont="1" applyFill="1" applyBorder="1" applyAlignment="1" applyProtection="1">
      <alignment horizontal="center" vertical="center" shrinkToFit="1"/>
    </xf>
    <xf numFmtId="0" fontId="12" fillId="0" borderId="0" xfId="0" applyNumberFormat="1" applyFont="1" applyFill="1" applyBorder="1" applyAlignment="1" applyProtection="1">
      <alignment horizontal="center" vertical="center"/>
      <protection hidden="1"/>
    </xf>
    <xf numFmtId="0" fontId="7" fillId="0" borderId="39" xfId="0" applyNumberFormat="1" applyFont="1" applyFill="1" applyBorder="1" applyAlignment="1" applyProtection="1">
      <alignment vertical="center"/>
      <protection hidden="1"/>
    </xf>
    <xf numFmtId="0" fontId="7" fillId="0" borderId="41" xfId="0" applyNumberFormat="1" applyFont="1" applyFill="1" applyBorder="1" applyAlignment="1" applyProtection="1">
      <alignment vertical="center"/>
      <protection hidden="1"/>
    </xf>
    <xf numFmtId="0" fontId="7" fillId="0" borderId="272" xfId="0" applyNumberFormat="1" applyFont="1" applyFill="1" applyBorder="1" applyAlignment="1" applyProtection="1">
      <alignment horizontal="center" vertical="center"/>
      <protection hidden="1"/>
    </xf>
    <xf numFmtId="0" fontId="7" fillId="0" borderId="273" xfId="0" applyNumberFormat="1" applyFont="1" applyFill="1" applyBorder="1" applyAlignment="1" applyProtection="1">
      <alignment horizontal="center" vertical="center"/>
      <protection hidden="1"/>
    </xf>
    <xf numFmtId="0" fontId="7" fillId="0" borderId="274" xfId="0" applyNumberFormat="1" applyFont="1" applyFill="1" applyBorder="1" applyAlignment="1" applyProtection="1">
      <alignment horizontal="center" vertical="center"/>
      <protection hidden="1"/>
    </xf>
    <xf numFmtId="0" fontId="7" fillId="0" borderId="273" xfId="0" applyNumberFormat="1" applyFont="1" applyFill="1" applyBorder="1" applyAlignment="1" applyProtection="1">
      <alignment vertical="center"/>
      <protection hidden="1"/>
    </xf>
    <xf numFmtId="0" fontId="7" fillId="0" borderId="275" xfId="0" applyNumberFormat="1" applyFont="1" applyFill="1" applyBorder="1" applyAlignment="1" applyProtection="1">
      <alignment vertical="center"/>
      <protection hidden="1"/>
    </xf>
    <xf numFmtId="0" fontId="7" fillId="0" borderId="183" xfId="0" applyNumberFormat="1" applyFont="1" applyBorder="1"/>
    <xf numFmtId="0" fontId="7" fillId="0" borderId="36" xfId="0" applyNumberFormat="1" applyFont="1" applyFill="1" applyBorder="1" applyAlignment="1" applyProtection="1">
      <alignment vertical="center"/>
      <protection hidden="1"/>
    </xf>
    <xf numFmtId="0" fontId="7" fillId="0" borderId="37" xfId="0" applyNumberFormat="1" applyFont="1" applyFill="1" applyBorder="1" applyAlignment="1" applyProtection="1">
      <alignment vertical="center"/>
      <protection hidden="1"/>
    </xf>
    <xf numFmtId="0" fontId="7" fillId="0" borderId="39" xfId="0" applyNumberFormat="1" applyFont="1" applyBorder="1"/>
    <xf numFmtId="0" fontId="7" fillId="0" borderId="0" xfId="0" applyNumberFormat="1" applyFont="1" applyBorder="1"/>
    <xf numFmtId="0" fontId="7" fillId="0" borderId="40" xfId="0" applyNumberFormat="1" applyFont="1" applyBorder="1"/>
    <xf numFmtId="0" fontId="7" fillId="0" borderId="185" xfId="0" applyNumberFormat="1" applyFont="1" applyBorder="1"/>
    <xf numFmtId="0" fontId="7" fillId="0" borderId="41" xfId="0" applyNumberFormat="1" applyFont="1" applyBorder="1"/>
    <xf numFmtId="0" fontId="7" fillId="0" borderId="71" xfId="0" applyNumberFormat="1" applyFont="1" applyBorder="1"/>
    <xf numFmtId="0" fontId="7" fillId="0" borderId="42" xfId="0" applyNumberFormat="1" applyFont="1" applyBorder="1"/>
    <xf numFmtId="0" fontId="42" fillId="0" borderId="71"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7" fillId="0" borderId="40" xfId="0" applyNumberFormat="1" applyFont="1" applyBorder="1" applyAlignment="1">
      <alignment horizontal="center"/>
    </xf>
    <xf numFmtId="0" fontId="7" fillId="0" borderId="184" xfId="0" applyNumberFormat="1" applyFont="1" applyBorder="1" applyAlignment="1">
      <alignment horizontal="center"/>
    </xf>
    <xf numFmtId="0" fontId="14" fillId="0" borderId="0"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xf>
    <xf numFmtId="0" fontId="5" fillId="0" borderId="0" xfId="0" applyFont="1" applyFill="1" applyBorder="1" applyProtection="1"/>
    <xf numFmtId="0" fontId="14" fillId="9" borderId="133" xfId="0" applyFont="1" applyFill="1" applyBorder="1" applyAlignment="1">
      <alignment vertical="center" shrinkToFit="1"/>
    </xf>
    <xf numFmtId="0" fontId="6" fillId="0" borderId="58" xfId="0" applyFont="1" applyBorder="1" applyAlignment="1">
      <alignment horizontal="left" vertical="center" shrinkToFit="1"/>
    </xf>
    <xf numFmtId="0" fontId="15" fillId="0" borderId="0" xfId="0" applyFont="1" applyAlignment="1">
      <alignment horizontal="center"/>
    </xf>
    <xf numFmtId="0" fontId="18" fillId="0" borderId="0" xfId="4" applyFont="1"/>
    <xf numFmtId="0" fontId="18" fillId="0" borderId="0" xfId="4" applyFont="1" applyFill="1"/>
    <xf numFmtId="165" fontId="29" fillId="0" borderId="71" xfId="4" applyNumberFormat="1" applyFont="1" applyBorder="1" applyAlignment="1">
      <alignment wrapText="1"/>
    </xf>
    <xf numFmtId="165" fontId="29" fillId="0" borderId="0" xfId="4" applyNumberFormat="1" applyFont="1" applyBorder="1" applyAlignment="1">
      <alignment wrapText="1"/>
    </xf>
    <xf numFmtId="0" fontId="18" fillId="0" borderId="0" xfId="4" applyFont="1" applyAlignment="1">
      <alignment vertical="center" wrapText="1"/>
    </xf>
    <xf numFmtId="0" fontId="18" fillId="0" borderId="0" xfId="4" applyFont="1" applyFill="1" applyAlignment="1">
      <alignment horizontal="center" vertical="center" wrapText="1"/>
    </xf>
    <xf numFmtId="0" fontId="18" fillId="0" borderId="0" xfId="4" applyFont="1" applyAlignment="1">
      <alignment horizontal="center" vertical="center" wrapText="1"/>
    </xf>
    <xf numFmtId="0" fontId="6" fillId="0" borderId="0" xfId="4" applyFont="1" applyFill="1" applyBorder="1" applyAlignment="1">
      <alignment vertical="center" shrinkToFit="1"/>
    </xf>
    <xf numFmtId="0" fontId="31" fillId="9" borderId="150" xfId="4" applyFont="1" applyFill="1" applyBorder="1" applyAlignment="1">
      <alignment horizontal="center" vertical="center"/>
    </xf>
    <xf numFmtId="0" fontId="31" fillId="9" borderId="113" xfId="4" applyFont="1" applyFill="1" applyBorder="1" applyAlignment="1">
      <alignment horizontal="center" vertical="center"/>
    </xf>
    <xf numFmtId="0" fontId="31" fillId="9" borderId="279" xfId="4" applyFont="1" applyFill="1" applyBorder="1" applyAlignment="1">
      <alignment horizontal="center" vertical="center"/>
    </xf>
    <xf numFmtId="0" fontId="72" fillId="0" borderId="0" xfId="4" applyFont="1" applyAlignment="1">
      <alignment horizontal="center"/>
    </xf>
    <xf numFmtId="0" fontId="73" fillId="0" borderId="40" xfId="4" applyNumberFormat="1" applyFont="1" applyBorder="1" applyAlignment="1">
      <alignment horizontal="center" vertical="center"/>
    </xf>
    <xf numFmtId="0" fontId="23" fillId="0" borderId="280" xfId="4" applyNumberFormat="1" applyFont="1" applyBorder="1" applyAlignment="1">
      <alignment horizontal="center" vertical="center"/>
    </xf>
    <xf numFmtId="20" fontId="20" fillId="10" borderId="146" xfId="4" applyNumberFormat="1" applyFont="1" applyFill="1" applyBorder="1" applyAlignment="1" applyProtection="1">
      <alignment horizontal="center" vertical="center"/>
      <protection locked="0"/>
    </xf>
    <xf numFmtId="0" fontId="20" fillId="10" borderId="146" xfId="4" applyFont="1" applyFill="1" applyBorder="1" applyAlignment="1" applyProtection="1">
      <alignment horizontal="center" vertical="center"/>
      <protection locked="0"/>
    </xf>
    <xf numFmtId="0" fontId="20" fillId="10" borderId="50" xfId="4" applyFont="1" applyFill="1" applyBorder="1" applyAlignment="1" applyProtection="1">
      <alignment horizontal="right" vertical="center"/>
      <protection locked="0"/>
    </xf>
    <xf numFmtId="0" fontId="20" fillId="10" borderId="55" xfId="4" applyFont="1" applyFill="1" applyBorder="1" applyAlignment="1" applyProtection="1">
      <alignment horizontal="center" vertical="center"/>
    </xf>
    <xf numFmtId="0" fontId="20" fillId="10" borderId="49" xfId="4" applyFont="1" applyFill="1" applyBorder="1" applyAlignment="1" applyProtection="1">
      <alignment horizontal="left" vertical="center"/>
      <protection locked="0"/>
    </xf>
    <xf numFmtId="0" fontId="20" fillId="0" borderId="214" xfId="4" applyFont="1" applyBorder="1" applyAlignment="1">
      <alignment horizontal="left" vertical="center" shrinkToFit="1"/>
    </xf>
    <xf numFmtId="0" fontId="20" fillId="0" borderId="120" xfId="4" applyFont="1" applyBorder="1" applyAlignment="1">
      <alignment horizontal="center" vertical="center" shrinkToFit="1"/>
    </xf>
    <xf numFmtId="0" fontId="20" fillId="0" borderId="114" xfId="4" applyFont="1" applyBorder="1" applyAlignment="1">
      <alignment horizontal="left" vertical="center" shrinkToFit="1"/>
    </xf>
    <xf numFmtId="0" fontId="20" fillId="10" borderId="146" xfId="4" applyFont="1" applyFill="1" applyBorder="1" applyAlignment="1" applyProtection="1">
      <alignment horizontal="right" vertical="center"/>
      <protection locked="0"/>
    </xf>
    <xf numFmtId="0" fontId="20" fillId="10" borderId="120" xfId="4" applyFont="1" applyFill="1" applyBorder="1" applyAlignment="1">
      <alignment horizontal="center" vertical="center"/>
    </xf>
    <xf numFmtId="0" fontId="20" fillId="10" borderId="148" xfId="4" applyFont="1" applyFill="1" applyBorder="1" applyAlignment="1" applyProtection="1">
      <alignment horizontal="left" vertical="center"/>
      <protection locked="0"/>
    </xf>
    <xf numFmtId="0" fontId="20" fillId="10" borderId="214" xfId="4" applyFont="1" applyFill="1" applyBorder="1" applyAlignment="1" applyProtection="1">
      <alignment horizontal="right" vertical="center"/>
      <protection locked="0"/>
    </xf>
    <xf numFmtId="0" fontId="20" fillId="10" borderId="215" xfId="4" applyFont="1" applyFill="1" applyBorder="1" applyAlignment="1" applyProtection="1">
      <alignment horizontal="left" vertical="center"/>
      <protection locked="0"/>
    </xf>
    <xf numFmtId="0" fontId="20" fillId="0" borderId="281" xfId="4" applyFont="1" applyBorder="1" applyAlignment="1">
      <alignment horizontal="center" vertical="center" shrinkToFit="1"/>
    </xf>
    <xf numFmtId="0" fontId="53" fillId="0" borderId="0" xfId="4" applyFont="1" applyAlignment="1">
      <alignment horizontal="left" vertical="center"/>
    </xf>
    <xf numFmtId="0" fontId="18" fillId="0" borderId="0" xfId="4" applyFont="1" applyAlignment="1">
      <alignment horizontal="center" vertical="center"/>
    </xf>
    <xf numFmtId="0" fontId="74" fillId="0" borderId="0" xfId="4" applyFont="1" applyAlignment="1">
      <alignment horizontal="center" vertical="center"/>
    </xf>
    <xf numFmtId="0" fontId="23" fillId="0" borderId="43" xfId="4" applyNumberFormat="1" applyFont="1" applyBorder="1" applyAlignment="1">
      <alignment horizontal="center" vertical="center"/>
    </xf>
    <xf numFmtId="0" fontId="20" fillId="10" borderId="50" xfId="4" applyFont="1" applyFill="1" applyBorder="1" applyAlignment="1" applyProtection="1">
      <alignment horizontal="center" vertical="center"/>
      <protection locked="0"/>
    </xf>
    <xf numFmtId="0" fontId="20" fillId="0" borderId="50" xfId="4" applyFont="1" applyBorder="1" applyAlignment="1">
      <alignment horizontal="left" vertical="center" shrinkToFit="1"/>
    </xf>
    <xf numFmtId="0" fontId="20" fillId="0" borderId="55" xfId="4" applyFont="1" applyBorder="1" applyAlignment="1">
      <alignment horizontal="center" vertical="center" shrinkToFit="1"/>
    </xf>
    <xf numFmtId="0" fontId="20" fillId="0" borderId="49" xfId="4" applyFont="1" applyBorder="1" applyAlignment="1">
      <alignment horizontal="left" vertical="center" shrinkToFit="1"/>
    </xf>
    <xf numFmtId="0" fontId="20" fillId="10" borderId="55" xfId="4" applyFont="1" applyFill="1" applyBorder="1" applyAlignment="1">
      <alignment horizontal="center" vertical="center"/>
    </xf>
    <xf numFmtId="0" fontId="20" fillId="10" borderId="69" xfId="4" applyFont="1" applyFill="1" applyBorder="1" applyAlignment="1" applyProtection="1">
      <alignment horizontal="left" vertical="center"/>
      <protection locked="0"/>
    </xf>
    <xf numFmtId="0" fontId="20" fillId="0" borderId="282" xfId="4" applyFont="1" applyBorder="1" applyAlignment="1">
      <alignment horizontal="center" vertical="center" shrinkToFit="1"/>
    </xf>
    <xf numFmtId="0" fontId="23" fillId="0" borderId="46" xfId="4" applyNumberFormat="1" applyFont="1" applyBorder="1" applyAlignment="1">
      <alignment horizontal="center" vertical="center"/>
    </xf>
    <xf numFmtId="0" fontId="20" fillId="10" borderId="52" xfId="4" applyFont="1" applyFill="1" applyBorder="1" applyAlignment="1" applyProtection="1">
      <alignment horizontal="center" vertical="center"/>
      <protection locked="0"/>
    </xf>
    <xf numFmtId="0" fontId="20" fillId="10" borderId="52" xfId="4" applyFont="1" applyFill="1" applyBorder="1" applyAlignment="1" applyProtection="1">
      <alignment horizontal="right" vertical="center"/>
      <protection locked="0"/>
    </xf>
    <xf numFmtId="0" fontId="20" fillId="10" borderId="56" xfId="4" applyFont="1" applyFill="1" applyBorder="1" applyAlignment="1" applyProtection="1">
      <alignment horizontal="center" vertical="center"/>
    </xf>
    <xf numFmtId="0" fontId="20" fillId="10" borderId="51" xfId="4" applyFont="1" applyFill="1" applyBorder="1" applyAlignment="1" applyProtection="1">
      <alignment horizontal="left" vertical="center"/>
      <protection locked="0"/>
    </xf>
    <xf numFmtId="0" fontId="20" fillId="0" borderId="52" xfId="4" applyFont="1" applyBorder="1" applyAlignment="1">
      <alignment horizontal="left" vertical="center" shrinkToFit="1"/>
    </xf>
    <xf numFmtId="0" fontId="20" fillId="0" borderId="56" xfId="4" applyFont="1" applyBorder="1" applyAlignment="1">
      <alignment horizontal="center" vertical="center" shrinkToFit="1"/>
    </xf>
    <xf numFmtId="0" fontId="20" fillId="0" borderId="51" xfId="4" applyFont="1" applyBorder="1" applyAlignment="1">
      <alignment horizontal="left" vertical="center" shrinkToFit="1"/>
    </xf>
    <xf numFmtId="0" fontId="20" fillId="10" borderId="56" xfId="4" applyFont="1" applyFill="1" applyBorder="1" applyAlignment="1">
      <alignment horizontal="center" vertical="center"/>
    </xf>
    <xf numFmtId="0" fontId="20" fillId="10" borderId="201" xfId="4" applyFont="1" applyFill="1" applyBorder="1" applyAlignment="1" applyProtection="1">
      <alignment horizontal="left" vertical="center"/>
      <protection locked="0"/>
    </xf>
    <xf numFmtId="0" fontId="20" fillId="0" borderId="283" xfId="4" applyFont="1" applyBorder="1" applyAlignment="1">
      <alignment horizontal="center" vertical="center" shrinkToFit="1"/>
    </xf>
    <xf numFmtId="0" fontId="18" fillId="0" borderId="0" xfId="4" applyFont="1" applyAlignment="1">
      <alignment horizontal="center"/>
    </xf>
    <xf numFmtId="164" fontId="23" fillId="0" borderId="0" xfId="4" applyNumberFormat="1" applyFont="1" applyFill="1" applyBorder="1" applyAlignment="1" applyProtection="1">
      <alignment horizontal="center" vertical="center"/>
    </xf>
    <xf numFmtId="167" fontId="23" fillId="0" borderId="0" xfId="4" applyNumberFormat="1" applyFont="1" applyFill="1" applyBorder="1" applyAlignment="1" applyProtection="1">
      <alignment horizontal="center" vertical="center"/>
    </xf>
    <xf numFmtId="0" fontId="23" fillId="0" borderId="0" xfId="4" applyNumberFormat="1" applyFont="1" applyFill="1" applyBorder="1" applyAlignment="1" applyProtection="1">
      <alignment horizontal="center" vertical="center"/>
    </xf>
    <xf numFmtId="0" fontId="21" fillId="0" borderId="0" xfId="4" applyFont="1" applyFill="1" applyBorder="1" applyAlignment="1" applyProtection="1">
      <alignment horizontal="right" vertical="center"/>
    </xf>
    <xf numFmtId="0" fontId="21" fillId="0" borderId="0" xfId="4" applyFont="1" applyFill="1" applyBorder="1" applyAlignment="1" applyProtection="1">
      <alignment horizontal="center" vertical="center"/>
    </xf>
    <xf numFmtId="0" fontId="21" fillId="0" borderId="0" xfId="4" applyFont="1" applyFill="1" applyBorder="1" applyAlignment="1" applyProtection="1">
      <alignment horizontal="left" vertical="center"/>
    </xf>
    <xf numFmtId="165" fontId="20" fillId="0" borderId="0" xfId="4" applyNumberFormat="1" applyFont="1" applyFill="1" applyBorder="1" applyAlignment="1" applyProtection="1">
      <alignment horizontal="left" vertical="center" shrinkToFit="1"/>
    </xf>
    <xf numFmtId="0" fontId="20" fillId="0" borderId="0" xfId="4" applyFont="1" applyFill="1" applyBorder="1" applyAlignment="1" applyProtection="1">
      <alignment horizontal="center" vertical="center" shrinkToFit="1"/>
    </xf>
    <xf numFmtId="0" fontId="20" fillId="0" borderId="0" xfId="4" applyFont="1" applyFill="1" applyBorder="1" applyAlignment="1" applyProtection="1">
      <alignment horizontal="right" vertical="center"/>
    </xf>
    <xf numFmtId="0" fontId="20" fillId="0" borderId="0" xfId="4" applyFont="1" applyFill="1" applyBorder="1" applyAlignment="1" applyProtection="1">
      <alignment horizontal="center" vertical="center"/>
    </xf>
    <xf numFmtId="0" fontId="20" fillId="0" borderId="0" xfId="4" applyFont="1" applyFill="1" applyBorder="1" applyAlignment="1" applyProtection="1">
      <alignment horizontal="left" vertical="center"/>
    </xf>
    <xf numFmtId="0" fontId="21" fillId="0" borderId="0" xfId="4" applyFont="1" applyFill="1" applyBorder="1" applyAlignment="1" applyProtection="1">
      <alignment horizontal="center"/>
    </xf>
    <xf numFmtId="49" fontId="24" fillId="0" borderId="57" xfId="0" applyNumberFormat="1" applyFont="1" applyBorder="1" applyAlignment="1">
      <alignment horizontal="center" vertical="center"/>
    </xf>
    <xf numFmtId="49" fontId="24" fillId="0" borderId="59" xfId="0" applyNumberFormat="1" applyFont="1" applyBorder="1" applyAlignment="1">
      <alignment horizontal="center" vertical="center"/>
    </xf>
    <xf numFmtId="0" fontId="42" fillId="0" borderId="71"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6" fillId="0" borderId="276" xfId="0" applyFont="1" applyBorder="1" applyAlignment="1">
      <alignment horizontal="center" vertical="center"/>
    </xf>
    <xf numFmtId="0" fontId="6" fillId="0" borderId="277" xfId="0" applyFont="1" applyBorder="1" applyAlignment="1">
      <alignment horizontal="center" vertical="center"/>
    </xf>
    <xf numFmtId="0" fontId="6" fillId="0" borderId="278" xfId="0" applyFont="1" applyBorder="1" applyAlignment="1">
      <alignment horizontal="center" vertical="center"/>
    </xf>
    <xf numFmtId="0" fontId="67" fillId="0" borderId="0" xfId="0" applyFont="1" applyAlignment="1">
      <alignment wrapText="1"/>
    </xf>
    <xf numFmtId="0" fontId="20" fillId="10" borderId="147" xfId="0" applyFont="1" applyFill="1" applyBorder="1" applyAlignment="1" applyProtection="1">
      <alignment horizontal="center" vertical="center"/>
    </xf>
    <xf numFmtId="0" fontId="20" fillId="10" borderId="55" xfId="0" applyFont="1" applyFill="1" applyBorder="1" applyAlignment="1" applyProtection="1">
      <alignment horizontal="center" vertical="center"/>
    </xf>
    <xf numFmtId="0" fontId="20" fillId="10" borderId="79" xfId="0" applyFont="1" applyFill="1" applyBorder="1" applyAlignment="1" applyProtection="1">
      <alignment horizontal="center" vertical="center"/>
    </xf>
    <xf numFmtId="0" fontId="21" fillId="10" borderId="131" xfId="0" applyFont="1" applyFill="1" applyBorder="1" applyAlignment="1" applyProtection="1">
      <alignment horizontal="center" vertical="center"/>
      <protection locked="0"/>
    </xf>
    <xf numFmtId="0" fontId="21" fillId="10" borderId="123" xfId="0" applyFont="1" applyFill="1" applyBorder="1" applyAlignment="1" applyProtection="1">
      <alignment horizontal="center" vertical="center"/>
      <protection locked="0"/>
    </xf>
    <xf numFmtId="0" fontId="21" fillId="10" borderId="284" xfId="0" applyFont="1" applyFill="1" applyBorder="1" applyAlignment="1" applyProtection="1">
      <alignment horizontal="center" vertical="center"/>
      <protection locked="0"/>
    </xf>
    <xf numFmtId="0" fontId="21" fillId="0" borderId="270" xfId="0" applyFont="1" applyFill="1" applyBorder="1" applyAlignment="1" applyProtection="1">
      <alignment horizontal="center" vertical="center"/>
    </xf>
    <xf numFmtId="0" fontId="20" fillId="10" borderId="80" xfId="0" applyFont="1" applyFill="1" applyBorder="1" applyAlignment="1" applyProtection="1">
      <alignment horizontal="center" vertical="center"/>
      <protection locked="0"/>
    </xf>
    <xf numFmtId="0" fontId="20" fillId="10" borderId="71" xfId="0" applyFont="1" applyFill="1" applyBorder="1" applyAlignment="1" applyProtection="1">
      <alignment horizontal="center" vertical="center"/>
    </xf>
    <xf numFmtId="0" fontId="20" fillId="10" borderId="42" xfId="0" applyFont="1" applyFill="1" applyBorder="1" applyAlignment="1" applyProtection="1">
      <alignment horizontal="center" vertical="center"/>
      <protection locked="0"/>
    </xf>
    <xf numFmtId="0" fontId="14" fillId="9" borderId="111" xfId="0" applyFont="1" applyFill="1" applyBorder="1" applyAlignment="1">
      <alignment horizontal="center" vertical="center"/>
    </xf>
    <xf numFmtId="0" fontId="20" fillId="10" borderId="114" xfId="0" applyFont="1" applyFill="1" applyBorder="1" applyAlignment="1" applyProtection="1">
      <alignment horizontal="center" vertical="center"/>
      <protection locked="0"/>
    </xf>
    <xf numFmtId="0" fontId="20" fillId="10" borderId="49" xfId="0" applyFont="1" applyFill="1" applyBorder="1" applyAlignment="1" applyProtection="1">
      <alignment horizontal="center" vertical="center"/>
      <protection locked="0"/>
    </xf>
    <xf numFmtId="0" fontId="20" fillId="10" borderId="286" xfId="0" applyFont="1" applyFill="1" applyBorder="1" applyAlignment="1" applyProtection="1">
      <alignment horizontal="center" vertical="center"/>
      <protection locked="0"/>
    </xf>
    <xf numFmtId="0" fontId="20" fillId="10" borderId="51" xfId="0" applyFont="1" applyFill="1" applyBorder="1" applyAlignment="1" applyProtection="1">
      <alignment horizontal="center" vertical="center"/>
      <protection locked="0"/>
    </xf>
    <xf numFmtId="0" fontId="20" fillId="10" borderId="160" xfId="0" applyFont="1" applyFill="1" applyBorder="1" applyAlignment="1" applyProtection="1">
      <alignment horizontal="center" vertical="center"/>
      <protection locked="0"/>
    </xf>
    <xf numFmtId="0" fontId="7" fillId="0" borderId="182" xfId="0" applyNumberFormat="1" applyFont="1" applyFill="1" applyBorder="1" applyAlignment="1" applyProtection="1">
      <alignment horizontal="center" vertical="center"/>
      <protection hidden="1"/>
    </xf>
    <xf numFmtId="0" fontId="7" fillId="0" borderId="287" xfId="0" applyNumberFormat="1" applyFont="1" applyFill="1" applyBorder="1" applyAlignment="1" applyProtection="1">
      <alignment horizontal="center" vertical="center"/>
      <protection hidden="1"/>
    </xf>
    <xf numFmtId="165" fontId="14" fillId="0" borderId="0" xfId="0" applyNumberFormat="1" applyFont="1" applyFill="1" applyBorder="1" applyAlignment="1" applyProtection="1">
      <alignment horizontal="center" vertical="center" shrinkToFit="1"/>
    </xf>
    <xf numFmtId="165" fontId="6"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protection hidden="1"/>
    </xf>
    <xf numFmtId="0" fontId="18" fillId="0" borderId="132" xfId="0" applyFont="1" applyBorder="1" applyAlignment="1">
      <alignment vertical="center"/>
    </xf>
    <xf numFmtId="0" fontId="21" fillId="10" borderId="132" xfId="0" applyFont="1" applyFill="1" applyBorder="1" applyAlignment="1" applyProtection="1">
      <alignment horizontal="center" vertical="center"/>
      <protection locked="0"/>
    </xf>
    <xf numFmtId="0" fontId="20" fillId="10" borderId="213" xfId="0" applyFont="1" applyFill="1" applyBorder="1" applyAlignment="1" applyProtection="1">
      <alignment horizontal="center" vertical="center"/>
      <protection locked="0"/>
    </xf>
    <xf numFmtId="0" fontId="0" fillId="0" borderId="0" xfId="0" applyAlignment="1">
      <alignment vertical="center"/>
    </xf>
    <xf numFmtId="0" fontId="20" fillId="10" borderId="56" xfId="0" applyFont="1" applyFill="1" applyBorder="1" applyAlignment="1" applyProtection="1">
      <alignment horizontal="center" vertical="center"/>
    </xf>
    <xf numFmtId="0" fontId="20" fillId="10" borderId="142" xfId="0" applyFont="1" applyFill="1" applyBorder="1" applyAlignment="1" applyProtection="1">
      <alignment horizontal="center" vertical="center"/>
    </xf>
    <xf numFmtId="0" fontId="20" fillId="10" borderId="148" xfId="0" applyFont="1" applyFill="1" applyBorder="1" applyAlignment="1" applyProtection="1">
      <alignment horizontal="center" vertical="center"/>
      <protection locked="0"/>
    </xf>
    <xf numFmtId="0" fontId="6" fillId="10" borderId="114" xfId="0" applyFont="1" applyFill="1" applyBorder="1" applyAlignment="1" applyProtection="1">
      <alignment horizontal="left" vertical="center" shrinkToFit="1"/>
      <protection locked="0"/>
    </xf>
    <xf numFmtId="0" fontId="6" fillId="10" borderId="214" xfId="0" applyFont="1" applyFill="1" applyBorder="1" applyAlignment="1" applyProtection="1">
      <alignment horizontal="left" vertical="center" shrinkToFit="1"/>
      <protection locked="0"/>
    </xf>
    <xf numFmtId="0" fontId="6" fillId="10" borderId="49" xfId="0" applyFont="1" applyFill="1" applyBorder="1" applyAlignment="1" applyProtection="1">
      <alignment horizontal="left" vertical="center" shrinkToFit="1"/>
      <protection locked="0"/>
    </xf>
    <xf numFmtId="0" fontId="6" fillId="10" borderId="50" xfId="0" applyFont="1" applyFill="1" applyBorder="1" applyAlignment="1" applyProtection="1">
      <alignment horizontal="left" vertical="center" shrinkToFit="1"/>
      <protection locked="0"/>
    </xf>
    <xf numFmtId="0" fontId="6" fillId="10" borderId="51" xfId="0" applyFont="1" applyFill="1" applyBorder="1" applyAlignment="1" applyProtection="1">
      <alignment horizontal="left" vertical="center" shrinkToFit="1"/>
      <protection locked="0"/>
    </xf>
    <xf numFmtId="0" fontId="6" fillId="10" borderId="52" xfId="0" applyFont="1" applyFill="1" applyBorder="1" applyAlignment="1" applyProtection="1">
      <alignment horizontal="left" vertical="center" shrinkToFit="1"/>
      <protection locked="0"/>
    </xf>
    <xf numFmtId="0" fontId="0" fillId="0" borderId="0" xfId="0" applyAlignment="1">
      <alignment horizontal="center" vertical="center"/>
    </xf>
    <xf numFmtId="0" fontId="12" fillId="0" borderId="0" xfId="0" applyNumberFormat="1" applyFont="1" applyFill="1" applyBorder="1" applyAlignment="1" applyProtection="1">
      <alignment horizontal="center" vertical="center"/>
      <protection hidden="1"/>
    </xf>
    <xf numFmtId="0" fontId="0" fillId="0" borderId="0" xfId="0" applyAlignment="1">
      <alignment horizontal="center" vertical="center"/>
    </xf>
    <xf numFmtId="0" fontId="50" fillId="0" borderId="0" xfId="0" applyFont="1" applyAlignment="1">
      <alignment horizontal="center"/>
    </xf>
    <xf numFmtId="0" fontId="7" fillId="0" borderId="0" xfId="0" applyNumberFormat="1" applyFont="1" applyFill="1" applyAlignment="1" applyProtection="1">
      <alignment horizontal="left" vertical="center"/>
      <protection hidden="1"/>
    </xf>
    <xf numFmtId="0" fontId="42" fillId="0" borderId="0" xfId="0" applyNumberFormat="1" applyFont="1" applyFill="1" applyBorder="1" applyAlignment="1" applyProtection="1">
      <alignment horizontal="center" vertical="center"/>
      <protection hidden="1"/>
    </xf>
    <xf numFmtId="0" fontId="75" fillId="0" borderId="0" xfId="0" applyFont="1" applyAlignment="1">
      <alignment horizontal="center"/>
    </xf>
    <xf numFmtId="0" fontId="75" fillId="0" borderId="0" xfId="0" applyFont="1"/>
    <xf numFmtId="0" fontId="18" fillId="0" borderId="0" xfId="0" applyFont="1" applyAlignment="1">
      <alignment horizontal="center" vertical="center"/>
    </xf>
    <xf numFmtId="0" fontId="59" fillId="0" borderId="0" xfId="0" applyFont="1" applyAlignment="1" applyProtection="1">
      <alignment horizontal="left" vertical="top" wrapText="1" indent="1"/>
    </xf>
    <xf numFmtId="0" fontId="19" fillId="9" borderId="61" xfId="0" applyFont="1" applyFill="1" applyBorder="1" applyAlignment="1">
      <alignment horizontal="center" vertical="center"/>
    </xf>
    <xf numFmtId="0" fontId="19" fillId="9" borderId="62" xfId="0" applyFont="1" applyFill="1" applyBorder="1" applyAlignment="1">
      <alignment horizontal="center" vertical="center"/>
    </xf>
    <xf numFmtId="0" fontId="19" fillId="9" borderId="65" xfId="0" applyFont="1" applyFill="1" applyBorder="1" applyAlignment="1">
      <alignment horizontal="left" vertical="center"/>
    </xf>
    <xf numFmtId="0" fontId="19" fillId="9" borderId="66" xfId="0" applyFont="1" applyFill="1" applyBorder="1" applyAlignment="1">
      <alignment horizontal="left" vertical="center"/>
    </xf>
    <xf numFmtId="49" fontId="24" fillId="0" borderId="60" xfId="0" applyNumberFormat="1" applyFont="1" applyBorder="1" applyAlignment="1">
      <alignment horizontal="center" vertical="center"/>
    </xf>
    <xf numFmtId="49" fontId="24" fillId="0" borderId="57" xfId="0" applyNumberFormat="1" applyFont="1" applyBorder="1" applyAlignment="1">
      <alignment horizontal="center" vertical="center"/>
    </xf>
    <xf numFmtId="0" fontId="20" fillId="10" borderId="64" xfId="0" applyFont="1" applyFill="1" applyBorder="1" applyAlignment="1" applyProtection="1">
      <alignment horizontal="left" vertical="center"/>
      <protection locked="0"/>
    </xf>
    <xf numFmtId="0" fontId="20" fillId="10" borderId="58" xfId="0" applyFont="1" applyFill="1" applyBorder="1" applyAlignment="1" applyProtection="1">
      <alignment horizontal="left" vertical="center"/>
      <protection locked="0"/>
    </xf>
    <xf numFmtId="49" fontId="24" fillId="0" borderId="59" xfId="0" applyNumberFormat="1" applyFont="1" applyBorder="1" applyAlignment="1">
      <alignment horizontal="center" vertical="center"/>
    </xf>
    <xf numFmtId="0" fontId="20" fillId="10" borderId="63" xfId="0" applyFont="1" applyFill="1" applyBorder="1" applyAlignment="1" applyProtection="1">
      <alignment horizontal="left" vertical="center"/>
      <protection locked="0"/>
    </xf>
    <xf numFmtId="49" fontId="24" fillId="0" borderId="67" xfId="0" applyNumberFormat="1" applyFont="1" applyBorder="1" applyAlignment="1">
      <alignment horizontal="center" vertical="center"/>
    </xf>
    <xf numFmtId="0" fontId="20" fillId="10" borderId="68" xfId="0" applyFont="1" applyFill="1" applyBorder="1" applyAlignment="1" applyProtection="1">
      <alignment horizontal="left" vertical="center"/>
      <protection locked="0"/>
    </xf>
    <xf numFmtId="164" fontId="24" fillId="0" borderId="0" xfId="0" applyNumberFormat="1" applyFont="1" applyFill="1" applyBorder="1" applyAlignment="1">
      <alignment horizontal="center" vertical="center"/>
    </xf>
    <xf numFmtId="164" fontId="24" fillId="0" borderId="71" xfId="0" applyNumberFormat="1" applyFont="1" applyFill="1" applyBorder="1" applyAlignment="1">
      <alignment horizontal="center" vertical="center"/>
    </xf>
    <xf numFmtId="0" fontId="24" fillId="0" borderId="0" xfId="0" applyFont="1" applyAlignment="1">
      <alignment horizontal="left" vertical="center"/>
    </xf>
    <xf numFmtId="0" fontId="24" fillId="0" borderId="71" xfId="0" applyFont="1" applyBorder="1" applyAlignment="1">
      <alignment horizontal="left" vertical="center"/>
    </xf>
    <xf numFmtId="0" fontId="21" fillId="0" borderId="144" xfId="0" applyFont="1" applyBorder="1" applyAlignment="1">
      <alignment horizontal="left" vertical="center" indent="1"/>
    </xf>
    <xf numFmtId="0" fontId="21" fillId="15" borderId="230" xfId="0" applyFont="1" applyFill="1" applyBorder="1" applyAlignment="1">
      <alignment horizontal="left" vertical="center" indent="1"/>
    </xf>
    <xf numFmtId="0" fontId="21" fillId="15" borderId="232" xfId="0" applyFont="1" applyFill="1" applyBorder="1" applyAlignment="1">
      <alignment horizontal="left" vertical="center" indent="1"/>
    </xf>
    <xf numFmtId="0" fontId="21" fillId="0" borderId="145" xfId="0" applyFont="1" applyBorder="1" applyAlignment="1">
      <alignment horizontal="left" vertical="center" indent="1"/>
    </xf>
    <xf numFmtId="0" fontId="20" fillId="10" borderId="55" xfId="0" applyFont="1" applyFill="1" applyBorder="1" applyAlignment="1" applyProtection="1">
      <alignment horizontal="right" vertical="center" indent="1"/>
      <protection locked="0"/>
    </xf>
    <xf numFmtId="0" fontId="20" fillId="0" borderId="69" xfId="0" applyFont="1" applyBorder="1" applyAlignment="1">
      <alignment horizontal="left" vertical="center"/>
    </xf>
    <xf numFmtId="0" fontId="19" fillId="9" borderId="111" xfId="0" applyFont="1" applyFill="1" applyBorder="1" applyAlignment="1">
      <alignment horizontal="center"/>
    </xf>
    <xf numFmtId="0" fontId="19" fillId="9" borderId="133" xfId="0" applyFont="1" applyFill="1" applyBorder="1" applyAlignment="1">
      <alignment horizontal="center"/>
    </xf>
    <xf numFmtId="0" fontId="21" fillId="0" borderId="141" xfId="0" applyFont="1" applyBorder="1" applyAlignment="1">
      <alignment horizontal="left" vertical="center" indent="1"/>
    </xf>
    <xf numFmtId="0" fontId="68" fillId="0" borderId="0" xfId="0" applyNumberFormat="1" applyFont="1" applyAlignment="1" applyProtection="1">
      <alignment horizontal="center" vertical="center" wrapText="1"/>
    </xf>
    <xf numFmtId="0" fontId="25" fillId="0" borderId="0" xfId="0" applyFont="1" applyAlignment="1">
      <alignment horizontal="center"/>
    </xf>
    <xf numFmtId="0" fontId="15" fillId="0" borderId="71" xfId="0" applyFont="1" applyBorder="1" applyAlignment="1">
      <alignment horizontal="left" vertical="center"/>
    </xf>
    <xf numFmtId="0" fontId="18" fillId="0" borderId="0" xfId="0" applyFont="1" applyAlignment="1">
      <alignment horizontal="center" wrapText="1"/>
    </xf>
    <xf numFmtId="0" fontId="18" fillId="0" borderId="108" xfId="0" applyFont="1" applyBorder="1" applyAlignment="1">
      <alignment horizontal="center" wrapText="1"/>
    </xf>
    <xf numFmtId="167" fontId="20" fillId="10" borderId="142" xfId="0" applyNumberFormat="1" applyFont="1" applyFill="1" applyBorder="1" applyAlignment="1" applyProtection="1">
      <alignment horizontal="right" vertical="center" indent="1"/>
      <protection locked="0"/>
    </xf>
    <xf numFmtId="167" fontId="20" fillId="10" borderId="55" xfId="0" applyNumberFormat="1" applyFont="1" applyFill="1" applyBorder="1" applyAlignment="1" applyProtection="1">
      <alignment horizontal="right" vertical="center" indent="1"/>
      <protection locked="0"/>
    </xf>
    <xf numFmtId="0" fontId="20" fillId="0" borderId="143" xfId="0" applyFont="1" applyBorder="1" applyAlignment="1">
      <alignment horizontal="left" vertical="center"/>
    </xf>
    <xf numFmtId="0" fontId="20" fillId="15" borderId="231" xfId="0" applyFont="1" applyFill="1" applyBorder="1" applyAlignment="1">
      <alignment horizontal="center" vertical="center"/>
    </xf>
    <xf numFmtId="0" fontId="20" fillId="15" borderId="233" xfId="0" applyFont="1" applyFill="1" applyBorder="1" applyAlignment="1">
      <alignment horizontal="center" vertical="center"/>
    </xf>
    <xf numFmtId="165" fontId="66" fillId="0" borderId="0" xfId="0" applyNumberFormat="1" applyFont="1" applyAlignment="1" applyProtection="1">
      <alignment horizontal="left" vertical="top" wrapText="1" indent="1"/>
    </xf>
    <xf numFmtId="0" fontId="20" fillId="10" borderId="79" xfId="0" applyFont="1" applyFill="1" applyBorder="1" applyAlignment="1" applyProtection="1">
      <alignment horizontal="right" vertical="center" indent="1"/>
      <protection locked="0"/>
    </xf>
    <xf numFmtId="0" fontId="65" fillId="0" borderId="69" xfId="0" applyFont="1" applyBorder="1" applyAlignment="1">
      <alignment horizontal="left" vertical="center"/>
    </xf>
    <xf numFmtId="0" fontId="65" fillId="0" borderId="80" xfId="0" applyFont="1" applyBorder="1" applyAlignment="1">
      <alignment horizontal="left" vertical="center"/>
    </xf>
    <xf numFmtId="167" fontId="20" fillId="15" borderId="270" xfId="0" applyNumberFormat="1" applyFont="1" applyFill="1" applyBorder="1" applyAlignment="1">
      <alignment horizontal="right" vertical="center" indent="1"/>
    </xf>
    <xf numFmtId="167" fontId="20" fillId="15" borderId="108" xfId="0" applyNumberFormat="1" applyFont="1" applyFill="1" applyBorder="1" applyAlignment="1">
      <alignment horizontal="right" vertical="center" indent="1"/>
    </xf>
    <xf numFmtId="0" fontId="0" fillId="0" borderId="0" xfId="0" applyAlignment="1">
      <alignment horizontal="center" vertical="center"/>
    </xf>
    <xf numFmtId="0" fontId="51" fillId="0" borderId="0" xfId="0" applyFont="1" applyAlignment="1">
      <alignment horizontal="center" vertical="top" textRotation="90"/>
    </xf>
    <xf numFmtId="0" fontId="38" fillId="0" borderId="0" xfId="0" applyFont="1" applyAlignment="1">
      <alignment horizontal="center"/>
    </xf>
    <xf numFmtId="0" fontId="14" fillId="9" borderId="111" xfId="0" applyFont="1" applyFill="1" applyBorder="1" applyAlignment="1">
      <alignment horizontal="center" vertical="center"/>
    </xf>
    <xf numFmtId="0" fontId="57" fillId="16" borderId="193" xfId="0" applyFont="1" applyFill="1" applyBorder="1" applyAlignment="1" applyProtection="1">
      <alignment horizontal="center"/>
    </xf>
    <xf numFmtId="0" fontId="57" fillId="16" borderId="194" xfId="0" applyFont="1" applyFill="1" applyBorder="1" applyAlignment="1" applyProtection="1">
      <alignment horizontal="center"/>
    </xf>
    <xf numFmtId="0" fontId="57" fillId="16" borderId="195" xfId="0" applyFont="1" applyFill="1" applyBorder="1" applyAlignment="1" applyProtection="1">
      <alignment horizontal="center"/>
    </xf>
    <xf numFmtId="0" fontId="57" fillId="16" borderId="196" xfId="0" applyFont="1" applyFill="1" applyBorder="1" applyAlignment="1" applyProtection="1">
      <alignment horizontal="center"/>
    </xf>
    <xf numFmtId="0" fontId="57" fillId="16" borderId="197" xfId="0" applyFont="1" applyFill="1" applyBorder="1" applyAlignment="1" applyProtection="1">
      <alignment horizontal="center"/>
    </xf>
    <xf numFmtId="0" fontId="57" fillId="16" borderId="198" xfId="0" applyFont="1" applyFill="1" applyBorder="1" applyAlignment="1" applyProtection="1">
      <alignment horizontal="center"/>
    </xf>
    <xf numFmtId="0" fontId="14" fillId="9" borderId="53" xfId="0" applyFont="1" applyFill="1" applyBorder="1" applyAlignment="1">
      <alignment horizontal="center" vertical="center" shrinkToFit="1"/>
    </xf>
    <xf numFmtId="0" fontId="14" fillId="9" borderId="37" xfId="0" applyFont="1" applyFill="1" applyBorder="1" applyAlignment="1">
      <alignment horizontal="center" vertical="center" shrinkToFit="1"/>
    </xf>
    <xf numFmtId="0" fontId="14" fillId="9" borderId="54" xfId="0" applyFont="1" applyFill="1" applyBorder="1" applyAlignment="1">
      <alignment horizontal="center" vertical="center" shrinkToFit="1"/>
    </xf>
    <xf numFmtId="0" fontId="13" fillId="9" borderId="36" xfId="0" applyFont="1" applyFill="1" applyBorder="1" applyAlignment="1">
      <alignment horizontal="center" vertical="center" shrinkToFit="1"/>
    </xf>
    <xf numFmtId="0" fontId="13" fillId="9" borderId="38" xfId="0" applyFont="1" applyFill="1" applyBorder="1" applyAlignment="1">
      <alignment horizontal="center" vertical="center" shrinkToFit="1"/>
    </xf>
    <xf numFmtId="0" fontId="56" fillId="0" borderId="71" xfId="0" applyFont="1" applyBorder="1" applyAlignment="1">
      <alignment horizontal="center"/>
    </xf>
    <xf numFmtId="0" fontId="17" fillId="10" borderId="240" xfId="0" applyFont="1" applyFill="1" applyBorder="1" applyAlignment="1" applyProtection="1">
      <alignment horizontal="center" vertical="top"/>
      <protection locked="0"/>
    </xf>
    <xf numFmtId="0" fontId="17" fillId="10" borderId="241" xfId="0" applyFont="1" applyFill="1" applyBorder="1" applyAlignment="1" applyProtection="1">
      <alignment horizontal="center" vertical="top"/>
      <protection locked="0"/>
    </xf>
    <xf numFmtId="0" fontId="17" fillId="10" borderId="242" xfId="0" applyFont="1" applyFill="1" applyBorder="1" applyAlignment="1" applyProtection="1">
      <alignment horizontal="center" vertical="top"/>
      <protection locked="0"/>
    </xf>
    <xf numFmtId="14" fontId="26" fillId="10" borderId="243" xfId="0" applyNumberFormat="1" applyFont="1" applyFill="1" applyBorder="1" applyAlignment="1" applyProtection="1">
      <alignment horizontal="center" vertical="center"/>
      <protection locked="0"/>
    </xf>
    <xf numFmtId="14" fontId="26" fillId="10" borderId="207" xfId="0" applyNumberFormat="1" applyFont="1" applyFill="1" applyBorder="1" applyAlignment="1" applyProtection="1">
      <alignment horizontal="center" vertical="center"/>
      <protection locked="0"/>
    </xf>
    <xf numFmtId="14" fontId="26" fillId="10" borderId="244" xfId="0" applyNumberFormat="1" applyFont="1" applyFill="1" applyBorder="1" applyAlignment="1" applyProtection="1">
      <alignment horizontal="center" vertical="center"/>
      <protection locked="0"/>
    </xf>
    <xf numFmtId="0" fontId="26" fillId="10" borderId="243" xfId="0" applyFont="1" applyFill="1" applyBorder="1" applyAlignment="1" applyProtection="1">
      <alignment horizontal="center" vertical="center"/>
      <protection locked="0"/>
    </xf>
    <xf numFmtId="0" fontId="26" fillId="10" borderId="207" xfId="0" applyFont="1" applyFill="1" applyBorder="1" applyAlignment="1" applyProtection="1">
      <alignment horizontal="center" vertical="center"/>
      <protection locked="0"/>
    </xf>
    <xf numFmtId="0" fontId="26" fillId="10" borderId="244" xfId="0" applyFont="1" applyFill="1" applyBorder="1" applyAlignment="1" applyProtection="1">
      <alignment horizontal="center" vertical="center"/>
      <protection locked="0"/>
    </xf>
    <xf numFmtId="0" fontId="26" fillId="10" borderId="245" xfId="0" applyFont="1" applyFill="1" applyBorder="1" applyAlignment="1" applyProtection="1">
      <alignment horizontal="center" vertical="center"/>
      <protection locked="0"/>
    </xf>
    <xf numFmtId="0" fontId="26" fillId="10" borderId="246" xfId="0" applyFont="1" applyFill="1" applyBorder="1" applyAlignment="1" applyProtection="1">
      <alignment horizontal="center" vertical="center"/>
      <protection locked="0"/>
    </xf>
    <xf numFmtId="0" fontId="26" fillId="10" borderId="247" xfId="0" applyFont="1" applyFill="1" applyBorder="1" applyAlignment="1" applyProtection="1">
      <alignment horizontal="center" vertical="center"/>
      <protection locked="0"/>
    </xf>
    <xf numFmtId="0" fontId="14" fillId="9" borderId="133" xfId="0" applyFont="1" applyFill="1" applyBorder="1" applyAlignment="1">
      <alignment horizontal="center" vertical="center"/>
    </xf>
    <xf numFmtId="0" fontId="14" fillId="9" borderId="254" xfId="0" applyFont="1" applyFill="1" applyBorder="1" applyAlignment="1">
      <alignment horizontal="center" vertical="center" shrinkToFit="1"/>
    </xf>
    <xf numFmtId="0" fontId="14" fillId="9" borderId="255" xfId="0" applyFont="1" applyFill="1" applyBorder="1" applyAlignment="1">
      <alignment horizontal="center" vertical="center" shrinkToFit="1"/>
    </xf>
    <xf numFmtId="0" fontId="14" fillId="9" borderId="256" xfId="0" applyFont="1" applyFill="1" applyBorder="1" applyAlignment="1">
      <alignment horizontal="center" vertical="center" shrinkToFit="1"/>
    </xf>
    <xf numFmtId="167" fontId="13" fillId="15" borderId="0" xfId="0" applyNumberFormat="1" applyFont="1" applyFill="1" applyBorder="1" applyAlignment="1">
      <alignment horizontal="left" vertical="center" indent="1"/>
    </xf>
    <xf numFmtId="0" fontId="13" fillId="15" borderId="0" xfId="0" applyFont="1" applyFill="1" applyBorder="1" applyAlignment="1">
      <alignment horizontal="right" vertical="center"/>
    </xf>
    <xf numFmtId="0" fontId="15" fillId="0" borderId="71" xfId="4" applyFont="1" applyBorder="1" applyAlignment="1">
      <alignment horizontal="left" vertical="center"/>
    </xf>
    <xf numFmtId="0" fontId="71" fillId="0" borderId="71" xfId="4" applyNumberFormat="1" applyFont="1" applyBorder="1" applyAlignment="1">
      <alignment horizontal="center" wrapText="1"/>
    </xf>
    <xf numFmtId="0" fontId="60" fillId="0" borderId="240" xfId="4" applyFont="1" applyBorder="1" applyAlignment="1">
      <alignment horizontal="center" vertical="center"/>
    </xf>
    <xf numFmtId="0" fontId="60" fillId="0" borderId="241" xfId="4" applyFont="1" applyBorder="1" applyAlignment="1">
      <alignment horizontal="center" vertical="center"/>
    </xf>
    <xf numFmtId="0" fontId="60" fillId="0" borderId="242" xfId="4" applyFont="1" applyBorder="1" applyAlignment="1">
      <alignment horizontal="center" vertical="center"/>
    </xf>
    <xf numFmtId="14" fontId="62" fillId="0" borderId="243" xfId="4" applyNumberFormat="1" applyFont="1" applyBorder="1" applyAlignment="1">
      <alignment horizontal="center" vertical="center"/>
    </xf>
    <xf numFmtId="14" fontId="62" fillId="0" borderId="207" xfId="4" applyNumberFormat="1" applyFont="1" applyBorder="1" applyAlignment="1">
      <alignment horizontal="center" vertical="center"/>
    </xf>
    <xf numFmtId="14" fontId="62" fillId="0" borderId="244" xfId="4" applyNumberFormat="1" applyFont="1" applyBorder="1" applyAlignment="1">
      <alignment horizontal="center" vertical="center"/>
    </xf>
    <xf numFmtId="0" fontId="62" fillId="0" borderId="243" xfId="4" applyFont="1" applyBorder="1" applyAlignment="1">
      <alignment horizontal="center" vertical="center"/>
    </xf>
    <xf numFmtId="0" fontId="62" fillId="0" borderId="207" xfId="4" applyFont="1" applyBorder="1" applyAlignment="1">
      <alignment horizontal="center" vertical="center"/>
    </xf>
    <xf numFmtId="0" fontId="62" fillId="0" borderId="244" xfId="4" applyFont="1" applyBorder="1" applyAlignment="1">
      <alignment horizontal="center" vertical="center"/>
    </xf>
    <xf numFmtId="0" fontId="62" fillId="0" borderId="245" xfId="4" applyFont="1" applyBorder="1" applyAlignment="1">
      <alignment horizontal="center" vertical="center"/>
    </xf>
    <xf numFmtId="0" fontId="62" fillId="0" borderId="246" xfId="4" applyFont="1" applyBorder="1" applyAlignment="1">
      <alignment horizontal="center" vertical="center"/>
    </xf>
    <xf numFmtId="0" fontId="62" fillId="0" borderId="247" xfId="4" applyFont="1" applyBorder="1" applyAlignment="1">
      <alignment horizontal="center" vertical="center"/>
    </xf>
    <xf numFmtId="0" fontId="63" fillId="16" borderId="0" xfId="4" applyFont="1" applyFill="1" applyBorder="1" applyAlignment="1">
      <alignment horizontal="center" vertical="center"/>
    </xf>
    <xf numFmtId="0" fontId="14" fillId="9" borderId="251" xfId="4" applyFont="1" applyFill="1" applyBorder="1" applyAlignment="1">
      <alignment horizontal="center" vertical="center"/>
    </xf>
    <xf numFmtId="0" fontId="14" fillId="9" borderId="130" xfId="4" applyFont="1" applyFill="1" applyBorder="1" applyAlignment="1">
      <alignment horizontal="center" vertical="center"/>
    </xf>
    <xf numFmtId="0" fontId="14" fillId="9" borderId="271" xfId="4" applyFont="1" applyFill="1" applyBorder="1" applyAlignment="1">
      <alignment horizontal="center" vertical="center"/>
    </xf>
    <xf numFmtId="0" fontId="31" fillId="9" borderId="251" xfId="4" applyFont="1" applyFill="1" applyBorder="1" applyAlignment="1">
      <alignment horizontal="center" vertical="center"/>
    </xf>
    <xf numFmtId="0" fontId="31" fillId="9" borderId="130" xfId="4" applyFont="1" applyFill="1" applyBorder="1" applyAlignment="1">
      <alignment horizontal="center" vertical="center"/>
    </xf>
    <xf numFmtId="0" fontId="31" fillId="9" borderId="113" xfId="4" applyFont="1" applyFill="1" applyBorder="1" applyAlignment="1">
      <alignment horizontal="center" vertical="center"/>
    </xf>
    <xf numFmtId="0" fontId="14" fillId="9" borderId="113" xfId="4" applyFont="1" applyFill="1" applyBorder="1" applyAlignment="1">
      <alignment horizontal="center" vertical="center"/>
    </xf>
    <xf numFmtId="167" fontId="21" fillId="15" borderId="0" xfId="0" applyNumberFormat="1" applyFont="1" applyFill="1" applyBorder="1" applyAlignment="1">
      <alignment horizontal="right" vertical="center" indent="1"/>
    </xf>
    <xf numFmtId="0" fontId="14" fillId="9" borderId="30"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29" xfId="0" applyFont="1" applyFill="1" applyBorder="1" applyAlignment="1">
      <alignment horizontal="center" vertical="center"/>
    </xf>
    <xf numFmtId="167" fontId="24" fillId="0" borderId="71" xfId="0" applyNumberFormat="1" applyFont="1" applyBorder="1" applyAlignment="1">
      <alignment horizontal="left"/>
    </xf>
    <xf numFmtId="0" fontId="60" fillId="0" borderId="240" xfId="0" applyFont="1" applyBorder="1" applyAlignment="1">
      <alignment horizontal="center" vertical="center"/>
    </xf>
    <xf numFmtId="0" fontId="60" fillId="0" borderId="241" xfId="0" applyFont="1" applyBorder="1" applyAlignment="1">
      <alignment horizontal="center" vertical="center"/>
    </xf>
    <xf numFmtId="0" fontId="60" fillId="0" borderId="242" xfId="0" applyFont="1" applyBorder="1" applyAlignment="1">
      <alignment horizontal="center" vertical="center"/>
    </xf>
    <xf numFmtId="14" fontId="62" fillId="0" borderId="243" xfId="0" applyNumberFormat="1" applyFont="1" applyBorder="1" applyAlignment="1">
      <alignment horizontal="center" vertical="center"/>
    </xf>
    <xf numFmtId="14" fontId="62" fillId="0" borderId="207" xfId="0" applyNumberFormat="1" applyFont="1" applyBorder="1" applyAlignment="1">
      <alignment horizontal="center" vertical="center"/>
    </xf>
    <xf numFmtId="14" fontId="62" fillId="0" borderId="244" xfId="0" applyNumberFormat="1" applyFont="1" applyBorder="1" applyAlignment="1">
      <alignment horizontal="center" vertical="center"/>
    </xf>
    <xf numFmtId="0" fontId="62" fillId="0" borderId="243" xfId="0" applyFont="1" applyBorder="1" applyAlignment="1">
      <alignment horizontal="center" vertical="center"/>
    </xf>
    <xf numFmtId="0" fontId="62" fillId="0" borderId="207" xfId="0" applyFont="1" applyBorder="1" applyAlignment="1">
      <alignment horizontal="center" vertical="center"/>
    </xf>
    <xf numFmtId="0" fontId="62" fillId="0" borderId="244" xfId="0" applyFont="1" applyBorder="1" applyAlignment="1">
      <alignment horizontal="center" vertical="center"/>
    </xf>
    <xf numFmtId="0" fontId="62" fillId="0" borderId="245" xfId="0" applyFont="1" applyBorder="1" applyAlignment="1">
      <alignment horizontal="center" vertical="center"/>
    </xf>
    <xf numFmtId="0" fontId="62" fillId="0" borderId="246" xfId="0" applyFont="1" applyBorder="1" applyAlignment="1">
      <alignment horizontal="center" vertical="center"/>
    </xf>
    <xf numFmtId="0" fontId="62" fillId="0" borderId="247" xfId="0" applyFont="1" applyBorder="1" applyAlignment="1">
      <alignment horizontal="center" vertical="center"/>
    </xf>
    <xf numFmtId="0" fontId="14" fillId="9" borderId="285" xfId="0" applyFont="1" applyFill="1" applyBorder="1" applyAlignment="1">
      <alignment horizontal="center" vertical="center"/>
    </xf>
    <xf numFmtId="0" fontId="75" fillId="0" borderId="0" xfId="0" applyFont="1" applyAlignment="1">
      <alignment horizontal="center"/>
    </xf>
    <xf numFmtId="0" fontId="40" fillId="0" borderId="56" xfId="0" applyFont="1" applyBorder="1" applyAlignment="1">
      <alignment horizontal="left" vertical="center" indent="1"/>
    </xf>
    <xf numFmtId="0" fontId="40" fillId="0" borderId="201" xfId="0" applyFont="1" applyBorder="1" applyAlignment="1">
      <alignment horizontal="left" vertical="center" indent="1"/>
    </xf>
    <xf numFmtId="0" fontId="21" fillId="0" borderId="126" xfId="0" applyFont="1" applyBorder="1" applyAlignment="1">
      <alignment horizontal="left" vertical="center"/>
    </xf>
    <xf numFmtId="0" fontId="21" fillId="0" borderId="127" xfId="0" applyFont="1" applyBorder="1" applyAlignment="1">
      <alignment horizontal="left" vertical="center"/>
    </xf>
    <xf numFmtId="0" fontId="63" fillId="16" borderId="193" xfId="0" applyFont="1" applyFill="1" applyBorder="1" applyAlignment="1">
      <alignment horizontal="center"/>
    </xf>
    <xf numFmtId="0" fontId="63" fillId="16" borderId="194" xfId="0" applyFont="1" applyFill="1" applyBorder="1" applyAlignment="1">
      <alignment horizontal="center"/>
    </xf>
    <xf numFmtId="0" fontId="63" fillId="16" borderId="195" xfId="0" applyFont="1" applyFill="1" applyBorder="1" applyAlignment="1">
      <alignment horizontal="center"/>
    </xf>
    <xf numFmtId="0" fontId="63" fillId="16" borderId="196" xfId="0" applyFont="1" applyFill="1" applyBorder="1" applyAlignment="1">
      <alignment horizontal="center"/>
    </xf>
    <xf numFmtId="0" fontId="63" fillId="16" borderId="197" xfId="0" applyFont="1" applyFill="1" applyBorder="1" applyAlignment="1">
      <alignment horizontal="center"/>
    </xf>
    <xf numFmtId="0" fontId="63" fillId="16" borderId="198" xfId="0" applyFont="1" applyFill="1" applyBorder="1" applyAlignment="1">
      <alignment horizontal="center"/>
    </xf>
    <xf numFmtId="0" fontId="40" fillId="0" borderId="55" xfId="0" applyFont="1" applyBorder="1" applyAlignment="1">
      <alignment horizontal="left" vertical="center" indent="1"/>
    </xf>
    <xf numFmtId="0" fontId="40" fillId="0" borderId="69" xfId="0" applyFont="1" applyBorder="1" applyAlignment="1">
      <alignment horizontal="left" vertical="center" indent="1"/>
    </xf>
    <xf numFmtId="0" fontId="40" fillId="18" borderId="142" xfId="0" applyFont="1" applyFill="1" applyBorder="1" applyAlignment="1">
      <alignment horizontal="left" vertical="center" indent="1"/>
    </xf>
    <xf numFmtId="0" fontId="40" fillId="18" borderId="143" xfId="0" applyFont="1" applyFill="1" applyBorder="1" applyAlignment="1">
      <alignment horizontal="left" vertical="center" indent="1"/>
    </xf>
    <xf numFmtId="0" fontId="40" fillId="19" borderId="55" xfId="0" applyFont="1" applyFill="1" applyBorder="1" applyAlignment="1">
      <alignment horizontal="left" vertical="center" indent="1"/>
    </xf>
    <xf numFmtId="0" fontId="40" fillId="19" borderId="69" xfId="0" applyFont="1" applyFill="1" applyBorder="1" applyAlignment="1">
      <alignment horizontal="left" vertical="center" indent="1"/>
    </xf>
    <xf numFmtId="0" fontId="40" fillId="11" borderId="55" xfId="0" applyFont="1" applyFill="1" applyBorder="1" applyAlignment="1">
      <alignment horizontal="left" vertical="center" indent="1"/>
    </xf>
    <xf numFmtId="0" fontId="40" fillId="11" borderId="69" xfId="0" applyFont="1" applyFill="1" applyBorder="1" applyAlignment="1">
      <alignment horizontal="left" vertical="center" indent="1"/>
    </xf>
    <xf numFmtId="0" fontId="14" fillId="9" borderId="32" xfId="0" applyFont="1" applyFill="1" applyBorder="1" applyAlignment="1">
      <alignment horizontal="center" vertical="center"/>
    </xf>
    <xf numFmtId="167" fontId="24" fillId="0" borderId="248" xfId="0" applyNumberFormat="1" applyFont="1" applyBorder="1" applyAlignment="1">
      <alignment horizontal="left"/>
    </xf>
    <xf numFmtId="0" fontId="40" fillId="0" borderId="55" xfId="0" applyFont="1" applyBorder="1" applyAlignment="1">
      <alignment horizontal="left" vertical="center"/>
    </xf>
    <xf numFmtId="0" fontId="40" fillId="0" borderId="69" xfId="0" applyFont="1" applyBorder="1" applyAlignment="1">
      <alignment horizontal="left" vertical="center"/>
    </xf>
    <xf numFmtId="0" fontId="40" fillId="0" borderId="56" xfId="0" applyFont="1" applyBorder="1" applyAlignment="1">
      <alignment horizontal="left" vertical="center"/>
    </xf>
    <xf numFmtId="0" fontId="40" fillId="0" borderId="201" xfId="0" applyFont="1" applyBorder="1" applyAlignment="1">
      <alignment horizontal="left" vertical="center"/>
    </xf>
    <xf numFmtId="0" fontId="40" fillId="11" borderId="55" xfId="0" applyFont="1" applyFill="1" applyBorder="1" applyAlignment="1">
      <alignment horizontal="left" vertical="center"/>
    </xf>
    <xf numFmtId="0" fontId="40" fillId="11" borderId="69" xfId="0" applyFont="1" applyFill="1" applyBorder="1" applyAlignment="1">
      <alignment horizontal="left" vertical="center"/>
    </xf>
    <xf numFmtId="0" fontId="21" fillId="0" borderId="209" xfId="0" applyFont="1" applyBorder="1" applyAlignment="1">
      <alignment horizontal="left" vertical="center"/>
    </xf>
    <xf numFmtId="0" fontId="21" fillId="0" borderId="210" xfId="0" applyFont="1" applyBorder="1" applyAlignment="1">
      <alignment horizontal="left" vertical="center"/>
    </xf>
    <xf numFmtId="0" fontId="40" fillId="18" borderId="142" xfId="0" applyFont="1" applyFill="1" applyBorder="1" applyAlignment="1">
      <alignment horizontal="left" vertical="center"/>
    </xf>
    <xf numFmtId="0" fontId="40" fillId="18" borderId="143" xfId="0" applyFont="1" applyFill="1" applyBorder="1" applyAlignment="1">
      <alignment horizontal="left" vertical="center"/>
    </xf>
    <xf numFmtId="0" fontId="40" fillId="19" borderId="55" xfId="0" applyFont="1" applyFill="1" applyBorder="1" applyAlignment="1">
      <alignment horizontal="left" vertical="center"/>
    </xf>
    <xf numFmtId="0" fontId="40" fillId="19" borderId="69" xfId="0" applyFont="1" applyFill="1" applyBorder="1" applyAlignment="1">
      <alignment horizontal="left" vertical="center"/>
    </xf>
    <xf numFmtId="0" fontId="25" fillId="0" borderId="0" xfId="0" applyFont="1" applyAlignment="1">
      <alignment horizontal="center" vertical="center"/>
    </xf>
    <xf numFmtId="0" fontId="64" fillId="0" borderId="0" xfId="0" applyFont="1" applyAlignment="1">
      <alignment horizontal="center" vertical="top"/>
    </xf>
    <xf numFmtId="0" fontId="46" fillId="0" borderId="0" xfId="0" applyFont="1" applyAlignment="1">
      <alignment horizontal="left" vertical="center"/>
    </xf>
    <xf numFmtId="0" fontId="56" fillId="0" borderId="71" xfId="0" applyFont="1" applyBorder="1" applyAlignment="1">
      <alignment horizontal="left"/>
    </xf>
    <xf numFmtId="0" fontId="70" fillId="0" borderId="71" xfId="0" applyFont="1" applyBorder="1" applyAlignment="1">
      <alignment horizontal="left"/>
    </xf>
    <xf numFmtId="0" fontId="70" fillId="0" borderId="0" xfId="0" applyFont="1" applyBorder="1" applyAlignment="1">
      <alignment horizontal="left"/>
    </xf>
    <xf numFmtId="0" fontId="13" fillId="9" borderId="252" xfId="0" applyFont="1" applyFill="1" applyBorder="1" applyAlignment="1">
      <alignment horizontal="center" vertical="center" shrinkToFit="1"/>
    </xf>
    <xf numFmtId="0" fontId="13" fillId="9" borderId="253" xfId="0" applyFont="1" applyFill="1" applyBorder="1" applyAlignment="1">
      <alignment horizontal="center" vertical="center" shrinkToFit="1"/>
    </xf>
    <xf numFmtId="0" fontId="63" fillId="16" borderId="263" xfId="0" applyFont="1" applyFill="1" applyBorder="1" applyAlignment="1">
      <alignment horizontal="center" vertical="center"/>
    </xf>
    <xf numFmtId="0" fontId="63" fillId="16" borderId="264" xfId="0" applyFont="1" applyFill="1" applyBorder="1" applyAlignment="1">
      <alignment horizontal="center" vertical="center"/>
    </xf>
    <xf numFmtId="0" fontId="63" fillId="16" borderId="265" xfId="0" applyFont="1" applyFill="1" applyBorder="1" applyAlignment="1">
      <alignment horizontal="center" vertical="center"/>
    </xf>
    <xf numFmtId="0" fontId="63" fillId="16" borderId="266" xfId="0" applyFont="1" applyFill="1" applyBorder="1" applyAlignment="1">
      <alignment horizontal="center" vertical="center"/>
    </xf>
    <xf numFmtId="0" fontId="63" fillId="16" borderId="267" xfId="0" applyFont="1" applyFill="1" applyBorder="1" applyAlignment="1">
      <alignment horizontal="center" vertical="center"/>
    </xf>
    <xf numFmtId="0" fontId="63" fillId="16" borderId="268" xfId="0" applyFont="1" applyFill="1" applyBorder="1" applyAlignment="1">
      <alignment horizontal="center" vertical="center"/>
    </xf>
    <xf numFmtId="0" fontId="21" fillId="0" borderId="259" xfId="0" applyFont="1" applyBorder="1" applyAlignment="1">
      <alignment horizontal="left" vertical="center"/>
    </xf>
    <xf numFmtId="0" fontId="21" fillId="0" borderId="260" xfId="0" applyFont="1" applyBorder="1" applyAlignment="1">
      <alignment horizontal="left" vertical="center"/>
    </xf>
    <xf numFmtId="0" fontId="21" fillId="0" borderId="261" xfId="0" applyFont="1" applyBorder="1" applyAlignment="1">
      <alignment horizontal="left" vertical="center"/>
    </xf>
    <xf numFmtId="0" fontId="35" fillId="13" borderId="93" xfId="0" applyFont="1" applyFill="1" applyBorder="1" applyAlignment="1">
      <alignment horizontal="center" vertical="center" wrapText="1"/>
    </xf>
    <xf numFmtId="0" fontId="35" fillId="13" borderId="95" xfId="0" applyFont="1" applyFill="1" applyBorder="1" applyAlignment="1">
      <alignment horizontal="center" vertical="center"/>
    </xf>
    <xf numFmtId="0" fontId="34" fillId="0" borderId="88" xfId="0" applyFont="1" applyBorder="1" applyAlignment="1">
      <alignment horizontal="center" vertical="top"/>
    </xf>
    <xf numFmtId="0" fontId="35" fillId="0" borderId="0"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xf>
    <xf numFmtId="0" fontId="0" fillId="0" borderId="90" xfId="0" applyBorder="1" applyAlignment="1" applyProtection="1">
      <alignment horizontal="center"/>
      <protection locked="0"/>
    </xf>
    <xf numFmtId="0" fontId="39" fillId="14" borderId="91" xfId="0" applyFont="1" applyFill="1" applyBorder="1" applyAlignment="1">
      <alignment horizontal="center" vertical="center" wrapText="1"/>
    </xf>
    <xf numFmtId="0" fontId="39" fillId="14" borderId="94" xfId="0" applyFont="1" applyFill="1" applyBorder="1" applyAlignment="1">
      <alignment horizontal="center" vertical="center"/>
    </xf>
    <xf numFmtId="0" fontId="39" fillId="12" borderId="157" xfId="0" applyFont="1" applyFill="1" applyBorder="1" applyAlignment="1">
      <alignment horizontal="center" vertical="center" wrapText="1"/>
    </xf>
    <xf numFmtId="0" fontId="39" fillId="12" borderId="158" xfId="0" applyFont="1" applyFill="1" applyBorder="1" applyAlignment="1">
      <alignment horizontal="center" vertical="center"/>
    </xf>
    <xf numFmtId="0" fontId="18" fillId="11" borderId="84" xfId="0" applyFont="1" applyFill="1" applyBorder="1" applyAlignment="1" applyProtection="1">
      <alignment horizontal="center"/>
    </xf>
    <xf numFmtId="0" fontId="18" fillId="11" borderId="85" xfId="0" applyFont="1" applyFill="1" applyBorder="1" applyAlignment="1" applyProtection="1">
      <alignment horizontal="center"/>
    </xf>
    <xf numFmtId="0" fontId="18" fillId="11" borderId="151" xfId="0" applyFont="1" applyFill="1" applyBorder="1" applyAlignment="1" applyProtection="1">
      <alignment horizontal="center"/>
    </xf>
    <xf numFmtId="0" fontId="18" fillId="11" borderId="86"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87" xfId="0" applyFont="1" applyFill="1" applyBorder="1" applyAlignment="1" applyProtection="1">
      <alignment horizontal="center" vertical="center"/>
    </xf>
    <xf numFmtId="0" fontId="30" fillId="11" borderId="86" xfId="3" applyFill="1" applyBorder="1" applyAlignment="1" applyProtection="1">
      <alignment horizontal="center" vertical="center"/>
      <protection locked="0"/>
    </xf>
    <xf numFmtId="0" fontId="30" fillId="11" borderId="0" xfId="3" applyFill="1" applyBorder="1" applyAlignment="1" applyProtection="1">
      <alignment horizontal="center" vertical="center"/>
      <protection locked="0"/>
    </xf>
    <xf numFmtId="0" fontId="30" fillId="11" borderId="87" xfId="3" applyFill="1" applyBorder="1" applyAlignment="1" applyProtection="1">
      <alignment horizontal="center" vertical="center"/>
      <protection locked="0"/>
    </xf>
    <xf numFmtId="0" fontId="18" fillId="11" borderId="103" xfId="0" applyFont="1" applyFill="1" applyBorder="1" applyAlignment="1" applyProtection="1">
      <alignment horizontal="center"/>
    </xf>
    <xf numFmtId="0" fontId="18" fillId="11" borderId="104" xfId="0" applyFont="1" applyFill="1" applyBorder="1" applyAlignment="1" applyProtection="1">
      <alignment horizontal="center"/>
    </xf>
    <xf numFmtId="0" fontId="18" fillId="11" borderId="152" xfId="0" applyFont="1" applyFill="1" applyBorder="1" applyAlignment="1" applyProtection="1">
      <alignment horizontal="center"/>
    </xf>
    <xf numFmtId="0" fontId="42" fillId="0" borderId="71" xfId="0" applyNumberFormat="1" applyFont="1" applyFill="1" applyBorder="1" applyAlignment="1" applyProtection="1">
      <alignment horizontal="center" vertical="center"/>
      <protection hidden="1"/>
    </xf>
    <xf numFmtId="3" fontId="7" fillId="0" borderId="112" xfId="0" applyNumberFormat="1" applyFont="1" applyFill="1" applyBorder="1" applyAlignment="1" applyProtection="1">
      <alignment horizontal="center" vertical="center"/>
      <protection hidden="1"/>
    </xf>
    <xf numFmtId="0" fontId="7" fillId="0" borderId="112" xfId="0" applyNumberFormat="1" applyFont="1" applyFill="1" applyBorder="1" applyAlignment="1" applyProtection="1">
      <alignment horizontal="center" vertical="center"/>
      <protection hidden="1"/>
    </xf>
    <xf numFmtId="0" fontId="50" fillId="0" borderId="163" xfId="0" applyNumberFormat="1" applyFont="1" applyBorder="1" applyAlignment="1">
      <alignment horizontal="center" vertical="center"/>
    </xf>
    <xf numFmtId="0" fontId="50" fillId="0" borderId="164" xfId="0" applyNumberFormat="1" applyFont="1" applyBorder="1" applyAlignment="1">
      <alignment horizontal="center" vertical="center"/>
    </xf>
    <xf numFmtId="0" fontId="50" fillId="0" borderId="165" xfId="0" applyNumberFormat="1" applyFont="1" applyBorder="1" applyAlignment="1">
      <alignment horizontal="center" vertical="center"/>
    </xf>
    <xf numFmtId="0" fontId="12" fillId="0" borderId="25"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cellXfs>
  <cellStyles count="5">
    <cellStyle name="Berechnung" xfId="2" builtinId="22"/>
    <cellStyle name="Link" xfId="3" builtinId="8"/>
    <cellStyle name="Standard" xfId="0" builtinId="0"/>
    <cellStyle name="Standard 2" xfId="1" xr:uid="{00000000-0005-0000-0000-000001000000}"/>
    <cellStyle name="Standard 3" xfId="4" xr:uid="{DDE96A6C-A63C-4371-A4A2-12FAE9250528}"/>
  </cellStyles>
  <dxfs count="42">
    <dxf>
      <font>
        <b/>
        <i val="0"/>
      </font>
      <fill>
        <patternFill>
          <bgColor rgb="FFFFFF00"/>
        </patternFill>
      </fill>
    </dxf>
    <dxf>
      <font>
        <b/>
        <i val="0"/>
      </font>
    </dxf>
    <dxf>
      <font>
        <b/>
        <i val="0"/>
      </font>
      <fill>
        <patternFill>
          <bgColor rgb="FFFFFF00"/>
        </patternFill>
      </fill>
    </dxf>
    <dxf>
      <font>
        <b/>
        <i val="0"/>
      </font>
      <fill>
        <patternFill>
          <bgColor rgb="FFFFFF00"/>
        </patternFill>
      </fill>
    </dxf>
    <dxf>
      <numFmt numFmtId="165" formatCode=";;;"/>
    </dxf>
    <dxf>
      <font>
        <color rgb="FFFF0000"/>
      </font>
    </dxf>
    <dxf>
      <font>
        <color rgb="FFDA0000"/>
      </font>
    </dxf>
    <dxf>
      <numFmt numFmtId="165" formatCode=";;;"/>
    </dxf>
    <dxf>
      <font>
        <color theme="2" tint="-9.9948118533890809E-2"/>
      </font>
    </dxf>
    <dxf>
      <numFmt numFmtId="165" formatCode=";;;"/>
    </dxf>
    <dxf>
      <font>
        <color rgb="FFFF0000"/>
      </font>
    </dxf>
    <dxf>
      <font>
        <color theme="2" tint="-9.9948118533890809E-2"/>
      </font>
    </dxf>
    <dxf>
      <font>
        <color theme="2" tint="-9.9948118533890809E-2"/>
      </font>
    </dxf>
    <dxf>
      <font>
        <color rgb="FFFF0000"/>
      </font>
    </dxf>
    <dxf>
      <font>
        <color rgb="FFDA0000"/>
      </font>
    </dxf>
    <dxf>
      <font>
        <color rgb="FFDA0000"/>
      </font>
    </dxf>
    <dxf>
      <numFmt numFmtId="165" formatCode=";;;"/>
    </dxf>
    <dxf>
      <font>
        <color rgb="FFFF0000"/>
      </font>
    </dxf>
    <dxf>
      <font>
        <color theme="2" tint="-9.9948118533890809E-2"/>
      </font>
    </dxf>
    <dxf>
      <font>
        <color rgb="FFFF0000"/>
      </font>
    </dxf>
    <dxf>
      <font>
        <color theme="2" tint="-9.9948118533890809E-2"/>
      </font>
    </dxf>
    <dxf>
      <numFmt numFmtId="165" formatCode=";;;"/>
    </dxf>
    <dxf>
      <font>
        <color rgb="FFFF0000"/>
      </font>
    </dxf>
    <dxf>
      <font>
        <color theme="2" tint="-9.9948118533890809E-2"/>
      </font>
    </dxf>
    <dxf>
      <font>
        <color rgb="FFFF0000"/>
      </font>
    </dxf>
    <dxf>
      <font>
        <color theme="2" tint="-9.9948118533890809E-2"/>
      </font>
    </dxf>
    <dxf>
      <font>
        <color theme="2" tint="-9.9948118533890809E-2"/>
      </font>
    </dxf>
    <dxf>
      <font>
        <color theme="2" tint="-9.9948118533890809E-2"/>
      </font>
    </dxf>
    <dxf>
      <font>
        <color rgb="FFFF0000"/>
      </font>
    </dxf>
    <dxf>
      <font>
        <b val="0"/>
        <i val="0"/>
        <color rgb="FFDA0000"/>
      </font>
    </dxf>
    <dxf>
      <numFmt numFmtId="165" formatCode=";;;"/>
    </dxf>
    <dxf>
      <font>
        <color theme="2" tint="-9.9948118533890809E-2"/>
      </font>
    </dxf>
    <dxf>
      <font>
        <b/>
        <i val="0"/>
        <color rgb="FFFF0000"/>
      </font>
    </dxf>
    <dxf>
      <font>
        <b/>
        <i val="0"/>
        <color rgb="FFDA0000"/>
      </font>
      <fill>
        <patternFill patternType="none">
          <bgColor auto="1"/>
        </patternFill>
      </fill>
    </dxf>
    <dxf>
      <font>
        <b/>
        <i val="0"/>
        <color rgb="FFDA0000"/>
      </font>
      <fill>
        <patternFill patternType="none">
          <bgColor auto="1"/>
        </patternFill>
      </fill>
    </dxf>
    <dxf>
      <font>
        <b/>
        <i val="0"/>
        <color rgb="FFDA0000"/>
      </font>
      <fill>
        <patternFill patternType="none">
          <bgColor auto="1"/>
        </patternFill>
      </fill>
    </dxf>
    <dxf>
      <font>
        <b/>
        <i val="0"/>
        <color rgb="FFDA0000"/>
      </font>
    </dxf>
    <dxf>
      <font>
        <color theme="2" tint="-9.9948118533890809E-2"/>
      </font>
    </dxf>
    <dxf>
      <font>
        <b/>
        <i val="0"/>
        <color rgb="FFDA0000"/>
      </font>
    </dxf>
    <dxf>
      <fill>
        <patternFill>
          <bgColor rgb="FFFFB4B4"/>
        </patternFill>
      </fill>
    </dxf>
    <dxf>
      <font>
        <b/>
        <i val="0"/>
        <color rgb="FFDA0000"/>
      </font>
      <fill>
        <patternFill>
          <bgColor rgb="FFFFFFCC"/>
        </patternFill>
      </fill>
    </dxf>
    <dxf>
      <numFmt numFmtId="30" formatCode="@"/>
    </dxf>
  </dxfs>
  <tableStyles count="0" defaultTableStyle="TableStyleMedium2" defaultPivotStyle="PivotStyleLight16"/>
  <colors>
    <mruColors>
      <color rgb="FFDA0000"/>
      <color rgb="FFFFFFE0"/>
      <color rgb="FFFFB4B4"/>
      <color rgb="FFFFFFCC"/>
      <color rgb="FFFDECE3"/>
      <color rgb="FFF8F8F8"/>
      <color rgb="FFFFF2C9"/>
      <color rgb="FFFFEDB3"/>
      <color rgb="FFA50021"/>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352425</xdr:colOff>
      <xdr:row>1</xdr:row>
      <xdr:rowOff>142875</xdr:rowOff>
    </xdr:from>
    <xdr:to>
      <xdr:col>5</xdr:col>
      <xdr:colOff>600075</xdr:colOff>
      <xdr:row>6</xdr:row>
      <xdr:rowOff>9525</xdr:rowOff>
    </xdr:to>
    <xdr:pic>
      <xdr:nvPicPr>
        <xdr:cNvPr id="4" name="Grafik 3">
          <a:extLst>
            <a:ext uri="{FF2B5EF4-FFF2-40B4-BE49-F238E27FC236}">
              <a16:creationId xmlns:a16="http://schemas.microsoft.com/office/drawing/2014/main" id="{84DB84AA-358A-4121-AC49-A3356A89F4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1075" y="314325"/>
          <a:ext cx="1581150" cy="1581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1</xdr:row>
      <xdr:rowOff>180975</xdr:rowOff>
    </xdr:from>
    <xdr:to>
      <xdr:col>3</xdr:col>
      <xdr:colOff>685800</xdr:colOff>
      <xdr:row>5</xdr:row>
      <xdr:rowOff>161925</xdr:rowOff>
    </xdr:to>
    <xdr:pic>
      <xdr:nvPicPr>
        <xdr:cNvPr id="2" name="Grafik 1">
          <a:extLst>
            <a:ext uri="{FF2B5EF4-FFF2-40B4-BE49-F238E27FC236}">
              <a16:creationId xmlns:a16="http://schemas.microsoft.com/office/drawing/2014/main" id="{5CF7E29F-E1F0-4C93-B8F6-3BAEC2AAEE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352425"/>
          <a:ext cx="1581150" cy="1581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428625</xdr:colOff>
      <xdr:row>1</xdr:row>
      <xdr:rowOff>142875</xdr:rowOff>
    </xdr:from>
    <xdr:to>
      <xdr:col>3</xdr:col>
      <xdr:colOff>504825</xdr:colOff>
      <xdr:row>5</xdr:row>
      <xdr:rowOff>123825</xdr:rowOff>
    </xdr:to>
    <xdr:pic>
      <xdr:nvPicPr>
        <xdr:cNvPr id="3" name="Grafik 2">
          <a:extLst>
            <a:ext uri="{FF2B5EF4-FFF2-40B4-BE49-F238E27FC236}">
              <a16:creationId xmlns:a16="http://schemas.microsoft.com/office/drawing/2014/main" id="{4A2B3439-AA2B-499E-9611-7F1276B8AB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314325"/>
          <a:ext cx="1581150" cy="1581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352425</xdr:colOff>
      <xdr:row>1</xdr:row>
      <xdr:rowOff>152400</xdr:rowOff>
    </xdr:from>
    <xdr:to>
      <xdr:col>3</xdr:col>
      <xdr:colOff>438150</xdr:colOff>
      <xdr:row>5</xdr:row>
      <xdr:rowOff>123825</xdr:rowOff>
    </xdr:to>
    <xdr:pic>
      <xdr:nvPicPr>
        <xdr:cNvPr id="3" name="Grafik 2">
          <a:extLst>
            <a:ext uri="{FF2B5EF4-FFF2-40B4-BE49-F238E27FC236}">
              <a16:creationId xmlns:a16="http://schemas.microsoft.com/office/drawing/2014/main" id="{1D55BB5F-46FA-4B3E-A1D4-5EB18EF89D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323850"/>
          <a:ext cx="1581150" cy="1581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371475</xdr:colOff>
      <xdr:row>1</xdr:row>
      <xdr:rowOff>171450</xdr:rowOff>
    </xdr:from>
    <xdr:to>
      <xdr:col>3</xdr:col>
      <xdr:colOff>457200</xdr:colOff>
      <xdr:row>5</xdr:row>
      <xdr:rowOff>142875</xdr:rowOff>
    </xdr:to>
    <xdr:pic>
      <xdr:nvPicPr>
        <xdr:cNvPr id="3" name="Grafik 2">
          <a:extLst>
            <a:ext uri="{FF2B5EF4-FFF2-40B4-BE49-F238E27FC236}">
              <a16:creationId xmlns:a16="http://schemas.microsoft.com/office/drawing/2014/main" id="{74BD6790-06B0-401B-8B05-4C9C50DB41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342900"/>
          <a:ext cx="1581150" cy="1581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66675</xdr:colOff>
      <xdr:row>1</xdr:row>
      <xdr:rowOff>161925</xdr:rowOff>
    </xdr:from>
    <xdr:to>
      <xdr:col>5</xdr:col>
      <xdr:colOff>323850</xdr:colOff>
      <xdr:row>5</xdr:row>
      <xdr:rowOff>142875</xdr:rowOff>
    </xdr:to>
    <xdr:pic>
      <xdr:nvPicPr>
        <xdr:cNvPr id="3" name="Grafik 2">
          <a:extLst>
            <a:ext uri="{FF2B5EF4-FFF2-40B4-BE49-F238E27FC236}">
              <a16:creationId xmlns:a16="http://schemas.microsoft.com/office/drawing/2014/main" id="{CBFA94B2-6706-4790-983C-2958D2437B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300" y="333375"/>
          <a:ext cx="1581150" cy="1581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390523</xdr:colOff>
      <xdr:row>2</xdr:row>
      <xdr:rowOff>66674</xdr:rowOff>
    </xdr:from>
    <xdr:to>
      <xdr:col>22</xdr:col>
      <xdr:colOff>0</xdr:colOff>
      <xdr:row>50</xdr:row>
      <xdr:rowOff>0</xdr:rowOff>
    </xdr:to>
    <xdr:sp macro="" textlink="">
      <xdr:nvSpPr>
        <xdr:cNvPr id="4" name="Textfeld 3">
          <a:extLst>
            <a:ext uri="{FF2B5EF4-FFF2-40B4-BE49-F238E27FC236}">
              <a16:creationId xmlns:a16="http://schemas.microsoft.com/office/drawing/2014/main" id="{00000000-0008-0000-0B00-000004000000}"/>
            </a:ext>
          </a:extLst>
        </xdr:cNvPr>
        <xdr:cNvSpPr txBox="1"/>
      </xdr:nvSpPr>
      <xdr:spPr>
        <a:xfrm>
          <a:off x="8772523" y="390524"/>
          <a:ext cx="7620002" cy="770572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einer Fünfer- und einer Vierergruppe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beiden Möglichkeiten für eine Endrunde auswählen </a:t>
          </a:r>
        </a:p>
        <a:p>
          <a:pPr marL="0" indent="0"/>
          <a:r>
            <a:rPr lang="de-DE" sz="1400" b="0" baseline="0">
              <a:solidFill>
                <a:sysClr val="windowText" lastClr="000000"/>
              </a:solidFill>
              <a:latin typeface="+mn-lt"/>
              <a:ea typeface="+mn-ea"/>
              <a:cs typeface="+mn-cs"/>
            </a:rPr>
            <a:t>(Tabellenblatt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oder Tabellenblatt "</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spielen die beiden Gruppenersten um Platz 1, die beiden Gruppenzweiten um </a:t>
          </a:r>
        </a:p>
        <a:p>
          <a:pPr marL="0" indent="0"/>
          <a:r>
            <a:rPr lang="de-DE" sz="1400" b="0" baseline="0">
              <a:solidFill>
                <a:sysClr val="windowText" lastClr="000000"/>
              </a:solidFill>
              <a:latin typeface="+mn-lt"/>
              <a:ea typeface="+mn-ea"/>
              <a:cs typeface="+mn-cs"/>
            </a:rPr>
            <a:t>Platz 3, die beiden Gruppendritten um Platz 5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werden die ersten vier Plätze durch ein Halbfinale (Gruppenerste und Gruppenzweite) und zwei Finalspiele ausgespielt, die anderen Plätze wie in "Endrunde 1".</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3</a:t>
          </a:r>
          <a:r>
            <a:rPr lang="de-DE" sz="1400" b="0" baseline="0">
              <a:solidFill>
                <a:sysClr val="windowText" lastClr="000000"/>
              </a:solidFill>
              <a:latin typeface="+mn-lt"/>
              <a:ea typeface="+mn-ea"/>
              <a:cs typeface="+mn-cs"/>
            </a:rPr>
            <a:t>" werden die ersten vier Plätze durch ein Halbfinale (Gruppenerste und Gruppenzweite) und zwei Finalspiele ausgespielt.</a:t>
          </a:r>
        </a:p>
        <a:p>
          <a:pPr marL="0" indent="0"/>
          <a:endParaRPr lang="de-DE" sz="1400" b="0" baseline="0">
            <a:solidFill>
              <a:sysClr val="windowText" lastClr="000000"/>
            </a:solidFill>
            <a:latin typeface="+mn-lt"/>
            <a:ea typeface="+mn-ea"/>
            <a:cs typeface="+mn-cs"/>
          </a:endParaRPr>
        </a:p>
        <a:p>
          <a:r>
            <a:rPr lang="de-DE" sz="1400" b="0" baseline="0">
              <a:solidFill>
                <a:schemeClr val="dk1"/>
              </a:solidFill>
              <a:effectLst/>
              <a:latin typeface="+mn-lt"/>
              <a:ea typeface="+mn-ea"/>
              <a:cs typeface="+mn-cs"/>
            </a:rPr>
            <a:t>In "</a:t>
          </a:r>
          <a:r>
            <a:rPr lang="de-DE" sz="1400" b="1" baseline="0">
              <a:solidFill>
                <a:schemeClr val="dk1"/>
              </a:solidFill>
              <a:effectLst/>
              <a:latin typeface="+mn-lt"/>
              <a:ea typeface="+mn-ea"/>
              <a:cs typeface="+mn-cs"/>
            </a:rPr>
            <a:t>Endrunde 4</a:t>
          </a:r>
          <a:r>
            <a:rPr lang="de-DE" sz="1400" b="0" baseline="0">
              <a:solidFill>
                <a:schemeClr val="dk1"/>
              </a:solidFill>
              <a:effectLst/>
              <a:latin typeface="+mn-lt"/>
              <a:ea typeface="+mn-ea"/>
              <a:cs typeface="+mn-cs"/>
            </a:rPr>
            <a:t>" spielen die zwei Gruppenersten und die zwei Gruppenzweiten in einer Vierergruppe jeder gegen jeden um die Plätze 1 bis 4. Die zwei Gruppendritten und die zwei Gruppenvierten spielen in gleicher Weise um die Plätze 5 bis 8. Die Gruppenfünften und die Gruppensechsten (soweit vorhanden) spielen in gleicher Weise um die Plätze 9 bis 12.</a:t>
          </a:r>
          <a:endParaRPr lang="de-DE" sz="1400">
            <a:effectLst/>
          </a:endParaRPr>
        </a:p>
        <a:p>
          <a:r>
            <a:rPr lang="de-DE" sz="1400" b="0" baseline="0">
              <a:solidFill>
                <a:schemeClr val="dk1"/>
              </a:solidFill>
              <a:effectLst/>
              <a:latin typeface="+mn-lt"/>
              <a:ea typeface="+mn-ea"/>
              <a:cs typeface="+mn-cs"/>
            </a:rPr>
            <a:t>Kann auch mit unterschiedlicher Anzahl an Teams pro Gruppe gespielt werden.</a:t>
          </a:r>
          <a:endParaRPr lang="de-DE" sz="1400">
            <a:effectLst/>
          </a:endParaRPr>
        </a:p>
      </xdr:txBody>
    </xdr:sp>
    <xdr:clientData/>
  </xdr:twoCellAnchor>
  <xdr:twoCellAnchor>
    <xdr:from>
      <xdr:col>12</xdr:col>
      <xdr:colOff>9524</xdr:colOff>
      <xdr:row>52</xdr:row>
      <xdr:rowOff>0</xdr:rowOff>
    </xdr:from>
    <xdr:to>
      <xdr:col>21</xdr:col>
      <xdr:colOff>761999</xdr:colOff>
      <xdr:row>96</xdr:row>
      <xdr:rowOff>152400</xdr:rowOff>
    </xdr:to>
    <xdr:sp macro="" textlink="">
      <xdr:nvSpPr>
        <xdr:cNvPr id="5" name="Textfeld 4">
          <a:extLst>
            <a:ext uri="{FF2B5EF4-FFF2-40B4-BE49-F238E27FC236}">
              <a16:creationId xmlns:a16="http://schemas.microsoft.com/office/drawing/2014/main" id="{00000000-0008-0000-0B00-000005000000}"/>
            </a:ext>
          </a:extLst>
        </xdr:cNvPr>
        <xdr:cNvSpPr txBox="1"/>
      </xdr:nvSpPr>
      <xdr:spPr>
        <a:xfrm>
          <a:off x="8782049" y="8420100"/>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Die Rangreihenfolge der Teams innerhalb einer Gruppe wird nach folgenden Kriterien bestimmt:</a:t>
          </a:r>
        </a:p>
        <a:p>
          <a:endParaRPr lang="de-DE" sz="800">
            <a:effectLst/>
          </a:endParaRPr>
        </a:p>
        <a:p>
          <a:r>
            <a:rPr lang="de-DE" sz="1200" b="1" baseline="0">
              <a:solidFill>
                <a:schemeClr val="dk1"/>
              </a:solidFill>
              <a:effectLst/>
              <a:latin typeface="+mn-lt"/>
              <a:ea typeface="+mn-ea"/>
              <a:cs typeface="+mn-cs"/>
            </a:rPr>
            <a:t>Kriterien:</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 (Satzpunkte)</a:t>
          </a:r>
          <a:r>
            <a:rPr lang="de-DE" sz="1100">
              <a:solidFill>
                <a:schemeClr val="dk1"/>
              </a:solidFill>
              <a:effectLst/>
              <a:latin typeface="+mn-lt"/>
              <a:ea typeface="+mn-ea"/>
              <a:cs typeface="+mn-cs"/>
            </a:rPr>
            <a:t> aus allen Gruppenspielen</a:t>
          </a:r>
          <a:endParaRPr lang="de-DE" sz="1100">
            <a:effectLst/>
          </a:endParaRPr>
        </a:p>
        <a:p>
          <a:r>
            <a:rPr lang="de-DE" sz="1100" baseline="0">
              <a:solidFill>
                <a:schemeClr val="dk1"/>
              </a:solidFill>
              <a:effectLst/>
              <a:latin typeface="+mn-lt"/>
              <a:ea typeface="+mn-ea"/>
              <a:cs typeface="+mn-cs"/>
            </a:rPr>
            <a:t>2.   D</a:t>
          </a:r>
          <a:r>
            <a:rPr lang="de-DE" sz="1100">
              <a:solidFill>
                <a:schemeClr val="dk1"/>
              </a:solidFill>
              <a:effectLst/>
              <a:latin typeface="+mn-lt"/>
              <a:ea typeface="+mn-ea"/>
              <a:cs typeface="+mn-cs"/>
            </a:rPr>
            <a:t>ifferenz oder Quotient der Ballpunkte aus allen Gruppenspielen</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a:t>
          </a:r>
          <a:r>
            <a:rPr lang="de-DE" sz="1100">
              <a:solidFill>
                <a:schemeClr val="dk1"/>
              </a:solidFill>
              <a:effectLst/>
              <a:latin typeface="+mn-lt"/>
              <a:ea typeface="+mn-ea"/>
              <a:cs typeface="+mn-cs"/>
            </a:rPr>
            <a:t> (Satzpunkte) aus dem direkten Vergleich</a:t>
          </a:r>
          <a:endParaRPr lang="de-DE" sz="1100">
            <a:effectLst/>
          </a:endParaRPr>
        </a:p>
        <a:p>
          <a:r>
            <a:rPr lang="de-DE" sz="1100" baseline="0">
              <a:solidFill>
                <a:schemeClr val="dk1"/>
              </a:solidFill>
              <a:effectLst/>
              <a:latin typeface="+mn-lt"/>
              <a:ea typeface="+mn-ea"/>
              <a:cs typeface="+mn-cs"/>
            </a:rPr>
            <a:t>4.   D</a:t>
          </a:r>
          <a:r>
            <a:rPr lang="de-DE" sz="1100">
              <a:solidFill>
                <a:schemeClr val="dk1"/>
              </a:solidFill>
              <a:effectLst/>
              <a:latin typeface="+mn-lt"/>
              <a:ea typeface="+mn-ea"/>
              <a:cs typeface="+mn-cs"/>
            </a:rPr>
            <a:t>ifferenz der Ballpunkte aus dem direkten Vergleich</a:t>
          </a:r>
          <a:endParaRPr lang="de-DE" sz="1100">
            <a:effectLst/>
          </a:endParaRP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Entscheidungsspiel oder Losentscheid</a:t>
          </a:r>
        </a:p>
        <a:p>
          <a:endParaRPr lang="de-DE"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Auf dem Tabellenblatt </a:t>
          </a:r>
          <a:r>
            <a:rPr lang="de-DE" sz="1400" b="1">
              <a:solidFill>
                <a:schemeClr val="dk1"/>
              </a:solidFill>
              <a:effectLst/>
              <a:latin typeface="+mn-lt"/>
              <a:ea typeface="+mn-ea"/>
              <a:cs typeface="+mn-cs"/>
            </a:rPr>
            <a:t>Einstellungen</a:t>
          </a:r>
          <a:r>
            <a:rPr lang="de-DE" sz="1400">
              <a:solidFill>
                <a:schemeClr val="dk1"/>
              </a:solidFill>
              <a:effectLst/>
              <a:latin typeface="+mn-lt"/>
              <a:ea typeface="+mn-ea"/>
              <a:cs typeface="+mn-cs"/>
            </a:rPr>
            <a:t> kann zwischen Balldifferenz und Ballquotient gewählt werden.</a:t>
          </a:r>
        </a:p>
        <a:p>
          <a:endParaRPr lang="de-DE" sz="1400">
            <a:effectLst/>
          </a:endParaRPr>
        </a:p>
        <a:p>
          <a:r>
            <a:rPr lang="de-DE" sz="1400" b="1" baseline="0">
              <a:solidFill>
                <a:schemeClr val="tx1">
                  <a:lumMod val="65000"/>
                  <a:lumOff val="35000"/>
                </a:schemeClr>
              </a:solidFill>
              <a:effectLst/>
              <a:latin typeface="+mn-lt"/>
              <a:ea typeface="+mn-ea"/>
              <a:cs typeface="+mn-cs"/>
            </a:rPr>
            <a:t>3.</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Im Fall eines direkten Vergleichs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einzublenden, um die Tabellen für die Direktbegegnungen bei Gleichstand in den Kriterien 1 und 2 anzuschauen.</a:t>
          </a:r>
        </a:p>
        <a:p>
          <a:endParaRPr lang="de-DE" sz="1400">
            <a:effectLst/>
          </a:endParaRPr>
        </a:p>
        <a:p>
          <a:r>
            <a:rPr lang="de-DE" sz="1400" b="1" baseline="0">
              <a:solidFill>
                <a:schemeClr val="tx1">
                  <a:lumMod val="65000"/>
                  <a:lumOff val="35000"/>
                </a:schemeClr>
              </a:solidFill>
              <a:effectLst/>
              <a:latin typeface="+mn-lt"/>
              <a:ea typeface="+mn-ea"/>
              <a:cs typeface="+mn-cs"/>
            </a:rPr>
            <a:t>4.</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Im seltenen Fall eines Gleichstands der Kriterien 1 bis 4 kann man das Tabellenblatt </a:t>
          </a:r>
          <a:r>
            <a:rPr lang="de-DE" sz="1400" b="1" baseline="0">
              <a:solidFill>
                <a:schemeClr val="dk1"/>
              </a:solidFill>
              <a:effectLst/>
              <a:latin typeface="+mn-lt"/>
              <a:ea typeface="+mn-ea"/>
              <a:cs typeface="+mn-cs"/>
            </a:rPr>
            <a:t>TieBreak </a:t>
          </a:r>
          <a:r>
            <a:rPr lang="de-DE" sz="1400" b="0" baseline="0">
              <a:solidFill>
                <a:schemeClr val="dk1"/>
              </a:solidFill>
              <a:effectLst/>
              <a:latin typeface="+mn-lt"/>
              <a:ea typeface="+mn-ea"/>
              <a:cs typeface="+mn-cs"/>
            </a:rPr>
            <a:t>einblenden, um Entscheidungsspiele einzutragen.</a:t>
          </a:r>
          <a:endParaRPr lang="de-DE" sz="1400">
            <a:effectLst/>
          </a:endParaRPr>
        </a:p>
        <a:p>
          <a:r>
            <a:rPr lang="de-DE" sz="1400" b="0" baseline="0">
              <a:solidFill>
                <a:schemeClr val="dk1"/>
              </a:solidFill>
              <a:effectLst/>
              <a:latin typeface="+mn-lt"/>
              <a:ea typeface="+mn-ea"/>
              <a:cs typeface="+mn-cs"/>
            </a:rPr>
            <a:t>Die Ergebnisse der Entscheidungsspiele werden automatisch in die Gruppentabelle übernommen.</a:t>
          </a:r>
          <a:endParaRPr lang="de-DE" sz="1400">
            <a:effectLst/>
          </a:endParaRP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5.</a:t>
          </a: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p>
      </xdr:txBody>
    </xdr:sp>
    <xdr:clientData/>
  </xdr:twoCellAnchor>
  <xdr:twoCellAnchor>
    <xdr:from>
      <xdr:col>1</xdr:col>
      <xdr:colOff>9523</xdr:colOff>
      <xdr:row>2</xdr:row>
      <xdr:rowOff>66675</xdr:rowOff>
    </xdr:from>
    <xdr:to>
      <xdr:col>11</xdr:col>
      <xdr:colOff>9525</xdr:colOff>
      <xdr:row>50</xdr:row>
      <xdr:rowOff>0</xdr:rowOff>
    </xdr:to>
    <xdr:sp macro="" textlink="">
      <xdr:nvSpPr>
        <xdr:cNvPr id="6" name="Textfeld 5">
          <a:extLst>
            <a:ext uri="{FF2B5EF4-FFF2-40B4-BE49-F238E27FC236}">
              <a16:creationId xmlns:a16="http://schemas.microsoft.com/office/drawing/2014/main" id="{5C3D139B-20D6-4C0E-9A73-FC7B5663DCC3}"/>
            </a:ext>
          </a:extLst>
        </xdr:cNvPr>
        <xdr:cNvSpPr txBox="1"/>
      </xdr:nvSpPr>
      <xdr:spPr>
        <a:xfrm>
          <a:off x="771523" y="390525"/>
          <a:ext cx="7620002" cy="770572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spreadsheet, enter the names of the participants on the far left and the playing times on the right. The number of participants per group does not necessarily have to be the same. For example, it is also possible to play with a group of five and a group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 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two options for a final round </a:t>
          </a:r>
        </a:p>
        <a:p>
          <a:pPr marL="0" indent="0"/>
          <a:r>
            <a:rPr lang="de-DE" sz="1400"/>
            <a:t>(“</a:t>
          </a:r>
          <a:r>
            <a:rPr lang="de-DE" sz="1400" b="1"/>
            <a:t>Finals 1</a:t>
          </a:r>
          <a:r>
            <a:rPr lang="de-DE" sz="1400"/>
            <a:t>” spreadsheet or “</a:t>
          </a:r>
          <a:r>
            <a:rPr lang="de-DE" sz="1400" b="1"/>
            <a:t>Finals 2</a:t>
          </a:r>
          <a:r>
            <a:rPr lang="de-DE" sz="1400"/>
            <a:t>” spreadsheet)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t>In “</a:t>
          </a:r>
          <a:r>
            <a:rPr lang="de-DE" sz="1400" b="1"/>
            <a:t>Finals 1</a:t>
          </a:r>
          <a:r>
            <a:rPr lang="de-DE" sz="1400"/>
            <a:t>” the two group winners play for first place and the two group runners-up play for </a:t>
          </a:r>
        </a:p>
        <a:p>
          <a:pPr marL="0" indent="0"/>
          <a:r>
            <a:rPr lang="de-DE" sz="1400"/>
            <a:t>3rd place, the two third-placed teams for 5th place, etc. </a:t>
          </a:r>
        </a:p>
        <a:p>
          <a:pPr marL="0" indent="0"/>
          <a:endParaRPr lang="de-DE" sz="1400"/>
        </a:p>
        <a:p>
          <a:pPr marL="0" indent="0"/>
          <a:r>
            <a:rPr lang="de-DE" sz="1400"/>
            <a:t>In "</a:t>
          </a:r>
          <a:r>
            <a:rPr lang="de-DE" sz="1400" b="1"/>
            <a:t>Finals 2</a:t>
          </a:r>
          <a:r>
            <a:rPr lang="de-DE" sz="1400"/>
            <a:t>" the first four places will be determined by a semi-final (group first and runners-up) and two finals, the other places as in "Finals 1".</a:t>
          </a: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Finals 3</a:t>
          </a:r>
          <a:r>
            <a:rPr lang="de-DE" sz="1400" b="0" baseline="0">
              <a:solidFill>
                <a:sysClr val="windowText" lastClr="000000"/>
              </a:solidFill>
              <a:latin typeface="+mn-lt"/>
              <a:ea typeface="+mn-ea"/>
              <a:cs typeface="+mn-cs"/>
            </a:rPr>
            <a:t>" the first four places will be determined by a semi-final (group first and group runners-up) and two finals.</a:t>
          </a:r>
        </a:p>
        <a:p>
          <a:pPr marL="0" indent="0"/>
          <a:endParaRPr lang="de-DE" sz="1400" b="0" baseline="0">
            <a:solidFill>
              <a:sysClr val="windowText" lastClr="000000"/>
            </a:solidFill>
            <a:latin typeface="+mn-lt"/>
            <a:ea typeface="+mn-ea"/>
            <a:cs typeface="+mn-cs"/>
          </a:endParaRPr>
        </a:p>
        <a:p>
          <a:r>
            <a:rPr lang="de-DE" sz="1400">
              <a:solidFill>
                <a:schemeClr val="dk1"/>
              </a:solidFill>
              <a:effectLst/>
              <a:latin typeface="+mn-lt"/>
              <a:ea typeface="+mn-ea"/>
              <a:cs typeface="+mn-cs"/>
            </a:rPr>
            <a:t>In "</a:t>
          </a:r>
          <a:r>
            <a:rPr lang="de-DE" sz="1400" b="1">
              <a:solidFill>
                <a:schemeClr val="dk1"/>
              </a:solidFill>
              <a:effectLst/>
              <a:latin typeface="+mn-lt"/>
              <a:ea typeface="+mn-ea"/>
              <a:cs typeface="+mn-cs"/>
            </a:rPr>
            <a:t>Finals 4</a:t>
          </a:r>
          <a:r>
            <a:rPr lang="de-DE" sz="1400">
              <a:solidFill>
                <a:schemeClr val="dk1"/>
              </a:solidFill>
              <a:effectLst/>
              <a:latin typeface="+mn-lt"/>
              <a:ea typeface="+mn-ea"/>
              <a:cs typeface="+mn-cs"/>
            </a:rPr>
            <a:t>" the two group winners and the two group runners-up play in a group of four against each other for places 1 to 4. The two third and the two fourth places play in the same way for places 5 to 8. The fifth and sixth in the group (if available) play in the same way for places 9 to 12.</a:t>
          </a:r>
          <a:endParaRPr lang="de-DE" sz="1400">
            <a:effectLst/>
          </a:endParaRPr>
        </a:p>
        <a:p>
          <a:r>
            <a:rPr lang="de-DE" sz="1400">
              <a:solidFill>
                <a:schemeClr val="dk1"/>
              </a:solidFill>
              <a:effectLst/>
              <a:latin typeface="+mn-lt"/>
              <a:ea typeface="+mn-ea"/>
              <a:cs typeface="+mn-cs"/>
            </a:rPr>
            <a:t>Can also be played with different numbers of teams per group.</a:t>
          </a:r>
          <a:endParaRPr lang="de-DE" sz="1400">
            <a:effectLst/>
          </a:endParaRPr>
        </a:p>
      </xdr:txBody>
    </xdr:sp>
    <xdr:clientData/>
  </xdr:twoCellAnchor>
  <xdr:twoCellAnchor>
    <xdr:from>
      <xdr:col>1</xdr:col>
      <xdr:colOff>9524</xdr:colOff>
      <xdr:row>52</xdr:row>
      <xdr:rowOff>9525</xdr:rowOff>
    </xdr:from>
    <xdr:to>
      <xdr:col>10</xdr:col>
      <xdr:colOff>761999</xdr:colOff>
      <xdr:row>97</xdr:row>
      <xdr:rowOff>0</xdr:rowOff>
    </xdr:to>
    <xdr:sp macro="" textlink="">
      <xdr:nvSpPr>
        <xdr:cNvPr id="7" name="Textfeld 6">
          <a:extLst>
            <a:ext uri="{FF2B5EF4-FFF2-40B4-BE49-F238E27FC236}">
              <a16:creationId xmlns:a16="http://schemas.microsoft.com/office/drawing/2014/main" id="{5A6CFD6F-29E7-4D80-8B85-3439056291E2}"/>
            </a:ext>
          </a:extLst>
        </xdr:cNvPr>
        <xdr:cNvSpPr txBox="1"/>
      </xdr:nvSpPr>
      <xdr:spPr>
        <a:xfrm>
          <a:off x="771524" y="8429625"/>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a:solidFill>
                <a:schemeClr val="dk1"/>
              </a:solidFill>
              <a:effectLst/>
              <a:latin typeface="+mn-lt"/>
              <a:ea typeface="+mn-ea"/>
              <a:cs typeface="+mn-cs"/>
            </a:rPr>
            <a:t>The ranking of the teams within a group is determined according to the following criteria</a:t>
          </a:r>
          <a:r>
            <a:rPr lang="de-DE" sz="1400" b="0" baseline="0">
              <a:solidFill>
                <a:schemeClr val="dk1"/>
              </a:solidFill>
              <a:effectLst/>
              <a:latin typeface="+mn-lt"/>
              <a:ea typeface="+mn-ea"/>
              <a:cs typeface="+mn-cs"/>
            </a:rPr>
            <a:t>:</a:t>
          </a:r>
        </a:p>
        <a:p>
          <a:endParaRPr lang="de-DE" sz="800">
            <a:effectLst/>
          </a:endParaRPr>
        </a:p>
        <a:p>
          <a:r>
            <a:rPr lang="de-DE" sz="1200" b="1" baseline="0">
              <a:solidFill>
                <a:schemeClr val="dk1"/>
              </a:solidFill>
              <a:effectLst/>
              <a:latin typeface="+mn-lt"/>
              <a:ea typeface="+mn-ea"/>
              <a:cs typeface="+mn-cs"/>
            </a:rPr>
            <a:t>Criteria:</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sets won (set points) from all group matches</a:t>
          </a:r>
          <a:endParaRPr lang="de-DE" sz="11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Difference or quotient of ball points from all group matches</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Number of sets won (set points) from the direct comparison</a:t>
          </a:r>
          <a:endParaRPr lang="de-DE" sz="11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Difference in ball points from the direct comparison</a:t>
          </a:r>
          <a:endParaRPr lang="de-DE" sz="1100">
            <a:effectLst/>
          </a:endParaRPr>
        </a:p>
        <a:p>
          <a:r>
            <a:rPr lang="de-DE" sz="1100" baseline="0">
              <a:solidFill>
                <a:schemeClr val="dk1"/>
              </a:solidFill>
              <a:effectLst/>
              <a:latin typeface="+mn-lt"/>
              <a:ea typeface="+mn-ea"/>
              <a:cs typeface="+mn-cs"/>
            </a:rPr>
            <a:t>5.   P</a:t>
          </a:r>
          <a:r>
            <a:rPr lang="de-DE" sz="1100">
              <a:solidFill>
                <a:schemeClr val="dk1"/>
              </a:solidFill>
              <a:effectLst/>
              <a:latin typeface="+mn-lt"/>
              <a:ea typeface="+mn-ea"/>
              <a:cs typeface="+mn-cs"/>
            </a:rPr>
            <a:t>layoff or drawing of lots</a:t>
          </a:r>
        </a:p>
        <a:p>
          <a:endParaRPr lang="de-DE"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On the </a:t>
          </a:r>
          <a:r>
            <a:rPr lang="de-DE" sz="1400" b="1">
              <a:solidFill>
                <a:schemeClr val="dk1"/>
              </a:solidFill>
              <a:effectLst/>
              <a:latin typeface="+mn-lt"/>
              <a:ea typeface="+mn-ea"/>
              <a:cs typeface="+mn-cs"/>
            </a:rPr>
            <a:t>Settings</a:t>
          </a:r>
          <a:r>
            <a:rPr lang="de-DE" sz="1400">
              <a:solidFill>
                <a:schemeClr val="dk1"/>
              </a:solidFill>
              <a:effectLst/>
              <a:latin typeface="+mn-lt"/>
              <a:ea typeface="+mn-ea"/>
              <a:cs typeface="+mn-cs"/>
            </a:rPr>
            <a:t> worksheet you can choose between ball difference and ball quotient.</a:t>
          </a:r>
        </a:p>
        <a:p>
          <a:endParaRPr lang="de-DE" sz="1400">
            <a:effectLst/>
          </a:endParaRPr>
        </a:p>
        <a:p>
          <a:r>
            <a:rPr lang="de-DE" sz="1400" b="1" baseline="0">
              <a:solidFill>
                <a:schemeClr val="tx1">
                  <a:lumMod val="65000"/>
                  <a:lumOff val="35000"/>
                </a:schemeClr>
              </a:solidFill>
              <a:effectLst/>
              <a:latin typeface="+mn-lt"/>
              <a:ea typeface="+mn-ea"/>
              <a:cs typeface="+mn-cs"/>
            </a:rPr>
            <a:t>3.</a:t>
          </a:r>
          <a:endParaRPr lang="de-DE" sz="1400">
            <a:solidFill>
              <a:schemeClr val="tx1">
                <a:lumMod val="65000"/>
                <a:lumOff val="35000"/>
              </a:schemeClr>
            </a:solidFill>
            <a:effectLst/>
          </a:endParaRPr>
        </a:p>
        <a:p>
          <a:r>
            <a:rPr lang="de-DE" sz="1400">
              <a:solidFill>
                <a:schemeClr val="dk1"/>
              </a:solidFill>
              <a:effectLst/>
              <a:latin typeface="+mn-lt"/>
              <a:ea typeface="+mn-ea"/>
              <a:cs typeface="+mn-cs"/>
            </a:rPr>
            <a:t>In the case of a direct comparison, it may be interesting to display the worksheets </a:t>
          </a:r>
          <a:r>
            <a:rPr lang="de-DE" sz="1400" b="1">
              <a:solidFill>
                <a:schemeClr val="dk1"/>
              </a:solidFill>
              <a:effectLst/>
              <a:latin typeface="+mn-lt"/>
              <a:ea typeface="+mn-ea"/>
              <a:cs typeface="+mn-cs"/>
            </a:rPr>
            <a:t>DirComp_A</a:t>
          </a:r>
          <a:r>
            <a:rPr lang="de-DE" sz="1400">
              <a:solidFill>
                <a:schemeClr val="dk1"/>
              </a:solidFill>
              <a:effectLst/>
              <a:latin typeface="+mn-lt"/>
              <a:ea typeface="+mn-ea"/>
              <a:cs typeface="+mn-cs"/>
            </a:rPr>
            <a:t> </a:t>
          </a:r>
        </a:p>
        <a:p>
          <a:r>
            <a:rPr lang="de-DE" sz="1400">
              <a:solidFill>
                <a:schemeClr val="dk1"/>
              </a:solidFill>
              <a:effectLst/>
              <a:latin typeface="+mn-lt"/>
              <a:ea typeface="+mn-ea"/>
              <a:cs typeface="+mn-cs"/>
            </a:rPr>
            <a:t>and </a:t>
          </a:r>
          <a:r>
            <a:rPr lang="de-DE" sz="1400" b="1">
              <a:solidFill>
                <a:schemeClr val="dk1"/>
              </a:solidFill>
              <a:effectLst/>
              <a:latin typeface="+mn-lt"/>
              <a:ea typeface="+mn-ea"/>
              <a:cs typeface="+mn-cs"/>
            </a:rPr>
            <a:t>DirComp_B </a:t>
          </a:r>
          <a:r>
            <a:rPr lang="de-DE" sz="1400">
              <a:solidFill>
                <a:schemeClr val="dk1"/>
              </a:solidFill>
              <a:effectLst/>
              <a:latin typeface="+mn-lt"/>
              <a:ea typeface="+mn-ea"/>
              <a:cs typeface="+mn-cs"/>
            </a:rPr>
            <a:t>in order to view the tables for the direct encounters in the event of a tie in </a:t>
          </a:r>
        </a:p>
        <a:p>
          <a:r>
            <a:rPr lang="de-DE" sz="1400">
              <a:solidFill>
                <a:schemeClr val="dk1"/>
              </a:solidFill>
              <a:effectLst/>
              <a:latin typeface="+mn-lt"/>
              <a:ea typeface="+mn-ea"/>
              <a:cs typeface="+mn-cs"/>
            </a:rPr>
            <a:t>criteria 1 and 2.</a:t>
          </a:r>
        </a:p>
        <a:p>
          <a:endParaRPr lang="de-DE" sz="1400">
            <a:effectLst/>
          </a:endParaRPr>
        </a:p>
        <a:p>
          <a:r>
            <a:rPr lang="de-DE" sz="1400" b="1" baseline="0">
              <a:solidFill>
                <a:schemeClr val="tx1">
                  <a:lumMod val="65000"/>
                  <a:lumOff val="35000"/>
                </a:schemeClr>
              </a:solidFill>
              <a:effectLst/>
              <a:latin typeface="+mn-lt"/>
              <a:ea typeface="+mn-ea"/>
              <a:cs typeface="+mn-cs"/>
            </a:rPr>
            <a:t>4.</a:t>
          </a:r>
          <a:endParaRPr lang="de-DE" sz="1400">
            <a:solidFill>
              <a:schemeClr val="tx1">
                <a:lumMod val="65000"/>
                <a:lumOff val="35000"/>
              </a:schemeClr>
            </a:solidFill>
            <a:effectLst/>
          </a:endParaRPr>
        </a:p>
        <a:p>
          <a:r>
            <a:rPr lang="de-DE" sz="1400">
              <a:solidFill>
                <a:schemeClr val="dk1"/>
              </a:solidFill>
              <a:effectLst/>
              <a:latin typeface="+mn-lt"/>
              <a:ea typeface="+mn-ea"/>
              <a:cs typeface="+mn-cs"/>
            </a:rPr>
            <a:t>In the rare case of a tie in criteria 1 to 4, the </a:t>
          </a:r>
          <a:r>
            <a:rPr lang="de-DE" sz="1400" b="1">
              <a:solidFill>
                <a:schemeClr val="dk1"/>
              </a:solidFill>
              <a:effectLst/>
              <a:latin typeface="+mn-lt"/>
              <a:ea typeface="+mn-ea"/>
              <a:cs typeface="+mn-cs"/>
            </a:rPr>
            <a:t>TieBreak </a:t>
          </a:r>
          <a:r>
            <a:rPr lang="de-DE" sz="1400">
              <a:solidFill>
                <a:schemeClr val="dk1"/>
              </a:solidFill>
              <a:effectLst/>
              <a:latin typeface="+mn-lt"/>
              <a:ea typeface="+mn-ea"/>
              <a:cs typeface="+mn-cs"/>
            </a:rPr>
            <a:t>worksheet can be displayed to enter playoff matches.</a:t>
          </a:r>
          <a:endParaRPr lang="de-DE" sz="1400">
            <a:effectLst/>
          </a:endParaRPr>
        </a:p>
        <a:p>
          <a:r>
            <a:rPr lang="de-DE" sz="1400">
              <a:solidFill>
                <a:schemeClr val="dk1"/>
              </a:solidFill>
              <a:effectLst/>
              <a:latin typeface="+mn-lt"/>
              <a:ea typeface="+mn-ea"/>
              <a:cs typeface="+mn-cs"/>
            </a:rPr>
            <a:t>The results of the playoff matches are automatically transferred to the group table.</a:t>
          </a:r>
          <a:endParaRPr lang="de-DE" sz="1400">
            <a:effectLst/>
          </a:endParaRP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5.</a:t>
          </a:r>
        </a:p>
        <a:p>
          <a:r>
            <a:rPr lang="de-DE" sz="1400"/>
            <a:t>If you want to change the game pairings, you can display the “</a:t>
          </a:r>
          <a:r>
            <a:rPr lang="de-DE" sz="1400" b="1"/>
            <a:t>Pairings</a:t>
          </a:r>
          <a:r>
            <a:rPr lang="de-DE" sz="1400"/>
            <a:t>” sheet and make the desired changes there.</a:t>
          </a:r>
          <a:endParaRPr lang="de-DE" sz="1400" b="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AB39"/>
  <sheetViews>
    <sheetView showGridLines="0" showRowColHeaders="0" workbookViewId="0">
      <selection activeCell="C7" sqref="C7:C8"/>
    </sheetView>
  </sheetViews>
  <sheetFormatPr baseColWidth="10" defaultColWidth="0" defaultRowHeight="15.75" zeroHeight="1" x14ac:dyDescent="0.25"/>
  <cols>
    <col min="1" max="1" width="10.7109375" style="46" customWidth="1"/>
    <col min="2" max="2" width="6.7109375" style="46" customWidth="1"/>
    <col min="3" max="3" width="29.85546875" style="46" customWidth="1"/>
    <col min="4" max="4" width="11.42578125" style="46" customWidth="1"/>
    <col min="5" max="6" width="9.85546875" style="46" customWidth="1"/>
    <col min="7" max="7" width="7.28515625" style="46" customWidth="1"/>
    <col min="8" max="8" width="4.5703125" style="46" customWidth="1"/>
    <col min="9" max="9" width="4.7109375" style="46" customWidth="1"/>
    <col min="10" max="10" width="3" style="46" customWidth="1"/>
    <col min="11" max="11" width="4.7109375" style="46" customWidth="1"/>
    <col min="12" max="12" width="24.7109375" style="46" customWidth="1"/>
    <col min="13" max="13" width="3.85546875" style="46" customWidth="1"/>
    <col min="14" max="14" width="24.7109375" style="46" customWidth="1"/>
    <col min="15" max="15" width="9" style="46" customWidth="1"/>
    <col min="16" max="16" width="8.42578125" style="46" customWidth="1"/>
    <col min="17" max="17" width="29.7109375" style="166" customWidth="1"/>
    <col min="18" max="18" width="12.42578125" style="166" customWidth="1"/>
    <col min="19" max="19" width="11.42578125" style="166" customWidth="1"/>
    <col min="20" max="20" width="10.7109375" style="166" customWidth="1"/>
    <col min="21" max="21" width="11.42578125" hidden="1" customWidth="1"/>
    <col min="22" max="28" width="4.7109375" hidden="1" customWidth="1"/>
    <col min="29" max="16384" width="11.42578125" hidden="1"/>
  </cols>
  <sheetData>
    <row r="1" spans="1:28" ht="9.75" customHeight="1" x14ac:dyDescent="0.25">
      <c r="A1" s="160"/>
    </row>
    <row r="2" spans="1:28" ht="33.75" x14ac:dyDescent="0.5">
      <c r="A2" s="159"/>
      <c r="B2" s="236"/>
      <c r="C2" s="236"/>
      <c r="D2" s="236"/>
      <c r="E2" s="764" t="str">
        <f>Sprache!$E$30</f>
        <v>Teilnehmer und Ablaufplan</v>
      </c>
      <c r="F2" s="764"/>
      <c r="G2" s="764"/>
      <c r="H2" s="764"/>
      <c r="I2" s="764"/>
      <c r="J2" s="764"/>
      <c r="K2" s="764"/>
      <c r="L2" s="764"/>
      <c r="M2" s="764"/>
      <c r="N2" s="764"/>
      <c r="O2" s="236"/>
      <c r="P2" s="236"/>
      <c r="Q2" s="236"/>
      <c r="R2" s="236"/>
      <c r="S2" s="236"/>
    </row>
    <row r="3" spans="1:28" x14ac:dyDescent="0.25"/>
    <row r="4" spans="1:28" ht="29.25" customHeight="1" thickBot="1" x14ac:dyDescent="0.3">
      <c r="C4" s="306" t="str">
        <f>Sprache!$E$16&amp;" A"</f>
        <v>Gruppe A</v>
      </c>
      <c r="D4" s="169"/>
      <c r="E4" s="765" t="str">
        <f>Sprache!$E$32</f>
        <v>Ablaufplan</v>
      </c>
      <c r="F4" s="765"/>
      <c r="G4" s="345"/>
      <c r="H4" s="345"/>
      <c r="I4" s="345"/>
      <c r="J4" s="345"/>
      <c r="K4" s="345"/>
      <c r="L4" s="345"/>
      <c r="M4" s="345"/>
      <c r="N4" s="345"/>
      <c r="O4" s="766" t="str">
        <f>Sprache!$E$20</f>
        <v>Zusätzl. Pause (min)</v>
      </c>
      <c r="Q4" s="403" t="str">
        <f>Sprache!$E$41</f>
        <v>Spielzeiten</v>
      </c>
    </row>
    <row r="5" spans="1:28" ht="15.95" customHeight="1" thickTop="1" thickBot="1" x14ac:dyDescent="0.3">
      <c r="A5" s="66"/>
      <c r="B5" s="738"/>
      <c r="C5" s="740" t="str">
        <f>Sprache!$E$10</f>
        <v>Teilnehmer bzw. Mannschaft</v>
      </c>
      <c r="D5" s="62"/>
      <c r="E5" s="183" t="str">
        <f>Sprache!$E$33</f>
        <v>Spiel-Nr.</v>
      </c>
      <c r="F5" s="184" t="str">
        <f>Sprache!$E$39</f>
        <v>Beginn</v>
      </c>
      <c r="G5" s="184" t="str">
        <f>Sprache!$E$48</f>
        <v>Feld</v>
      </c>
      <c r="H5" s="184" t="str">
        <f>Sprache!$E$17</f>
        <v>Grp</v>
      </c>
      <c r="I5" s="760" t="str">
        <f>Sprache!$E$34</f>
        <v>Paarungen</v>
      </c>
      <c r="J5" s="760"/>
      <c r="K5" s="760"/>
      <c r="L5" s="760" t="str">
        <f>Sprache!$E$31</f>
        <v>Teilnehmer</v>
      </c>
      <c r="M5" s="760"/>
      <c r="N5" s="761"/>
      <c r="O5" s="767"/>
      <c r="Q5" s="762" t="str">
        <f>Sprache!$E$39</f>
        <v>Beginn</v>
      </c>
      <c r="R5" s="768">
        <v>0.375</v>
      </c>
      <c r="S5" s="770" t="str">
        <f>Sprache!$E$45</f>
        <v>Uhr</v>
      </c>
      <c r="T5" s="167"/>
      <c r="V5" s="452"/>
      <c r="W5" s="453">
        <v>1</v>
      </c>
      <c r="X5" s="453">
        <v>2</v>
      </c>
      <c r="Y5" s="453">
        <v>3</v>
      </c>
      <c r="Z5" s="453">
        <v>4</v>
      </c>
      <c r="AA5" s="453">
        <v>5</v>
      </c>
      <c r="AB5" s="454">
        <v>6</v>
      </c>
    </row>
    <row r="6" spans="1:28" ht="15.95" customHeight="1" x14ac:dyDescent="0.25">
      <c r="A6" s="66"/>
      <c r="B6" s="739"/>
      <c r="C6" s="741"/>
      <c r="D6" s="522">
        <v>1</v>
      </c>
      <c r="E6" s="472">
        <f>IF($D6&gt;Calc1!$B$14,"",1)</f>
        <v>1</v>
      </c>
      <c r="F6" s="185">
        <f>IF(OR($U$15,$D6&gt;Calc1!$B$14),"",$R$5)</f>
        <v>0.375</v>
      </c>
      <c r="G6" s="175" t="str">
        <f>IF(OR($U$15,$D6&gt;Calc1!$B$14),"","1")</f>
        <v>1</v>
      </c>
      <c r="H6" s="325" t="str">
        <f ca="1">IF($I6="","",IF(LEFT($I6,1)&lt;&gt;LEFT($K6,1),"??",LEFT($I6,1)))</f>
        <v>A</v>
      </c>
      <c r="I6" s="348" t="str">
        <f t="array" aca="1" ref="I6:I35" ca="1">IF(Calc1!$F$14&lt;3,"",IF(OFFSET(Pairings!$A$1,0,(Calc1!$F$14-2)*4-1,30,1)="","",OFFSET(Pairings!$A$1,0,(Calc1!$F$14-2)*4-1,30,1)))</f>
        <v>A5</v>
      </c>
      <c r="J6" s="349" t="s">
        <v>4</v>
      </c>
      <c r="K6" s="350" t="str">
        <f t="array" aca="1" ref="K6:K35" ca="1">IF(Calc1!$F$14&lt;3,"",IF(OFFSET(Pairings!$A$1,0,(Calc1!$F$14-2)*4,30,1)="","",OFFSET(Pairings!$A$1,0,(Calc1!$F$14-2)*4,30,1)))</f>
        <v>A2</v>
      </c>
      <c r="L6" s="180" t="str">
        <f ca="1">IF($I6="","",IF(VLOOKUP($I6,$B$7:$C$35,2,0)="","",VLOOKUP($I6,$B$7:$C$35,2,0)))</f>
        <v>VFB Essenheim</v>
      </c>
      <c r="M6" s="181" t="s">
        <v>4</v>
      </c>
      <c r="N6" s="182" t="str">
        <f ca="1">IF($K6="","",IF(VLOOKUP($K6,$B$7:$C$35,2,0)="","",VLOOKUP($K6,$B$7:$C$35,2,0)))</f>
        <v>FC Barcelona</v>
      </c>
      <c r="O6" s="358"/>
      <c r="P6" s="346"/>
      <c r="Q6" s="754"/>
      <c r="R6" s="769"/>
      <c r="S6" s="759"/>
      <c r="T6" s="167"/>
      <c r="V6" s="455">
        <v>1</v>
      </c>
      <c r="W6" s="508">
        <v>6</v>
      </c>
      <c r="X6" s="509">
        <v>6</v>
      </c>
      <c r="Y6" s="509">
        <v>6</v>
      </c>
      <c r="Z6" s="509">
        <v>6</v>
      </c>
      <c r="AA6" s="509">
        <v>6</v>
      </c>
      <c r="AB6" s="510">
        <v>6</v>
      </c>
    </row>
    <row r="7" spans="1:28" ht="15.95" customHeight="1" x14ac:dyDescent="0.25">
      <c r="A7" s="66"/>
      <c r="B7" s="742" t="s">
        <v>194</v>
      </c>
      <c r="C7" s="744" t="s">
        <v>250</v>
      </c>
      <c r="D7" s="522">
        <v>2</v>
      </c>
      <c r="E7" s="473">
        <f t="array" aca="1" ref="E7" ca="1">IF($D7&gt;Calc1!$B$14,"",ROW(2:2)-SUM((($L$6:$L6="")+($N$6:$N6="")&gt;0)*1))</f>
        <v>2</v>
      </c>
      <c r="F7" s="174">
        <f ca="1">IF(OR($U$15,$D7&gt;Calc1!$B$14),"",$R$5+QUOTIENT(($E7-1),$U$11)*($R$7+$R$9)/1440+SUM($O$6:$O6)/1440)</f>
        <v>0.375</v>
      </c>
      <c r="G7" s="176">
        <f ca="1">IF(OR($U$15,$D7&gt;Calc1!$B$14),"",MOD($E7-1,$U$11)+1)</f>
        <v>2</v>
      </c>
      <c r="H7" s="325" t="str">
        <f t="shared" ref="H7:H35" ca="1" si="0">IF($I7="","",IF(LEFT($I7,1)&lt;&gt;LEFT($K7,1),"??",LEFT($I7,1)))</f>
        <v>B</v>
      </c>
      <c r="I7" s="351" t="str">
        <f ca="1"/>
        <v>B5</v>
      </c>
      <c r="J7" s="352" t="s">
        <v>4</v>
      </c>
      <c r="K7" s="353" t="str">
        <f ca="1"/>
        <v>B2</v>
      </c>
      <c r="L7" s="180" t="str">
        <f t="shared" ref="L7:L35" ca="1" si="1">IF($I7="","",IF(VLOOKUP($I7,$B$7:$C$35,2,0)="","",VLOOKUP($I7,$B$7:$C$35,2,0)))</f>
        <v>FC Grönlingen</v>
      </c>
      <c r="M7" s="47" t="s">
        <v>4</v>
      </c>
      <c r="N7" s="182" t="str">
        <f t="shared" ref="N7:N35" ca="1" si="2">IF($K7="","",IF(VLOOKUP($K7,$B$7:$C$35,2,0)="","",VLOOKUP($K7,$B$7:$C$35,2,0)))</f>
        <v>Inter Mailand</v>
      </c>
      <c r="O7" s="359"/>
      <c r="P7" s="346"/>
      <c r="Q7" s="754" t="str">
        <f>Sprache!$E$42</f>
        <v>Spielzeit pro Spiel:</v>
      </c>
      <c r="R7" s="758">
        <v>30</v>
      </c>
      <c r="S7" s="759" t="s">
        <v>158</v>
      </c>
      <c r="T7" s="120"/>
      <c r="U7" t="s">
        <v>263</v>
      </c>
      <c r="V7" s="455">
        <v>2</v>
      </c>
      <c r="W7" s="511">
        <v>6</v>
      </c>
      <c r="X7" s="512">
        <v>6</v>
      </c>
      <c r="Y7" s="512">
        <v>6</v>
      </c>
      <c r="Z7" s="512">
        <v>6</v>
      </c>
      <c r="AA7" s="512">
        <v>6</v>
      </c>
      <c r="AB7" s="513">
        <v>6</v>
      </c>
    </row>
    <row r="8" spans="1:28" ht="15.95" customHeight="1" x14ac:dyDescent="0.25">
      <c r="A8" s="66"/>
      <c r="B8" s="743"/>
      <c r="C8" s="745"/>
      <c r="D8" s="522">
        <v>3</v>
      </c>
      <c r="E8" s="473">
        <f t="array" aca="1" ref="E8" ca="1">IF($D8&gt;Calc1!$B$14,"",ROW(3:3)-SUM((($L$6:$L7="")+($N$6:$N7="")&gt;0)*1))</f>
        <v>3</v>
      </c>
      <c r="F8" s="174">
        <f ca="1">IF(OR($U$15,$D8&gt;Calc1!$B$14),"",$R$5+QUOTIENT(($E8-1),$U$11)*($R$7+$R$9)/1440+SUM($O$6:$O7)/1440)</f>
        <v>0.375</v>
      </c>
      <c r="G8" s="176">
        <f ca="1">IF(OR($U$15,$D8&gt;Calc1!$B$14),"",MOD($E8-1,$U$11)+1)</f>
        <v>3</v>
      </c>
      <c r="H8" s="325" t="str">
        <f t="shared" ca="1" si="0"/>
        <v>A</v>
      </c>
      <c r="I8" s="351" t="str">
        <f ca="1"/>
        <v>A3</v>
      </c>
      <c r="J8" s="352" t="s">
        <v>4</v>
      </c>
      <c r="K8" s="353" t="str">
        <f ca="1"/>
        <v>A4</v>
      </c>
      <c r="L8" s="180" t="str">
        <f t="shared" ca="1" si="1"/>
        <v>Eintracht Frankfurt</v>
      </c>
      <c r="M8" s="47" t="s">
        <v>4</v>
      </c>
      <c r="N8" s="182" t="str">
        <f t="shared" ca="1" si="2"/>
        <v>Maibach 1822 eV</v>
      </c>
      <c r="O8" s="359"/>
      <c r="P8" s="346"/>
      <c r="Q8" s="754"/>
      <c r="R8" s="758"/>
      <c r="S8" s="759"/>
      <c r="T8" s="167"/>
      <c r="U8" t="s">
        <v>262</v>
      </c>
      <c r="V8" s="455">
        <v>3</v>
      </c>
      <c r="W8" s="511">
        <v>6</v>
      </c>
      <c r="X8" s="512">
        <v>6</v>
      </c>
      <c r="Y8" s="512">
        <v>6</v>
      </c>
      <c r="Z8" s="512">
        <v>6</v>
      </c>
      <c r="AA8" s="512">
        <v>6</v>
      </c>
      <c r="AB8" s="513">
        <v>6</v>
      </c>
    </row>
    <row r="9" spans="1:28" ht="15.95" customHeight="1" x14ac:dyDescent="0.25">
      <c r="A9" s="66"/>
      <c r="B9" s="746" t="s">
        <v>196</v>
      </c>
      <c r="C9" s="747" t="s">
        <v>251</v>
      </c>
      <c r="D9" s="522">
        <v>4</v>
      </c>
      <c r="E9" s="473">
        <f t="array" aca="1" ref="E9" ca="1">IF($D9&gt;Calc1!$B$14,"",ROW(4:4)-SUM((($L$6:$L8="")+($N$6:$N8="")&gt;0)*1))</f>
        <v>4</v>
      </c>
      <c r="F9" s="174">
        <f ca="1">IF(OR($U$15,$D9&gt;Calc1!$B$14),"",$R$5+QUOTIENT(($E9-1),$U$11)*($R$7+$R$9)/1440+SUM($O$6:$O8)/1440)</f>
        <v>0.39930555555555558</v>
      </c>
      <c r="G9" s="176">
        <f ca="1">IF(OR($U$15,$D9&gt;Calc1!$B$14),"",MOD($E9-1,$U$11)+1)</f>
        <v>1</v>
      </c>
      <c r="H9" s="325" t="str">
        <f t="shared" ca="1" si="0"/>
        <v>B</v>
      </c>
      <c r="I9" s="351" t="str">
        <f ca="1"/>
        <v>B3</v>
      </c>
      <c r="J9" s="352" t="s">
        <v>4</v>
      </c>
      <c r="K9" s="353" t="str">
        <f ca="1"/>
        <v>B4</v>
      </c>
      <c r="L9" s="180" t="str">
        <f t="shared" ca="1" si="1"/>
        <v>SSV Wildbach</v>
      </c>
      <c r="M9" s="47" t="s">
        <v>4</v>
      </c>
      <c r="N9" s="182" t="str">
        <f t="shared" ca="1" si="2"/>
        <v>Manchester City</v>
      </c>
      <c r="O9" s="359"/>
      <c r="P9" s="346"/>
      <c r="Q9" s="754" t="str">
        <f>Sprache!$E$43</f>
        <v>Wechselzeit:</v>
      </c>
      <c r="R9" s="758">
        <v>5</v>
      </c>
      <c r="S9" s="759" t="s">
        <v>158</v>
      </c>
      <c r="T9" s="167"/>
      <c r="U9" t="s">
        <v>261</v>
      </c>
      <c r="V9" s="455">
        <v>4</v>
      </c>
      <c r="W9" s="511">
        <v>6</v>
      </c>
      <c r="X9" s="512">
        <v>6</v>
      </c>
      <c r="Y9" s="512">
        <v>6</v>
      </c>
      <c r="Z9" s="512">
        <v>6</v>
      </c>
      <c r="AA9" s="512">
        <v>6</v>
      </c>
      <c r="AB9" s="513">
        <v>6</v>
      </c>
    </row>
    <row r="10" spans="1:28" ht="15.95" customHeight="1" x14ac:dyDescent="0.25">
      <c r="A10" s="66"/>
      <c r="B10" s="743"/>
      <c r="C10" s="745"/>
      <c r="D10" s="522">
        <v>5</v>
      </c>
      <c r="E10" s="473">
        <f t="array" aca="1" ref="E10" ca="1">IF($D10&gt;Calc1!$B$14,"",ROW(5:5)-SUM((($L$6:$L9="")+($N$6:$N9="")&gt;0)*1))</f>
        <v>5</v>
      </c>
      <c r="F10" s="174">
        <f ca="1">IF(OR($U$15,$D10&gt;Calc1!$B$14),"",$R$5+QUOTIENT(($E10-1),$U$11)*($R$7+$R$9)/1440+SUM($O$6:$O9)/1440)</f>
        <v>0.39930555555555558</v>
      </c>
      <c r="G10" s="176">
        <f ca="1">IF(OR($U$15,$D10&gt;Calc1!$B$14),"",MOD($E10-1,$U$11)+1)</f>
        <v>2</v>
      </c>
      <c r="H10" s="325" t="str">
        <f t="shared" ca="1" si="0"/>
        <v>A</v>
      </c>
      <c r="I10" s="351" t="str">
        <f ca="1"/>
        <v>A5</v>
      </c>
      <c r="J10" s="352" t="s">
        <v>4</v>
      </c>
      <c r="K10" s="353" t="str">
        <f ca="1"/>
        <v>A1</v>
      </c>
      <c r="L10" s="180" t="str">
        <f t="shared" ca="1" si="1"/>
        <v>VFB Essenheim</v>
      </c>
      <c r="M10" s="47" t="s">
        <v>4</v>
      </c>
      <c r="N10" s="182" t="str">
        <f t="shared" ca="1" si="2"/>
        <v>1. FC Riedwald</v>
      </c>
      <c r="O10" s="359"/>
      <c r="P10" s="346"/>
      <c r="Q10" s="754"/>
      <c r="R10" s="758"/>
      <c r="S10" s="759"/>
      <c r="T10" s="167"/>
      <c r="U10" s="457">
        <f>IF(OR(Calc1!$F$13&lt;1,Calc2!$F$13&lt;1),6,INDEX($W$6:$AB$11,Calc1!$F$13,Calc2!$F$13))</f>
        <v>6</v>
      </c>
      <c r="V10" s="455">
        <v>5</v>
      </c>
      <c r="W10" s="511">
        <v>6</v>
      </c>
      <c r="X10" s="512">
        <v>6</v>
      </c>
      <c r="Y10" s="512">
        <v>6</v>
      </c>
      <c r="Z10" s="512">
        <v>6</v>
      </c>
      <c r="AA10" s="512">
        <v>6</v>
      </c>
      <c r="AB10" s="513">
        <v>6</v>
      </c>
    </row>
    <row r="11" spans="1:28" ht="15.95" customHeight="1" thickBot="1" x14ac:dyDescent="0.3">
      <c r="A11" s="66"/>
      <c r="B11" s="746" t="s">
        <v>192</v>
      </c>
      <c r="C11" s="747" t="s">
        <v>252</v>
      </c>
      <c r="D11" s="522">
        <v>6</v>
      </c>
      <c r="E11" s="473">
        <f t="array" aca="1" ref="E11" ca="1">IF($D11&gt;Calc1!$B$14,"",ROW(6:6)-SUM((($L$6:$L10="")+($N$6:$N10="")&gt;0)*1))</f>
        <v>6</v>
      </c>
      <c r="F11" s="174">
        <f ca="1">IF(OR($U$15,$D11&gt;Calc1!$B$14),"",$R$5+QUOTIENT(($E11-1),$U$11)*($R$7+$R$9)/1440+SUM($O$6:$O10)/1440)</f>
        <v>0.39930555555555558</v>
      </c>
      <c r="G11" s="176">
        <f ca="1">IF(OR($U$15,$D11&gt;Calc1!$B$14),"",MOD($E11-1,$U$11)+1)</f>
        <v>3</v>
      </c>
      <c r="H11" s="325" t="str">
        <f t="shared" ca="1" si="0"/>
        <v>B</v>
      </c>
      <c r="I11" s="351" t="str">
        <f ca="1"/>
        <v>B5</v>
      </c>
      <c r="J11" s="352" t="s">
        <v>4</v>
      </c>
      <c r="K11" s="353" t="str">
        <f ca="1"/>
        <v>B1</v>
      </c>
      <c r="L11" s="180" t="str">
        <f t="shared" ca="1" si="1"/>
        <v>FC Grönlingen</v>
      </c>
      <c r="M11" s="47" t="s">
        <v>4</v>
      </c>
      <c r="N11" s="182" t="str">
        <f t="shared" ca="1" si="2"/>
        <v>Mainz 05</v>
      </c>
      <c r="O11" s="359"/>
      <c r="P11" s="346"/>
      <c r="Q11" s="754" t="str">
        <f>Sprache!$E$44</f>
        <v>Anzahl der Spielfelder:</v>
      </c>
      <c r="R11" s="758">
        <v>3</v>
      </c>
      <c r="S11" s="775" t="str">
        <f>"(max. "&amp;$U$10&amp;")"</f>
        <v>(max. 6)</v>
      </c>
      <c r="U11" s="457">
        <f>MIN($R$11,$U$10)</f>
        <v>3</v>
      </c>
      <c r="V11" s="456">
        <v>6</v>
      </c>
      <c r="W11" s="514">
        <v>6</v>
      </c>
      <c r="X11" s="515">
        <v>6</v>
      </c>
      <c r="Y11" s="515">
        <v>6</v>
      </c>
      <c r="Z11" s="515">
        <v>6</v>
      </c>
      <c r="AA11" s="515">
        <v>6</v>
      </c>
      <c r="AB11" s="516">
        <v>6</v>
      </c>
    </row>
    <row r="12" spans="1:28" ht="15.95" customHeight="1" thickTop="1" thickBot="1" x14ac:dyDescent="0.3">
      <c r="A12" s="66"/>
      <c r="B12" s="743"/>
      <c r="C12" s="745"/>
      <c r="D12" s="522">
        <v>7</v>
      </c>
      <c r="E12" s="473">
        <f t="array" aca="1" ref="E12" ca="1">IF($D12&gt;Calc1!$B$14,"",ROW(7:7)-SUM((($L$6:$L11="")+($N$6:$N11="")&gt;0)*1))</f>
        <v>7</v>
      </c>
      <c r="F12" s="174">
        <f ca="1">IF(OR($U$15,$D12&gt;Calc1!$B$14),"",$R$5+QUOTIENT(($E12-1),$U$11)*($R$7+$R$9)/1440+SUM($O$6:$O11)/1440)</f>
        <v>0.4236111111111111</v>
      </c>
      <c r="G12" s="176">
        <f ca="1">IF(OR($U$15,$D12&gt;Calc1!$B$14),"",MOD($E12-1,$U$11)+1)</f>
        <v>1</v>
      </c>
      <c r="H12" s="325" t="str">
        <f t="shared" ca="1" si="0"/>
        <v>A</v>
      </c>
      <c r="I12" s="351" t="str">
        <f ca="1"/>
        <v>A2</v>
      </c>
      <c r="J12" s="352" t="s">
        <v>4</v>
      </c>
      <c r="K12" s="353" t="str">
        <f ca="1"/>
        <v>A3</v>
      </c>
      <c r="L12" s="180" t="str">
        <f t="shared" ca="1" si="1"/>
        <v>FC Barcelona</v>
      </c>
      <c r="M12" s="47" t="s">
        <v>4</v>
      </c>
      <c r="N12" s="182" t="str">
        <f t="shared" ca="1" si="2"/>
        <v>Eintracht Frankfurt</v>
      </c>
      <c r="O12" s="359"/>
      <c r="P12" s="346"/>
      <c r="Q12" s="757"/>
      <c r="R12" s="774"/>
      <c r="S12" s="776"/>
      <c r="T12" s="120"/>
      <c r="U12" s="471" t="s">
        <v>278</v>
      </c>
    </row>
    <row r="13" spans="1:28" ht="15.95" customHeight="1" x14ac:dyDescent="0.25">
      <c r="A13" s="66"/>
      <c r="B13" s="746" t="s">
        <v>198</v>
      </c>
      <c r="C13" s="747" t="s">
        <v>253</v>
      </c>
      <c r="D13" s="522">
        <v>8</v>
      </c>
      <c r="E13" s="473">
        <f t="array" aca="1" ref="E13" ca="1">IF($D13&gt;Calc1!$B$14,"",ROW(8:8)-SUM((($L$6:$L12="")+($N$6:$N12="")&gt;0)*1))</f>
        <v>8</v>
      </c>
      <c r="F13" s="174">
        <f ca="1">IF(OR($U$15,$D13&gt;Calc1!$B$14),"",$R$5+QUOTIENT(($E13-1),$U$11)*($R$7+$R$9)/1440+SUM($O$6:$O12)/1440)</f>
        <v>0.4236111111111111</v>
      </c>
      <c r="G13" s="176">
        <f ca="1">IF(OR($U$15,$D13&gt;Calc1!$B$14),"",MOD($E13-1,$U$11)+1)</f>
        <v>2</v>
      </c>
      <c r="H13" s="325" t="str">
        <f t="shared" ca="1" si="0"/>
        <v>B</v>
      </c>
      <c r="I13" s="351" t="str">
        <f ca="1"/>
        <v>B2</v>
      </c>
      <c r="J13" s="352" t="s">
        <v>4</v>
      </c>
      <c r="K13" s="353" t="str">
        <f ca="1"/>
        <v>B3</v>
      </c>
      <c r="L13" s="180" t="str">
        <f t="shared" ca="1" si="1"/>
        <v>Inter Mailand</v>
      </c>
      <c r="M13" s="47" t="s">
        <v>4</v>
      </c>
      <c r="N13" s="182" t="str">
        <f t="shared" ca="1" si="2"/>
        <v>SSV Wildbach</v>
      </c>
      <c r="O13" s="359"/>
      <c r="P13" s="346"/>
      <c r="Q13" s="755" t="str">
        <f>Sprache!$E$40</f>
        <v>Ende der Vorrunde:</v>
      </c>
      <c r="R13" s="777">
        <f t="array" aca="1" ref="R13" ca="1">IF($U$15,"",$R$5+(ROUNDUP((Calc1!$B$14-SUM(((OFFSET($L$6,,,Calc1!$B$14,1)="")+(OFFSET($N$6,,,Calc1!$B$14,1)="")&gt;0)*1))/$U11,0)*($R$7+$R$9)-$R$9)/1440+SUM(OFFSET($O$6,,,Calc1!$B$14-1,1))/1440)</f>
        <v>0.54166666666666663</v>
      </c>
      <c r="S13" s="771"/>
      <c r="T13" s="167"/>
      <c r="U13" s="458" t="s">
        <v>264</v>
      </c>
    </row>
    <row r="14" spans="1:28" ht="15.95" customHeight="1" thickBot="1" x14ac:dyDescent="0.3">
      <c r="A14" s="66"/>
      <c r="B14" s="743"/>
      <c r="C14" s="745"/>
      <c r="D14" s="522">
        <v>9</v>
      </c>
      <c r="E14" s="473">
        <f t="array" aca="1" ref="E14" ca="1">IF($D14&gt;Calc1!$B$14,"",ROW(9:9)-SUM((($L$6:$L13="")+($N$6:$N13="")&gt;0)*1))</f>
        <v>9</v>
      </c>
      <c r="F14" s="174">
        <f ca="1">IF(OR($U$15,$D14&gt;Calc1!$B$14),"",$R$5+QUOTIENT(($E14-1),$U$11)*($R$7+$R$9)/1440+SUM($O$6:$O13)/1440)</f>
        <v>0.4236111111111111</v>
      </c>
      <c r="G14" s="176">
        <f ca="1">IF(OR($U$15,$D14&gt;Calc1!$B$14),"",MOD($E14-1,$U$11)+1)</f>
        <v>3</v>
      </c>
      <c r="H14" s="325" t="str">
        <f t="shared" ca="1" si="0"/>
        <v>A</v>
      </c>
      <c r="I14" s="351" t="str">
        <f ca="1"/>
        <v>A1</v>
      </c>
      <c r="J14" s="352" t="s">
        <v>4</v>
      </c>
      <c r="K14" s="353" t="str">
        <f ca="1"/>
        <v>A4</v>
      </c>
      <c r="L14" s="180" t="str">
        <f t="shared" ca="1" si="1"/>
        <v>1. FC Riedwald</v>
      </c>
      <c r="M14" s="47" t="s">
        <v>4</v>
      </c>
      <c r="N14" s="182" t="str">
        <f t="shared" ca="1" si="2"/>
        <v>Maibach 1822 eV</v>
      </c>
      <c r="O14" s="359"/>
      <c r="P14" s="346"/>
      <c r="Q14" s="756"/>
      <c r="R14" s="778"/>
      <c r="S14" s="772"/>
      <c r="T14" s="167"/>
      <c r="U14" s="458" t="s">
        <v>265</v>
      </c>
    </row>
    <row r="15" spans="1:28" ht="15.95" customHeight="1" x14ac:dyDescent="0.25">
      <c r="A15" s="66"/>
      <c r="B15" s="746" t="s">
        <v>200</v>
      </c>
      <c r="C15" s="747" t="s">
        <v>325</v>
      </c>
      <c r="D15" s="522">
        <v>10</v>
      </c>
      <c r="E15" s="473">
        <f t="array" aca="1" ref="E15" ca="1">IF($D15&gt;Calc1!$B$14,"",ROW(10:10)-SUM((($L$6:$L14="")+($N$6:$N14="")&gt;0)*1))</f>
        <v>10</v>
      </c>
      <c r="F15" s="174">
        <f ca="1">IF(OR($U$15,$D15&gt;Calc1!$B$14),"",$R$5+QUOTIENT(($E15-1),$U$11)*($R$7+$R$9)/1440+SUM($O$6:$O14)/1440)</f>
        <v>0.44791666666666669</v>
      </c>
      <c r="G15" s="176">
        <f ca="1">IF(OR($U$15,$D15&gt;Calc1!$B$14),"",MOD($E15-1,$U$11)+1)</f>
        <v>1</v>
      </c>
      <c r="H15" s="325" t="str">
        <f t="shared" ca="1" si="0"/>
        <v>B</v>
      </c>
      <c r="I15" s="351" t="str">
        <f ca="1"/>
        <v>B1</v>
      </c>
      <c r="J15" s="352" t="s">
        <v>4</v>
      </c>
      <c r="K15" s="353" t="str">
        <f ca="1"/>
        <v>B4</v>
      </c>
      <c r="L15" s="180" t="str">
        <f t="shared" ca="1" si="1"/>
        <v>Mainz 05</v>
      </c>
      <c r="M15" s="47" t="s">
        <v>4</v>
      </c>
      <c r="N15" s="182" t="str">
        <f t="shared" ca="1" si="2"/>
        <v>Manchester City</v>
      </c>
      <c r="O15" s="359"/>
      <c r="P15" s="346"/>
      <c r="Q15" s="526" t="str">
        <f>Sprache!$E$90</f>
        <v>Turnierende (Endrunde 1):</v>
      </c>
      <c r="R15" s="529">
        <f ca="1">'Endrunde 1'!$I$19</f>
        <v>0.59027777777777779</v>
      </c>
      <c r="S15" s="462"/>
      <c r="T15" s="167"/>
      <c r="U15" s="459" t="b">
        <f>OR($R$5="",$R$7="",$R$9="",$R$11="",Calc1!$F$14&lt;3)</f>
        <v>0</v>
      </c>
    </row>
    <row r="16" spans="1:28" ht="15.95" customHeight="1" x14ac:dyDescent="0.25">
      <c r="A16" s="66"/>
      <c r="B16" s="743"/>
      <c r="C16" s="745"/>
      <c r="D16" s="522">
        <v>11</v>
      </c>
      <c r="E16" s="473">
        <f t="array" aca="1" ref="E16" ca="1">IF($D16&gt;Calc1!$B$14,"",ROW(11:11)-SUM((($L$6:$L15="")+($N$6:$N15="")&gt;0)*1))</f>
        <v>11</v>
      </c>
      <c r="F16" s="174">
        <f ca="1">IF(OR($U$15,$D16&gt;Calc1!$B$14),"",$R$5+QUOTIENT(($E16-1),$U$11)*($R$7+$R$9)/1440+SUM($O$6:$O15)/1440)</f>
        <v>0.44791666666666669</v>
      </c>
      <c r="G16" s="176">
        <f ca="1">IF(OR($U$15,$D16&gt;Calc1!$B$14),"",MOD($E16-1,$U$11)+1)</f>
        <v>2</v>
      </c>
      <c r="H16" s="325" t="str">
        <f t="shared" ca="1" si="0"/>
        <v>A</v>
      </c>
      <c r="I16" s="351" t="str">
        <f ca="1"/>
        <v>A3</v>
      </c>
      <c r="J16" s="352" t="s">
        <v>4</v>
      </c>
      <c r="K16" s="353" t="str">
        <f ca="1"/>
        <v>A5</v>
      </c>
      <c r="L16" s="180" t="str">
        <f t="shared" ca="1" si="1"/>
        <v>Eintracht Frankfurt</v>
      </c>
      <c r="M16" s="47" t="s">
        <v>4</v>
      </c>
      <c r="N16" s="182" t="str">
        <f t="shared" ca="1" si="2"/>
        <v>VFB Essenheim</v>
      </c>
      <c r="O16" s="359"/>
      <c r="P16" s="346"/>
      <c r="Q16" s="527" t="str">
        <f>Sprache!$E$91</f>
        <v>Turnierende (Endrunde 2):</v>
      </c>
      <c r="R16" s="530">
        <f ca="1">'Endrunde 2'!$I$23</f>
        <v>0.64930555555555558</v>
      </c>
      <c r="S16" s="525"/>
      <c r="T16" s="167"/>
    </row>
    <row r="17" spans="1:28" ht="15.95" customHeight="1" x14ac:dyDescent="0.25">
      <c r="A17" s="66"/>
      <c r="B17" s="746" t="s">
        <v>202</v>
      </c>
      <c r="C17" s="747"/>
      <c r="D17" s="522">
        <v>12</v>
      </c>
      <c r="E17" s="473">
        <f t="array" aca="1" ref="E17" ca="1">IF($D17&gt;Calc1!$B$14,"",ROW(12:12)-SUM((($L$6:$L16="")+($N$6:$N16="")&gt;0)*1))</f>
        <v>12</v>
      </c>
      <c r="F17" s="174">
        <f ca="1">IF(OR($U$15,$D17&gt;Calc1!$B$14),"",$R$5+QUOTIENT(($E17-1),$U$11)*($R$7+$R$9)/1440+SUM($O$6:$O16)/1440)</f>
        <v>0.44791666666666669</v>
      </c>
      <c r="G17" s="176">
        <f ca="1">IF(OR($U$15,$D17&gt;Calc1!$B$14),"",MOD($E17-1,$U$11)+1)</f>
        <v>3</v>
      </c>
      <c r="H17" s="325" t="str">
        <f t="shared" ca="1" si="0"/>
        <v>B</v>
      </c>
      <c r="I17" s="351" t="str">
        <f ca="1"/>
        <v>B3</v>
      </c>
      <c r="J17" s="352" t="s">
        <v>4</v>
      </c>
      <c r="K17" s="353" t="str">
        <f ca="1"/>
        <v>B5</v>
      </c>
      <c r="L17" s="180" t="str">
        <f t="shared" ca="1" si="1"/>
        <v>SSV Wildbach</v>
      </c>
      <c r="M17" s="47" t="s">
        <v>4</v>
      </c>
      <c r="N17" s="182" t="str">
        <f t="shared" ca="1" si="2"/>
        <v>FC Grönlingen</v>
      </c>
      <c r="O17" s="359"/>
      <c r="P17" s="346"/>
      <c r="Q17" s="527" t="str">
        <f>Sprache!$E$92</f>
        <v>Turnierende (Endrunde 3):</v>
      </c>
      <c r="R17" s="530">
        <f ca="1">'Endrunde 3'!$I$18</f>
        <v>0.61458333333333337</v>
      </c>
      <c r="S17" s="525"/>
      <c r="T17" s="167"/>
      <c r="V17" s="165">
        <f>Calc1!$F$13</f>
        <v>5</v>
      </c>
      <c r="W17" s="165">
        <f>Calc2!$F$13</f>
        <v>5</v>
      </c>
    </row>
    <row r="18" spans="1:28" ht="15.95" customHeight="1" thickBot="1" x14ac:dyDescent="0.3">
      <c r="A18" s="66"/>
      <c r="B18" s="748"/>
      <c r="C18" s="749"/>
      <c r="D18" s="522">
        <v>13</v>
      </c>
      <c r="E18" s="473">
        <f t="array" aca="1" ref="E18" ca="1">IF($D18&gt;Calc1!$B$14,"",ROW(13:13)-SUM((($L$6:$L17="")+($N$6:$N17="")&gt;0)*1))</f>
        <v>13</v>
      </c>
      <c r="F18" s="174">
        <f ca="1">IF(OR($U$15,$D18&gt;Calc1!$B$14),"",$R$5+QUOTIENT(($E18-1),$U$11)*($R$7+$R$9)/1440+SUM($O$6:$O17)/1440)</f>
        <v>0.47222222222222221</v>
      </c>
      <c r="G18" s="176">
        <f ca="1">IF(OR($U$15,$D18&gt;Calc1!$B$14),"",MOD($E18-1,$U$11)+1)</f>
        <v>1</v>
      </c>
      <c r="H18" s="325" t="str">
        <f t="shared" ca="1" si="0"/>
        <v>A</v>
      </c>
      <c r="I18" s="351" t="str">
        <f ca="1"/>
        <v>A2</v>
      </c>
      <c r="J18" s="352" t="s">
        <v>4</v>
      </c>
      <c r="K18" s="353" t="str">
        <f ca="1"/>
        <v>A4</v>
      </c>
      <c r="L18" s="180" t="str">
        <f t="shared" ca="1" si="1"/>
        <v>FC Barcelona</v>
      </c>
      <c r="M18" s="47" t="s">
        <v>4</v>
      </c>
      <c r="N18" s="182" t="str">
        <f t="shared" ca="1" si="2"/>
        <v>Maibach 1822 eV</v>
      </c>
      <c r="O18" s="359"/>
      <c r="P18" s="346"/>
      <c r="Q18" s="528" t="str">
        <f>Sprache!$E$93</f>
        <v>Turnierende (Endrunde 4):</v>
      </c>
      <c r="R18" s="531">
        <f ca="1">'Endrunde 4'!$K$31</f>
        <v>0.66319444444444442</v>
      </c>
      <c r="S18" s="463"/>
      <c r="T18" s="167"/>
    </row>
    <row r="19" spans="1:28" ht="15.95" customHeight="1" thickTop="1" thickBot="1" x14ac:dyDescent="0.3">
      <c r="A19" s="66"/>
      <c r="B19" s="290"/>
      <c r="C19" s="289"/>
      <c r="D19" s="522">
        <v>14</v>
      </c>
      <c r="E19" s="473">
        <f t="array" aca="1" ref="E19" ca="1">IF($D19&gt;Calc1!$B$14,"",ROW(14:14)-SUM((($L$6:$L18="")+($N$6:$N18="")&gt;0)*1))</f>
        <v>14</v>
      </c>
      <c r="F19" s="174">
        <f ca="1">IF(OR($U$15,$D19&gt;Calc1!$B$14),"",$R$5+QUOTIENT(($E19-1),$U$11)*($R$7+$R$9)/1440+SUM($O$6:$O18)/1440)</f>
        <v>0.47222222222222221</v>
      </c>
      <c r="G19" s="176">
        <f ca="1">IF(OR($U$15,$D19&gt;Calc1!$B$14),"",MOD($E19-1,$U$11)+1)</f>
        <v>2</v>
      </c>
      <c r="H19" s="325" t="str">
        <f t="shared" ca="1" si="0"/>
        <v>B</v>
      </c>
      <c r="I19" s="351" t="str">
        <f ca="1"/>
        <v>B2</v>
      </c>
      <c r="J19" s="352" t="s">
        <v>4</v>
      </c>
      <c r="K19" s="353" t="str">
        <f ca="1"/>
        <v>B4</v>
      </c>
      <c r="L19" s="180" t="str">
        <f t="shared" ca="1" si="1"/>
        <v>Inter Mailand</v>
      </c>
      <c r="M19" s="47" t="s">
        <v>4</v>
      </c>
      <c r="N19" s="182" t="str">
        <f t="shared" ca="1" si="2"/>
        <v>Manchester City</v>
      </c>
      <c r="O19" s="359"/>
      <c r="P19" s="346"/>
      <c r="T19" s="167"/>
      <c r="V19" s="452"/>
      <c r="W19" s="453">
        <v>1</v>
      </c>
      <c r="X19" s="453">
        <v>2</v>
      </c>
      <c r="Y19" s="453">
        <v>3</v>
      </c>
      <c r="Z19" s="453">
        <v>4</v>
      </c>
      <c r="AA19" s="453">
        <v>5</v>
      </c>
      <c r="AB19" s="454">
        <v>6</v>
      </c>
    </row>
    <row r="20" spans="1:28" ht="15.95" customHeight="1" x14ac:dyDescent="0.25">
      <c r="A20" s="66"/>
      <c r="B20" s="750"/>
      <c r="C20" s="752" t="str">
        <f>Sprache!$E$16&amp;" B"</f>
        <v>Gruppe B</v>
      </c>
      <c r="D20" s="522">
        <v>15</v>
      </c>
      <c r="E20" s="473">
        <f t="array" aca="1" ref="E20" ca="1">IF($D20&gt;Calc1!$B$14,"",ROW(15:15)-SUM((($L$6:$L19="")+($N$6:$N19="")&gt;0)*1))</f>
        <v>15</v>
      </c>
      <c r="F20" s="174">
        <f ca="1">IF(OR($U$15,$D20&gt;Calc1!$B$14),"",$R$5+QUOTIENT(($E20-1),$U$11)*($R$7+$R$9)/1440+SUM($O$6:$O19)/1440)</f>
        <v>0.47222222222222221</v>
      </c>
      <c r="G20" s="176">
        <f ca="1">IF(OR($U$15,$D20&gt;Calc1!$B$14),"",MOD($E20-1,$U$11)+1)</f>
        <v>3</v>
      </c>
      <c r="H20" s="325" t="str">
        <f t="shared" ca="1" si="0"/>
        <v>A</v>
      </c>
      <c r="I20" s="351" t="str">
        <f ca="1"/>
        <v>A3</v>
      </c>
      <c r="J20" s="352" t="s">
        <v>4</v>
      </c>
      <c r="K20" s="353" t="str">
        <f ca="1"/>
        <v>A1</v>
      </c>
      <c r="L20" s="180" t="str">
        <f t="shared" ca="1" si="1"/>
        <v>Eintracht Frankfurt</v>
      </c>
      <c r="M20" s="47" t="s">
        <v>4</v>
      </c>
      <c r="N20" s="182" t="str">
        <f t="shared" ca="1" si="2"/>
        <v>1. FC Riedwald</v>
      </c>
      <c r="O20" s="359"/>
      <c r="P20" s="346"/>
      <c r="T20" s="167"/>
      <c r="V20" s="455">
        <v>1</v>
      </c>
      <c r="W20" s="508">
        <v>1</v>
      </c>
      <c r="X20" s="509">
        <v>1</v>
      </c>
      <c r="Y20" s="509">
        <v>1</v>
      </c>
      <c r="Z20" s="509">
        <v>2</v>
      </c>
      <c r="AA20" s="509">
        <v>2</v>
      </c>
      <c r="AB20" s="510">
        <v>3</v>
      </c>
    </row>
    <row r="21" spans="1:28" ht="15.95" customHeight="1" thickBot="1" x14ac:dyDescent="0.3">
      <c r="A21" s="66"/>
      <c r="B21" s="751"/>
      <c r="C21" s="753"/>
      <c r="D21" s="522">
        <v>16</v>
      </c>
      <c r="E21" s="473">
        <f t="array" aca="1" ref="E21" ca="1">IF($D21&gt;Calc1!$B$14,"",ROW(16:16)-SUM((($L$6:$L20="")+($N$6:$N20="")&gt;0)*1))</f>
        <v>16</v>
      </c>
      <c r="F21" s="174">
        <f ca="1">IF(OR($U$15,$D21&gt;Calc1!$B$14),"",$R$5+QUOTIENT(($E21-1),$U$11)*($R$7+$R$9)/1440+SUM($O$6:$O20)/1440)</f>
        <v>0.49652777777777779</v>
      </c>
      <c r="G21" s="176">
        <f ca="1">IF(OR($U$15,$D21&gt;Calc1!$B$14),"",MOD($E21-1,$U$11)+1)</f>
        <v>1</v>
      </c>
      <c r="H21" s="325" t="str">
        <f t="shared" ca="1" si="0"/>
        <v>B</v>
      </c>
      <c r="I21" s="351" t="str">
        <f ca="1"/>
        <v>B3</v>
      </c>
      <c r="J21" s="352" t="s">
        <v>4</v>
      </c>
      <c r="K21" s="353" t="str">
        <f ca="1"/>
        <v>B1</v>
      </c>
      <c r="L21" s="180" t="str">
        <f t="shared" ca="1" si="1"/>
        <v>SSV Wildbach</v>
      </c>
      <c r="M21" s="47" t="s">
        <v>4</v>
      </c>
      <c r="N21" s="182" t="str">
        <f t="shared" ca="1" si="2"/>
        <v>Mainz 05</v>
      </c>
      <c r="O21" s="359"/>
      <c r="P21" s="346"/>
      <c r="T21" s="167"/>
      <c r="V21" s="455">
        <v>2</v>
      </c>
      <c r="W21" s="511">
        <v>1</v>
      </c>
      <c r="X21" s="512">
        <v>2</v>
      </c>
      <c r="Y21" s="512">
        <v>1</v>
      </c>
      <c r="Z21" s="512">
        <v>2</v>
      </c>
      <c r="AA21" s="512">
        <v>2</v>
      </c>
      <c r="AB21" s="513">
        <v>3</v>
      </c>
    </row>
    <row r="22" spans="1:28" ht="15.95" customHeight="1" thickTop="1" x14ac:dyDescent="0.25">
      <c r="A22" s="66"/>
      <c r="B22" s="738"/>
      <c r="C22" s="740" t="str">
        <f>Sprache!$E$10</f>
        <v>Teilnehmer bzw. Mannschaft</v>
      </c>
      <c r="D22" s="522">
        <v>17</v>
      </c>
      <c r="E22" s="473">
        <f t="array" aca="1" ref="E22" ca="1">IF($D22&gt;Calc1!$B$14,"",ROW(17:17)-SUM((($L$6:$L21="")+($N$6:$N21="")&gt;0)*1))</f>
        <v>17</v>
      </c>
      <c r="F22" s="174">
        <f ca="1">IF(OR($U$15,$D22&gt;Calc1!$B$14),"",$R$5+QUOTIENT(($E22-1),$U$11)*($R$7+$R$9)/1440+SUM($O$6:$O21)/1440)</f>
        <v>0.49652777777777779</v>
      </c>
      <c r="G22" s="176">
        <f ca="1">IF(OR($U$15,$D22&gt;Calc1!$B$14),"",MOD($E22-1,$U$11)+1)</f>
        <v>2</v>
      </c>
      <c r="H22" s="325" t="str">
        <f t="shared" ca="1" si="0"/>
        <v>A</v>
      </c>
      <c r="I22" s="351" t="str">
        <f ca="1"/>
        <v>A4</v>
      </c>
      <c r="J22" s="352" t="s">
        <v>4</v>
      </c>
      <c r="K22" s="353" t="str">
        <f ca="1"/>
        <v>A5</v>
      </c>
      <c r="L22" s="180" t="str">
        <f t="shared" ca="1" si="1"/>
        <v>Maibach 1822 eV</v>
      </c>
      <c r="M22" s="47" t="s">
        <v>4</v>
      </c>
      <c r="N22" s="182" t="str">
        <f t="shared" ca="1" si="2"/>
        <v>VFB Essenheim</v>
      </c>
      <c r="O22" s="359"/>
      <c r="P22" s="346"/>
      <c r="Q22" s="773" t="str">
        <f>Sprache!$E$88&amp;$U$10&amp;Sprache!$E$89</f>
        <v>Wegen zeitlicher Konflikte kann nur auf maximal 6 Spielplätzen gleichzeitig gespielt werden.</v>
      </c>
      <c r="R22" s="773"/>
      <c r="S22" s="773"/>
      <c r="T22" s="167"/>
      <c r="V22" s="455">
        <v>3</v>
      </c>
      <c r="W22" s="511">
        <v>1</v>
      </c>
      <c r="X22" s="512">
        <v>1</v>
      </c>
      <c r="Y22" s="512">
        <v>2</v>
      </c>
      <c r="Z22" s="512">
        <v>3</v>
      </c>
      <c r="AA22" s="512">
        <v>2</v>
      </c>
      <c r="AB22" s="513">
        <v>4</v>
      </c>
    </row>
    <row r="23" spans="1:28" ht="15.95" customHeight="1" x14ac:dyDescent="0.25">
      <c r="A23" s="66"/>
      <c r="B23" s="739"/>
      <c r="C23" s="741"/>
      <c r="D23" s="522">
        <v>18</v>
      </c>
      <c r="E23" s="473">
        <f t="array" aca="1" ref="E23" ca="1">IF($D23&gt;Calc1!$B$14,"",ROW(18:18)-SUM((($L$6:$L22="")+($N$6:$N22="")&gt;0)*1))</f>
        <v>18</v>
      </c>
      <c r="F23" s="174">
        <f ca="1">IF(OR($U$15,$D23&gt;Calc1!$B$14),"",$R$5+QUOTIENT(($E23-1),$U$11)*($R$7+$R$9)/1440+SUM($O$6:$O22)/1440)</f>
        <v>0.49652777777777779</v>
      </c>
      <c r="G23" s="176">
        <f ca="1">IF(OR($U$15,$D23&gt;Calc1!$B$14),"",MOD($E23-1,$U$11)+1)</f>
        <v>3</v>
      </c>
      <c r="H23" s="325" t="str">
        <f t="shared" ca="1" si="0"/>
        <v>B</v>
      </c>
      <c r="I23" s="351" t="str">
        <f ca="1"/>
        <v>B4</v>
      </c>
      <c r="J23" s="352" t="s">
        <v>4</v>
      </c>
      <c r="K23" s="353" t="str">
        <f ca="1"/>
        <v>B5</v>
      </c>
      <c r="L23" s="180" t="str">
        <f t="shared" ca="1" si="1"/>
        <v>Manchester City</v>
      </c>
      <c r="M23" s="47" t="s">
        <v>4</v>
      </c>
      <c r="N23" s="182" t="str">
        <f t="shared" ca="1" si="2"/>
        <v>FC Grönlingen</v>
      </c>
      <c r="O23" s="359"/>
      <c r="P23" s="346"/>
      <c r="Q23" s="773"/>
      <c r="R23" s="773"/>
      <c r="S23" s="773"/>
      <c r="T23" s="167"/>
      <c r="V23" s="455">
        <v>4</v>
      </c>
      <c r="W23" s="511">
        <v>2</v>
      </c>
      <c r="X23" s="512">
        <v>2</v>
      </c>
      <c r="Y23" s="512">
        <v>3</v>
      </c>
      <c r="Z23" s="512">
        <v>4</v>
      </c>
      <c r="AA23" s="512">
        <v>3</v>
      </c>
      <c r="AB23" s="513">
        <v>3</v>
      </c>
    </row>
    <row r="24" spans="1:28" ht="15.95" customHeight="1" x14ac:dyDescent="0.25">
      <c r="A24" s="66"/>
      <c r="B24" s="742" t="s">
        <v>195</v>
      </c>
      <c r="C24" s="744" t="s">
        <v>254</v>
      </c>
      <c r="D24" s="522">
        <v>19</v>
      </c>
      <c r="E24" s="473">
        <f t="array" aca="1" ref="E24" ca="1">IF($D24&gt;Calc1!$B$14,"",ROW(19:19)-SUM((($L$6:$L23="")+($N$6:$N23="")&gt;0)*1))</f>
        <v>19</v>
      </c>
      <c r="F24" s="174">
        <f ca="1">IF(OR($U$15,$D24&gt;Calc1!$B$14),"",$R$5+QUOTIENT(($E24-1),$U$11)*($R$7+$R$9)/1440+SUM($O$6:$O23)/1440)</f>
        <v>0.52083333333333337</v>
      </c>
      <c r="G24" s="176">
        <f ca="1">IF(OR($U$15,$D24&gt;Calc1!$B$14),"",MOD($E24-1,$U$11)+1)</f>
        <v>1</v>
      </c>
      <c r="H24" s="325" t="str">
        <f t="shared" ca="1" si="0"/>
        <v>A</v>
      </c>
      <c r="I24" s="351" t="str">
        <f ca="1"/>
        <v>A1</v>
      </c>
      <c r="J24" s="352" t="s">
        <v>4</v>
      </c>
      <c r="K24" s="353" t="str">
        <f ca="1"/>
        <v>A2</v>
      </c>
      <c r="L24" s="180" t="str">
        <f t="shared" ca="1" si="1"/>
        <v>1. FC Riedwald</v>
      </c>
      <c r="M24" s="47" t="s">
        <v>4</v>
      </c>
      <c r="N24" s="182" t="str">
        <f t="shared" ca="1" si="2"/>
        <v>FC Barcelona</v>
      </c>
      <c r="O24" s="359"/>
      <c r="P24" s="346"/>
      <c r="Q24" s="460"/>
      <c r="R24" s="504" t="str">
        <f t="array" aca="1" ref="R24" ca="1">IFERROR(proof!$E$3-SUM(((OFFSET($L$6,0,0,proof!$E$3,1)="")+(OFFSET($N$6,0,0,proof!$E$3,1)="")&gt;0)*1),"")</f>
        <v/>
      </c>
      <c r="S24" s="504" t="str">
        <f t="array" aca="1" ref="S24" ca="1">IFERROR(proof!$E$4-SUM(((OFFSET($L$6,0,0,proof!$E$4,1)="")+(OFFSET($N$6,0,0,proof!$E$4,1)="")&gt;0)*1),"")</f>
        <v/>
      </c>
      <c r="T24" s="167"/>
      <c r="V24" s="455">
        <v>5</v>
      </c>
      <c r="W24" s="511">
        <v>2</v>
      </c>
      <c r="X24" s="512">
        <v>2</v>
      </c>
      <c r="Y24" s="512">
        <v>2</v>
      </c>
      <c r="Z24" s="512">
        <v>3</v>
      </c>
      <c r="AA24" s="512">
        <v>4</v>
      </c>
      <c r="AB24" s="513">
        <v>5</v>
      </c>
    </row>
    <row r="25" spans="1:28" ht="15.95" customHeight="1" thickBot="1" x14ac:dyDescent="0.3">
      <c r="B25" s="743"/>
      <c r="C25" s="745"/>
      <c r="D25" s="522">
        <v>20</v>
      </c>
      <c r="E25" s="473">
        <f t="array" aca="1" ref="E25" ca="1">IF($D25&gt;Calc1!$B$14,"",ROW(20:20)-SUM((($L$6:$L24="")+($N$6:$N24="")&gt;0)*1))</f>
        <v>20</v>
      </c>
      <c r="F25" s="174">
        <f ca="1">IF(OR($U$15,$D25&gt;Calc1!$B$14),"",$R$5+QUOTIENT(($E25-1),$U$11)*($R$7+$R$9)/1440+SUM($O$6:$O24)/1440)</f>
        <v>0.52083333333333337</v>
      </c>
      <c r="G25" s="176">
        <f ca="1">IF(OR($U$15,$D25&gt;Calc1!$B$14),"",MOD($E25-1,$U$11)+1)</f>
        <v>2</v>
      </c>
      <c r="H25" s="325" t="str">
        <f t="shared" ca="1" si="0"/>
        <v>B</v>
      </c>
      <c r="I25" s="351" t="str">
        <f ca="1"/>
        <v>B1</v>
      </c>
      <c r="J25" s="352" t="s">
        <v>4</v>
      </c>
      <c r="K25" s="353" t="str">
        <f ca="1"/>
        <v>B2</v>
      </c>
      <c r="L25" s="180" t="str">
        <f t="shared" ca="1" si="1"/>
        <v>Mainz 05</v>
      </c>
      <c r="M25" s="47" t="s">
        <v>4</v>
      </c>
      <c r="N25" s="182" t="str">
        <f t="shared" ca="1" si="2"/>
        <v>Inter Mailand</v>
      </c>
      <c r="O25" s="359"/>
      <c r="P25" s="346"/>
      <c r="Q25" s="763" t="str">
        <f ca="1">IF($U$15,"",IF(proof!$G$2="FEHLER",Sprache!$E$95&amp;proof!$E$6,""))</f>
        <v/>
      </c>
      <c r="R25" s="763"/>
      <c r="S25" s="763"/>
      <c r="T25" s="167"/>
      <c r="V25" s="456">
        <v>6</v>
      </c>
      <c r="W25" s="514">
        <v>3</v>
      </c>
      <c r="X25" s="515">
        <v>3</v>
      </c>
      <c r="Y25" s="515">
        <v>4</v>
      </c>
      <c r="Z25" s="515">
        <v>3</v>
      </c>
      <c r="AA25" s="515">
        <v>5</v>
      </c>
      <c r="AB25" s="516">
        <v>6</v>
      </c>
    </row>
    <row r="26" spans="1:28" ht="15.95" customHeight="1" thickTop="1" x14ac:dyDescent="0.25">
      <c r="B26" s="746" t="s">
        <v>197</v>
      </c>
      <c r="C26" s="747" t="s">
        <v>255</v>
      </c>
      <c r="D26" s="522">
        <v>21</v>
      </c>
      <c r="E26" s="473" t="str">
        <f t="array" ref="E26">IF($D26&gt;Calc1!$B$14,"",ROW(21:21)-SUM((($L$6:$L25="")+($N$6:$N25="")&gt;0)*1))</f>
        <v/>
      </c>
      <c r="F26" s="174" t="str">
        <f>IF(OR($U$15,$D26&gt;Calc1!$B$14),"",$R$5+QUOTIENT(($E26-1),$U$11)*($R$7+$R$9)/1440+SUM($O$6:$O25)/1440)</f>
        <v/>
      </c>
      <c r="G26" s="176" t="str">
        <f>IF(OR($U$15,$D26&gt;Calc1!$B$14),"",MOD($E26-1,$U$11)+1)</f>
        <v/>
      </c>
      <c r="H26" s="325" t="str">
        <f t="shared" ca="1" si="0"/>
        <v/>
      </c>
      <c r="I26" s="351" t="str">
        <f ca="1"/>
        <v/>
      </c>
      <c r="J26" s="352" t="s">
        <v>4</v>
      </c>
      <c r="K26" s="353" t="str">
        <f ca="1"/>
        <v/>
      </c>
      <c r="L26" s="180" t="str">
        <f t="shared" ca="1" si="1"/>
        <v/>
      </c>
      <c r="M26" s="47" t="s">
        <v>4</v>
      </c>
      <c r="N26" s="182" t="str">
        <f t="shared" ca="1" si="2"/>
        <v/>
      </c>
      <c r="O26" s="359"/>
      <c r="P26" s="346"/>
      <c r="Q26" s="763" t="str">
        <f ca="1">IF($U$15,"",IF(proof!$G$2="FEHLER",Sprache!$E$96&amp;$R$24&amp;Sprache!$E$97&amp;$S$24,""))</f>
        <v/>
      </c>
      <c r="R26" s="763"/>
      <c r="S26" s="763"/>
      <c r="T26" s="167"/>
    </row>
    <row r="27" spans="1:28" ht="15.95" customHeight="1" x14ac:dyDescent="0.25">
      <c r="B27" s="743"/>
      <c r="C27" s="745"/>
      <c r="D27" s="522">
        <v>22</v>
      </c>
      <c r="E27" s="473" t="str">
        <f t="array" ref="E27">IF($D27&gt;Calc1!$B$14,"",ROW(22:22)-SUM((($L$6:$L26="")+($N$6:$N26="")&gt;0)*1))</f>
        <v/>
      </c>
      <c r="F27" s="174" t="str">
        <f>IF(OR($U$15,$D27&gt;Calc1!$B$14),"",$R$5+QUOTIENT(($E27-1),$U$11)*($R$7+$R$9)/1440+SUM($O$6:$O26)/1440)</f>
        <v/>
      </c>
      <c r="G27" s="176" t="str">
        <f>IF(OR($U$15,$D27&gt;Calc1!$B$14),"",MOD($E27-1,$U$11)+1)</f>
        <v/>
      </c>
      <c r="H27" s="325" t="str">
        <f t="shared" ca="1" si="0"/>
        <v/>
      </c>
      <c r="I27" s="351" t="str">
        <f ca="1"/>
        <v/>
      </c>
      <c r="J27" s="352" t="s">
        <v>4</v>
      </c>
      <c r="K27" s="353" t="str">
        <f ca="1"/>
        <v/>
      </c>
      <c r="L27" s="180" t="str">
        <f t="shared" ca="1" si="1"/>
        <v/>
      </c>
      <c r="M27" s="47" t="s">
        <v>4</v>
      </c>
      <c r="N27" s="182" t="str">
        <f t="shared" ca="1" si="2"/>
        <v/>
      </c>
      <c r="O27" s="359"/>
      <c r="P27" s="346"/>
      <c r="Q27" s="460"/>
      <c r="R27" s="171"/>
      <c r="S27" s="171"/>
      <c r="T27" s="167"/>
    </row>
    <row r="28" spans="1:28" ht="15.95" customHeight="1" x14ac:dyDescent="0.25">
      <c r="B28" s="746" t="s">
        <v>193</v>
      </c>
      <c r="C28" s="747" t="s">
        <v>257</v>
      </c>
      <c r="D28" s="522">
        <v>23</v>
      </c>
      <c r="E28" s="473" t="str">
        <f t="array" ref="E28">IF($D28&gt;Calc1!$B$14,"",ROW(23:23)-SUM((($L$6:$L27="")+($N$6:$N27="")&gt;0)*1))</f>
        <v/>
      </c>
      <c r="F28" s="174" t="str">
        <f>IF(OR($U$15,$D28&gt;Calc1!$B$14),"",$R$5+QUOTIENT(($E28-1),$U$11)*($R$7+$R$9)/1440+SUM($O$6:$O27)/1440)</f>
        <v/>
      </c>
      <c r="G28" s="176" t="str">
        <f>IF(OR($U$15,$D28&gt;Calc1!$B$14),"",MOD($E28-1,$U$11)+1)</f>
        <v/>
      </c>
      <c r="H28" s="325" t="str">
        <f t="shared" ca="1" si="0"/>
        <v/>
      </c>
      <c r="I28" s="351" t="str">
        <f ca="1"/>
        <v/>
      </c>
      <c r="J28" s="352" t="s">
        <v>4</v>
      </c>
      <c r="K28" s="353" t="str">
        <f ca="1"/>
        <v/>
      </c>
      <c r="L28" s="49" t="str">
        <f t="shared" ca="1" si="1"/>
        <v/>
      </c>
      <c r="M28" s="47" t="s">
        <v>4</v>
      </c>
      <c r="N28" s="48" t="str">
        <f t="shared" ca="1" si="2"/>
        <v/>
      </c>
      <c r="O28" s="359"/>
      <c r="P28" s="346"/>
      <c r="Q28" s="171"/>
      <c r="R28" s="171"/>
      <c r="S28" s="171"/>
      <c r="T28" s="167"/>
    </row>
    <row r="29" spans="1:28" ht="15.95" customHeight="1" x14ac:dyDescent="0.25">
      <c r="B29" s="743"/>
      <c r="C29" s="745"/>
      <c r="D29" s="522">
        <v>24</v>
      </c>
      <c r="E29" s="473" t="str">
        <f t="array" ref="E29">IF($D29&gt;Calc1!$B$14,"",ROW(24:24)-SUM((($L$6:$L28="")+($N$6:$N28="")&gt;0)*1))</f>
        <v/>
      </c>
      <c r="F29" s="174" t="str">
        <f>IF(OR($U$15,$D29&gt;Calc1!$B$14),"",$R$5+QUOTIENT(($E29-1),$U$11)*($R$7+$R$9)/1440+SUM($O$6:$O28)/1440)</f>
        <v/>
      </c>
      <c r="G29" s="176" t="str">
        <f>IF(OR($U$15,$D29&gt;Calc1!$B$14),"",MOD($E29-1,$U$11)+1)</f>
        <v/>
      </c>
      <c r="H29" s="325" t="str">
        <f t="shared" ca="1" si="0"/>
        <v/>
      </c>
      <c r="I29" s="351" t="str">
        <f ca="1"/>
        <v/>
      </c>
      <c r="J29" s="352" t="s">
        <v>4</v>
      </c>
      <c r="K29" s="353" t="str">
        <f ca="1"/>
        <v/>
      </c>
      <c r="L29" s="180" t="str">
        <f t="shared" ca="1" si="1"/>
        <v/>
      </c>
      <c r="M29" s="47" t="s">
        <v>4</v>
      </c>
      <c r="N29" s="182" t="str">
        <f t="shared" ca="1" si="2"/>
        <v/>
      </c>
      <c r="O29" s="359"/>
      <c r="P29" s="346"/>
      <c r="Q29" s="460"/>
      <c r="R29" s="171"/>
      <c r="S29" s="171"/>
      <c r="T29" s="167"/>
    </row>
    <row r="30" spans="1:28" ht="15.95" customHeight="1" x14ac:dyDescent="0.25">
      <c r="B30" s="746" t="s">
        <v>199</v>
      </c>
      <c r="C30" s="747" t="s">
        <v>256</v>
      </c>
      <c r="D30" s="522">
        <v>25</v>
      </c>
      <c r="E30" s="473" t="str">
        <f t="array" ref="E30">IF($D30&gt;Calc1!$B$14,"",ROW(25:25)-SUM((($L$6:$L29="")+($N$6:$N29="")&gt;0)*1))</f>
        <v/>
      </c>
      <c r="F30" s="174" t="str">
        <f>IF(OR($U$15,$D30&gt;Calc1!$B$14),"",$R$5+QUOTIENT(($E30-1),$U$11)*($R$7+$R$9)/1440+SUM($O$6:$O29)/1440)</f>
        <v/>
      </c>
      <c r="G30" s="176" t="str">
        <f>IF(OR($U$15,$D30&gt;Calc1!$B$14),"",MOD($E30-1,$U$11)+1)</f>
        <v/>
      </c>
      <c r="H30" s="325" t="str">
        <f t="shared" ca="1" si="0"/>
        <v/>
      </c>
      <c r="I30" s="351" t="str">
        <f ca="1"/>
        <v/>
      </c>
      <c r="J30" s="352" t="s">
        <v>4</v>
      </c>
      <c r="K30" s="353" t="str">
        <f ca="1"/>
        <v/>
      </c>
      <c r="L30" s="180" t="str">
        <f t="shared" ca="1" si="1"/>
        <v/>
      </c>
      <c r="M30" s="47" t="s">
        <v>4</v>
      </c>
      <c r="N30" s="182" t="str">
        <f t="shared" ca="1" si="2"/>
        <v/>
      </c>
      <c r="O30" s="359"/>
      <c r="P30" s="346"/>
      <c r="Q30" s="460"/>
      <c r="R30" s="171"/>
      <c r="S30" s="171"/>
      <c r="T30" s="167"/>
    </row>
    <row r="31" spans="1:28" ht="15.95" customHeight="1" x14ac:dyDescent="0.25">
      <c r="B31" s="743"/>
      <c r="C31" s="745"/>
      <c r="D31" s="522">
        <v>26</v>
      </c>
      <c r="E31" s="473" t="str">
        <f t="array" ref="E31">IF($D31&gt;Calc1!$B$14,"",ROW(26:26)-SUM((($L$6:$L30="")+($N$6:$N30="")&gt;0)*1))</f>
        <v/>
      </c>
      <c r="F31" s="174" t="str">
        <f>IF(OR($U$15,$D31&gt;Calc1!$B$14),"",$R$5+QUOTIENT(($E31-1),$U$11)*($R$7+$R$9)/1440+SUM($O$6:$O30)/1440)</f>
        <v/>
      </c>
      <c r="G31" s="176" t="str">
        <f>IF(OR($U$15,$D31&gt;Calc1!$B$14),"",MOD($E31-1,$U$11)+1)</f>
        <v/>
      </c>
      <c r="H31" s="325" t="str">
        <f t="shared" ca="1" si="0"/>
        <v/>
      </c>
      <c r="I31" s="351" t="str">
        <f ca="1"/>
        <v/>
      </c>
      <c r="J31" s="352" t="s">
        <v>4</v>
      </c>
      <c r="K31" s="353" t="str">
        <f ca="1"/>
        <v/>
      </c>
      <c r="L31" s="180" t="str">
        <f t="shared" ca="1" si="1"/>
        <v/>
      </c>
      <c r="M31" s="47" t="s">
        <v>4</v>
      </c>
      <c r="N31" s="182" t="str">
        <f t="shared" ca="1" si="2"/>
        <v/>
      </c>
      <c r="O31" s="359"/>
      <c r="P31" s="346"/>
      <c r="Q31" s="460"/>
      <c r="R31" s="171"/>
      <c r="S31" s="171"/>
      <c r="T31" s="167"/>
    </row>
    <row r="32" spans="1:28" ht="15.95" customHeight="1" x14ac:dyDescent="0.25">
      <c r="B32" s="746" t="s">
        <v>201</v>
      </c>
      <c r="C32" s="747" t="s">
        <v>258</v>
      </c>
      <c r="D32" s="522">
        <v>27</v>
      </c>
      <c r="E32" s="473" t="str">
        <f t="array" ref="E32">IF($D32&gt;Calc1!$B$14,"",ROW(27:27)-SUM((($L$6:$L31="")+($N$6:$N31="")&gt;0)*1))</f>
        <v/>
      </c>
      <c r="F32" s="174" t="str">
        <f>IF(OR($U$15,$D32&gt;Calc1!$B$14),"",$R$5+QUOTIENT(($E32-1),$U$11)*($R$7+$R$9)/1440+SUM($O$6:$O31)/1440)</f>
        <v/>
      </c>
      <c r="G32" s="176" t="str">
        <f>IF(OR($U$15,$D32&gt;Calc1!$B$14),"",MOD($E32-1,$U$11)+1)</f>
        <v/>
      </c>
      <c r="H32" s="326" t="str">
        <f t="shared" ca="1" si="0"/>
        <v/>
      </c>
      <c r="I32" s="351" t="str">
        <f ca="1"/>
        <v/>
      </c>
      <c r="J32" s="352" t="s">
        <v>4</v>
      </c>
      <c r="K32" s="353" t="str">
        <f ca="1"/>
        <v/>
      </c>
      <c r="L32" s="49" t="str">
        <f t="shared" ca="1" si="1"/>
        <v/>
      </c>
      <c r="M32" s="47" t="s">
        <v>4</v>
      </c>
      <c r="N32" s="48" t="str">
        <f t="shared" ca="1" si="2"/>
        <v/>
      </c>
      <c r="O32" s="359"/>
      <c r="P32" s="346"/>
      <c r="Q32" s="460"/>
      <c r="R32" s="171"/>
      <c r="S32" s="171"/>
      <c r="T32" s="167"/>
    </row>
    <row r="33" spans="2:20" ht="15.95" customHeight="1" x14ac:dyDescent="0.25">
      <c r="B33" s="743"/>
      <c r="C33" s="745"/>
      <c r="D33" s="522">
        <v>28</v>
      </c>
      <c r="E33" s="473" t="str">
        <f t="array" ref="E33">IF($D33&gt;Calc1!$B$14,"",ROW(28:28)-SUM((($L$6:$L32="")+($N$6:$N32="")&gt;0)*1))</f>
        <v/>
      </c>
      <c r="F33" s="174" t="str">
        <f>IF(OR($U$15,$D33&gt;Calc1!$B$14),"",$R$5+QUOTIENT(($E33-1),$U$11)*($R$7+$R$9)/1440+SUM($O$6:$O32)/1440)</f>
        <v/>
      </c>
      <c r="G33" s="176" t="str">
        <f>IF(OR($U$15,$D33&gt;Calc1!$B$14),"",MOD($E33-1,$U$11)+1)</f>
        <v/>
      </c>
      <c r="H33" s="326" t="str">
        <f t="shared" ca="1" si="0"/>
        <v/>
      </c>
      <c r="I33" s="351" t="str">
        <f ca="1"/>
        <v/>
      </c>
      <c r="J33" s="352" t="s">
        <v>4</v>
      </c>
      <c r="K33" s="353" t="str">
        <f ca="1"/>
        <v/>
      </c>
      <c r="L33" s="49" t="str">
        <f t="shared" ca="1" si="1"/>
        <v/>
      </c>
      <c r="M33" s="47" t="s">
        <v>4</v>
      </c>
      <c r="N33" s="48" t="str">
        <f t="shared" ca="1" si="2"/>
        <v/>
      </c>
      <c r="O33" s="359"/>
      <c r="P33" s="346"/>
      <c r="Q33" s="460"/>
      <c r="R33" s="171"/>
      <c r="S33" s="171"/>
      <c r="T33" s="167"/>
    </row>
    <row r="34" spans="2:20" ht="15.95" customHeight="1" x14ac:dyDescent="0.25">
      <c r="B34" s="746" t="s">
        <v>203</v>
      </c>
      <c r="C34" s="747"/>
      <c r="D34" s="522">
        <v>29</v>
      </c>
      <c r="E34" s="473" t="str">
        <f t="array" ref="E34">IF($D34&gt;Calc1!$B$14,"",ROW(29:29)-SUM((($L$6:$L33="")+($N$6:$N33="")&gt;0)*1))</f>
        <v/>
      </c>
      <c r="F34" s="174" t="str">
        <f>IF(OR($U$15,$D34&gt;Calc1!$B$14),"",$R$5+QUOTIENT(($E34-1),$U$11)*($R$7+$R$9)/1440+SUM($O$6:$O33)/1440)</f>
        <v/>
      </c>
      <c r="G34" s="176" t="str">
        <f>IF(OR($U$15,$D34&gt;Calc1!$B$14),"",MOD($E34-1,$U$11)+1)</f>
        <v/>
      </c>
      <c r="H34" s="325" t="str">
        <f t="shared" ca="1" si="0"/>
        <v/>
      </c>
      <c r="I34" s="351" t="str">
        <f ca="1"/>
        <v/>
      </c>
      <c r="J34" s="352" t="s">
        <v>4</v>
      </c>
      <c r="K34" s="353" t="str">
        <f ca="1"/>
        <v/>
      </c>
      <c r="L34" s="49" t="str">
        <f t="shared" ca="1" si="1"/>
        <v/>
      </c>
      <c r="M34" s="47" t="s">
        <v>4</v>
      </c>
      <c r="N34" s="48" t="str">
        <f t="shared" ca="1" si="2"/>
        <v/>
      </c>
      <c r="O34" s="360"/>
      <c r="P34" s="346"/>
      <c r="Q34" s="460"/>
      <c r="R34" s="171"/>
      <c r="S34" s="171"/>
      <c r="T34" s="167"/>
    </row>
    <row r="35" spans="2:20" ht="15.95" customHeight="1" thickBot="1" x14ac:dyDescent="0.3">
      <c r="B35" s="748"/>
      <c r="C35" s="749"/>
      <c r="D35" s="522">
        <v>30</v>
      </c>
      <c r="E35" s="474" t="str">
        <f t="array" ref="E35">IF($D35&gt;Calc1!$B$14,"",ROW(30:30)-SUM((($L$6:$L34="")+($N$6:$N34="")&gt;0)*1))</f>
        <v/>
      </c>
      <c r="F35" s="177" t="str">
        <f>IF(OR($U$15,$D35&gt;Calc1!$B$14),"",$R$5+QUOTIENT(($E35-1),$U$11)*($R$7+$R$9)/1440+SUM($O$6:$O34)/1440)</f>
        <v/>
      </c>
      <c r="G35" s="178" t="str">
        <f>IF(OR($U$15,$D35&gt;Calc1!$B$14),"",MOD($E35-1,$U$11)+1)</f>
        <v/>
      </c>
      <c r="H35" s="331" t="str">
        <f t="shared" ca="1" si="0"/>
        <v/>
      </c>
      <c r="I35" s="354" t="str">
        <f ca="1"/>
        <v/>
      </c>
      <c r="J35" s="355" t="s">
        <v>4</v>
      </c>
      <c r="K35" s="356" t="str">
        <f ca="1"/>
        <v/>
      </c>
      <c r="L35" s="242" t="str">
        <f t="shared" ca="1" si="1"/>
        <v/>
      </c>
      <c r="M35" s="179" t="s">
        <v>4</v>
      </c>
      <c r="N35" s="243" t="str">
        <f t="shared" ca="1" si="2"/>
        <v/>
      </c>
      <c r="O35" s="475"/>
      <c r="P35" s="392">
        <f ca="1">OFFSET($O$6,Calc1!$B$14-1,0)</f>
        <v>0</v>
      </c>
      <c r="Q35" s="460"/>
      <c r="R35" s="171"/>
      <c r="S35" s="171"/>
      <c r="T35" s="167"/>
    </row>
    <row r="36" spans="2:20" ht="18" thickTop="1" x14ac:dyDescent="0.25">
      <c r="D36" s="168"/>
      <c r="E36" s="297"/>
      <c r="F36" s="298"/>
      <c r="G36" s="299"/>
      <c r="H36" s="299"/>
      <c r="I36" s="300"/>
      <c r="J36" s="301"/>
      <c r="K36" s="302"/>
      <c r="L36" s="303"/>
      <c r="M36" s="304"/>
      <c r="N36" s="305"/>
      <c r="O36" s="170"/>
      <c r="P36" s="170"/>
      <c r="Q36" s="460"/>
      <c r="R36" s="171"/>
      <c r="S36" s="171"/>
      <c r="T36" s="347"/>
    </row>
    <row r="37" spans="2:20" ht="17.25" x14ac:dyDescent="0.25">
      <c r="D37" s="168"/>
      <c r="E37" s="297"/>
      <c r="F37" s="298"/>
      <c r="G37" s="299"/>
      <c r="H37" s="299"/>
      <c r="I37" s="300"/>
      <c r="J37" s="301"/>
      <c r="K37" s="302"/>
      <c r="L37" s="303"/>
      <c r="M37" s="304"/>
      <c r="N37" s="305"/>
      <c r="O37" s="170"/>
      <c r="P37" s="170"/>
      <c r="Q37" s="460"/>
      <c r="R37" s="171"/>
      <c r="S37" s="171"/>
      <c r="T37" s="347"/>
    </row>
    <row r="38" spans="2:20" ht="17.25" x14ac:dyDescent="0.25">
      <c r="D38" s="168"/>
      <c r="E38" s="297"/>
      <c r="F38" s="298"/>
      <c r="G38" s="299"/>
      <c r="H38" s="299"/>
      <c r="I38" s="300"/>
      <c r="J38" s="301"/>
      <c r="K38" s="302"/>
      <c r="L38" s="303"/>
      <c r="M38" s="304"/>
      <c r="N38" s="305"/>
      <c r="O38" s="170"/>
      <c r="P38" s="170"/>
      <c r="Q38" s="460"/>
      <c r="R38" s="171"/>
      <c r="S38" s="171"/>
      <c r="T38" s="171"/>
    </row>
    <row r="39" spans="2:20" ht="17.25" hidden="1" x14ac:dyDescent="0.25">
      <c r="D39" s="168"/>
      <c r="E39" s="297"/>
      <c r="F39" s="298"/>
      <c r="G39" s="299"/>
      <c r="H39" s="299"/>
      <c r="I39" s="300"/>
      <c r="J39" s="301"/>
      <c r="K39" s="302"/>
      <c r="L39" s="303"/>
      <c r="M39" s="304"/>
      <c r="N39" s="305"/>
      <c r="O39" s="170"/>
      <c r="P39" s="170"/>
      <c r="Q39" s="171"/>
      <c r="R39" s="171"/>
      <c r="S39" s="171"/>
      <c r="T39" s="171"/>
    </row>
  </sheetData>
  <sheetProtection sheet="1" selectLockedCells="1"/>
  <mergeCells count="53">
    <mergeCell ref="Q25:S25"/>
    <mergeCell ref="Q26:S26"/>
    <mergeCell ref="E2:N2"/>
    <mergeCell ref="E4:F4"/>
    <mergeCell ref="O4:O5"/>
    <mergeCell ref="R5:R6"/>
    <mergeCell ref="S5:S6"/>
    <mergeCell ref="R9:R10"/>
    <mergeCell ref="S9:S10"/>
    <mergeCell ref="S13:S14"/>
    <mergeCell ref="Q22:S23"/>
    <mergeCell ref="R11:R12"/>
    <mergeCell ref="S11:S12"/>
    <mergeCell ref="R13:R14"/>
    <mergeCell ref="B5:B6"/>
    <mergeCell ref="C5:C6"/>
    <mergeCell ref="I5:K5"/>
    <mergeCell ref="L5:N5"/>
    <mergeCell ref="Q5:Q6"/>
    <mergeCell ref="B7:B8"/>
    <mergeCell ref="C7:C8"/>
    <mergeCell ref="Q7:Q8"/>
    <mergeCell ref="R7:R8"/>
    <mergeCell ref="S7:S8"/>
    <mergeCell ref="B9:B10"/>
    <mergeCell ref="C9:C10"/>
    <mergeCell ref="Q9:Q10"/>
    <mergeCell ref="B13:B14"/>
    <mergeCell ref="C13:C14"/>
    <mergeCell ref="Q13:Q14"/>
    <mergeCell ref="B11:B12"/>
    <mergeCell ref="C11:C12"/>
    <mergeCell ref="Q11:Q12"/>
    <mergeCell ref="C17:C18"/>
    <mergeCell ref="B20:B21"/>
    <mergeCell ref="C20:C21"/>
    <mergeCell ref="B15:B16"/>
    <mergeCell ref="C15:C16"/>
    <mergeCell ref="B17:B18"/>
    <mergeCell ref="B34:B35"/>
    <mergeCell ref="C34:C35"/>
    <mergeCell ref="B28:B29"/>
    <mergeCell ref="C28:C29"/>
    <mergeCell ref="B30:B31"/>
    <mergeCell ref="C30:C31"/>
    <mergeCell ref="B32:B33"/>
    <mergeCell ref="C32:C33"/>
    <mergeCell ref="B22:B23"/>
    <mergeCell ref="C22:C23"/>
    <mergeCell ref="B24:B25"/>
    <mergeCell ref="C24:C25"/>
    <mergeCell ref="B26:B27"/>
    <mergeCell ref="C26:C27"/>
  </mergeCells>
  <conditionalFormatting sqref="Q22:S23">
    <cfRule type="expression" dxfId="41" priority="6">
      <formula>AND($R$11&gt;$U$11,NOT($U$15))</formula>
    </cfRule>
  </conditionalFormatting>
  <conditionalFormatting sqref="C7:C18 C24:C35">
    <cfRule type="duplicateValues" dxfId="40" priority="4"/>
  </conditionalFormatting>
  <conditionalFormatting sqref="H6:H35">
    <cfRule type="expression" dxfId="39" priority="1">
      <formula>$H6="??"</formula>
    </cfRule>
  </conditionalFormatting>
  <conditionalFormatting sqref="E6:N35">
    <cfRule type="expression" dxfId="38" priority="313">
      <formula>AND($L6&lt;&gt;"",$N6&lt;&gt;"",OR($E6=$R$24,$E6=$S$24),NOT($U$15))</formula>
    </cfRule>
    <cfRule type="expression" dxfId="37" priority="314">
      <formula>OR($L6="",$N6="")</formula>
    </cfRule>
  </conditionalFormatting>
  <dataValidations count="5">
    <dataValidation allowBlank="1" showInputMessage="1" showErrorMessage="1" errorTitle="Unzulässige Teilnehmernummer" error="Es müssen Zahlen von 1 bis 9 eingetragen werden!" sqref="I6:I35 K6:K35" xr:uid="{4EC0A2C7-0480-41C9-9861-54C76FB5C4C3}"/>
    <dataValidation type="time" allowBlank="1" showInputMessage="1" showErrorMessage="1" sqref="R5:R6" xr:uid="{ABADACB9-80D4-41E7-9EE7-5D7969913C18}">
      <formula1>0</formula1>
      <formula2>0.999305555555556</formula2>
    </dataValidation>
    <dataValidation type="whole" allowBlank="1" showInputMessage="1" showErrorMessage="1" sqref="R11:R12" xr:uid="{0240EE7E-BDB9-4DC0-97E3-48C8F4218C8A}">
      <formula1>1</formula1>
      <formula2>6</formula2>
    </dataValidation>
    <dataValidation type="whole" allowBlank="1" showInputMessage="1" showErrorMessage="1" sqref="R9:R10" xr:uid="{1488E6B3-9147-4B3B-A84A-C90AFC62EE8F}">
      <formula1>0</formula1>
      <formula2>120</formula2>
    </dataValidation>
    <dataValidation type="whole" allowBlank="1" showInputMessage="1" showErrorMessage="1" sqref="R7:R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5B315-6B92-43FC-8138-AF47BCABC26B}">
  <dimension ref="A1:G62"/>
  <sheetViews>
    <sheetView workbookViewId="0"/>
  </sheetViews>
  <sheetFormatPr baseColWidth="10" defaultRowHeight="12.75" x14ac:dyDescent="0.2"/>
  <cols>
    <col min="3" max="3" width="24.42578125" customWidth="1"/>
    <col min="7" max="7" width="14.28515625" customWidth="1"/>
  </cols>
  <sheetData>
    <row r="1" spans="2:7" ht="13.5" thickBot="1" x14ac:dyDescent="0.25"/>
    <row r="2" spans="2:7" ht="24.75" customHeight="1" thickTop="1" thickBot="1" x14ac:dyDescent="0.25">
      <c r="E2" s="469">
        <f ca="1">COUNTIF($C$3:$C$62,"")</f>
        <v>0</v>
      </c>
      <c r="F2" s="469">
        <f t="array" aca="1" ref="F2" ca="1">SUMPRODUCT(($C$3:$C$62&lt;&gt;"")/($D$3:$D$62+($C$3:$C$62="")))</f>
        <v>60</v>
      </c>
      <c r="G2" s="470" t="str">
        <f ca="1">IF(E2+F2&lt;60,"FEHLER","okay")</f>
        <v>okay</v>
      </c>
    </row>
    <row r="3" spans="2:7" ht="13.5" thickTop="1" x14ac:dyDescent="0.2">
      <c r="B3" s="165">
        <v>1</v>
      </c>
      <c r="C3" t="str">
        <f ca="1">IF(OR(Planung!$L6="",Planung!$N6=""),"Z"&amp;ROW($M6),Planung!$I6&amp;Planung!$F6)</f>
        <v>A50,375</v>
      </c>
      <c r="D3" s="165">
        <f t="array" aca="1" ref="D3:D62" ca="1">COUNTIF($C$3:$C$62,$C$3:$C$62)</f>
        <v>1</v>
      </c>
      <c r="E3" s="165" t="e">
        <f ca="1">IF($F$8&gt;30,$F$8-30,$F$8)</f>
        <v>#NUM!</v>
      </c>
      <c r="F3" s="458" t="s">
        <v>279</v>
      </c>
    </row>
    <row r="4" spans="2:7" x14ac:dyDescent="0.2">
      <c r="B4" s="165">
        <v>2</v>
      </c>
      <c r="C4" t="str">
        <f ca="1">IF(OR(Planung!$L7="",Planung!$N7=""),"Z"&amp;ROW($M7),Planung!$I7&amp;Planung!$F7)</f>
        <v>B50,375</v>
      </c>
      <c r="D4" s="165">
        <f ca="1"/>
        <v>1</v>
      </c>
      <c r="E4" s="165" t="e">
        <f ca="1">IF($F$9&gt;30,$F$9-30,$F$9)</f>
        <v>#NUM!</v>
      </c>
      <c r="F4" s="458" t="s">
        <v>280</v>
      </c>
    </row>
    <row r="5" spans="2:7" x14ac:dyDescent="0.2">
      <c r="B5" s="165">
        <v>3</v>
      </c>
      <c r="C5" t="str">
        <f ca="1">IF(OR(Planung!$L8="",Planung!$N8=""),"Z"&amp;ROW($M8),Planung!$I8&amp;Planung!$F8)</f>
        <v>A30,375</v>
      </c>
      <c r="D5" s="165">
        <f ca="1"/>
        <v>1</v>
      </c>
      <c r="E5" s="458" t="str">
        <f t="array" aca="1" ref="E5" ca="1">VLOOKUP(MATCH($E$7,$D$3:$D$62,0),$B$3:$C$62,2,0)</f>
        <v>A50,375</v>
      </c>
      <c r="F5" s="503" t="s">
        <v>281</v>
      </c>
    </row>
    <row r="6" spans="2:7" ht="13.5" thickBot="1" x14ac:dyDescent="0.25">
      <c r="B6" s="165">
        <v>4</v>
      </c>
      <c r="C6" t="str">
        <f ca="1">IF(OR(Planung!$L9="",Planung!$N9=""),"Z"&amp;ROW($M9),Planung!$I9&amp;Planung!$F9)</f>
        <v>B30,399305555555556</v>
      </c>
      <c r="D6" s="165">
        <f ca="1"/>
        <v>1</v>
      </c>
      <c r="E6" s="165" t="str">
        <f ca="1">LEFT($E$5,2)</f>
        <v>A5</v>
      </c>
      <c r="F6" s="165"/>
    </row>
    <row r="7" spans="2:7" ht="13.5" thickBot="1" x14ac:dyDescent="0.25">
      <c r="B7" s="165">
        <v>5</v>
      </c>
      <c r="C7" t="str">
        <f ca="1">IF(OR(Planung!$L10="",Planung!$N10=""),"Z"&amp;ROW($M10),Planung!$I10&amp;Planung!$F10)</f>
        <v>A50,399305555555556</v>
      </c>
      <c r="D7" s="165">
        <f ca="1"/>
        <v>1</v>
      </c>
      <c r="E7" s="521">
        <f ca="1">MAX($D$3:$D$62)</f>
        <v>1</v>
      </c>
    </row>
    <row r="8" spans="2:7" x14ac:dyDescent="0.2">
      <c r="B8" s="165">
        <v>6</v>
      </c>
      <c r="C8" t="str">
        <f ca="1">IF(OR(Planung!$L11="",Planung!$N11=""),"Z"&amp;ROW($M11),Planung!$I11&amp;Planung!$F11)</f>
        <v>B50,399305555555556</v>
      </c>
      <c r="D8" s="165">
        <f ca="1"/>
        <v>1</v>
      </c>
      <c r="E8" s="165">
        <f t="array" aca="1" ref="E8" ca="1">MATCH($E$7,$D$3:$D$62,0)</f>
        <v>1</v>
      </c>
      <c r="F8" s="165" t="e">
        <f ca="1">IF($E$8&lt;$E$9,$E$8,$E$9)</f>
        <v>#NUM!</v>
      </c>
    </row>
    <row r="9" spans="2:7" x14ac:dyDescent="0.2">
      <c r="B9" s="165">
        <v>7</v>
      </c>
      <c r="C9" t="str">
        <f ca="1">IF(OR(Planung!$L12="",Planung!$N12=""),"Z"&amp;ROW($M12),Planung!$I12&amp;Planung!$F12)</f>
        <v>A20,423611111111111</v>
      </c>
      <c r="D9" s="165">
        <f ca="1"/>
        <v>1</v>
      </c>
      <c r="E9" s="165" t="e">
        <f t="array" aca="1" ref="E9" ca="1">INDEX($B$3:$B$62,SMALL(IF($E$5=$C$3:$C$62,ROW($C$3:$C$62)-ROW($C$3)+1),2))</f>
        <v>#NUM!</v>
      </c>
      <c r="F9" s="165" t="e">
        <f ca="1">IF($E$8&gt;$E$9,$E$8,$E$9)</f>
        <v>#NUM!</v>
      </c>
    </row>
    <row r="10" spans="2:7" x14ac:dyDescent="0.2">
      <c r="B10" s="165">
        <v>8</v>
      </c>
      <c r="C10" t="str">
        <f ca="1">IF(OR(Planung!$L13="",Planung!$N13=""),"Z"&amp;ROW($M13),Planung!$I13&amp;Planung!$F13)</f>
        <v>B20,423611111111111</v>
      </c>
      <c r="D10" s="165">
        <f ca="1"/>
        <v>1</v>
      </c>
    </row>
    <row r="11" spans="2:7" x14ac:dyDescent="0.2">
      <c r="B11" s="165">
        <v>9</v>
      </c>
      <c r="C11" t="str">
        <f ca="1">IF(OR(Planung!$L14="",Planung!$N14=""),"Z"&amp;ROW($M14),Planung!$I14&amp;Planung!$F14)</f>
        <v>A10,423611111111111</v>
      </c>
      <c r="D11" s="165">
        <f ca="1"/>
        <v>1</v>
      </c>
    </row>
    <row r="12" spans="2:7" x14ac:dyDescent="0.2">
      <c r="B12" s="165">
        <v>10</v>
      </c>
      <c r="C12" t="str">
        <f ca="1">IF(OR(Planung!$L15="",Planung!$N15=""),"Z"&amp;ROW($M15),Planung!$I15&amp;Planung!$F15)</f>
        <v>B10,447916666666667</v>
      </c>
      <c r="D12" s="165">
        <f ca="1"/>
        <v>1</v>
      </c>
    </row>
    <row r="13" spans="2:7" x14ac:dyDescent="0.2">
      <c r="B13" s="165">
        <v>11</v>
      </c>
      <c r="C13" t="str">
        <f ca="1">IF(OR(Planung!$L16="",Planung!$N16=""),"Z"&amp;ROW($M16),Planung!$I16&amp;Planung!$F16)</f>
        <v>A30,447916666666667</v>
      </c>
      <c r="D13" s="165">
        <f ca="1"/>
        <v>1</v>
      </c>
    </row>
    <row r="14" spans="2:7" x14ac:dyDescent="0.2">
      <c r="B14" s="165">
        <v>12</v>
      </c>
      <c r="C14" t="str">
        <f ca="1">IF(OR(Planung!$L17="",Planung!$N17=""),"Z"&amp;ROW($M17),Planung!$I17&amp;Planung!$F17)</f>
        <v>B30,447916666666667</v>
      </c>
      <c r="D14" s="165">
        <f ca="1"/>
        <v>1</v>
      </c>
    </row>
    <row r="15" spans="2:7" x14ac:dyDescent="0.2">
      <c r="B15" s="165">
        <v>13</v>
      </c>
      <c r="C15" t="str">
        <f ca="1">IF(OR(Planung!$L18="",Planung!$N18=""),"Z"&amp;ROW($M18),Planung!$I18&amp;Planung!$F18)</f>
        <v>A20,472222222222222</v>
      </c>
      <c r="D15" s="165">
        <f ca="1"/>
        <v>1</v>
      </c>
    </row>
    <row r="16" spans="2:7" x14ac:dyDescent="0.2">
      <c r="B16" s="165">
        <v>14</v>
      </c>
      <c r="C16" t="str">
        <f ca="1">IF(OR(Planung!$L19="",Planung!$N19=""),"Z"&amp;ROW($M19),Planung!$I19&amp;Planung!$F19)</f>
        <v>B20,472222222222222</v>
      </c>
      <c r="D16" s="165">
        <f ca="1"/>
        <v>1</v>
      </c>
    </row>
    <row r="17" spans="1:7" x14ac:dyDescent="0.2">
      <c r="B17" s="165">
        <v>15</v>
      </c>
      <c r="C17" t="str">
        <f ca="1">IF(OR(Planung!$L20="",Planung!$N20=""),"Z"&amp;ROW($M20),Planung!$I20&amp;Planung!$F20)</f>
        <v>A30,472222222222222</v>
      </c>
      <c r="D17" s="165">
        <f ca="1"/>
        <v>1</v>
      </c>
    </row>
    <row r="18" spans="1:7" x14ac:dyDescent="0.2">
      <c r="B18" s="165">
        <v>16</v>
      </c>
      <c r="C18" t="str">
        <f ca="1">IF(OR(Planung!$L21="",Planung!$N21=""),"Z"&amp;ROW($M21),Planung!$I21&amp;Planung!$F21)</f>
        <v>B30,496527777777778</v>
      </c>
      <c r="D18" s="165">
        <f ca="1"/>
        <v>1</v>
      </c>
    </row>
    <row r="19" spans="1:7" x14ac:dyDescent="0.2">
      <c r="B19" s="165">
        <v>17</v>
      </c>
      <c r="C19" t="str">
        <f ca="1">IF(OR(Planung!$L22="",Planung!$N22=""),"Z"&amp;ROW($M22),Planung!$I22&amp;Planung!$F22)</f>
        <v>A40,496527777777778</v>
      </c>
      <c r="D19" s="165">
        <f ca="1"/>
        <v>1</v>
      </c>
    </row>
    <row r="20" spans="1:7" x14ac:dyDescent="0.2">
      <c r="B20" s="165">
        <v>18</v>
      </c>
      <c r="C20" t="str">
        <f ca="1">IF(OR(Planung!$L23="",Planung!$N23=""),"Z"&amp;ROW($M23),Planung!$I23&amp;Planung!$F23)</f>
        <v>B40,496527777777778</v>
      </c>
      <c r="D20" s="165">
        <f ca="1"/>
        <v>1</v>
      </c>
    </row>
    <row r="21" spans="1:7" x14ac:dyDescent="0.2">
      <c r="B21" s="165">
        <v>19</v>
      </c>
      <c r="C21" t="str">
        <f ca="1">IF(OR(Planung!$L24="",Planung!$N24=""),"Z"&amp;ROW($M24),Planung!$I24&amp;Planung!$F24)</f>
        <v>A10,520833333333333</v>
      </c>
      <c r="D21" s="165">
        <f ca="1"/>
        <v>1</v>
      </c>
      <c r="G21" s="779" t="s">
        <v>250</v>
      </c>
    </row>
    <row r="22" spans="1:7" x14ac:dyDescent="0.2">
      <c r="B22" s="165">
        <v>20</v>
      </c>
      <c r="C22" t="str">
        <f ca="1">IF(OR(Planung!$L25="",Planung!$N25=""),"Z"&amp;ROW($M25),Planung!$I25&amp;Planung!$F25)</f>
        <v>B10,520833333333333</v>
      </c>
      <c r="D22" s="165">
        <f ca="1"/>
        <v>1</v>
      </c>
      <c r="G22" s="779"/>
    </row>
    <row r="23" spans="1:7" x14ac:dyDescent="0.2">
      <c r="B23" s="165">
        <v>21</v>
      </c>
      <c r="C23" t="str">
        <f ca="1">IF(OR(Planung!$L26="",Planung!$N26=""),"Z"&amp;ROW($M26),Planung!$I26&amp;Planung!$F26)</f>
        <v>Z26</v>
      </c>
      <c r="D23" s="165">
        <f ca="1"/>
        <v>1</v>
      </c>
      <c r="G23" s="779" t="s">
        <v>251</v>
      </c>
    </row>
    <row r="24" spans="1:7" x14ac:dyDescent="0.2">
      <c r="B24" s="165">
        <v>22</v>
      </c>
      <c r="C24" t="str">
        <f ca="1">IF(OR(Planung!$L27="",Planung!$N27=""),"Z"&amp;ROW($M27),Planung!$I27&amp;Planung!$F27)</f>
        <v>Z27</v>
      </c>
      <c r="D24" s="165">
        <f ca="1"/>
        <v>1</v>
      </c>
      <c r="G24" s="779"/>
    </row>
    <row r="25" spans="1:7" x14ac:dyDescent="0.2">
      <c r="B25" s="165">
        <v>23</v>
      </c>
      <c r="C25" t="str">
        <f ca="1">IF(OR(Planung!$L28="",Planung!$N28=""),"Z"&amp;ROW($M28),Planung!$I28&amp;Planung!$F28)</f>
        <v>Z28</v>
      </c>
      <c r="D25" s="165">
        <f ca="1"/>
        <v>1</v>
      </c>
      <c r="G25" s="779" t="s">
        <v>252</v>
      </c>
    </row>
    <row r="26" spans="1:7" x14ac:dyDescent="0.2">
      <c r="B26" s="165">
        <v>24</v>
      </c>
      <c r="C26" t="str">
        <f ca="1">IF(OR(Planung!$L29="",Planung!$N29=""),"Z"&amp;ROW($M29),Planung!$I29&amp;Planung!$F29)</f>
        <v>Z29</v>
      </c>
      <c r="D26" s="165">
        <f ca="1"/>
        <v>1</v>
      </c>
      <c r="G26" s="779"/>
    </row>
    <row r="27" spans="1:7" x14ac:dyDescent="0.2">
      <c r="B27" s="165">
        <v>25</v>
      </c>
      <c r="C27" t="str">
        <f ca="1">IF(OR(Planung!$L30="",Planung!$N30=""),"Z"&amp;ROW($M30),Planung!$I30&amp;Planung!$F30)</f>
        <v>Z30</v>
      </c>
      <c r="D27" s="165">
        <f ca="1"/>
        <v>1</v>
      </c>
      <c r="G27" s="779" t="s">
        <v>253</v>
      </c>
    </row>
    <row r="28" spans="1:7" x14ac:dyDescent="0.2">
      <c r="B28" s="165">
        <v>26</v>
      </c>
      <c r="C28" t="str">
        <f ca="1">IF(OR(Planung!$L31="",Planung!$N31=""),"Z"&amp;ROW($M31),Planung!$I31&amp;Planung!$F31)</f>
        <v>Z31</v>
      </c>
      <c r="D28" s="165">
        <f ca="1"/>
        <v>1</v>
      </c>
      <c r="G28" s="779"/>
    </row>
    <row r="29" spans="1:7" x14ac:dyDescent="0.2">
      <c r="B29" s="165">
        <v>27</v>
      </c>
      <c r="C29" t="str">
        <f ca="1">IF(OR(Planung!$L32="",Planung!$N32=""),"Z"&amp;ROW($M32),Planung!$I32&amp;Planung!$F32)</f>
        <v>Z32</v>
      </c>
      <c r="D29" s="165">
        <f ca="1"/>
        <v>1</v>
      </c>
      <c r="G29" s="779" t="s">
        <v>325</v>
      </c>
    </row>
    <row r="30" spans="1:7" x14ac:dyDescent="0.2">
      <c r="B30" s="165">
        <v>28</v>
      </c>
      <c r="C30" t="str">
        <f ca="1">IF(OR(Planung!$L33="",Planung!$N33=""),"Z"&amp;ROW($M33),Planung!$I33&amp;Planung!$F33)</f>
        <v>Z33</v>
      </c>
      <c r="D30" s="165">
        <f ca="1"/>
        <v>1</v>
      </c>
      <c r="G30" s="779"/>
    </row>
    <row r="31" spans="1:7" x14ac:dyDescent="0.2">
      <c r="B31" s="165">
        <v>29</v>
      </c>
      <c r="C31" t="str">
        <f ca="1">IF(OR(Planung!$L34="",Planung!$N34=""),"Z"&amp;ROW($M34),Planung!$I34&amp;Planung!$F34)</f>
        <v>Z34</v>
      </c>
      <c r="D31" s="165">
        <f ca="1"/>
        <v>1</v>
      </c>
      <c r="G31" s="165"/>
    </row>
    <row r="32" spans="1:7" ht="13.5" thickBot="1" x14ac:dyDescent="0.25">
      <c r="A32" s="517"/>
      <c r="B32" s="518">
        <v>30</v>
      </c>
      <c r="C32" s="517" t="str">
        <f ca="1">IF(OR(Planung!$L35="",Planung!$N35=""),"Z"&amp;ROW($M35),Planung!$I35&amp;Planung!$F35)</f>
        <v>Z35</v>
      </c>
      <c r="D32" s="165">
        <f ca="1"/>
        <v>1</v>
      </c>
      <c r="G32" s="165"/>
    </row>
    <row r="33" spans="1:7" x14ac:dyDescent="0.2">
      <c r="A33" s="165"/>
      <c r="B33" s="165">
        <v>31</v>
      </c>
      <c r="C33" t="str">
        <f ca="1">IF(OR(Planung!$L6="",Planung!$N6=""),"ZZ"&amp;ROW($M6)+45,Planung!$K6&amp;Planung!$F6)</f>
        <v>A20,375</v>
      </c>
      <c r="D33" s="165">
        <f ca="1"/>
        <v>1</v>
      </c>
      <c r="G33" s="779" t="s">
        <v>254</v>
      </c>
    </row>
    <row r="34" spans="1:7" x14ac:dyDescent="0.2">
      <c r="A34" s="165"/>
      <c r="B34" s="165">
        <v>32</v>
      </c>
      <c r="C34" t="str">
        <f ca="1">IF(OR(Planung!$L7="",Planung!$N7=""),"ZZ"&amp;ROW($M7)+45,Planung!$K7&amp;Planung!$F7)</f>
        <v>B20,375</v>
      </c>
      <c r="D34" s="165">
        <f ca="1"/>
        <v>1</v>
      </c>
      <c r="G34" s="779"/>
    </row>
    <row r="35" spans="1:7" x14ac:dyDescent="0.2">
      <c r="A35" s="165"/>
      <c r="B35" s="165">
        <v>33</v>
      </c>
      <c r="C35" t="str">
        <f ca="1">IF(OR(Planung!$L8="",Planung!$N8=""),"ZZ"&amp;ROW($M8)+45,Planung!$K8&amp;Planung!$F8)</f>
        <v>A40,375</v>
      </c>
      <c r="D35" s="165">
        <f ca="1"/>
        <v>1</v>
      </c>
      <c r="G35" s="779" t="s">
        <v>255</v>
      </c>
    </row>
    <row r="36" spans="1:7" x14ac:dyDescent="0.2">
      <c r="A36" s="165"/>
      <c r="B36" s="165">
        <v>34</v>
      </c>
      <c r="C36" t="str">
        <f ca="1">IF(OR(Planung!$L9="",Planung!$N9=""),"ZZ"&amp;ROW($M9)+45,Planung!$K9&amp;Planung!$F9)</f>
        <v>B40,399305555555556</v>
      </c>
      <c r="D36" s="165">
        <f ca="1"/>
        <v>1</v>
      </c>
      <c r="G36" s="779"/>
    </row>
    <row r="37" spans="1:7" x14ac:dyDescent="0.2">
      <c r="A37" s="165"/>
      <c r="B37" s="165">
        <v>35</v>
      </c>
      <c r="C37" t="str">
        <f ca="1">IF(OR(Planung!$L10="",Planung!$N10=""),"ZZ"&amp;ROW($M10)+45,Planung!$K10&amp;Planung!$F10)</f>
        <v>A10,399305555555556</v>
      </c>
      <c r="D37" s="165">
        <f ca="1"/>
        <v>1</v>
      </c>
      <c r="G37" s="779" t="s">
        <v>257</v>
      </c>
    </row>
    <row r="38" spans="1:7" x14ac:dyDescent="0.2">
      <c r="A38" s="165"/>
      <c r="B38" s="165">
        <v>36</v>
      </c>
      <c r="C38" t="str">
        <f ca="1">IF(OR(Planung!$L11="",Planung!$N11=""),"ZZ"&amp;ROW($M11)+45,Planung!$K11&amp;Planung!$F11)</f>
        <v>B10,399305555555556</v>
      </c>
      <c r="D38" s="165">
        <f ca="1"/>
        <v>1</v>
      </c>
      <c r="G38" s="779"/>
    </row>
    <row r="39" spans="1:7" x14ac:dyDescent="0.2">
      <c r="A39" s="165"/>
      <c r="B39" s="165">
        <v>37</v>
      </c>
      <c r="C39" t="str">
        <f ca="1">IF(OR(Planung!$L12="",Planung!$N12=""),"ZZ"&amp;ROW($M12)+45,Planung!$K12&amp;Planung!$F12)</f>
        <v>A30,423611111111111</v>
      </c>
      <c r="D39" s="165">
        <f ca="1"/>
        <v>1</v>
      </c>
      <c r="G39" s="779" t="s">
        <v>256</v>
      </c>
    </row>
    <row r="40" spans="1:7" x14ac:dyDescent="0.2">
      <c r="A40" s="165"/>
      <c r="B40" s="165">
        <v>38</v>
      </c>
      <c r="C40" t="str">
        <f ca="1">IF(OR(Planung!$L13="",Planung!$N13=""),"ZZ"&amp;ROW($M13)+45,Planung!$K13&amp;Planung!$F13)</f>
        <v>B30,423611111111111</v>
      </c>
      <c r="D40" s="165">
        <f ca="1"/>
        <v>1</v>
      </c>
      <c r="G40" s="779"/>
    </row>
    <row r="41" spans="1:7" x14ac:dyDescent="0.2">
      <c r="A41" s="165"/>
      <c r="B41" s="165">
        <v>39</v>
      </c>
      <c r="C41" t="str">
        <f ca="1">IF(OR(Planung!$L14="",Planung!$N14=""),"ZZ"&amp;ROW($M14)+45,Planung!$K14&amp;Planung!$F14)</f>
        <v>A40,423611111111111</v>
      </c>
      <c r="D41" s="165">
        <f ca="1"/>
        <v>1</v>
      </c>
      <c r="G41" s="779" t="s">
        <v>258</v>
      </c>
    </row>
    <row r="42" spans="1:7" x14ac:dyDescent="0.2">
      <c r="A42" s="165"/>
      <c r="B42" s="165">
        <v>40</v>
      </c>
      <c r="C42" t="str">
        <f ca="1">IF(OR(Planung!$L15="",Planung!$N15=""),"ZZ"&amp;ROW($M15)+45,Planung!$K15&amp;Planung!$F15)</f>
        <v>B40,447916666666667</v>
      </c>
      <c r="D42" s="165">
        <f ca="1"/>
        <v>1</v>
      </c>
      <c r="G42" s="779"/>
    </row>
    <row r="43" spans="1:7" x14ac:dyDescent="0.2">
      <c r="A43" s="165"/>
      <c r="B43" s="165">
        <v>41</v>
      </c>
      <c r="C43" t="str">
        <f ca="1">IF(OR(Planung!$L16="",Planung!$N16=""),"ZZ"&amp;ROW($M16)+45,Planung!$K16&amp;Planung!$F16)</f>
        <v>A50,447916666666667</v>
      </c>
      <c r="D43" s="165">
        <f ca="1"/>
        <v>1</v>
      </c>
    </row>
    <row r="44" spans="1:7" x14ac:dyDescent="0.2">
      <c r="A44" s="165"/>
      <c r="B44" s="165">
        <v>42</v>
      </c>
      <c r="C44" t="str">
        <f ca="1">IF(OR(Planung!$L17="",Planung!$N17=""),"ZZ"&amp;ROW($M17)+45,Planung!$K17&amp;Planung!$F17)</f>
        <v>B50,447916666666667</v>
      </c>
      <c r="D44" s="165">
        <f ca="1"/>
        <v>1</v>
      </c>
    </row>
    <row r="45" spans="1:7" x14ac:dyDescent="0.2">
      <c r="A45" s="165"/>
      <c r="B45" s="165">
        <v>43</v>
      </c>
      <c r="C45" t="str">
        <f ca="1">IF(OR(Planung!$L18="",Planung!$N18=""),"ZZ"&amp;ROW($M18)+45,Planung!$K18&amp;Planung!$F18)</f>
        <v>A40,472222222222222</v>
      </c>
      <c r="D45" s="165">
        <f ca="1"/>
        <v>1</v>
      </c>
    </row>
    <row r="46" spans="1:7" x14ac:dyDescent="0.2">
      <c r="A46" s="165"/>
      <c r="B46" s="165">
        <v>44</v>
      </c>
      <c r="C46" t="str">
        <f ca="1">IF(OR(Planung!$L19="",Planung!$N19=""),"ZZ"&amp;ROW($M19)+45,Planung!$K19&amp;Planung!$F19)</f>
        <v>B40,472222222222222</v>
      </c>
      <c r="D46" s="165">
        <f ca="1"/>
        <v>1</v>
      </c>
    </row>
    <row r="47" spans="1:7" x14ac:dyDescent="0.2">
      <c r="A47" s="165"/>
      <c r="B47" s="165">
        <v>45</v>
      </c>
      <c r="C47" t="str">
        <f ca="1">IF(OR(Planung!$L20="",Planung!$N20=""),"ZZ"&amp;ROW($M20)+45,Planung!$K20&amp;Planung!$F20)</f>
        <v>A10,472222222222222</v>
      </c>
      <c r="D47" s="165">
        <f ca="1"/>
        <v>1</v>
      </c>
    </row>
    <row r="48" spans="1:7" x14ac:dyDescent="0.2">
      <c r="A48" s="165"/>
      <c r="B48" s="165">
        <v>46</v>
      </c>
      <c r="C48" t="str">
        <f ca="1">IF(OR(Planung!$L21="",Planung!$N21=""),"ZZ"&amp;ROW($M21)+45,Planung!$K21&amp;Planung!$F21)</f>
        <v>B10,496527777777778</v>
      </c>
      <c r="D48" s="165">
        <f ca="1"/>
        <v>1</v>
      </c>
    </row>
    <row r="49" spans="1:4" x14ac:dyDescent="0.2">
      <c r="A49" s="165"/>
      <c r="B49" s="165">
        <v>47</v>
      </c>
      <c r="C49" t="str">
        <f ca="1">IF(OR(Planung!$L22="",Planung!$N22=""),"ZZ"&amp;ROW($M22)+45,Planung!$K22&amp;Planung!$F22)</f>
        <v>A50,496527777777778</v>
      </c>
      <c r="D49" s="165">
        <f ca="1"/>
        <v>1</v>
      </c>
    </row>
    <row r="50" spans="1:4" x14ac:dyDescent="0.2">
      <c r="A50" s="165"/>
      <c r="B50" s="165">
        <v>48</v>
      </c>
      <c r="C50" t="str">
        <f ca="1">IF(OR(Planung!$L23="",Planung!$N23=""),"ZZ"&amp;ROW($M23)+45,Planung!$K23&amp;Planung!$F23)</f>
        <v>B50,496527777777778</v>
      </c>
      <c r="D50" s="165">
        <f ca="1"/>
        <v>1</v>
      </c>
    </row>
    <row r="51" spans="1:4" x14ac:dyDescent="0.2">
      <c r="A51" s="165"/>
      <c r="B51" s="165">
        <v>49</v>
      </c>
      <c r="C51" t="str">
        <f ca="1">IF(OR(Planung!$L24="",Planung!$N24=""),"ZZ"&amp;ROW($M24)+45,Planung!$K24&amp;Planung!$F24)</f>
        <v>A20,520833333333333</v>
      </c>
      <c r="D51" s="165">
        <f ca="1"/>
        <v>1</v>
      </c>
    </row>
    <row r="52" spans="1:4" x14ac:dyDescent="0.2">
      <c r="A52" s="165"/>
      <c r="B52" s="165">
        <v>50</v>
      </c>
      <c r="C52" t="str">
        <f ca="1">IF(OR(Planung!$L25="",Planung!$N25=""),"ZZ"&amp;ROW($M25)+45,Planung!$K25&amp;Planung!$F25)</f>
        <v>B20,520833333333333</v>
      </c>
      <c r="D52" s="165">
        <f ca="1"/>
        <v>1</v>
      </c>
    </row>
    <row r="53" spans="1:4" x14ac:dyDescent="0.2">
      <c r="A53" s="165"/>
      <c r="B53" s="165">
        <v>51</v>
      </c>
      <c r="C53" t="str">
        <f ca="1">IF(OR(Planung!$L26="",Planung!$N26=""),"ZZ"&amp;ROW($M26)+45,Planung!$K26&amp;Planung!$F26)</f>
        <v>ZZ71</v>
      </c>
      <c r="D53" s="165">
        <f ca="1"/>
        <v>1</v>
      </c>
    </row>
    <row r="54" spans="1:4" x14ac:dyDescent="0.2">
      <c r="A54" s="165"/>
      <c r="B54" s="165">
        <v>52</v>
      </c>
      <c r="C54" t="str">
        <f ca="1">IF(OR(Planung!$L27="",Planung!$N27=""),"ZZ"&amp;ROW($M27)+45,Planung!$K27&amp;Planung!$F27)</f>
        <v>ZZ72</v>
      </c>
      <c r="D54" s="165">
        <f ca="1"/>
        <v>1</v>
      </c>
    </row>
    <row r="55" spans="1:4" x14ac:dyDescent="0.2">
      <c r="A55" s="165"/>
      <c r="B55" s="165">
        <v>53</v>
      </c>
      <c r="C55" t="str">
        <f ca="1">IF(OR(Planung!$L28="",Planung!$N28=""),"ZZ"&amp;ROW($M28)+45,Planung!$K28&amp;Planung!$F28)</f>
        <v>ZZ73</v>
      </c>
      <c r="D55" s="165">
        <f ca="1"/>
        <v>1</v>
      </c>
    </row>
    <row r="56" spans="1:4" x14ac:dyDescent="0.2">
      <c r="A56" s="165"/>
      <c r="B56" s="165">
        <v>54</v>
      </c>
      <c r="C56" t="str">
        <f ca="1">IF(OR(Planung!$L29="",Planung!$N29=""),"ZZ"&amp;ROW($M29)+45,Planung!$K29&amp;Planung!$F29)</f>
        <v>ZZ74</v>
      </c>
      <c r="D56" s="165">
        <f ca="1"/>
        <v>1</v>
      </c>
    </row>
    <row r="57" spans="1:4" x14ac:dyDescent="0.2">
      <c r="A57" s="165"/>
      <c r="B57" s="165">
        <v>55</v>
      </c>
      <c r="C57" t="str">
        <f ca="1">IF(OR(Planung!$L30="",Planung!$N30=""),"ZZ"&amp;ROW($M30)+45,Planung!$K30&amp;Planung!$F30)</f>
        <v>ZZ75</v>
      </c>
      <c r="D57" s="165">
        <f ca="1"/>
        <v>1</v>
      </c>
    </row>
    <row r="58" spans="1:4" x14ac:dyDescent="0.2">
      <c r="A58" s="165"/>
      <c r="B58" s="165">
        <v>56</v>
      </c>
      <c r="C58" t="str">
        <f ca="1">IF(OR(Planung!$L31="",Planung!$N31=""),"ZZ"&amp;ROW($M31)+45,Planung!$K31&amp;Planung!$F31)</f>
        <v>ZZ76</v>
      </c>
      <c r="D58" s="165">
        <f ca="1"/>
        <v>1</v>
      </c>
    </row>
    <row r="59" spans="1:4" x14ac:dyDescent="0.2">
      <c r="A59" s="165"/>
      <c r="B59" s="165">
        <v>57</v>
      </c>
      <c r="C59" t="str">
        <f ca="1">IF(OR(Planung!$L32="",Planung!$N32=""),"ZZ"&amp;ROW($M32)+45,Planung!$K32&amp;Planung!$F32)</f>
        <v>ZZ77</v>
      </c>
      <c r="D59" s="165">
        <f ca="1"/>
        <v>1</v>
      </c>
    </row>
    <row r="60" spans="1:4" x14ac:dyDescent="0.2">
      <c r="A60" s="165"/>
      <c r="B60" s="165">
        <v>58</v>
      </c>
      <c r="C60" t="str">
        <f ca="1">IF(OR(Planung!$L33="",Planung!$N33=""),"ZZ"&amp;ROW($M33)+45,Planung!$K33&amp;Planung!$F33)</f>
        <v>ZZ78</v>
      </c>
      <c r="D60" s="165">
        <f ca="1"/>
        <v>1</v>
      </c>
    </row>
    <row r="61" spans="1:4" x14ac:dyDescent="0.2">
      <c r="A61" s="165"/>
      <c r="B61" s="165">
        <v>59</v>
      </c>
      <c r="C61" t="str">
        <f ca="1">IF(OR(Planung!$L34="",Planung!$N34=""),"ZZ"&amp;ROW($M34)+45,Planung!$K34&amp;Planung!$F34)</f>
        <v>ZZ79</v>
      </c>
      <c r="D61" s="165">
        <f ca="1"/>
        <v>1</v>
      </c>
    </row>
    <row r="62" spans="1:4" x14ac:dyDescent="0.2">
      <c r="A62" s="165"/>
      <c r="B62" s="165">
        <v>60</v>
      </c>
      <c r="C62" t="str">
        <f ca="1">IF(OR(Planung!$L35="",Planung!$N35=""),"ZZ"&amp;ROW($M35)+45,Planung!$K35&amp;Planung!$F35)</f>
        <v>ZZ80</v>
      </c>
      <c r="D62" s="165">
        <f ca="1"/>
        <v>1</v>
      </c>
    </row>
  </sheetData>
  <mergeCells count="10">
    <mergeCell ref="G35:G36"/>
    <mergeCell ref="G37:G38"/>
    <mergeCell ref="G39:G40"/>
    <mergeCell ref="G41:G42"/>
    <mergeCell ref="G21:G22"/>
    <mergeCell ref="G23:G24"/>
    <mergeCell ref="G25:G26"/>
    <mergeCell ref="G27:G28"/>
    <mergeCell ref="G29:G30"/>
    <mergeCell ref="G33:G34"/>
  </mergeCells>
  <conditionalFormatting sqref="G2">
    <cfRule type="expression" dxfId="36" priority="7">
      <formula>G2="FEHLER"</formula>
    </cfRule>
  </conditionalFormatting>
  <conditionalFormatting sqref="C3:C62">
    <cfRule type="duplicateValues" dxfId="35" priority="6"/>
  </conditionalFormatting>
  <conditionalFormatting sqref="E3">
    <cfRule type="cellIs" dxfId="34" priority="3" operator="greaterThan">
      <formula>0</formula>
    </cfRule>
  </conditionalFormatting>
  <conditionalFormatting sqref="E4">
    <cfRule type="cellIs" dxfId="33" priority="2" operator="greaterThan">
      <formula>0</formula>
    </cfRule>
  </conditionalFormatting>
  <conditionalFormatting sqref="E7">
    <cfRule type="expression" dxfId="32" priority="1">
      <formula>E7="FEHLER"</formula>
    </cfRule>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Q44"/>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8" width="8.85546875" customWidth="1"/>
  </cols>
  <sheetData>
    <row r="1" spans="1:17" x14ac:dyDescent="0.2">
      <c r="A1" s="780" t="str">
        <f>Sprache!$E$50</f>
        <v>Spielpaarungen</v>
      </c>
      <c r="C1" s="237" t="s">
        <v>180</v>
      </c>
      <c r="D1" s="244" t="s">
        <v>192</v>
      </c>
      <c r="E1" s="244" t="s">
        <v>196</v>
      </c>
      <c r="G1" s="237" t="s">
        <v>171</v>
      </c>
      <c r="H1" s="72" t="s">
        <v>194</v>
      </c>
      <c r="I1" s="72" t="s">
        <v>198</v>
      </c>
      <c r="K1" s="237" t="s">
        <v>172</v>
      </c>
      <c r="L1" s="72" t="s">
        <v>200</v>
      </c>
      <c r="M1" s="72" t="s">
        <v>196</v>
      </c>
      <c r="O1" s="237" t="s">
        <v>173</v>
      </c>
      <c r="P1" s="72" t="s">
        <v>194</v>
      </c>
      <c r="Q1" s="72" t="s">
        <v>202</v>
      </c>
    </row>
    <row r="2" spans="1:17" x14ac:dyDescent="0.2">
      <c r="A2" s="780"/>
      <c r="C2" s="330"/>
      <c r="D2" s="244" t="s">
        <v>193</v>
      </c>
      <c r="E2" s="244" t="s">
        <v>197</v>
      </c>
      <c r="G2" s="330"/>
      <c r="H2" s="72" t="s">
        <v>195</v>
      </c>
      <c r="I2" s="72" t="s">
        <v>199</v>
      </c>
      <c r="J2" s="72"/>
      <c r="K2" s="330"/>
      <c r="L2" s="72" t="s">
        <v>201</v>
      </c>
      <c r="M2" s="72" t="s">
        <v>197</v>
      </c>
      <c r="O2" s="330"/>
      <c r="P2" s="72" t="s">
        <v>195</v>
      </c>
      <c r="Q2" s="72" t="s">
        <v>203</v>
      </c>
    </row>
    <row r="3" spans="1:17" ht="12.75" customHeight="1" x14ac:dyDescent="0.2">
      <c r="A3" s="780"/>
      <c r="C3" s="327"/>
      <c r="D3" s="244" t="s">
        <v>192</v>
      </c>
      <c r="E3" s="244" t="s">
        <v>194</v>
      </c>
      <c r="G3" s="327"/>
      <c r="H3" s="72" t="s">
        <v>192</v>
      </c>
      <c r="I3" s="72" t="s">
        <v>196</v>
      </c>
      <c r="K3" s="328"/>
      <c r="L3" s="72" t="s">
        <v>192</v>
      </c>
      <c r="M3" s="72" t="s">
        <v>198</v>
      </c>
      <c r="O3" s="165"/>
      <c r="P3" s="72" t="s">
        <v>200</v>
      </c>
      <c r="Q3" s="72" t="s">
        <v>196</v>
      </c>
    </row>
    <row r="4" spans="1:17" ht="12.75" customHeight="1" x14ac:dyDescent="0.2">
      <c r="A4" s="780"/>
      <c r="C4" s="327"/>
      <c r="D4" s="244" t="s">
        <v>193</v>
      </c>
      <c r="E4" s="244" t="s">
        <v>195</v>
      </c>
      <c r="G4" s="327"/>
      <c r="H4" s="72" t="s">
        <v>193</v>
      </c>
      <c r="I4" s="72" t="s">
        <v>197</v>
      </c>
      <c r="K4" s="328"/>
      <c r="L4" s="72" t="s">
        <v>193</v>
      </c>
      <c r="M4" s="72" t="s">
        <v>199</v>
      </c>
      <c r="O4" s="165"/>
      <c r="P4" s="72" t="s">
        <v>201</v>
      </c>
      <c r="Q4" s="72" t="s">
        <v>197</v>
      </c>
    </row>
    <row r="5" spans="1:17" x14ac:dyDescent="0.2">
      <c r="A5" s="780"/>
      <c r="C5" s="327"/>
      <c r="D5" s="244" t="s">
        <v>194</v>
      </c>
      <c r="E5" s="244" t="s">
        <v>196</v>
      </c>
      <c r="G5" s="327"/>
      <c r="H5" s="72" t="s">
        <v>192</v>
      </c>
      <c r="I5" s="72" t="s">
        <v>194</v>
      </c>
      <c r="K5" s="329"/>
      <c r="L5" s="72" t="s">
        <v>200</v>
      </c>
      <c r="M5" s="72" t="s">
        <v>194</v>
      </c>
      <c r="P5" s="72" t="s">
        <v>192</v>
      </c>
      <c r="Q5" s="72" t="s">
        <v>198</v>
      </c>
    </row>
    <row r="6" spans="1:17" x14ac:dyDescent="0.2">
      <c r="A6" s="780"/>
      <c r="C6" s="327"/>
      <c r="D6" s="244" t="s">
        <v>195</v>
      </c>
      <c r="E6" s="244" t="s">
        <v>197</v>
      </c>
      <c r="G6" s="327"/>
      <c r="H6" s="72" t="s">
        <v>196</v>
      </c>
      <c r="I6" s="72" t="s">
        <v>198</v>
      </c>
      <c r="J6" s="519" t="s">
        <v>288</v>
      </c>
      <c r="K6" s="72"/>
      <c r="L6" s="72" t="s">
        <v>201</v>
      </c>
      <c r="M6" s="72" t="s">
        <v>195</v>
      </c>
      <c r="P6" s="72" t="s">
        <v>193</v>
      </c>
      <c r="Q6" s="72" t="s">
        <v>199</v>
      </c>
    </row>
    <row r="7" spans="1:17" ht="12.75" customHeight="1" x14ac:dyDescent="0.2">
      <c r="A7" s="780"/>
      <c r="C7" s="327"/>
      <c r="D7" s="244"/>
      <c r="E7" s="244"/>
      <c r="G7" s="327"/>
      <c r="H7" s="72" t="s">
        <v>193</v>
      </c>
      <c r="I7" s="72" t="s">
        <v>195</v>
      </c>
      <c r="J7" s="519" t="s">
        <v>288</v>
      </c>
      <c r="K7" s="72"/>
      <c r="L7" s="72" t="s">
        <v>196</v>
      </c>
      <c r="M7" s="72" t="s">
        <v>192</v>
      </c>
      <c r="P7" s="72" t="s">
        <v>200</v>
      </c>
      <c r="Q7" s="72" t="s">
        <v>194</v>
      </c>
    </row>
    <row r="8" spans="1:17" ht="12.75" customHeight="1" x14ac:dyDescent="0.2">
      <c r="A8" s="780"/>
      <c r="C8" s="327"/>
      <c r="D8" s="244"/>
      <c r="E8" s="244"/>
      <c r="G8" s="327"/>
      <c r="H8" s="72" t="s">
        <v>197</v>
      </c>
      <c r="I8" s="72" t="s">
        <v>199</v>
      </c>
      <c r="K8" s="329"/>
      <c r="L8" s="72" t="s">
        <v>197</v>
      </c>
      <c r="M8" s="72" t="s">
        <v>193</v>
      </c>
      <c r="P8" s="72" t="s">
        <v>201</v>
      </c>
      <c r="Q8" s="72" t="s">
        <v>195</v>
      </c>
    </row>
    <row r="9" spans="1:17" x14ac:dyDescent="0.2">
      <c r="A9" s="780"/>
      <c r="C9" s="327"/>
      <c r="D9" s="244"/>
      <c r="E9" s="244"/>
      <c r="G9" s="327"/>
      <c r="H9" s="72" t="s">
        <v>194</v>
      </c>
      <c r="I9" s="72" t="s">
        <v>196</v>
      </c>
      <c r="K9" s="329"/>
      <c r="L9" s="72" t="s">
        <v>194</v>
      </c>
      <c r="M9" s="72" t="s">
        <v>198</v>
      </c>
      <c r="P9" s="72" t="s">
        <v>198</v>
      </c>
      <c r="Q9" s="72" t="s">
        <v>202</v>
      </c>
    </row>
    <row r="10" spans="1:17" x14ac:dyDescent="0.2">
      <c r="A10" s="780"/>
      <c r="C10" s="327"/>
      <c r="D10" s="244"/>
      <c r="E10" s="244"/>
      <c r="G10" s="327"/>
      <c r="H10" s="72" t="s">
        <v>195</v>
      </c>
      <c r="I10" s="72" t="s">
        <v>197</v>
      </c>
      <c r="K10" s="329"/>
      <c r="L10" s="72" t="s">
        <v>195</v>
      </c>
      <c r="M10" s="72" t="s">
        <v>199</v>
      </c>
      <c r="P10" s="72" t="s">
        <v>199</v>
      </c>
      <c r="Q10" s="72" t="s">
        <v>203</v>
      </c>
    </row>
    <row r="11" spans="1:17" ht="13.5" customHeight="1" x14ac:dyDescent="0.2">
      <c r="A11" s="780"/>
      <c r="C11" s="327"/>
      <c r="D11" s="244"/>
      <c r="E11" s="244"/>
      <c r="G11" s="327"/>
      <c r="H11" s="72" t="s">
        <v>198</v>
      </c>
      <c r="I11" s="72" t="s">
        <v>192</v>
      </c>
      <c r="K11" s="327"/>
      <c r="L11" s="72" t="s">
        <v>192</v>
      </c>
      <c r="M11" s="72" t="s">
        <v>200</v>
      </c>
      <c r="P11" s="72" t="s">
        <v>196</v>
      </c>
      <c r="Q11" s="72" t="s">
        <v>192</v>
      </c>
    </row>
    <row r="12" spans="1:17" ht="13.5" customHeight="1" x14ac:dyDescent="0.2">
      <c r="A12" s="780"/>
      <c r="C12" s="327"/>
      <c r="D12" s="244"/>
      <c r="E12" s="244"/>
      <c r="G12" s="327"/>
      <c r="H12" s="72" t="s">
        <v>199</v>
      </c>
      <c r="I12" s="72" t="s">
        <v>193</v>
      </c>
      <c r="K12" s="327"/>
      <c r="L12" s="72" t="s">
        <v>193</v>
      </c>
      <c r="M12" s="72" t="s">
        <v>201</v>
      </c>
      <c r="P12" s="72" t="s">
        <v>197</v>
      </c>
      <c r="Q12" s="72" t="s">
        <v>193</v>
      </c>
    </row>
    <row r="13" spans="1:17" ht="12.75" customHeight="1" x14ac:dyDescent="0.2">
      <c r="A13" s="780"/>
      <c r="D13" s="72"/>
      <c r="E13" s="72"/>
      <c r="G13" s="327"/>
      <c r="H13" s="72"/>
      <c r="I13" s="72"/>
      <c r="K13" s="327"/>
      <c r="L13" s="72" t="s">
        <v>196</v>
      </c>
      <c r="M13" s="72" t="s">
        <v>198</v>
      </c>
      <c r="P13" s="72" t="s">
        <v>194</v>
      </c>
      <c r="Q13" s="72" t="s">
        <v>198</v>
      </c>
    </row>
    <row r="14" spans="1:17" ht="12.75" customHeight="1" x14ac:dyDescent="0.2">
      <c r="A14" s="780"/>
      <c r="D14" s="72"/>
      <c r="E14" s="72"/>
      <c r="G14" s="327"/>
      <c r="K14" s="327"/>
      <c r="L14" s="72" t="s">
        <v>197</v>
      </c>
      <c r="M14" s="72" t="s">
        <v>199</v>
      </c>
      <c r="P14" s="72" t="s">
        <v>195</v>
      </c>
      <c r="Q14" s="72" t="s">
        <v>199</v>
      </c>
    </row>
    <row r="15" spans="1:17" x14ac:dyDescent="0.2">
      <c r="A15" s="780"/>
      <c r="C15" s="245"/>
      <c r="D15" s="72"/>
      <c r="E15" s="72"/>
      <c r="G15" s="327"/>
      <c r="H15" s="72"/>
      <c r="I15" s="520"/>
      <c r="J15" s="519" t="s">
        <v>295</v>
      </c>
      <c r="K15" s="327"/>
      <c r="L15" s="72" t="s">
        <v>192</v>
      </c>
      <c r="M15" s="72" t="s">
        <v>194</v>
      </c>
      <c r="P15" s="72" t="s">
        <v>192</v>
      </c>
      <c r="Q15" s="72" t="s">
        <v>200</v>
      </c>
    </row>
    <row r="16" spans="1:17" x14ac:dyDescent="0.2">
      <c r="A16" s="780"/>
      <c r="C16" s="245"/>
      <c r="D16" s="72"/>
      <c r="E16" s="72"/>
      <c r="G16" s="327"/>
      <c r="H16" s="72"/>
      <c r="I16" s="72"/>
      <c r="J16" s="458" t="s">
        <v>289</v>
      </c>
      <c r="K16" s="327"/>
      <c r="L16" s="72" t="s">
        <v>193</v>
      </c>
      <c r="M16" s="72" t="s">
        <v>195</v>
      </c>
      <c r="P16" s="72" t="s">
        <v>193</v>
      </c>
      <c r="Q16" s="72" t="s">
        <v>201</v>
      </c>
    </row>
    <row r="17" spans="1:17" x14ac:dyDescent="0.2">
      <c r="A17" s="780"/>
      <c r="C17" s="245"/>
      <c r="D17" s="72"/>
      <c r="E17" s="72"/>
      <c r="G17" s="327"/>
      <c r="H17" s="72"/>
      <c r="I17" s="72"/>
      <c r="J17" s="458" t="s">
        <v>161</v>
      </c>
      <c r="K17" s="327"/>
      <c r="L17" s="72" t="s">
        <v>198</v>
      </c>
      <c r="M17" s="72" t="s">
        <v>200</v>
      </c>
      <c r="P17" s="72" t="s">
        <v>202</v>
      </c>
      <c r="Q17" s="72" t="s">
        <v>196</v>
      </c>
    </row>
    <row r="18" spans="1:17" x14ac:dyDescent="0.2">
      <c r="A18" s="780"/>
      <c r="C18" s="245"/>
      <c r="D18" s="72"/>
      <c r="E18" s="72"/>
      <c r="G18" s="327"/>
      <c r="H18" s="72"/>
      <c r="I18" s="72"/>
      <c r="J18" s="458" t="s">
        <v>290</v>
      </c>
      <c r="K18" s="327"/>
      <c r="L18" s="72" t="s">
        <v>199</v>
      </c>
      <c r="M18" s="72" t="s">
        <v>201</v>
      </c>
      <c r="P18" s="72" t="s">
        <v>203</v>
      </c>
      <c r="Q18" s="72" t="s">
        <v>197</v>
      </c>
    </row>
    <row r="19" spans="1:17" x14ac:dyDescent="0.2">
      <c r="A19" s="780"/>
      <c r="C19" s="245"/>
      <c r="D19" s="72"/>
      <c r="E19" s="72"/>
      <c r="G19" s="327"/>
      <c r="H19" s="72"/>
      <c r="I19" s="72"/>
      <c r="J19" s="458" t="s">
        <v>291</v>
      </c>
      <c r="K19" s="327"/>
      <c r="L19" s="72" t="s">
        <v>194</v>
      </c>
      <c r="M19" s="72" t="s">
        <v>196</v>
      </c>
      <c r="P19" s="72" t="s">
        <v>192</v>
      </c>
      <c r="Q19" s="72" t="s">
        <v>194</v>
      </c>
    </row>
    <row r="20" spans="1:17" x14ac:dyDescent="0.2">
      <c r="A20" s="780"/>
      <c r="C20" s="245"/>
      <c r="D20" s="72"/>
      <c r="E20" s="72"/>
      <c r="G20" s="327"/>
      <c r="H20" s="72"/>
      <c r="I20" s="72"/>
      <c r="K20" s="327"/>
      <c r="L20" s="72" t="s">
        <v>195</v>
      </c>
      <c r="M20" s="72" t="s">
        <v>197</v>
      </c>
      <c r="P20" s="72" t="s">
        <v>193</v>
      </c>
      <c r="Q20" s="72" t="s">
        <v>195</v>
      </c>
    </row>
    <row r="21" spans="1:17" x14ac:dyDescent="0.2">
      <c r="A21" s="780"/>
      <c r="C21" s="245"/>
      <c r="D21" s="72"/>
      <c r="E21" s="72"/>
      <c r="G21" s="327"/>
      <c r="H21" s="72"/>
      <c r="I21" s="520"/>
      <c r="J21" s="458" t="s">
        <v>296</v>
      </c>
      <c r="K21" s="327"/>
      <c r="L21" s="72"/>
      <c r="M21" s="72"/>
      <c r="O21" s="327"/>
      <c r="P21" s="72" t="s">
        <v>196</v>
      </c>
      <c r="Q21" s="72" t="s">
        <v>198</v>
      </c>
    </row>
    <row r="22" spans="1:17" x14ac:dyDescent="0.2">
      <c r="A22" s="780"/>
      <c r="C22" s="245"/>
      <c r="D22" s="72"/>
      <c r="E22" s="72"/>
      <c r="G22" s="327"/>
      <c r="H22" s="72"/>
      <c r="I22" s="72"/>
      <c r="J22" s="458" t="s">
        <v>292</v>
      </c>
      <c r="K22" s="327"/>
      <c r="L22" s="72"/>
      <c r="M22" s="72"/>
      <c r="O22" s="327"/>
      <c r="P22" s="72" t="s">
        <v>197</v>
      </c>
      <c r="Q22" s="72" t="s">
        <v>199</v>
      </c>
    </row>
    <row r="23" spans="1:17" x14ac:dyDescent="0.2">
      <c r="A23" s="780"/>
      <c r="D23" s="72"/>
      <c r="E23" s="72"/>
      <c r="H23" s="72"/>
      <c r="I23" s="72"/>
      <c r="J23" s="458" t="s">
        <v>293</v>
      </c>
      <c r="K23" s="327"/>
      <c r="L23" s="72"/>
      <c r="M23" s="72"/>
      <c r="O23" s="327"/>
      <c r="P23" s="72" t="s">
        <v>200</v>
      </c>
      <c r="Q23" s="72" t="s">
        <v>202</v>
      </c>
    </row>
    <row r="24" spans="1:17" x14ac:dyDescent="0.2">
      <c r="A24" s="780"/>
      <c r="D24" s="72"/>
      <c r="E24" s="72"/>
      <c r="H24" s="72"/>
      <c r="I24" s="72"/>
      <c r="J24" s="458" t="s">
        <v>294</v>
      </c>
      <c r="K24" s="327"/>
      <c r="L24" s="72"/>
      <c r="M24" s="72"/>
      <c r="O24" s="327"/>
      <c r="P24" s="72" t="s">
        <v>201</v>
      </c>
      <c r="Q24" s="72" t="s">
        <v>203</v>
      </c>
    </row>
    <row r="25" spans="1:17" x14ac:dyDescent="0.2">
      <c r="A25" s="780"/>
      <c r="J25" s="458"/>
      <c r="K25" s="327"/>
      <c r="L25" s="72"/>
      <c r="M25" s="72"/>
      <c r="O25" s="327"/>
      <c r="P25" s="72" t="s">
        <v>194</v>
      </c>
      <c r="Q25" s="72" t="s">
        <v>196</v>
      </c>
    </row>
    <row r="26" spans="1:17" x14ac:dyDescent="0.2">
      <c r="A26" s="780"/>
      <c r="K26" s="327"/>
      <c r="L26" s="72"/>
      <c r="M26" s="72"/>
      <c r="O26" s="327"/>
      <c r="P26" s="72" t="s">
        <v>195</v>
      </c>
      <c r="Q26" s="72" t="s">
        <v>197</v>
      </c>
    </row>
    <row r="27" spans="1:17" x14ac:dyDescent="0.2">
      <c r="A27" s="780"/>
      <c r="K27" s="327"/>
      <c r="L27" s="72"/>
      <c r="M27" s="72"/>
      <c r="O27" s="327"/>
      <c r="P27" s="72" t="s">
        <v>202</v>
      </c>
      <c r="Q27" s="72" t="s">
        <v>192</v>
      </c>
    </row>
    <row r="28" spans="1:17" x14ac:dyDescent="0.2">
      <c r="A28" s="780"/>
      <c r="K28" s="327"/>
      <c r="L28" s="72"/>
      <c r="M28" s="72"/>
      <c r="O28" s="327"/>
      <c r="P28" s="72" t="s">
        <v>203</v>
      </c>
      <c r="Q28" s="72" t="s">
        <v>193</v>
      </c>
    </row>
    <row r="29" spans="1:17" x14ac:dyDescent="0.2">
      <c r="A29" s="780"/>
      <c r="K29" s="327"/>
      <c r="L29" s="72"/>
      <c r="M29" s="72"/>
      <c r="O29" s="327"/>
      <c r="P29" s="72" t="s">
        <v>198</v>
      </c>
      <c r="Q29" s="72" t="s">
        <v>200</v>
      </c>
    </row>
    <row r="30" spans="1:17" x14ac:dyDescent="0.2">
      <c r="A30" s="780"/>
      <c r="K30" s="329"/>
      <c r="L30" s="72"/>
      <c r="M30" s="72"/>
      <c r="O30" s="327"/>
      <c r="P30" s="72" t="s">
        <v>199</v>
      </c>
      <c r="Q30" s="72" t="s">
        <v>201</v>
      </c>
    </row>
    <row r="31" spans="1:17" x14ac:dyDescent="0.2">
      <c r="A31" s="780"/>
      <c r="L31" s="72"/>
      <c r="M31" s="72"/>
      <c r="O31" s="327"/>
      <c r="P31" s="72"/>
      <c r="Q31" s="72"/>
    </row>
    <row r="32" spans="1:17" x14ac:dyDescent="0.2">
      <c r="A32" s="780"/>
      <c r="L32" s="72"/>
      <c r="M32" s="72"/>
      <c r="O32" s="327"/>
      <c r="P32" s="72"/>
      <c r="Q32" s="72"/>
    </row>
    <row r="33" spans="12:17" x14ac:dyDescent="0.2">
      <c r="L33" s="72"/>
      <c r="M33" s="72"/>
      <c r="O33" s="327"/>
      <c r="P33" s="72"/>
      <c r="Q33" s="72"/>
    </row>
    <row r="34" spans="12:17" x14ac:dyDescent="0.2">
      <c r="L34" s="72"/>
      <c r="M34" s="72"/>
      <c r="O34" s="327"/>
      <c r="P34" s="72"/>
      <c r="Q34" s="72"/>
    </row>
    <row r="35" spans="12:17" x14ac:dyDescent="0.2">
      <c r="P35" s="72"/>
      <c r="Q35" s="72"/>
    </row>
    <row r="36" spans="12:17" x14ac:dyDescent="0.2">
      <c r="P36" s="72"/>
      <c r="Q36" s="72"/>
    </row>
    <row r="37" spans="12:17" x14ac:dyDescent="0.2">
      <c r="P37" s="72"/>
      <c r="Q37" s="72"/>
    </row>
    <row r="38" spans="12:17" x14ac:dyDescent="0.2">
      <c r="P38" s="72"/>
      <c r="Q38" s="72"/>
    </row>
    <row r="39" spans="12:17" x14ac:dyDescent="0.2">
      <c r="P39" s="72"/>
      <c r="Q39" s="72"/>
    </row>
    <row r="40" spans="12:17" x14ac:dyDescent="0.2">
      <c r="P40" s="72"/>
      <c r="Q40" s="72"/>
    </row>
    <row r="41" spans="12:17" x14ac:dyDescent="0.2">
      <c r="P41" s="72"/>
      <c r="Q41" s="72"/>
    </row>
    <row r="42" spans="12:17" x14ac:dyDescent="0.2">
      <c r="P42" s="72"/>
      <c r="Q42" s="72"/>
    </row>
    <row r="43" spans="12:17" x14ac:dyDescent="0.2">
      <c r="P43" s="72"/>
      <c r="Q43" s="72"/>
    </row>
    <row r="44" spans="12:17" x14ac:dyDescent="0.2">
      <c r="P44" s="72"/>
      <c r="Q44" s="72"/>
    </row>
  </sheetData>
  <mergeCells count="1">
    <mergeCell ref="A1:A32"/>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P43"/>
  <sheetViews>
    <sheetView showGridLines="0" showRowColHeaders="0" tabSelected="1" zoomScaleNormal="100" workbookViewId="0">
      <selection activeCell="I12" sqref="I12"/>
    </sheetView>
  </sheetViews>
  <sheetFormatPr baseColWidth="10" defaultColWidth="0" defaultRowHeight="12.75" zeroHeight="1" x14ac:dyDescent="0.2"/>
  <cols>
    <col min="1" max="1" width="2.7109375" style="41" customWidth="1"/>
    <col min="2" max="2" width="6.7109375" style="41" customWidth="1"/>
    <col min="3" max="3" width="8.5703125" style="41" customWidth="1"/>
    <col min="4" max="4" width="6.5703125" style="41" customWidth="1"/>
    <col min="5" max="5" width="4.85546875" style="41" customWidth="1"/>
    <col min="6" max="6" width="26.7109375" style="41" customWidth="1"/>
    <col min="7" max="7" width="3" style="41" customWidth="1"/>
    <col min="8" max="8" width="26.7109375" style="41" customWidth="1"/>
    <col min="9" max="9" width="4.7109375" style="41" customWidth="1"/>
    <col min="10" max="10" width="2" style="41" customWidth="1"/>
    <col min="11" max="12" width="4.7109375" style="41" customWidth="1"/>
    <col min="13" max="13" width="2.28515625" style="41" customWidth="1"/>
    <col min="14" max="14" width="4.7109375" style="41" customWidth="1"/>
    <col min="15" max="15" width="4.42578125" style="41" customWidth="1"/>
    <col min="16" max="16" width="4.140625" style="41" customWidth="1"/>
    <col min="17" max="17" width="26.7109375" style="41" customWidth="1"/>
    <col min="18" max="21" width="5.7109375" style="41" customWidth="1"/>
    <col min="22" max="22" width="3.7109375" style="41" customWidth="1"/>
    <col min="23" max="23" width="2.140625" style="41" customWidth="1"/>
    <col min="24" max="24" width="3.7109375" style="41" customWidth="1"/>
    <col min="25" max="25" width="5.7109375" style="41" customWidth="1"/>
    <col min="26" max="26" width="2.140625" style="41" customWidth="1"/>
    <col min="27" max="27" width="5.7109375" style="41" customWidth="1"/>
    <col min="28" max="29" width="6.7109375" style="41" customWidth="1"/>
    <col min="30" max="35" width="7.85546875" style="41" customWidth="1"/>
    <col min="36" max="36" width="26.7109375" style="41" customWidth="1"/>
    <col min="37" max="37" width="4.140625" style="41" customWidth="1"/>
    <col min="38" max="38" width="11.42578125" style="41" hidden="1" customWidth="1"/>
    <col min="39" max="39" width="8" style="41" hidden="1" customWidth="1"/>
    <col min="40" max="40" width="30.7109375" style="41" hidden="1" customWidth="1"/>
    <col min="41" max="41" width="11.42578125" style="41" hidden="1" customWidth="1"/>
    <col min="42" max="42" width="12.42578125" style="41" hidden="1" customWidth="1"/>
    <col min="43" max="16384" width="11.42578125" style="41" hidden="1"/>
  </cols>
  <sheetData>
    <row r="1" spans="1:42" ht="13.5" thickBot="1" x14ac:dyDescent="0.25">
      <c r="B1" s="342"/>
      <c r="C1" s="342"/>
      <c r="D1" s="277"/>
      <c r="E1" s="277"/>
      <c r="F1" s="277"/>
      <c r="G1" s="277"/>
      <c r="H1" s="277"/>
      <c r="I1" s="277"/>
      <c r="J1" s="277"/>
      <c r="K1" s="277"/>
      <c r="L1" s="277"/>
      <c r="M1" s="277"/>
      <c r="N1" s="277"/>
      <c r="P1" s="781"/>
      <c r="Q1" s="781"/>
      <c r="AH1" s="342"/>
      <c r="AI1" s="342"/>
    </row>
    <row r="2" spans="1:42" ht="36" customHeight="1" thickTop="1" x14ac:dyDescent="0.2">
      <c r="B2" s="276"/>
      <c r="C2" s="276"/>
      <c r="G2" s="795" t="s">
        <v>354</v>
      </c>
      <c r="H2" s="796"/>
      <c r="I2" s="796"/>
      <c r="J2" s="796"/>
      <c r="K2" s="796"/>
      <c r="L2" s="796"/>
      <c r="M2" s="796"/>
      <c r="N2" s="796"/>
      <c r="O2" s="796"/>
      <c r="P2" s="796"/>
      <c r="Q2" s="796"/>
      <c r="R2" s="796"/>
      <c r="S2" s="796"/>
      <c r="T2" s="796"/>
      <c r="U2" s="796"/>
      <c r="V2" s="796"/>
      <c r="W2" s="796"/>
      <c r="X2" s="796"/>
      <c r="Y2" s="796"/>
      <c r="Z2" s="796"/>
      <c r="AA2" s="796"/>
      <c r="AB2" s="796"/>
      <c r="AC2" s="796"/>
      <c r="AD2" s="796"/>
      <c r="AE2" s="797"/>
      <c r="AI2" s="344"/>
      <c r="AJ2" s="737" t="s">
        <v>377</v>
      </c>
    </row>
    <row r="3" spans="1:42" ht="30" customHeight="1" x14ac:dyDescent="0.2">
      <c r="G3" s="798" t="s">
        <v>247</v>
      </c>
      <c r="H3" s="799"/>
      <c r="I3" s="799"/>
      <c r="J3" s="799"/>
      <c r="K3" s="799"/>
      <c r="L3" s="799"/>
      <c r="M3" s="799"/>
      <c r="N3" s="799"/>
      <c r="O3" s="799"/>
      <c r="P3" s="799"/>
      <c r="Q3" s="799"/>
      <c r="R3" s="799"/>
      <c r="S3" s="799"/>
      <c r="T3" s="799"/>
      <c r="U3" s="799"/>
      <c r="V3" s="799"/>
      <c r="W3" s="799"/>
      <c r="X3" s="799"/>
      <c r="Y3" s="799"/>
      <c r="Z3" s="799"/>
      <c r="AA3" s="799"/>
      <c r="AB3" s="799"/>
      <c r="AC3" s="799"/>
      <c r="AD3" s="799"/>
      <c r="AE3" s="800"/>
    </row>
    <row r="4" spans="1:42" ht="30" customHeight="1" x14ac:dyDescent="0.2">
      <c r="G4" s="801" t="s">
        <v>259</v>
      </c>
      <c r="H4" s="802"/>
      <c r="I4" s="802"/>
      <c r="J4" s="802"/>
      <c r="K4" s="802"/>
      <c r="L4" s="802"/>
      <c r="M4" s="802"/>
      <c r="N4" s="802"/>
      <c r="O4" s="802"/>
      <c r="P4" s="802"/>
      <c r="Q4" s="802"/>
      <c r="R4" s="802"/>
      <c r="S4" s="802"/>
      <c r="T4" s="802"/>
      <c r="U4" s="802"/>
      <c r="V4" s="802"/>
      <c r="W4" s="802"/>
      <c r="X4" s="802"/>
      <c r="Y4" s="802"/>
      <c r="Z4" s="802"/>
      <c r="AA4" s="802"/>
      <c r="AB4" s="802"/>
      <c r="AC4" s="802"/>
      <c r="AD4" s="802"/>
      <c r="AE4" s="803"/>
    </row>
    <row r="5" spans="1:42" ht="30" customHeight="1" thickBot="1" x14ac:dyDescent="0.25">
      <c r="G5" s="804" t="s">
        <v>246</v>
      </c>
      <c r="H5" s="805"/>
      <c r="I5" s="805"/>
      <c r="J5" s="805"/>
      <c r="K5" s="805"/>
      <c r="L5" s="805"/>
      <c r="M5" s="805"/>
      <c r="N5" s="805"/>
      <c r="O5" s="805"/>
      <c r="P5" s="805"/>
      <c r="Q5" s="805"/>
      <c r="R5" s="805"/>
      <c r="S5" s="805"/>
      <c r="T5" s="805"/>
      <c r="U5" s="805"/>
      <c r="V5" s="805"/>
      <c r="W5" s="805"/>
      <c r="X5" s="805"/>
      <c r="Y5" s="805"/>
      <c r="Z5" s="805"/>
      <c r="AA5" s="805"/>
      <c r="AB5" s="805"/>
      <c r="AC5" s="805"/>
      <c r="AD5" s="805"/>
      <c r="AE5" s="806"/>
      <c r="AM5" s="468"/>
      <c r="AN5" s="468"/>
      <c r="AO5" s="468"/>
    </row>
    <row r="6" spans="1:42" ht="9" customHeight="1" thickTop="1" thickBot="1" x14ac:dyDescent="0.25">
      <c r="B6" s="343"/>
      <c r="C6" s="343"/>
      <c r="D6" s="343"/>
      <c r="E6" s="343"/>
      <c r="F6" s="343"/>
      <c r="G6" s="343"/>
      <c r="H6" s="343"/>
      <c r="I6" s="343"/>
      <c r="J6" s="343"/>
      <c r="K6" s="343"/>
      <c r="L6" s="343"/>
      <c r="M6" s="343"/>
      <c r="N6" s="343"/>
      <c r="AM6" s="468"/>
      <c r="AN6" s="468"/>
      <c r="AO6" s="468"/>
    </row>
    <row r="7" spans="1:42" ht="30" customHeight="1" thickTop="1" x14ac:dyDescent="0.2">
      <c r="B7" s="343"/>
      <c r="C7" s="343"/>
      <c r="D7" s="343"/>
      <c r="E7" s="343"/>
      <c r="F7" s="343"/>
      <c r="G7" s="343"/>
      <c r="H7" s="343"/>
      <c r="I7" s="343"/>
      <c r="J7" s="343"/>
      <c r="K7" s="783" t="str">
        <f>Sprache!$E$18</f>
        <v>Vorrunde</v>
      </c>
      <c r="L7" s="784"/>
      <c r="M7" s="784"/>
      <c r="N7" s="784"/>
      <c r="O7" s="784"/>
      <c r="P7" s="784"/>
      <c r="Q7" s="784"/>
      <c r="R7" s="784"/>
      <c r="S7" s="784"/>
      <c r="T7" s="784"/>
      <c r="U7" s="784"/>
      <c r="V7" s="784"/>
      <c r="W7" s="784"/>
      <c r="X7" s="784"/>
      <c r="Y7" s="785"/>
      <c r="AJ7" s="575"/>
      <c r="AM7" s="693"/>
      <c r="AN7" s="693"/>
      <c r="AO7" s="693"/>
    </row>
    <row r="8" spans="1:42" ht="30" customHeight="1" thickBot="1" x14ac:dyDescent="0.25">
      <c r="B8" s="343"/>
      <c r="C8" s="343"/>
      <c r="D8" s="343"/>
      <c r="E8" s="343"/>
      <c r="F8" s="343"/>
      <c r="G8" s="343"/>
      <c r="H8" s="343"/>
      <c r="I8" s="343"/>
      <c r="J8" s="343"/>
      <c r="K8" s="786"/>
      <c r="L8" s="787"/>
      <c r="M8" s="787"/>
      <c r="N8" s="787"/>
      <c r="O8" s="787"/>
      <c r="P8" s="787"/>
      <c r="Q8" s="787"/>
      <c r="R8" s="787"/>
      <c r="S8" s="787"/>
      <c r="T8" s="787"/>
      <c r="U8" s="787"/>
      <c r="V8" s="787"/>
      <c r="W8" s="787"/>
      <c r="X8" s="787"/>
      <c r="Y8" s="788"/>
      <c r="AM8" s="693"/>
      <c r="AN8" s="693"/>
      <c r="AO8" s="693"/>
    </row>
    <row r="9" spans="1:42" ht="13.5" customHeight="1" thickTop="1" thickBot="1" x14ac:dyDescent="0.35">
      <c r="C9" s="42"/>
      <c r="D9" s="42"/>
      <c r="E9" s="42"/>
      <c r="F9" s="341"/>
      <c r="G9" s="341"/>
      <c r="H9" s="341"/>
      <c r="I9" s="341"/>
      <c r="J9" s="341"/>
      <c r="K9" s="341"/>
      <c r="L9" s="341"/>
      <c r="M9" s="341"/>
      <c r="N9" s="341"/>
      <c r="AD9" s="310"/>
      <c r="AE9" s="310"/>
      <c r="AF9" s="310"/>
      <c r="AG9" s="310"/>
      <c r="AH9" s="310"/>
      <c r="AI9" s="310"/>
    </row>
    <row r="10" spans="1:42" ht="24" customHeight="1" thickBot="1" x14ac:dyDescent="0.45">
      <c r="A10" s="334"/>
      <c r="B10" s="339" t="str">
        <f>Sprache!$E$11</f>
        <v>Ergebnisse</v>
      </c>
      <c r="C10" s="335"/>
      <c r="D10" s="335"/>
      <c r="E10" s="335"/>
      <c r="F10" s="340"/>
      <c r="G10" s="340"/>
      <c r="H10" s="340"/>
      <c r="I10" s="340"/>
      <c r="J10" s="340"/>
      <c r="K10" s="340"/>
      <c r="L10" s="341"/>
      <c r="M10" s="341"/>
      <c r="N10" s="341"/>
      <c r="P10" s="794" t="str">
        <f>Sprache!$E$16&amp;" A"</f>
        <v>Gruppe A</v>
      </c>
      <c r="Q10" s="794"/>
      <c r="R10" s="199"/>
      <c r="S10" s="199"/>
      <c r="T10" s="199"/>
      <c r="U10" s="199"/>
      <c r="V10" s="199"/>
      <c r="W10" s="199"/>
      <c r="X10" s="199"/>
      <c r="Y10" s="199"/>
      <c r="Z10" s="199"/>
      <c r="AA10" s="199"/>
      <c r="AB10" s="199"/>
      <c r="AC10" s="199"/>
      <c r="AD10" s="307" t="str">
        <f ca="1">IF(LEN(Q12)&gt;Einstellungen!$C$11,LEFT(Q12,Einstellungen!$C$11)&amp;".",Q12)</f>
        <v>Maibach.</v>
      </c>
      <c r="AE10" s="308" t="str">
        <f ca="1">IF(LEN(Q13)&gt;Einstellungen!$C$11,LEFT(Q13,Einstellungen!$C$11)&amp;".",Q13)</f>
        <v>Eintrac.</v>
      </c>
      <c r="AF10" s="308" t="str">
        <f ca="1">IF(LEN(Q14)&gt;Einstellungen!$C$11,LEFT(Q14,Einstellungen!$C$11)&amp;".",Q14)</f>
        <v>1. FC R.</v>
      </c>
      <c r="AG10" s="308" t="str">
        <f ca="1">IF(LEN(Q15)&gt;Einstellungen!$C$11,LEFT(Q15,Einstellungen!$C$11)&amp;".",Q15)</f>
        <v>FC Barc.</v>
      </c>
      <c r="AH10" s="308" t="str">
        <f ca="1">IF(LEN(Q16)&gt;Einstellungen!$C$11,LEFT(Q16,Einstellungen!$C$11)&amp;".",Q16)</f>
        <v>VFB Ess.</v>
      </c>
      <c r="AI10" s="309" t="str">
        <f ca="1">IF(LEN(Q17)&gt;Einstellungen!$C$11,LEFT(Q17,Einstellungen!$C$11)&amp;".",Q17)</f>
        <v/>
      </c>
      <c r="AJ10" s="200"/>
      <c r="AM10" s="794" t="str">
        <f>Sprache!$E$16&amp;" A"</f>
        <v>Gruppe A</v>
      </c>
      <c r="AN10" s="794"/>
      <c r="AP10" s="622" t="str">
        <f>Sprache!$E$49</f>
        <v>Tie-Break</v>
      </c>
    </row>
    <row r="11" spans="1:42" ht="24" customHeight="1" thickTop="1" thickBot="1" x14ac:dyDescent="0.25">
      <c r="B11" s="441" t="str">
        <f>Sprache!$E$9</f>
        <v>Nr.</v>
      </c>
      <c r="C11" s="704" t="str">
        <f>Sprache!$E$39</f>
        <v>Beginn</v>
      </c>
      <c r="D11" s="704" t="str">
        <f>Sprache!$E$48</f>
        <v>Feld</v>
      </c>
      <c r="E11" s="704" t="str">
        <f>Sprache!$E$17</f>
        <v>Grp</v>
      </c>
      <c r="F11" s="782" t="str">
        <f>Sprache!$E$14</f>
        <v>Spielpaarung</v>
      </c>
      <c r="G11" s="782"/>
      <c r="H11" s="782"/>
      <c r="I11" s="782" t="str">
        <f>Sprache!$E$61</f>
        <v>1. Satz</v>
      </c>
      <c r="J11" s="782"/>
      <c r="K11" s="782"/>
      <c r="L11" s="782" t="str">
        <f>Sprache!$E$62</f>
        <v>2. Satz</v>
      </c>
      <c r="M11" s="782"/>
      <c r="N11" s="807"/>
      <c r="P11" s="792"/>
      <c r="Q11" s="793"/>
      <c r="R11" s="201" t="str">
        <f>Sprache!$E$21</f>
        <v>SP</v>
      </c>
      <c r="S11" s="202" t="str">
        <f>Sprache!$E$22</f>
        <v>G</v>
      </c>
      <c r="T11" s="202" t="str">
        <f>Sprache!$E$23</f>
        <v>U</v>
      </c>
      <c r="U11" s="203" t="str">
        <f>Sprache!$E$24</f>
        <v>V</v>
      </c>
      <c r="V11" s="808" t="str">
        <f>Sprache!$E$25</f>
        <v>Sätze</v>
      </c>
      <c r="W11" s="809"/>
      <c r="X11" s="810"/>
      <c r="Y11" s="789" t="str">
        <f>Sprache!$E$60</f>
        <v>Bälle</v>
      </c>
      <c r="Z11" s="790"/>
      <c r="AA11" s="791"/>
      <c r="AB11" s="202" t="str">
        <f>IF(Einstellungen!$G$7,Sprache!$E$26,Sprache!$E$67)</f>
        <v>Diff.</v>
      </c>
      <c r="AC11" s="204" t="str">
        <f>Sprache!$E$27</f>
        <v>Pkt</v>
      </c>
      <c r="AD11" s="205" t="str">
        <f ca="1">Q12</f>
        <v>Maibach 1822 eV</v>
      </c>
      <c r="AE11" s="206" t="str">
        <f ca="1">Q13</f>
        <v>Eintracht Frankfurt</v>
      </c>
      <c r="AF11" s="206" t="str">
        <f ca="1">Q14</f>
        <v>1. FC Riedwald</v>
      </c>
      <c r="AG11" s="206" t="str">
        <f ca="1">Q15</f>
        <v>FC Barcelona</v>
      </c>
      <c r="AH11" s="206" t="str">
        <f ca="1">Q16</f>
        <v>VFB Essenheim</v>
      </c>
      <c r="AI11" s="577" t="str">
        <f ca="1">Q17</f>
        <v/>
      </c>
      <c r="AJ11" s="200"/>
      <c r="AM11" s="467" t="str">
        <f>Sprache!$E$9</f>
        <v>Nr.</v>
      </c>
      <c r="AN11" s="620" t="str">
        <f>Sprache!$E$10</f>
        <v>Teilnehmer bzw. Mannschaft</v>
      </c>
      <c r="AO11" s="617"/>
    </row>
    <row r="12" spans="1:42" ht="24" customHeight="1" x14ac:dyDescent="0.2">
      <c r="B12" s="483">
        <f>Planung!$E6</f>
        <v>1</v>
      </c>
      <c r="C12" s="489">
        <f>Planung!$F6</f>
        <v>0.375</v>
      </c>
      <c r="D12" s="490" t="str">
        <f>Planung!$G6</f>
        <v>1</v>
      </c>
      <c r="E12" s="490" t="str">
        <f ca="1">Planung!$H6</f>
        <v>A</v>
      </c>
      <c r="F12" s="495" t="str">
        <f ca="1">Planung!$L6</f>
        <v>VFB Essenheim</v>
      </c>
      <c r="G12" s="476" t="s">
        <v>4</v>
      </c>
      <c r="H12" s="498" t="str">
        <f ca="1">Planung!$N6</f>
        <v>FC Barcelona</v>
      </c>
      <c r="I12" s="486">
        <v>13</v>
      </c>
      <c r="J12" s="477" t="str">
        <f>Sprache!$E$77</f>
        <v>:</v>
      </c>
      <c r="K12" s="722">
        <v>25</v>
      </c>
      <c r="L12" s="723">
        <v>20</v>
      </c>
      <c r="M12" s="592" t="str">
        <f>Sprache!$E$77</f>
        <v>:</v>
      </c>
      <c r="N12" s="478">
        <v>25</v>
      </c>
      <c r="P12" s="422">
        <f ca="1">IF(Calc1!$K$13=0,"",1)</f>
        <v>1</v>
      </c>
      <c r="Q12" s="423" t="str">
        <f ca="1">IF(Calc1!$F$14&lt;3,"",IF(Calc1!$K$13=0,Calc1!$Q64,VLOOKUP(Calc1!B4,Calc1!$C$4:$N$12,4,0)))</f>
        <v>Maibach 1822 eV</v>
      </c>
      <c r="R12" s="207">
        <f ca="1">IF(Calc1!$K$13=0,"",VLOOKUP(Calc1!B4,Calc1!$C$4:$N$12,9,0))</f>
        <v>4</v>
      </c>
      <c r="S12" s="208">
        <f ca="1">IF(Calc1!$K$13=0,"",VLOOKUP(Calc1!B4,Calc1!$C$4:$N$12,10,0))</f>
        <v>2</v>
      </c>
      <c r="T12" s="208">
        <f ca="1">IF(Calc1!$K$13=0,"",VLOOKUP(Calc1!B4,Calc1!$C$4:$N$12,11,0))</f>
        <v>1</v>
      </c>
      <c r="U12" s="209">
        <f ca="1">IF(Calc1!$K$13=0,"",VLOOKUP(Calc1!B4,Calc1!$C$4:$N$12,12,0))</f>
        <v>1</v>
      </c>
      <c r="V12" s="210">
        <f ca="1">AC12</f>
        <v>5</v>
      </c>
      <c r="W12" s="211" t="str">
        <f>Sprache!$E$77</f>
        <v>:</v>
      </c>
      <c r="X12" s="212">
        <f ca="1">IF(Calc1!$K$13=0,"",VLOOKUP(Calc1!B4,Calc1!$C$4:$AS$12,43,0))</f>
        <v>3</v>
      </c>
      <c r="Y12" s="210">
        <f ca="1">IF(Calc1!$K$13=0,"",VLOOKUP(Calc1!B4,Calc1!$C$4:$N$12,5,0))</f>
        <v>183</v>
      </c>
      <c r="Z12" s="211" t="str">
        <f>Sprache!$E$77</f>
        <v>:</v>
      </c>
      <c r="AA12" s="212">
        <f ca="1">IF(Calc1!$K$13=0,"",VLOOKUP(Calc1!B4,Calc1!$C$4:$N$12,6,0))</f>
        <v>159</v>
      </c>
      <c r="AB12" s="207">
        <f ca="1">IF(Calc1!$K$13=0,"",IF(VLOOKUP(Calc1!B4,Calc1!$C$4:$AR$12,42,0)=Einstellungen!$F$7,"max",VLOOKUP(Calc1!B4,Calc1!$C$4:$AR$12,42,0)))</f>
        <v>24</v>
      </c>
      <c r="AC12" s="213">
        <f ca="1">IF(Calc1!$K$13=0,"",VLOOKUP(Calc1!B4,Calc1!$C$4:$N$12,8,0))</f>
        <v>5</v>
      </c>
      <c r="AD12" s="214"/>
      <c r="AE12" s="208" t="str">
        <f ca="1">IFERROR(VLOOKUP($Q12&amp;AE$11,Calc1!$Z$64:$AI$207,Einstellungen!$G$17,0),"")</f>
        <v>40:50</v>
      </c>
      <c r="AF12" s="208" t="str">
        <f ca="1">IFERROR(VLOOKUP($Q12&amp;AF$11,Calc1!$Z$64:$AI$207,Einstellungen!$G$17,0),"")</f>
        <v>43:41</v>
      </c>
      <c r="AG12" s="208" t="str">
        <f ca="1">IFERROR(VLOOKUP($Q12&amp;AG$11,Calc1!$Z$64:$AI$207,Einstellungen!$G$17,0),"")</f>
        <v>50:29</v>
      </c>
      <c r="AH12" s="208" t="str">
        <f ca="1">IFERROR(VLOOKUP($Q12&amp;AH$11,Calc1!$Z$64:$AI$207,Einstellungen!$G$17,0),"")</f>
        <v>50:39</v>
      </c>
      <c r="AI12" s="215" t="str">
        <f ca="1">IFERROR(VLOOKUP($Q12&amp;AI$11,Calc1!$Z$64:$AI$207,Einstellungen!$G$17,0),"")</f>
        <v/>
      </c>
      <c r="AJ12" s="216" t="str">
        <f t="shared" ref="AJ12:AJ17" ca="1" si="0">Q12</f>
        <v>Maibach 1822 eV</v>
      </c>
      <c r="AM12" s="466" t="s">
        <v>194</v>
      </c>
      <c r="AN12" s="621" t="str">
        <f>IF(Planung!$C7="","",Planung!$C7)</f>
        <v>1. FC Riedwald</v>
      </c>
      <c r="AO12" s="618"/>
      <c r="AP12" s="690">
        <f>IF($AN12="",0,COUNTIF(TieBreak!$U$12:$U$17,$AN12))</f>
        <v>0</v>
      </c>
    </row>
    <row r="13" spans="1:42" ht="24" customHeight="1" x14ac:dyDescent="0.2">
      <c r="B13" s="484">
        <f ca="1">Planung!$E7</f>
        <v>2</v>
      </c>
      <c r="C13" s="491">
        <f ca="1">Planung!$F7</f>
        <v>0.375</v>
      </c>
      <c r="D13" s="492">
        <f ca="1">Planung!$G7</f>
        <v>2</v>
      </c>
      <c r="E13" s="492" t="str">
        <f ca="1">Planung!$H7</f>
        <v>B</v>
      </c>
      <c r="F13" s="496" t="str">
        <f ca="1">Planung!$L7</f>
        <v>FC Grönlingen</v>
      </c>
      <c r="G13" s="220" t="s">
        <v>4</v>
      </c>
      <c r="H13" s="499" t="str">
        <f ca="1">Planung!$N7</f>
        <v>Inter Mailand</v>
      </c>
      <c r="I13" s="487">
        <v>25</v>
      </c>
      <c r="J13" s="479" t="str">
        <f>Sprache!$E$77</f>
        <v>:</v>
      </c>
      <c r="K13" s="724">
        <v>20</v>
      </c>
      <c r="L13" s="725">
        <v>23</v>
      </c>
      <c r="M13" s="593" t="str">
        <f>Sprache!$E$77</f>
        <v>:</v>
      </c>
      <c r="N13" s="480">
        <v>25</v>
      </c>
      <c r="P13" s="424">
        <f ca="1">IF(Calc1!$K$13=0,"",IF(VLOOKUP(Calc1!B5,Calc1!$C$4:$E$12,3,0)=MAX(P$12:P12),VLOOKUP(Calc1!B5,Calc1!$C$4:$E$12,3,0),Calc1!B5))</f>
        <v>2</v>
      </c>
      <c r="Q13" s="425" t="str">
        <f ca="1">IF(Calc1!$F$14&lt;3,"",IF(Calc1!$K$13=0,Calc1!$Q65,VLOOKUP(Calc1!B5,Calc1!$C$4:$N$12,4,0)))</f>
        <v>Eintracht Frankfurt</v>
      </c>
      <c r="R13" s="217">
        <f ca="1">IF(Calc1!$K$13=0,"",VLOOKUP(Calc1!B5,Calc1!$C$4:$N$12,9,0))</f>
        <v>4</v>
      </c>
      <c r="S13" s="198">
        <f ca="1">IF(Calc1!$K$13=0,"",VLOOKUP(Calc1!B5,Calc1!$C$4:$N$12,10,0))</f>
        <v>1</v>
      </c>
      <c r="T13" s="198">
        <f ca="1">IF(Calc1!$K$13=0,"",VLOOKUP(Calc1!B5,Calc1!$C$4:$N$12,11,0))</f>
        <v>3</v>
      </c>
      <c r="U13" s="218">
        <f ca="1">IF(Calc1!$K$13=0,"",VLOOKUP(Calc1!B5,Calc1!$C$4:$N$12,12,0))</f>
        <v>0</v>
      </c>
      <c r="V13" s="219">
        <f t="shared" ref="V13:V17" ca="1" si="1">AC13</f>
        <v>5</v>
      </c>
      <c r="W13" s="220" t="str">
        <f>Sprache!$E$77</f>
        <v>:</v>
      </c>
      <c r="X13" s="221">
        <f ca="1">IF(Calc1!$K$13=0,"",VLOOKUP(Calc1!B5,Calc1!$C$4:$AS$12,43,0))</f>
        <v>3</v>
      </c>
      <c r="Y13" s="219">
        <f ca="1">IF(Calc1!$K$13=0,"",VLOOKUP(Calc1!B5,Calc1!$C$4:$N$12,5,0))</f>
        <v>191</v>
      </c>
      <c r="Z13" s="220" t="str">
        <f>Sprache!$E$77</f>
        <v>:</v>
      </c>
      <c r="AA13" s="221">
        <f ca="1">IF(Calc1!$K$13=0,"",VLOOKUP(Calc1!B5,Calc1!$C$4:$N$12,6,0))</f>
        <v>175</v>
      </c>
      <c r="AB13" s="217">
        <f ca="1">IF(Calc1!$K$13=0,"",IF(VLOOKUP(Calc1!B5,Calc1!$C$4:$AR$12,42,0)=Einstellungen!$F$7,"max",VLOOKUP(Calc1!B5,Calc1!$C$4:$AR$12,42,0)))</f>
        <v>16</v>
      </c>
      <c r="AC13" s="222">
        <f ca="1">IF(Calc1!$K$13=0,"",VLOOKUP(Calc1!B5,Calc1!$C$4:$N$12,8,0))</f>
        <v>5</v>
      </c>
      <c r="AD13" s="223" t="str">
        <f ca="1">IFERROR(VLOOKUP($Q13&amp;AD$11,Calc1!$Z$64:$AI$207,Einstellungen!$G$17,0),"")</f>
        <v>50:40</v>
      </c>
      <c r="AE13" s="224"/>
      <c r="AF13" s="198" t="str">
        <f ca="1">IFERROR(VLOOKUP($Q13&amp;AF$11,Calc1!$Z$64:$AI$207,Einstellungen!$G$17,0),"")</f>
        <v>46:42</v>
      </c>
      <c r="AG13" s="198" t="str">
        <f ca="1">IFERROR(VLOOKUP($Q13&amp;AG$11,Calc1!$Z$64:$AI$207,Einstellungen!$G$17,0),"")</f>
        <v>48:48</v>
      </c>
      <c r="AH13" s="198" t="str">
        <f ca="1">IFERROR(VLOOKUP($Q13&amp;AH$11,Calc1!$Z$64:$AI$207,Einstellungen!$G$17,0),"")</f>
        <v>47:45</v>
      </c>
      <c r="AI13" s="225" t="str">
        <f ca="1">IFERROR(VLOOKUP($Q13&amp;AI$11,Calc1!$Z$64:$AI$207,Einstellungen!$G$17,0),"")</f>
        <v/>
      </c>
      <c r="AJ13" s="226" t="str">
        <f t="shared" ca="1" si="0"/>
        <v>Eintracht Frankfurt</v>
      </c>
      <c r="AM13" s="464" t="s">
        <v>196</v>
      </c>
      <c r="AN13" s="425" t="str">
        <f>IF(Planung!$C9="","",Planung!$C9)</f>
        <v>FC Barcelona</v>
      </c>
      <c r="AO13" s="618"/>
      <c r="AP13" s="691">
        <f>IF($AN13="",0,COUNTIF(TieBreak!$U$12:$U$17,$AN13))</f>
        <v>0</v>
      </c>
    </row>
    <row r="14" spans="1:42" ht="24" customHeight="1" x14ac:dyDescent="0.2">
      <c r="B14" s="484">
        <f ca="1">Planung!$E8</f>
        <v>3</v>
      </c>
      <c r="C14" s="491">
        <f ca="1">Planung!$F8</f>
        <v>0.375</v>
      </c>
      <c r="D14" s="492">
        <f ca="1">Planung!$G8</f>
        <v>3</v>
      </c>
      <c r="E14" s="492" t="str">
        <f ca="1">Planung!$H8</f>
        <v>A</v>
      </c>
      <c r="F14" s="496" t="str">
        <f ca="1">Planung!$L8</f>
        <v>Eintracht Frankfurt</v>
      </c>
      <c r="G14" s="220" t="s">
        <v>4</v>
      </c>
      <c r="H14" s="499" t="str">
        <f ca="1">Planung!$N8</f>
        <v>Maibach 1822 eV</v>
      </c>
      <c r="I14" s="487">
        <v>25</v>
      </c>
      <c r="J14" s="479" t="str">
        <f>Sprache!$E$77</f>
        <v>:</v>
      </c>
      <c r="K14" s="724">
        <v>21</v>
      </c>
      <c r="L14" s="725">
        <v>25</v>
      </c>
      <c r="M14" s="593" t="str">
        <f>Sprache!$E$77</f>
        <v>:</v>
      </c>
      <c r="N14" s="480">
        <v>19</v>
      </c>
      <c r="P14" s="424">
        <f ca="1">IF(Calc1!$K$13=0,"",IF(VLOOKUP(Calc1!B6,Calc1!$C$4:$E$12,3,0)=MAX(P$12:P13),VLOOKUP(Calc1!B6,Calc1!$C$4:$E$12,3,0),Calc1!B6))</f>
        <v>3</v>
      </c>
      <c r="Q14" s="425" t="str">
        <f ca="1">IF(Calc1!$F$14&lt;3,"",IF(Calc1!$K$13=0,Calc1!$Q66,VLOOKUP(Calc1!B6,Calc1!$C$4:$N$12,4,0)))</f>
        <v>1. FC Riedwald</v>
      </c>
      <c r="R14" s="217">
        <f ca="1">IF(Calc1!$K$13=0,"",VLOOKUP(Calc1!B6,Calc1!$C$4:$N$12,9,0))</f>
        <v>4</v>
      </c>
      <c r="S14" s="198">
        <f ca="1">IF(Calc1!$K$13=0,"",VLOOKUP(Calc1!B6,Calc1!$C$4:$N$12,10,0))</f>
        <v>1</v>
      </c>
      <c r="T14" s="198">
        <f ca="1">IF(Calc1!$K$13=0,"",VLOOKUP(Calc1!B6,Calc1!$C$4:$N$12,11,0))</f>
        <v>2</v>
      </c>
      <c r="U14" s="218">
        <f ca="1">IF(Calc1!$K$13=0,"",VLOOKUP(Calc1!B6,Calc1!$C$4:$N$12,12,0))</f>
        <v>1</v>
      </c>
      <c r="V14" s="219">
        <f t="shared" ca="1" si="1"/>
        <v>4</v>
      </c>
      <c r="W14" s="220" t="str">
        <f>Sprache!$E$77</f>
        <v>:</v>
      </c>
      <c r="X14" s="221">
        <f ca="1">IF(Calc1!$K$13=0,"",VLOOKUP(Calc1!B6,Calc1!$C$4:$AS$12,43,0))</f>
        <v>4</v>
      </c>
      <c r="Y14" s="219">
        <f ca="1">IF(Calc1!$K$13=0,"",VLOOKUP(Calc1!B6,Calc1!$C$4:$N$12,5,0))</f>
        <v>177</v>
      </c>
      <c r="Z14" s="220" t="str">
        <f>Sprache!$E$77</f>
        <v>:</v>
      </c>
      <c r="AA14" s="221">
        <f ca="1">IF(Calc1!$K$13=0,"",VLOOKUP(Calc1!B6,Calc1!$C$4:$N$12,6,0))</f>
        <v>176</v>
      </c>
      <c r="AB14" s="217">
        <f ca="1">IF(Calc1!$K$13=0,"",IF(VLOOKUP(Calc1!B6,Calc1!$C$4:$AR$12,42,0)=Einstellungen!$F$7,"max",VLOOKUP(Calc1!B6,Calc1!$C$4:$AR$12,42,0)))</f>
        <v>1</v>
      </c>
      <c r="AC14" s="222">
        <f ca="1">IF(Calc1!$K$13=0,"",VLOOKUP(Calc1!B6,Calc1!$C$4:$N$12,8,0))</f>
        <v>4</v>
      </c>
      <c r="AD14" s="223" t="str">
        <f ca="1">IFERROR(VLOOKUP($Q14&amp;AD$11,Calc1!$Z$64:$AI$207,Einstellungen!$G$17,0),"")</f>
        <v>41:43</v>
      </c>
      <c r="AE14" s="461" t="str">
        <f ca="1">IFERROR(VLOOKUP($Q14&amp;AE$11,Calc1!$Z$64:$AI$207,Einstellungen!$G$17,0),"")</f>
        <v>42:46</v>
      </c>
      <c r="AF14" s="224"/>
      <c r="AG14" s="198" t="str">
        <f ca="1">IFERROR(VLOOKUP($Q14&amp;AG$11,Calc1!$Z$64:$AI$207,Einstellungen!$G$17,0),"")</f>
        <v>50:37</v>
      </c>
      <c r="AH14" s="198" t="str">
        <f ca="1">IFERROR(VLOOKUP($Q14&amp;AH$11,Calc1!$Z$64:$AI$207,Einstellungen!$G$17,0),"")</f>
        <v>44:50</v>
      </c>
      <c r="AI14" s="225" t="str">
        <f ca="1">IFERROR(VLOOKUP($Q14&amp;AI$11,Calc1!$Z$64:$AI$207,Einstellungen!$G$17,0),"")</f>
        <v/>
      </c>
      <c r="AJ14" s="226" t="str">
        <f t="shared" ca="1" si="0"/>
        <v>1. FC Riedwald</v>
      </c>
      <c r="AM14" s="464" t="s">
        <v>192</v>
      </c>
      <c r="AN14" s="425" t="str">
        <f>IF(Planung!$C11="","",Planung!$C11)</f>
        <v>Eintracht Frankfurt</v>
      </c>
      <c r="AO14" s="618"/>
      <c r="AP14" s="691">
        <f>IF($AN14="",0,COUNTIF(TieBreak!$U$12:$U$17,$AN14))</f>
        <v>0</v>
      </c>
    </row>
    <row r="15" spans="1:42" ht="24" customHeight="1" x14ac:dyDescent="0.2">
      <c r="B15" s="484">
        <f ca="1">Planung!$E9</f>
        <v>4</v>
      </c>
      <c r="C15" s="491">
        <f ca="1">Planung!$F9</f>
        <v>0.39930555555555558</v>
      </c>
      <c r="D15" s="492">
        <f ca="1">Planung!$G9</f>
        <v>1</v>
      </c>
      <c r="E15" s="492" t="str">
        <f ca="1">Planung!$H9</f>
        <v>B</v>
      </c>
      <c r="F15" s="496" t="str">
        <f ca="1">Planung!$L9</f>
        <v>SSV Wildbach</v>
      </c>
      <c r="G15" s="220" t="s">
        <v>4</v>
      </c>
      <c r="H15" s="499" t="str">
        <f ca="1">Planung!$N9</f>
        <v>Manchester City</v>
      </c>
      <c r="I15" s="487">
        <v>25</v>
      </c>
      <c r="J15" s="479" t="str">
        <f>Sprache!$E$77</f>
        <v>:</v>
      </c>
      <c r="K15" s="724">
        <v>22</v>
      </c>
      <c r="L15" s="725">
        <v>25</v>
      </c>
      <c r="M15" s="593" t="str">
        <f>Sprache!$E$77</f>
        <v>:</v>
      </c>
      <c r="N15" s="480">
        <v>20</v>
      </c>
      <c r="P15" s="424">
        <f ca="1">IF(Calc1!$K$13=0,"",IF(VLOOKUP(Calc1!B7,Calc1!$C$4:$E$12,3,0)=MAX(P$12:P14),VLOOKUP(Calc1!B7,Calc1!$C$4:$E$12,3,0),Calc1!B7))</f>
        <v>4</v>
      </c>
      <c r="Q15" s="425" t="str">
        <f ca="1">IF(Calc1!$F$14&lt;3,"",IF(Calc1!$K$13=0,Calc1!$Q67,VLOOKUP(Calc1!B7,Calc1!$C$4:$N$12,4,0)))</f>
        <v>FC Barcelona</v>
      </c>
      <c r="R15" s="217">
        <f ca="1">IF(Calc1!$K$13=0,"",VLOOKUP(Calc1!B7,Calc1!$C$4:$N$12,9,0))</f>
        <v>4</v>
      </c>
      <c r="S15" s="198">
        <f ca="1">IF(Calc1!$K$13=0,"",VLOOKUP(Calc1!B7,Calc1!$C$4:$N$12,10,0))</f>
        <v>1</v>
      </c>
      <c r="T15" s="198">
        <f ca="1">IF(Calc1!$K$13=0,"",VLOOKUP(Calc1!B7,Calc1!$C$4:$N$12,11,0))</f>
        <v>1</v>
      </c>
      <c r="U15" s="218">
        <f ca="1">IF(Calc1!$K$13=0,"",VLOOKUP(Calc1!B7,Calc1!$C$4:$N$12,12,0))</f>
        <v>2</v>
      </c>
      <c r="V15" s="219">
        <f t="shared" ca="1" si="1"/>
        <v>3</v>
      </c>
      <c r="W15" s="220" t="str">
        <f>Sprache!$E$77</f>
        <v>:</v>
      </c>
      <c r="X15" s="221">
        <f ca="1">IF(Calc1!$K$13=0,"",VLOOKUP(Calc1!B7,Calc1!$C$4:$AS$12,43,0))</f>
        <v>5</v>
      </c>
      <c r="Y15" s="219">
        <f ca="1">IF(Calc1!$K$13=0,"",VLOOKUP(Calc1!B7,Calc1!$C$4:$N$12,5,0))</f>
        <v>164</v>
      </c>
      <c r="Z15" s="220" t="str">
        <f>Sprache!$E$77</f>
        <v>:</v>
      </c>
      <c r="AA15" s="221">
        <f ca="1">IF(Calc1!$K$13=0,"",VLOOKUP(Calc1!B7,Calc1!$C$4:$N$12,6,0))</f>
        <v>181</v>
      </c>
      <c r="AB15" s="217">
        <f ca="1">IF(Calc1!$K$13=0,"",IF(VLOOKUP(Calc1!B7,Calc1!$C$4:$AR$12,42,0)=Einstellungen!$F$7,"max",VLOOKUP(Calc1!B7,Calc1!$C$4:$AR$12,42,0)))</f>
        <v>-17</v>
      </c>
      <c r="AC15" s="222">
        <f ca="1">IF(Calc1!$K$13=0,"",VLOOKUP(Calc1!B7,Calc1!$C$4:$N$12,8,0))</f>
        <v>3</v>
      </c>
      <c r="AD15" s="223" t="str">
        <f ca="1">IFERROR(VLOOKUP($Q15&amp;AD$11,Calc1!$Z$64:$AI$207,Einstellungen!$G$17,0),"")</f>
        <v>29:50</v>
      </c>
      <c r="AE15" s="461" t="str">
        <f ca="1">IFERROR(VLOOKUP($Q15&amp;AE$11,Calc1!$Z$64:$AI$207,Einstellungen!$G$17,0),"")</f>
        <v>48:48</v>
      </c>
      <c r="AF15" s="198" t="str">
        <f ca="1">IFERROR(VLOOKUP($Q15&amp;AF$11,Calc1!$Z$64:$AI$207,Einstellungen!$G$17,0),"")</f>
        <v>37:50</v>
      </c>
      <c r="AG15" s="224"/>
      <c r="AH15" s="198" t="str">
        <f ca="1">IFERROR(VLOOKUP($Q15&amp;AH$11,Calc1!$Z$64:$AI$207,Einstellungen!$G$17,0),"")</f>
        <v>50:33</v>
      </c>
      <c r="AI15" s="225" t="str">
        <f ca="1">IFERROR(VLOOKUP($Q15&amp;AI$11,Calc1!$Z$64:$AI$207,Einstellungen!$G$17,0),"")</f>
        <v/>
      </c>
      <c r="AJ15" s="226" t="str">
        <f t="shared" ca="1" si="0"/>
        <v>FC Barcelona</v>
      </c>
      <c r="AM15" s="464" t="s">
        <v>198</v>
      </c>
      <c r="AN15" s="425" t="str">
        <f>IF(Planung!$C13="","",Planung!$C13)</f>
        <v>Maibach 1822 eV</v>
      </c>
      <c r="AO15" s="618"/>
      <c r="AP15" s="691">
        <f>IF($AN15="",0,COUNTIF(TieBreak!$U$12:$U$17,$AN15))</f>
        <v>0</v>
      </c>
    </row>
    <row r="16" spans="1:42" ht="24" customHeight="1" x14ac:dyDescent="0.2">
      <c r="B16" s="484">
        <f ca="1">Planung!$E10</f>
        <v>5</v>
      </c>
      <c r="C16" s="491">
        <f ca="1">Planung!$F10</f>
        <v>0.39930555555555558</v>
      </c>
      <c r="D16" s="492">
        <f ca="1">Planung!$G10</f>
        <v>2</v>
      </c>
      <c r="E16" s="492" t="str">
        <f ca="1">Planung!$H10</f>
        <v>A</v>
      </c>
      <c r="F16" s="496" t="str">
        <f ca="1">Planung!$L10</f>
        <v>VFB Essenheim</v>
      </c>
      <c r="G16" s="220" t="s">
        <v>4</v>
      </c>
      <c r="H16" s="499" t="str">
        <f ca="1">Planung!$N10</f>
        <v>1. FC Riedwald</v>
      </c>
      <c r="I16" s="487">
        <v>25</v>
      </c>
      <c r="J16" s="479" t="str">
        <f>Sprache!$E$77</f>
        <v>:</v>
      </c>
      <c r="K16" s="724">
        <v>23</v>
      </c>
      <c r="L16" s="725">
        <v>25</v>
      </c>
      <c r="M16" s="593" t="str">
        <f>Sprache!$E$77</f>
        <v>:</v>
      </c>
      <c r="N16" s="480">
        <v>21</v>
      </c>
      <c r="P16" s="424">
        <f ca="1">IF(Calc1!$K$13=0,"",IF(VLOOKUP(Calc1!B8,Calc1!$C$4:$E$12,3,0)=MAX(P$12:P15),VLOOKUP(Calc1!B8,Calc1!$C$4:$E$12,3,0),Calc1!B8))</f>
        <v>5</v>
      </c>
      <c r="Q16" s="425" t="str">
        <f ca="1">IF(Calc1!$F$14&lt;3,"",IF(Calc1!$K$13=0,Calc1!$Q68,VLOOKUP(Calc1!B8,Calc1!$C$4:$N$12,4,0)))</f>
        <v>VFB Essenheim</v>
      </c>
      <c r="R16" s="217">
        <f ca="1">IF(Calc1!$K$13=0,"",VLOOKUP(Calc1!B8,Calc1!$C$4:$N$12,9,0))</f>
        <v>4</v>
      </c>
      <c r="S16" s="198">
        <f ca="1">IF(Calc1!$K$13=0,"",VLOOKUP(Calc1!B8,Calc1!$C$4:$N$12,10,0))</f>
        <v>1</v>
      </c>
      <c r="T16" s="198">
        <f ca="1">IF(Calc1!$K$13=0,"",VLOOKUP(Calc1!B8,Calc1!$C$4:$N$12,11,0))</f>
        <v>1</v>
      </c>
      <c r="U16" s="218">
        <f ca="1">IF(Calc1!$K$13=0,"",VLOOKUP(Calc1!B8,Calc1!$C$4:$N$12,12,0))</f>
        <v>2</v>
      </c>
      <c r="V16" s="219">
        <f t="shared" ca="1" si="1"/>
        <v>3</v>
      </c>
      <c r="W16" s="220" t="str">
        <f>Sprache!$E$77</f>
        <v>:</v>
      </c>
      <c r="X16" s="221">
        <f ca="1">IF(Calc1!$K$13=0,"",VLOOKUP(Calc1!B8,Calc1!$C$4:$AS$12,43,0))</f>
        <v>5</v>
      </c>
      <c r="Y16" s="219">
        <f ca="1">IF(Calc1!$K$13=0,"",VLOOKUP(Calc1!B8,Calc1!$C$4:$N$12,5,0))</f>
        <v>167</v>
      </c>
      <c r="Z16" s="220" t="str">
        <f>Sprache!$E$77</f>
        <v>:</v>
      </c>
      <c r="AA16" s="221">
        <f ca="1">IF(Calc1!$K$13=0,"",VLOOKUP(Calc1!B8,Calc1!$C$4:$N$12,6,0))</f>
        <v>191</v>
      </c>
      <c r="AB16" s="217">
        <f ca="1">IF(Calc1!$K$13=0,"",IF(VLOOKUP(Calc1!B8,Calc1!$C$4:$AR$12,42,0)=Einstellungen!$F$7,"max",VLOOKUP(Calc1!B8,Calc1!$C$4:$AR$12,42,0)))</f>
        <v>-24</v>
      </c>
      <c r="AC16" s="222">
        <f ca="1">IF(Calc1!$K$13=0,"",VLOOKUP(Calc1!B8,Calc1!$C$4:$N$12,8,0))</f>
        <v>3</v>
      </c>
      <c r="AD16" s="223" t="str">
        <f ca="1">IFERROR(VLOOKUP($Q16&amp;AD$11,Calc1!$Z$64:$AI$207,Einstellungen!$G$17,0),"")</f>
        <v>39:50</v>
      </c>
      <c r="AE16" s="461" t="str">
        <f ca="1">IFERROR(VLOOKUP($Q16&amp;AE$11,Calc1!$Z$64:$AI$207,Einstellungen!$G$17,0),"")</f>
        <v>45:47</v>
      </c>
      <c r="AF16" s="198" t="str">
        <f ca="1">IFERROR(VLOOKUP($Q16&amp;AF$11,Calc1!$Z$64:$AI$207,Einstellungen!$G$17,0),"")</f>
        <v>50:44</v>
      </c>
      <c r="AG16" s="198" t="str">
        <f ca="1">IFERROR(VLOOKUP($Q16&amp;AG$11,Calc1!$Z$64:$AI$207,Einstellungen!$G$17,0),"")</f>
        <v>33:50</v>
      </c>
      <c r="AH16" s="224"/>
      <c r="AI16" s="225" t="str">
        <f ca="1">IFERROR(VLOOKUP($Q16&amp;AI$11,Calc1!$Z$64:$AI$207,Einstellungen!$G$17,0),"")</f>
        <v/>
      </c>
      <c r="AJ16" s="226" t="str">
        <f t="shared" ca="1" si="0"/>
        <v>VFB Essenheim</v>
      </c>
      <c r="AM16" s="464" t="s">
        <v>200</v>
      </c>
      <c r="AN16" s="425" t="str">
        <f>IF(Planung!$C15="","",Planung!$C15)</f>
        <v>VFB Essenheim</v>
      </c>
      <c r="AO16" s="618"/>
      <c r="AP16" s="691">
        <f>IF($AN16="",0,COUNTIF(TieBreak!$U$12:$U$17,$AN16))</f>
        <v>0</v>
      </c>
    </row>
    <row r="17" spans="2:42" ht="24" customHeight="1" thickBot="1" x14ac:dyDescent="0.25">
      <c r="B17" s="484">
        <f ca="1">Planung!$E11</f>
        <v>6</v>
      </c>
      <c r="C17" s="491">
        <f ca="1">Planung!$F11</f>
        <v>0.39930555555555558</v>
      </c>
      <c r="D17" s="492">
        <f ca="1">Planung!$G11</f>
        <v>3</v>
      </c>
      <c r="E17" s="492" t="str">
        <f ca="1">Planung!$H11</f>
        <v>B</v>
      </c>
      <c r="F17" s="496" t="str">
        <f ca="1">Planung!$L11</f>
        <v>FC Grönlingen</v>
      </c>
      <c r="G17" s="220" t="s">
        <v>4</v>
      </c>
      <c r="H17" s="499" t="str">
        <f ca="1">Planung!$N11</f>
        <v>Mainz 05</v>
      </c>
      <c r="I17" s="487">
        <v>25</v>
      </c>
      <c r="J17" s="479" t="str">
        <f>Sprache!$E$77</f>
        <v>:</v>
      </c>
      <c r="K17" s="724">
        <v>17</v>
      </c>
      <c r="L17" s="725">
        <v>25</v>
      </c>
      <c r="M17" s="593" t="str">
        <f>Sprache!$E$77</f>
        <v>:</v>
      </c>
      <c r="N17" s="480">
        <v>22</v>
      </c>
      <c r="P17" s="426">
        <f ca="1">IF(Calc1!$K$13=0,"",IF(VLOOKUP(Calc1!B9,Calc1!$C$4:$E$12,3,0)=MAX(P$12:P16),VLOOKUP(Calc1!B9,Calc1!$C$4:$E$12,3,0),Calc1!B9))</f>
        <v>6</v>
      </c>
      <c r="Q17" s="427" t="str">
        <f ca="1">IF(Calc1!$F$14&lt;3,"",IF(Calc1!$K$13=0,Calc1!$Q69,VLOOKUP(Calc1!B9,Calc1!$C$4:$N$12,4,0)))</f>
        <v/>
      </c>
      <c r="R17" s="227">
        <f ca="1">IF(Calc1!$K$13=0,"",VLOOKUP(Calc1!B9,Calc1!$C$4:$N$12,9,0))</f>
        <v>0</v>
      </c>
      <c r="S17" s="228">
        <f ca="1">IF(Calc1!$K$13=0,"",VLOOKUP(Calc1!B9,Calc1!$C$4:$N$12,10,0))</f>
        <v>0</v>
      </c>
      <c r="T17" s="228">
        <f ca="1">IF(Calc1!$K$13=0,"",VLOOKUP(Calc1!B9,Calc1!$C$4:$N$12,11,0))</f>
        <v>0</v>
      </c>
      <c r="U17" s="229">
        <f ca="1">IF(Calc1!$K$13=0,"",VLOOKUP(Calc1!B9,Calc1!$C$4:$N$12,12,0))</f>
        <v>0</v>
      </c>
      <c r="V17" s="230">
        <f t="shared" ca="1" si="1"/>
        <v>0</v>
      </c>
      <c r="W17" s="231" t="str">
        <f>Sprache!$E$77</f>
        <v>:</v>
      </c>
      <c r="X17" s="232">
        <f ca="1">IF(Calc1!$K$13=0,"",VLOOKUP(Calc1!B9,Calc1!$C$4:$AS$12,43,0))</f>
        <v>0</v>
      </c>
      <c r="Y17" s="230">
        <f ca="1">IF(Calc1!$K$13=0,"",VLOOKUP(Calc1!B9,Calc1!$C$4:$N$12,5,0))</f>
        <v>0</v>
      </c>
      <c r="Z17" s="231" t="str">
        <f>Sprache!$E$77</f>
        <v>:</v>
      </c>
      <c r="AA17" s="232">
        <f ca="1">IF(Calc1!$K$13=0,"",VLOOKUP(Calc1!B9,Calc1!$C$4:$N$12,6,0))</f>
        <v>0</v>
      </c>
      <c r="AB17" s="227">
        <f ca="1">IF(Calc1!$K$13=0,"",IF(VLOOKUP(Calc1!B9,Calc1!$C$4:$AR$12,42,0)=Einstellungen!$F$7,"max",VLOOKUP(Calc1!B9,Calc1!$C$4:$AR$12,42,0)))</f>
        <v>0</v>
      </c>
      <c r="AC17" s="233">
        <f ca="1">IF(Calc1!$K$13=0,"",VLOOKUP(Calc1!B9,Calc1!$C$4:$N$12,8,0))</f>
        <v>0</v>
      </c>
      <c r="AD17" s="234" t="str">
        <f ca="1">IFERROR(VLOOKUP($Q17&amp;AD$11,Calc1!$Z$64:$AI$207,Einstellungen!$G$17,0),"")</f>
        <v/>
      </c>
      <c r="AE17" s="228" t="str">
        <f ca="1">IFERROR(VLOOKUP($Q17&amp;AE$11,Calc1!$Z$64:$AI$207,Einstellungen!$G$17,0),"")</f>
        <v/>
      </c>
      <c r="AF17" s="228" t="str">
        <f ca="1">IFERROR(VLOOKUP($Q17&amp;AF$11,Calc1!$Z$64:$AI$207,Einstellungen!$G$17,0),"")</f>
        <v/>
      </c>
      <c r="AG17" s="228" t="str">
        <f ca="1">IFERROR(VLOOKUP($Q17&amp;AG$11,Calc1!$Z$64:$AI$207,Einstellungen!$G$17,0),"")</f>
        <v/>
      </c>
      <c r="AH17" s="228" t="str">
        <f ca="1">IFERROR(VLOOKUP($Q17&amp;AH$11,Calc1!$Z$64:$AI$207,Einstellungen!$G$17,0),"")</f>
        <v/>
      </c>
      <c r="AI17" s="235"/>
      <c r="AJ17" s="333" t="str">
        <f t="shared" ca="1" si="0"/>
        <v/>
      </c>
      <c r="AM17" s="465" t="s">
        <v>202</v>
      </c>
      <c r="AN17" s="427" t="str">
        <f>IF(Planung!$C17="","",Planung!$C17)</f>
        <v/>
      </c>
      <c r="AO17" s="618"/>
      <c r="AP17" s="692">
        <f>IF($AN17="",0,COUNTIF(TieBreak!$U$12:$U$17,$AN17))</f>
        <v>0</v>
      </c>
    </row>
    <row r="18" spans="2:42" ht="24" customHeight="1" thickTop="1" x14ac:dyDescent="0.2">
      <c r="B18" s="484">
        <f ca="1">Planung!$E12</f>
        <v>7</v>
      </c>
      <c r="C18" s="491">
        <f ca="1">Planung!$F12</f>
        <v>0.4236111111111111</v>
      </c>
      <c r="D18" s="492">
        <f ca="1">Planung!$G12</f>
        <v>1</v>
      </c>
      <c r="E18" s="492" t="str">
        <f ca="1">Planung!$H12</f>
        <v>A</v>
      </c>
      <c r="F18" s="496" t="str">
        <f ca="1">Planung!$L12</f>
        <v>FC Barcelona</v>
      </c>
      <c r="G18" s="220" t="s">
        <v>4</v>
      </c>
      <c r="H18" s="499" t="str">
        <f ca="1">Planung!$N12</f>
        <v>Eintracht Frankfurt</v>
      </c>
      <c r="I18" s="487">
        <v>23</v>
      </c>
      <c r="J18" s="479" t="str">
        <f>Sprache!$E$77</f>
        <v>:</v>
      </c>
      <c r="K18" s="724">
        <v>25</v>
      </c>
      <c r="L18" s="725">
        <v>25</v>
      </c>
      <c r="M18" s="593" t="str">
        <f>Sprache!$E$77</f>
        <v>:</v>
      </c>
      <c r="N18" s="480">
        <v>23</v>
      </c>
      <c r="P18" s="332"/>
      <c r="Q18" s="285"/>
      <c r="R18" s="286"/>
      <c r="S18" s="286"/>
      <c r="T18" s="286"/>
      <c r="U18" s="286"/>
      <c r="V18" s="286"/>
      <c r="W18" s="286"/>
      <c r="X18" s="286"/>
      <c r="Y18" s="287"/>
      <c r="Z18" s="286"/>
      <c r="AA18" s="285"/>
      <c r="AB18" s="286"/>
      <c r="AC18" s="288"/>
      <c r="AD18" s="286"/>
      <c r="AE18" s="286"/>
      <c r="AF18" s="286"/>
      <c r="AG18" s="286"/>
      <c r="AH18" s="286"/>
      <c r="AI18" s="286"/>
      <c r="AJ18" s="285"/>
      <c r="AM18" s="332"/>
      <c r="AN18" s="285"/>
      <c r="AO18" s="619"/>
    </row>
    <row r="19" spans="2:42" ht="24" customHeight="1" thickBot="1" x14ac:dyDescent="0.25">
      <c r="B19" s="484">
        <f ca="1">Planung!$E13</f>
        <v>8</v>
      </c>
      <c r="C19" s="491">
        <f ca="1">Planung!$F13</f>
        <v>0.4236111111111111</v>
      </c>
      <c r="D19" s="492">
        <f ca="1">Planung!$G13</f>
        <v>2</v>
      </c>
      <c r="E19" s="492" t="str">
        <f ca="1">Planung!$H13</f>
        <v>B</v>
      </c>
      <c r="F19" s="496" t="str">
        <f ca="1">Planung!$L13</f>
        <v>Inter Mailand</v>
      </c>
      <c r="G19" s="220" t="s">
        <v>4</v>
      </c>
      <c r="H19" s="499" t="str">
        <f ca="1">Planung!$N13</f>
        <v>SSV Wildbach</v>
      </c>
      <c r="I19" s="487">
        <v>19</v>
      </c>
      <c r="J19" s="479" t="str">
        <f>Sprache!$E$77</f>
        <v>:</v>
      </c>
      <c r="K19" s="724">
        <v>25</v>
      </c>
      <c r="L19" s="725">
        <v>25</v>
      </c>
      <c r="M19" s="593" t="str">
        <f>Sprache!$E$77</f>
        <v>:</v>
      </c>
      <c r="N19" s="480">
        <v>12</v>
      </c>
      <c r="AD19" s="310"/>
      <c r="AE19" s="310"/>
      <c r="AF19" s="310"/>
      <c r="AG19" s="310"/>
      <c r="AH19" s="310"/>
      <c r="AI19" s="310"/>
      <c r="AO19" s="619"/>
    </row>
    <row r="20" spans="2:42" ht="24" customHeight="1" thickBot="1" x14ac:dyDescent="0.45">
      <c r="B20" s="484">
        <f ca="1">Planung!$E14</f>
        <v>9</v>
      </c>
      <c r="C20" s="491">
        <f ca="1">Planung!$F14</f>
        <v>0.4236111111111111</v>
      </c>
      <c r="D20" s="492">
        <f ca="1">Planung!$G14</f>
        <v>3</v>
      </c>
      <c r="E20" s="492" t="str">
        <f ca="1">Planung!$H14</f>
        <v>A</v>
      </c>
      <c r="F20" s="496" t="str">
        <f ca="1">Planung!$L14</f>
        <v>1. FC Riedwald</v>
      </c>
      <c r="G20" s="220" t="s">
        <v>4</v>
      </c>
      <c r="H20" s="499" t="str">
        <f ca="1">Planung!$N14</f>
        <v>Maibach 1822 eV</v>
      </c>
      <c r="I20" s="487">
        <v>16</v>
      </c>
      <c r="J20" s="479" t="str">
        <f>Sprache!$E$77</f>
        <v>:</v>
      </c>
      <c r="K20" s="724">
        <v>25</v>
      </c>
      <c r="L20" s="725">
        <v>25</v>
      </c>
      <c r="M20" s="593" t="str">
        <f>Sprache!$E$77</f>
        <v>:</v>
      </c>
      <c r="N20" s="480">
        <v>18</v>
      </c>
      <c r="P20" s="794" t="str">
        <f>Sprache!$E$16&amp;" B"</f>
        <v>Gruppe B</v>
      </c>
      <c r="Q20" s="794"/>
      <c r="R20" s="199"/>
      <c r="S20" s="199"/>
      <c r="T20" s="199"/>
      <c r="U20" s="199"/>
      <c r="V20" s="199"/>
      <c r="W20" s="199"/>
      <c r="X20" s="199"/>
      <c r="Y20" s="199"/>
      <c r="Z20" s="199"/>
      <c r="AA20" s="199"/>
      <c r="AB20" s="199"/>
      <c r="AC20" s="199"/>
      <c r="AD20" s="307" t="str">
        <f ca="1">IF(LEN(Q22)&gt;Einstellungen!$C$11,LEFT(Q22,Einstellungen!$C$11)&amp;".",Q22)</f>
        <v>Mainz 0.</v>
      </c>
      <c r="AE20" s="308" t="str">
        <f ca="1">IF(LEN(Q23)&gt;Einstellungen!$C$11,LEFT(Q23,Einstellungen!$C$11)&amp;".",Q23)</f>
        <v>Manches.</v>
      </c>
      <c r="AF20" s="308" t="str">
        <f ca="1">IF(LEN(Q24)&gt;Einstellungen!$C$11,LEFT(Q24,Einstellungen!$C$11)&amp;".",Q24)</f>
        <v>FC Grön.</v>
      </c>
      <c r="AG20" s="308" t="str">
        <f ca="1">IF(LEN(Q25)&gt;Einstellungen!$C$11,LEFT(Q25,Einstellungen!$C$11)&amp;".",Q25)</f>
        <v>SSV Wil.</v>
      </c>
      <c r="AH20" s="308" t="str">
        <f ca="1">IF(LEN(Q26)&gt;Einstellungen!$C$11,LEFT(Q26,Einstellungen!$C$11)&amp;".",Q26)</f>
        <v>Inter M.</v>
      </c>
      <c r="AI20" s="309" t="str">
        <f ca="1">IF(LEN(Q27)&gt;Einstellungen!$C$11,LEFT(Q27,Einstellungen!$C$11)&amp;".",Q27)</f>
        <v/>
      </c>
      <c r="AJ20" s="200"/>
      <c r="AM20" s="794" t="str">
        <f>Sprache!$E$16&amp;" B"</f>
        <v>Gruppe B</v>
      </c>
      <c r="AN20" s="794"/>
      <c r="AO20" s="619"/>
    </row>
    <row r="21" spans="2:42" ht="24" customHeight="1" thickTop="1" thickBot="1" x14ac:dyDescent="0.25">
      <c r="B21" s="484">
        <f ca="1">Planung!$E15</f>
        <v>10</v>
      </c>
      <c r="C21" s="491">
        <f ca="1">Planung!$F15</f>
        <v>0.44791666666666669</v>
      </c>
      <c r="D21" s="492">
        <f ca="1">Planung!$G15</f>
        <v>1</v>
      </c>
      <c r="E21" s="492" t="str">
        <f ca="1">Planung!$H15</f>
        <v>B</v>
      </c>
      <c r="F21" s="496" t="str">
        <f ca="1">Planung!$L15</f>
        <v>Mainz 05</v>
      </c>
      <c r="G21" s="220" t="s">
        <v>4</v>
      </c>
      <c r="H21" s="499" t="str">
        <f ca="1">Planung!$N15</f>
        <v>Manchester City</v>
      </c>
      <c r="I21" s="487">
        <v>14</v>
      </c>
      <c r="J21" s="479" t="str">
        <f>Sprache!$E$77</f>
        <v>:</v>
      </c>
      <c r="K21" s="724">
        <v>25</v>
      </c>
      <c r="L21" s="725">
        <v>25</v>
      </c>
      <c r="M21" s="593" t="str">
        <f>Sprache!$E$77</f>
        <v>:</v>
      </c>
      <c r="N21" s="480">
        <v>19</v>
      </c>
      <c r="P21" s="792"/>
      <c r="Q21" s="793"/>
      <c r="R21" s="201" t="str">
        <f>Sprache!$E$21</f>
        <v>SP</v>
      </c>
      <c r="S21" s="202" t="str">
        <f>Sprache!$E$22</f>
        <v>G</v>
      </c>
      <c r="T21" s="202" t="str">
        <f>Sprache!$E$23</f>
        <v>U</v>
      </c>
      <c r="U21" s="275" t="str">
        <f>Sprache!$E$24</f>
        <v>V</v>
      </c>
      <c r="V21" s="808" t="str">
        <f>Sprache!$E$25</f>
        <v>Sätze</v>
      </c>
      <c r="W21" s="809"/>
      <c r="X21" s="810"/>
      <c r="Y21" s="789" t="str">
        <f>Sprache!$E$60</f>
        <v>Bälle</v>
      </c>
      <c r="Z21" s="790"/>
      <c r="AA21" s="791"/>
      <c r="AB21" s="202" t="str">
        <f>IF(Einstellungen!$G$7,Sprache!$E$26,Sprache!$E$67)</f>
        <v>Diff.</v>
      </c>
      <c r="AC21" s="204" t="str">
        <f>Sprache!$E$27</f>
        <v>Pkt</v>
      </c>
      <c r="AD21" s="205" t="str">
        <f ca="1">Q22</f>
        <v>Mainz 05</v>
      </c>
      <c r="AE21" s="206" t="str">
        <f ca="1">Q23</f>
        <v>Manchester City</v>
      </c>
      <c r="AF21" s="206" t="str">
        <f ca="1">Q24</f>
        <v>FC Grönlingen</v>
      </c>
      <c r="AG21" s="206" t="str">
        <f ca="1">Q25</f>
        <v>SSV Wildbach</v>
      </c>
      <c r="AH21" s="206" t="str">
        <f ca="1">Q26</f>
        <v>Inter Mailand</v>
      </c>
      <c r="AI21" s="577" t="str">
        <f ca="1">Q27</f>
        <v/>
      </c>
      <c r="AJ21" s="200"/>
      <c r="AM21" s="467" t="str">
        <f>Sprache!$E$9</f>
        <v>Nr.</v>
      </c>
      <c r="AN21" s="620" t="str">
        <f>Sprache!$E$10</f>
        <v>Teilnehmer bzw. Mannschaft</v>
      </c>
      <c r="AO21" s="617"/>
    </row>
    <row r="22" spans="2:42" ht="24" customHeight="1" x14ac:dyDescent="0.2">
      <c r="B22" s="484">
        <f ca="1">Planung!$E16</f>
        <v>11</v>
      </c>
      <c r="C22" s="491">
        <f ca="1">Planung!$F16</f>
        <v>0.44791666666666669</v>
      </c>
      <c r="D22" s="492">
        <f ca="1">Planung!$G16</f>
        <v>2</v>
      </c>
      <c r="E22" s="492" t="str">
        <f ca="1">Planung!$H16</f>
        <v>A</v>
      </c>
      <c r="F22" s="496" t="str">
        <f ca="1">Planung!$L16</f>
        <v>Eintracht Frankfurt</v>
      </c>
      <c r="G22" s="220" t="s">
        <v>4</v>
      </c>
      <c r="H22" s="499" t="str">
        <f ca="1">Planung!$N16</f>
        <v>VFB Essenheim</v>
      </c>
      <c r="I22" s="487">
        <v>22</v>
      </c>
      <c r="J22" s="479" t="str">
        <f>Sprache!$E$77</f>
        <v>:</v>
      </c>
      <c r="K22" s="724">
        <v>25</v>
      </c>
      <c r="L22" s="725">
        <v>25</v>
      </c>
      <c r="M22" s="593" t="str">
        <f>Sprache!$E$77</f>
        <v>:</v>
      </c>
      <c r="N22" s="480">
        <v>20</v>
      </c>
      <c r="P22" s="422">
        <f ca="1">IF(Calc2!$K$13=0,"",1)</f>
        <v>1</v>
      </c>
      <c r="Q22" s="423" t="str">
        <f ca="1">IF(Calc1!$F$14&lt;3,"",IF(Calc2!$K$13=0,Calc2!$Q64,VLOOKUP(Calc2!B4,Calc2!$C$4:$N$12,4,0)))</f>
        <v>Mainz 05</v>
      </c>
      <c r="R22" s="207">
        <f ca="1">IF(Calc2!$K$13=0,"",VLOOKUP(Calc2!B4,Calc2!$C$4:$N$12,9,0))</f>
        <v>4</v>
      </c>
      <c r="S22" s="208">
        <f ca="1">IF(Calc2!$K$13=0,"",VLOOKUP(Calc2!B4,Calc2!$C$4:$N$12,10,0))</f>
        <v>2</v>
      </c>
      <c r="T22" s="208">
        <f ca="1">IF(Calc2!$K$13=0,"",VLOOKUP(Calc2!B4,Calc2!$C$4:$N$12,11,0))</f>
        <v>1</v>
      </c>
      <c r="U22" s="209">
        <f ca="1">IF(Calc2!$K$13=0,"",VLOOKUP(Calc2!B4,Calc2!$C$4:$N$12,12,0))</f>
        <v>1</v>
      </c>
      <c r="V22" s="210">
        <f t="shared" ref="V22:V27" ca="1" si="2">AC22</f>
        <v>5</v>
      </c>
      <c r="W22" s="211" t="str">
        <f>Sprache!$E$77</f>
        <v>:</v>
      </c>
      <c r="X22" s="212">
        <f ca="1">IF(Calc2!$K$13=0,"",VLOOKUP(Calc2!B4,Calc2!$C$4:$AS$12,43,0))</f>
        <v>3</v>
      </c>
      <c r="Y22" s="210">
        <f ca="1">IF(Calc2!$K$13=0,"",VLOOKUP(Calc2!B4,Calc2!$C$4:$N$12,5,0))</f>
        <v>178</v>
      </c>
      <c r="Z22" s="211" t="str">
        <f>Sprache!$E$77</f>
        <v>:</v>
      </c>
      <c r="AA22" s="212">
        <f ca="1">IF(Calc2!$K$13=0,"",VLOOKUP(Calc2!B4,Calc2!$C$4:$N$12,6,0))</f>
        <v>156</v>
      </c>
      <c r="AB22" s="207">
        <f ca="1">IF(Calc2!$K$13=0,"",IF(VLOOKUP(Calc2!B4,Calc2!$C$4:$AR$12,42,0)=Einstellungen!$F$7,"max",VLOOKUP(Calc2!B4,Calc2!$C$4:$AR$12,42,0)))</f>
        <v>22</v>
      </c>
      <c r="AC22" s="213">
        <f ca="1">IF(Calc2!$K$13=0,"",VLOOKUP(Calc2!B4,Calc2!$C$4:$N$12,8,0))</f>
        <v>5</v>
      </c>
      <c r="AD22" s="214"/>
      <c r="AE22" s="208" t="str">
        <f ca="1">IFERROR(VLOOKUP($Q22&amp;AE$21,Calc2!$Z$64:$AI$207,Einstellungen!$G$17,0),"")</f>
        <v>39:44</v>
      </c>
      <c r="AF22" s="208" t="str">
        <f ca="1">IFERROR(VLOOKUP($Q22&amp;AF$21,Calc2!$Z$64:$AI$207,Einstellungen!$G$17,0),"")</f>
        <v>39:50</v>
      </c>
      <c r="AG22" s="208" t="str">
        <f ca="1">IFERROR(VLOOKUP($Q22&amp;AG$21,Calc2!$Z$64:$AI$207,Einstellungen!$G$17,0),"")</f>
        <v>50:38</v>
      </c>
      <c r="AH22" s="208" t="str">
        <f ca="1">IFERROR(VLOOKUP($Q22&amp;AH$21,Calc2!$Z$64:$AI$207,Einstellungen!$G$17,0),"")</f>
        <v>50:24</v>
      </c>
      <c r="AI22" s="215" t="str">
        <f ca="1">IFERROR(VLOOKUP($Q22&amp;AI$21,Calc2!$Z$64:$AI$207,Einstellungen!$G$17,0),"")</f>
        <v/>
      </c>
      <c r="AJ22" s="216" t="str">
        <f t="shared" ref="AJ22:AJ27" ca="1" si="3">Q22</f>
        <v>Mainz 05</v>
      </c>
      <c r="AM22" s="466" t="s">
        <v>195</v>
      </c>
      <c r="AN22" s="621" t="str">
        <f>IF(Planung!$C24="","",Planung!$C24)</f>
        <v>Mainz 05</v>
      </c>
      <c r="AO22" s="618"/>
      <c r="AP22" s="690">
        <f>IF($AN22="",0,COUNTIF(TieBreak!$U$12:$U$17,$AN22))</f>
        <v>0</v>
      </c>
    </row>
    <row r="23" spans="2:42" ht="24" customHeight="1" x14ac:dyDescent="0.2">
      <c r="B23" s="484">
        <f ca="1">Planung!$E17</f>
        <v>12</v>
      </c>
      <c r="C23" s="491">
        <f ca="1">Planung!$F17</f>
        <v>0.44791666666666669</v>
      </c>
      <c r="D23" s="492">
        <f ca="1">Planung!$G17</f>
        <v>3</v>
      </c>
      <c r="E23" s="492" t="str">
        <f ca="1">Planung!$H17</f>
        <v>B</v>
      </c>
      <c r="F23" s="496" t="str">
        <f ca="1">Planung!$L17</f>
        <v>SSV Wildbach</v>
      </c>
      <c r="G23" s="220" t="s">
        <v>4</v>
      </c>
      <c r="H23" s="499" t="str">
        <f ca="1">Planung!$N17</f>
        <v>FC Grönlingen</v>
      </c>
      <c r="I23" s="487">
        <v>19</v>
      </c>
      <c r="J23" s="479" t="str">
        <f>Sprache!$E$77</f>
        <v>:</v>
      </c>
      <c r="K23" s="724">
        <v>25</v>
      </c>
      <c r="L23" s="725">
        <v>25</v>
      </c>
      <c r="M23" s="593" t="str">
        <f>Sprache!$E$77</f>
        <v>:</v>
      </c>
      <c r="N23" s="480">
        <v>19</v>
      </c>
      <c r="P23" s="424">
        <f ca="1">IF(Calc2!$K$13=0,"",IF(VLOOKUP(Calc2!B5,Calc2!$C$4:$E$12,3,0)=MAX(P$22:P22),VLOOKUP(Calc2!B5,Calc2!$C$4:$E$12,3,0),Calc2!B5))</f>
        <v>2</v>
      </c>
      <c r="Q23" s="425" t="str">
        <f ca="1">IF(Calc1!$F$14&lt;3,"",IF(Calc2!$K$13=0,Calc2!$Q65,VLOOKUP(Calc2!B5,Calc2!$C$4:$N$12,4,0)))</f>
        <v>Manchester City</v>
      </c>
      <c r="R23" s="217">
        <f ca="1">IF(Calc2!$K$13=0,"",VLOOKUP(Calc2!B5,Calc2!$C$4:$N$12,9,0))</f>
        <v>4</v>
      </c>
      <c r="S23" s="198">
        <f ca="1">IF(Calc2!$K$13=0,"",VLOOKUP(Calc2!B5,Calc2!$C$4:$N$12,10,0))</f>
        <v>1</v>
      </c>
      <c r="T23" s="198">
        <f ca="1">IF(Calc2!$K$13=0,"",VLOOKUP(Calc2!B5,Calc2!$C$4:$N$12,11,0))</f>
        <v>2</v>
      </c>
      <c r="U23" s="218">
        <f ca="1">IF(Calc2!$K$13=0,"",VLOOKUP(Calc2!B5,Calc2!$C$4:$N$12,12,0))</f>
        <v>1</v>
      </c>
      <c r="V23" s="219">
        <f t="shared" ca="1" si="2"/>
        <v>4</v>
      </c>
      <c r="W23" s="220" t="str">
        <f>Sprache!$E$77</f>
        <v>:</v>
      </c>
      <c r="X23" s="221">
        <f ca="1">IF(Calc2!$K$13=0,"",VLOOKUP(Calc2!B5,Calc2!$C$4:$AS$12,43,0))</f>
        <v>4</v>
      </c>
      <c r="Y23" s="219">
        <f ca="1">IF(Calc2!$K$13=0,"",VLOOKUP(Calc2!B5,Calc2!$C$4:$N$12,5,0))</f>
        <v>184</v>
      </c>
      <c r="Z23" s="220" t="str">
        <f>Sprache!$E$77</f>
        <v>:</v>
      </c>
      <c r="AA23" s="221">
        <f ca="1">IF(Calc2!$K$13=0,"",VLOOKUP(Calc2!B5,Calc2!$C$4:$N$12,6,0))</f>
        <v>160</v>
      </c>
      <c r="AB23" s="217">
        <f ca="1">IF(Calc2!$K$13=0,"",IF(VLOOKUP(Calc2!B5,Calc2!$C$4:$AR$12,42,0)=Einstellungen!$F$7,"max",VLOOKUP(Calc2!B5,Calc2!$C$4:$AR$12,42,0)))</f>
        <v>24</v>
      </c>
      <c r="AC23" s="222">
        <f ca="1">IF(Calc2!$K$13=0,"",VLOOKUP(Calc2!B5,Calc2!$C$4:$N$12,8,0))</f>
        <v>4</v>
      </c>
      <c r="AD23" s="223" t="str">
        <f ca="1">IFERROR(VLOOKUP($Q23&amp;AD$21,Calc2!$Z$64:$AI$207,Einstellungen!$G$17,0),"")</f>
        <v>44:39</v>
      </c>
      <c r="AE23" s="224"/>
      <c r="AF23" s="198" t="str">
        <f ca="1">IFERROR(VLOOKUP($Q23&amp;AF$21,Calc2!$Z$64:$AI$207,Einstellungen!$G$17,0),"")</f>
        <v>50:32</v>
      </c>
      <c r="AG23" s="198" t="str">
        <f ca="1">IFERROR(VLOOKUP($Q23&amp;AG$21,Calc2!$Z$64:$AI$207,Einstellungen!$G$17,0),"")</f>
        <v>42:50</v>
      </c>
      <c r="AH23" s="198" t="str">
        <f ca="1">IFERROR(VLOOKUP($Q23&amp;AH$21,Calc2!$Z$64:$AI$207,Einstellungen!$G$17,0),"")</f>
        <v>48:39</v>
      </c>
      <c r="AI23" s="225" t="str">
        <f ca="1">IFERROR(VLOOKUP($Q23&amp;AI$21,Calc2!$Z$64:$AI$207,Einstellungen!$G$17,0),"")</f>
        <v/>
      </c>
      <c r="AJ23" s="226" t="str">
        <f t="shared" ca="1" si="3"/>
        <v>Manchester City</v>
      </c>
      <c r="AM23" s="464" t="s">
        <v>197</v>
      </c>
      <c r="AN23" s="425" t="str">
        <f>IF(Planung!$C26="","",Planung!$C26)</f>
        <v>Inter Mailand</v>
      </c>
      <c r="AO23" s="618"/>
      <c r="AP23" s="691">
        <f>IF($AN23="",0,COUNTIF(TieBreak!$U$12:$U$17,$AN23))</f>
        <v>0</v>
      </c>
    </row>
    <row r="24" spans="2:42" ht="24" customHeight="1" x14ac:dyDescent="0.2">
      <c r="B24" s="484">
        <f ca="1">Planung!$E18</f>
        <v>13</v>
      </c>
      <c r="C24" s="491">
        <f ca="1">Planung!$F18</f>
        <v>0.47222222222222221</v>
      </c>
      <c r="D24" s="492">
        <f ca="1">Planung!$G18</f>
        <v>1</v>
      </c>
      <c r="E24" s="492" t="str">
        <f ca="1">Planung!$H18</f>
        <v>A</v>
      </c>
      <c r="F24" s="496" t="str">
        <f ca="1">Planung!$L18</f>
        <v>FC Barcelona</v>
      </c>
      <c r="G24" s="220" t="s">
        <v>4</v>
      </c>
      <c r="H24" s="499" t="str">
        <f ca="1">Planung!$N18</f>
        <v>Maibach 1822 eV</v>
      </c>
      <c r="I24" s="487">
        <v>17</v>
      </c>
      <c r="J24" s="479" t="str">
        <f>Sprache!$E$77</f>
        <v>:</v>
      </c>
      <c r="K24" s="724">
        <v>25</v>
      </c>
      <c r="L24" s="725">
        <v>12</v>
      </c>
      <c r="M24" s="593" t="str">
        <f>Sprache!$E$77</f>
        <v>:</v>
      </c>
      <c r="N24" s="480">
        <v>25</v>
      </c>
      <c r="P24" s="424">
        <f ca="1">IF(Calc2!$K$13=0,"",IF(VLOOKUP(Calc2!B6,Calc2!$C$4:$E$12,3,0)=MAX(P$22:P23),VLOOKUP(Calc2!B6,Calc2!$C$4:$E$12,3,0),Calc2!B6))</f>
        <v>3</v>
      </c>
      <c r="Q24" s="425" t="str">
        <f ca="1">IF(Calc1!$F$14&lt;3,"",IF(Calc2!$K$13=0,Calc2!$Q66,VLOOKUP(Calc2!B6,Calc2!$C$4:$N$12,4,0)))</f>
        <v>FC Grönlingen</v>
      </c>
      <c r="R24" s="217">
        <f ca="1">IF(Calc2!$K$13=0,"",VLOOKUP(Calc2!B6,Calc2!$C$4:$N$12,9,0))</f>
        <v>4</v>
      </c>
      <c r="S24" s="198">
        <f ca="1">IF(Calc2!$K$13=0,"",VLOOKUP(Calc2!B6,Calc2!$C$4:$N$12,10,0))</f>
        <v>1</v>
      </c>
      <c r="T24" s="198">
        <f ca="1">IF(Calc2!$K$13=0,"",VLOOKUP(Calc2!B6,Calc2!$C$4:$N$12,11,0))</f>
        <v>2</v>
      </c>
      <c r="U24" s="218">
        <f ca="1">IF(Calc2!$K$13=0,"",VLOOKUP(Calc2!B6,Calc2!$C$4:$N$12,12,0))</f>
        <v>1</v>
      </c>
      <c r="V24" s="219">
        <f t="shared" ca="1" si="2"/>
        <v>4</v>
      </c>
      <c r="W24" s="220" t="str">
        <f>Sprache!$E$77</f>
        <v>:</v>
      </c>
      <c r="X24" s="221">
        <f ca="1">IF(Calc2!$K$13=0,"",VLOOKUP(Calc2!B6,Calc2!$C$4:$AS$12,43,0))</f>
        <v>4</v>
      </c>
      <c r="Y24" s="219">
        <f ca="1">IF(Calc2!$K$13=0,"",VLOOKUP(Calc2!B6,Calc2!$C$4:$N$12,5,0))</f>
        <v>174</v>
      </c>
      <c r="Z24" s="220" t="str">
        <f>Sprache!$E$77</f>
        <v>:</v>
      </c>
      <c r="AA24" s="221">
        <f ca="1">IF(Calc2!$K$13=0,"",VLOOKUP(Calc2!B6,Calc2!$C$4:$N$12,6,0))</f>
        <v>178</v>
      </c>
      <c r="AB24" s="217">
        <f ca="1">IF(Calc2!$K$13=0,"",IF(VLOOKUP(Calc2!B6,Calc2!$C$4:$AR$12,42,0)=Einstellungen!$F$7,"max",VLOOKUP(Calc2!B6,Calc2!$C$4:$AR$12,42,0)))</f>
        <v>-4</v>
      </c>
      <c r="AC24" s="222">
        <f ca="1">IF(Calc2!$K$13=0,"",VLOOKUP(Calc2!B6,Calc2!$C$4:$N$12,8,0))</f>
        <v>4</v>
      </c>
      <c r="AD24" s="223" t="str">
        <f ca="1">IFERROR(VLOOKUP($Q24&amp;AD$21,Calc2!$Z$64:$AI$207,Einstellungen!$G$17,0),"")</f>
        <v>50:39</v>
      </c>
      <c r="AE24" s="461" t="str">
        <f ca="1">IFERROR(VLOOKUP($Q24&amp;AE$21,Calc2!$Z$64:$AI$207,Einstellungen!$G$17,0),"")</f>
        <v>32:50</v>
      </c>
      <c r="AF24" s="224"/>
      <c r="AG24" s="198" t="str">
        <f ca="1">IFERROR(VLOOKUP($Q24&amp;AG$21,Calc2!$Z$64:$AI$207,Einstellungen!$G$17,0),"")</f>
        <v>44:44</v>
      </c>
      <c r="AH24" s="198" t="str">
        <f ca="1">IFERROR(VLOOKUP($Q24&amp;AH$21,Calc2!$Z$64:$AI$207,Einstellungen!$G$17,0),"")</f>
        <v>48:45</v>
      </c>
      <c r="AI24" s="225" t="str">
        <f ca="1">IFERROR(VLOOKUP($Q24&amp;AI$21,Calc2!$Z$64:$AI$207,Einstellungen!$G$17,0),"")</f>
        <v/>
      </c>
      <c r="AJ24" s="226" t="str">
        <f t="shared" ca="1" si="3"/>
        <v>FC Grönlingen</v>
      </c>
      <c r="AM24" s="464" t="s">
        <v>193</v>
      </c>
      <c r="AN24" s="425" t="str">
        <f>IF(Planung!$C28="","",Planung!$C28)</f>
        <v>SSV Wildbach</v>
      </c>
      <c r="AO24" s="618"/>
      <c r="AP24" s="691">
        <f>IF($AN24="",0,COUNTIF(TieBreak!$U$12:$U$17,$AN24))</f>
        <v>0</v>
      </c>
    </row>
    <row r="25" spans="2:42" ht="24" customHeight="1" x14ac:dyDescent="0.2">
      <c r="B25" s="484">
        <f ca="1">Planung!$E19</f>
        <v>14</v>
      </c>
      <c r="C25" s="491">
        <f ca="1">Planung!$F19</f>
        <v>0.47222222222222221</v>
      </c>
      <c r="D25" s="492">
        <f ca="1">Planung!$G19</f>
        <v>2</v>
      </c>
      <c r="E25" s="492" t="str">
        <f ca="1">Planung!$H19</f>
        <v>B</v>
      </c>
      <c r="F25" s="496" t="str">
        <f ca="1">Planung!$L19</f>
        <v>Inter Mailand</v>
      </c>
      <c r="G25" s="220" t="s">
        <v>4</v>
      </c>
      <c r="H25" s="499" t="str">
        <f ca="1">Planung!$N19</f>
        <v>Manchester City</v>
      </c>
      <c r="I25" s="487">
        <v>14</v>
      </c>
      <c r="J25" s="479" t="str">
        <f>Sprache!$E$77</f>
        <v>:</v>
      </c>
      <c r="K25" s="724">
        <v>25</v>
      </c>
      <c r="L25" s="725">
        <v>25</v>
      </c>
      <c r="M25" s="593" t="str">
        <f>Sprache!$E$77</f>
        <v>:</v>
      </c>
      <c r="N25" s="480">
        <v>23</v>
      </c>
      <c r="P25" s="424">
        <f ca="1">IF(Calc2!$K$13=0,"",IF(VLOOKUP(Calc2!B7,Calc2!$C$4:$E$12,3,0)=MAX(P$22:P24),VLOOKUP(Calc2!B7,Calc2!$C$4:$E$12,3,0),Calc2!B7))</f>
        <v>4</v>
      </c>
      <c r="Q25" s="425" t="str">
        <f ca="1">IF(Calc1!$F$14&lt;3,"",IF(Calc2!$K$13=0,Calc2!$Q67,VLOOKUP(Calc2!B7,Calc2!$C$4:$N$12,4,0)))</f>
        <v>SSV Wildbach</v>
      </c>
      <c r="R25" s="217">
        <f ca="1">IF(Calc2!$K$13=0,"",VLOOKUP(Calc2!B7,Calc2!$C$4:$N$12,9,0))</f>
        <v>4</v>
      </c>
      <c r="S25" s="198">
        <f ca="1">IF(Calc2!$K$13=0,"",VLOOKUP(Calc2!B7,Calc2!$C$4:$N$12,10,0))</f>
        <v>1</v>
      </c>
      <c r="T25" s="198">
        <f ca="1">IF(Calc2!$K$13=0,"",VLOOKUP(Calc2!B7,Calc2!$C$4:$N$12,11,0))</f>
        <v>2</v>
      </c>
      <c r="U25" s="218">
        <f ca="1">IF(Calc2!$K$13=0,"",VLOOKUP(Calc2!B7,Calc2!$C$4:$N$12,12,0))</f>
        <v>1</v>
      </c>
      <c r="V25" s="219">
        <f t="shared" ca="1" si="2"/>
        <v>4</v>
      </c>
      <c r="W25" s="220" t="str">
        <f>Sprache!$E$77</f>
        <v>:</v>
      </c>
      <c r="X25" s="221">
        <f ca="1">IF(Calc2!$K$13=0,"",VLOOKUP(Calc2!B7,Calc2!$C$4:$AS$12,43,0))</f>
        <v>4</v>
      </c>
      <c r="Y25" s="219">
        <f ca="1">IF(Calc2!$K$13=0,"",VLOOKUP(Calc2!B7,Calc2!$C$4:$N$12,5,0))</f>
        <v>169</v>
      </c>
      <c r="Z25" s="220" t="str">
        <f>Sprache!$E$77</f>
        <v>:</v>
      </c>
      <c r="AA25" s="221">
        <f ca="1">IF(Calc2!$K$13=0,"",VLOOKUP(Calc2!B7,Calc2!$C$4:$N$12,6,0))</f>
        <v>180</v>
      </c>
      <c r="AB25" s="217">
        <f ca="1">IF(Calc2!$K$13=0,"",IF(VLOOKUP(Calc2!B7,Calc2!$C$4:$AR$12,42,0)=Einstellungen!$F$7,"max",VLOOKUP(Calc2!B7,Calc2!$C$4:$AR$12,42,0)))</f>
        <v>-11</v>
      </c>
      <c r="AC25" s="222">
        <f ca="1">IF(Calc2!$K$13=0,"",VLOOKUP(Calc2!B7,Calc2!$C$4:$N$12,8,0))</f>
        <v>4</v>
      </c>
      <c r="AD25" s="223" t="str">
        <f ca="1">IFERROR(VLOOKUP($Q25&amp;AD$21,Calc2!$Z$64:$AI$207,Einstellungen!$G$17,0),"")</f>
        <v>38:50</v>
      </c>
      <c r="AE25" s="461" t="str">
        <f ca="1">IFERROR(VLOOKUP($Q25&amp;AE$21,Calc2!$Z$64:$AI$207,Einstellungen!$G$17,0),"")</f>
        <v>50:42</v>
      </c>
      <c r="AF25" s="198" t="str">
        <f ca="1">IFERROR(VLOOKUP($Q25&amp;AF$21,Calc2!$Z$64:$AI$207,Einstellungen!$G$17,0),"")</f>
        <v>44:44</v>
      </c>
      <c r="AG25" s="224"/>
      <c r="AH25" s="198" t="str">
        <f ca="1">IFERROR(VLOOKUP($Q25&amp;AH$21,Calc2!$Z$64:$AI$207,Einstellungen!$G$17,0),"")</f>
        <v>37:44</v>
      </c>
      <c r="AI25" s="225" t="str">
        <f ca="1">IFERROR(VLOOKUP($Q25&amp;AI$21,Calc2!$Z$64:$AI$207,Einstellungen!$G$17,0),"")</f>
        <v/>
      </c>
      <c r="AJ25" s="226" t="str">
        <f t="shared" ca="1" si="3"/>
        <v>SSV Wildbach</v>
      </c>
      <c r="AM25" s="464" t="s">
        <v>199</v>
      </c>
      <c r="AN25" s="425" t="str">
        <f>IF(Planung!$C30="","",Planung!$C30)</f>
        <v>Manchester City</v>
      </c>
      <c r="AO25" s="618"/>
      <c r="AP25" s="691">
        <f>IF($AN25="",0,COUNTIF(TieBreak!$U$12:$U$17,$AN25))</f>
        <v>0</v>
      </c>
    </row>
    <row r="26" spans="2:42" ht="24" customHeight="1" x14ac:dyDescent="0.2">
      <c r="B26" s="484">
        <f ca="1">Planung!$E20</f>
        <v>15</v>
      </c>
      <c r="C26" s="491">
        <f ca="1">Planung!$F20</f>
        <v>0.47222222222222221</v>
      </c>
      <c r="D26" s="492">
        <f ca="1">Planung!$G20</f>
        <v>3</v>
      </c>
      <c r="E26" s="492" t="str">
        <f ca="1">Planung!$H20</f>
        <v>A</v>
      </c>
      <c r="F26" s="496" t="str">
        <f ca="1">Planung!$L20</f>
        <v>Eintracht Frankfurt</v>
      </c>
      <c r="G26" s="220" t="s">
        <v>4</v>
      </c>
      <c r="H26" s="499" t="str">
        <f ca="1">Planung!$N20</f>
        <v>1. FC Riedwald</v>
      </c>
      <c r="I26" s="487">
        <v>21</v>
      </c>
      <c r="J26" s="479" t="str">
        <f>Sprache!$E$77</f>
        <v>:</v>
      </c>
      <c r="K26" s="724">
        <v>25</v>
      </c>
      <c r="L26" s="725">
        <v>25</v>
      </c>
      <c r="M26" s="593" t="str">
        <f>Sprache!$E$77</f>
        <v>:</v>
      </c>
      <c r="N26" s="480">
        <v>17</v>
      </c>
      <c r="P26" s="424">
        <f ca="1">IF(Calc2!$K$13=0,"",IF(VLOOKUP(Calc2!B8,Calc2!$C$4:$E$12,3,0)=MAX(P$22:P25),VLOOKUP(Calc2!B8,Calc2!$C$4:$E$12,3,0),Calc2!B8))</f>
        <v>5</v>
      </c>
      <c r="Q26" s="425" t="str">
        <f ca="1">IF(Calc1!$F$14&lt;3,"",IF(Calc2!$K$13=0,Calc2!$Q68,VLOOKUP(Calc2!B8,Calc2!$C$4:$N$12,4,0)))</f>
        <v>Inter Mailand</v>
      </c>
      <c r="R26" s="217">
        <f ca="1">IF(Calc2!$K$13=0,"",VLOOKUP(Calc2!B8,Calc2!$C$4:$N$12,9,0))</f>
        <v>4</v>
      </c>
      <c r="S26" s="198">
        <f ca="1">IF(Calc2!$K$13=0,"",VLOOKUP(Calc2!B8,Calc2!$C$4:$N$12,10,0))</f>
        <v>0</v>
      </c>
      <c r="T26" s="198">
        <f ca="1">IF(Calc2!$K$13=0,"",VLOOKUP(Calc2!B8,Calc2!$C$4:$N$12,11,0))</f>
        <v>3</v>
      </c>
      <c r="U26" s="218">
        <f ca="1">IF(Calc2!$K$13=0,"",VLOOKUP(Calc2!B8,Calc2!$C$4:$N$12,12,0))</f>
        <v>1</v>
      </c>
      <c r="V26" s="219">
        <f t="shared" ca="1" si="2"/>
        <v>3</v>
      </c>
      <c r="W26" s="220" t="str">
        <f>Sprache!$E$77</f>
        <v>:</v>
      </c>
      <c r="X26" s="221">
        <f ca="1">IF(Calc2!$K$13=0,"",VLOOKUP(Calc2!B8,Calc2!$C$4:$AS$12,43,0))</f>
        <v>5</v>
      </c>
      <c r="Y26" s="219">
        <f ca="1">IF(Calc2!$K$13=0,"",VLOOKUP(Calc2!B8,Calc2!$C$4:$N$12,5,0))</f>
        <v>152</v>
      </c>
      <c r="Z26" s="220" t="str">
        <f>Sprache!$E$77</f>
        <v>:</v>
      </c>
      <c r="AA26" s="221">
        <f ca="1">IF(Calc2!$K$13=0,"",VLOOKUP(Calc2!B8,Calc2!$C$4:$N$12,6,0))</f>
        <v>183</v>
      </c>
      <c r="AB26" s="217">
        <f ca="1">IF(Calc2!$K$13=0,"",IF(VLOOKUP(Calc2!B8,Calc2!$C$4:$AR$12,42,0)=Einstellungen!$F$7,"max",VLOOKUP(Calc2!B8,Calc2!$C$4:$AR$12,42,0)))</f>
        <v>-31</v>
      </c>
      <c r="AC26" s="222">
        <f ca="1">IF(Calc2!$K$13=0,"",VLOOKUP(Calc2!B8,Calc2!$C$4:$N$12,8,0))</f>
        <v>3</v>
      </c>
      <c r="AD26" s="223" t="str">
        <f ca="1">IFERROR(VLOOKUP($Q26&amp;AD$21,Calc2!$Z$64:$AI$207,Einstellungen!$G$17,0),"")</f>
        <v>24:50</v>
      </c>
      <c r="AE26" s="461" t="str">
        <f ca="1">IFERROR(VLOOKUP($Q26&amp;AE$21,Calc2!$Z$64:$AI$207,Einstellungen!$G$17,0),"")</f>
        <v>39:48</v>
      </c>
      <c r="AF26" s="198" t="str">
        <f ca="1">IFERROR(VLOOKUP($Q26&amp;AF$21,Calc2!$Z$64:$AI$207,Einstellungen!$G$17,0),"")</f>
        <v>45:48</v>
      </c>
      <c r="AG26" s="198" t="str">
        <f ca="1">IFERROR(VLOOKUP($Q26&amp;AG$21,Calc2!$Z$64:$AI$207,Einstellungen!$G$17,0),"")</f>
        <v>44:37</v>
      </c>
      <c r="AH26" s="224"/>
      <c r="AI26" s="225" t="str">
        <f ca="1">IFERROR(VLOOKUP($Q26&amp;AI$21,Calc2!$Z$64:$AI$207,Einstellungen!$G$17,0),"")</f>
        <v/>
      </c>
      <c r="AJ26" s="226" t="str">
        <f t="shared" ca="1" si="3"/>
        <v>Inter Mailand</v>
      </c>
      <c r="AM26" s="464" t="s">
        <v>201</v>
      </c>
      <c r="AN26" s="425" t="str">
        <f>IF(Planung!$C32="","",Planung!$C32)</f>
        <v>FC Grönlingen</v>
      </c>
      <c r="AO26" s="618"/>
      <c r="AP26" s="691">
        <f>IF($AN26="",0,COUNTIF(TieBreak!$U$12:$U$17,$AN26))</f>
        <v>0</v>
      </c>
    </row>
    <row r="27" spans="2:42" ht="24" customHeight="1" thickBot="1" x14ac:dyDescent="0.25">
      <c r="B27" s="484">
        <f ca="1">Planung!$E21</f>
        <v>16</v>
      </c>
      <c r="C27" s="491">
        <f ca="1">Planung!$F21</f>
        <v>0.49652777777777779</v>
      </c>
      <c r="D27" s="492">
        <f ca="1">Planung!$G21</f>
        <v>1</v>
      </c>
      <c r="E27" s="492" t="str">
        <f ca="1">Planung!$H21</f>
        <v>B</v>
      </c>
      <c r="F27" s="496" t="str">
        <f ca="1">Planung!$L21</f>
        <v>SSV Wildbach</v>
      </c>
      <c r="G27" s="220" t="s">
        <v>4</v>
      </c>
      <c r="H27" s="499" t="str">
        <f ca="1">Planung!$N21</f>
        <v>Mainz 05</v>
      </c>
      <c r="I27" s="487">
        <v>20</v>
      </c>
      <c r="J27" s="479" t="str">
        <f>Sprache!$E$77</f>
        <v>:</v>
      </c>
      <c r="K27" s="724">
        <v>25</v>
      </c>
      <c r="L27" s="725">
        <v>18</v>
      </c>
      <c r="M27" s="593" t="str">
        <f>Sprache!$E$77</f>
        <v>:</v>
      </c>
      <c r="N27" s="480">
        <v>25</v>
      </c>
      <c r="P27" s="426">
        <f ca="1">IF(Calc2!$K$13=0,"",IF(VLOOKUP(Calc2!B9,Calc2!$C$4:$E$12,3,0)=MAX(P$22:P26),VLOOKUP(Calc2!B9,Calc2!$C$4:$E$12,3,0),Calc2!B9))</f>
        <v>6</v>
      </c>
      <c r="Q27" s="427" t="str">
        <f ca="1">IF(Calc1!$F$14&lt;3,"",IF(Calc2!$K$13=0,Calc2!$Q69,VLOOKUP(Calc2!B9,Calc2!$C$4:$N$12,4,0)))</f>
        <v/>
      </c>
      <c r="R27" s="227">
        <f ca="1">IF(Calc2!$K$13=0,"",VLOOKUP(Calc2!B9,Calc2!$C$4:$N$12,9,0))</f>
        <v>0</v>
      </c>
      <c r="S27" s="228">
        <f ca="1">IF(Calc2!$K$13=0,"",VLOOKUP(Calc2!B9,Calc2!$C$4:$N$12,10,0))</f>
        <v>0</v>
      </c>
      <c r="T27" s="228">
        <f ca="1">IF(Calc2!$K$13=0,"",VLOOKUP(Calc2!B9,Calc2!$C$4:$N$12,11,0))</f>
        <v>0</v>
      </c>
      <c r="U27" s="229">
        <f ca="1">IF(Calc2!$K$13=0,"",VLOOKUP(Calc2!B9,Calc2!$C$4:$N$12,12,0))</f>
        <v>0</v>
      </c>
      <c r="V27" s="230">
        <f t="shared" ca="1" si="2"/>
        <v>0</v>
      </c>
      <c r="W27" s="231" t="str">
        <f>Sprache!$E$77</f>
        <v>:</v>
      </c>
      <c r="X27" s="232">
        <f ca="1">IF(Calc2!$K$13=0,"",VLOOKUP(Calc2!B9,Calc2!$C$4:$AS$12,43,0))</f>
        <v>0</v>
      </c>
      <c r="Y27" s="230">
        <f ca="1">IF(Calc2!$K$13=0,"",VLOOKUP(Calc2!B9,Calc2!$C$4:$N$12,5,0))</f>
        <v>0</v>
      </c>
      <c r="Z27" s="231" t="str">
        <f>Sprache!$E$77</f>
        <v>:</v>
      </c>
      <c r="AA27" s="232">
        <f ca="1">IF(Calc2!$K$13=0,"",VLOOKUP(Calc2!B9,Calc2!$C$4:$N$12,6,0))</f>
        <v>0</v>
      </c>
      <c r="AB27" s="227">
        <f ca="1">IF(Calc2!$K$13=0,"",IF(VLOOKUP(Calc2!B9,Calc2!$C$4:$AR$12,42,0)=Einstellungen!$F$7,"max",VLOOKUP(Calc2!B9,Calc2!$C$4:$AR$12,42,0)))</f>
        <v>0</v>
      </c>
      <c r="AC27" s="233">
        <f ca="1">IF(Calc2!$K$13=0,"",VLOOKUP(Calc2!B9,Calc2!$C$4:$N$12,8,0))</f>
        <v>0</v>
      </c>
      <c r="AD27" s="234" t="str">
        <f ca="1">IFERROR(VLOOKUP($Q27&amp;AD$21,Calc2!$Z$64:$AI$207,Einstellungen!$G$17,0),"")</f>
        <v/>
      </c>
      <c r="AE27" s="228" t="str">
        <f ca="1">IFERROR(VLOOKUP($Q27&amp;AE$21,Calc2!$Z$64:$AI$207,Einstellungen!$G$17,0),"")</f>
        <v/>
      </c>
      <c r="AF27" s="228" t="str">
        <f ca="1">IFERROR(VLOOKUP($Q27&amp;AF$21,Calc2!$Z$64:$AI$207,Einstellungen!$G$17,0),"")</f>
        <v/>
      </c>
      <c r="AG27" s="228" t="str">
        <f ca="1">IFERROR(VLOOKUP($Q27&amp;AG$21,Calc2!$Z$64:$AI$207,Einstellungen!$G$17,0),"")</f>
        <v/>
      </c>
      <c r="AH27" s="228" t="str">
        <f ca="1">IFERROR(VLOOKUP($Q27&amp;AH$21,Calc2!$Z$64:$AI$207,Einstellungen!$G$17,0),"")</f>
        <v/>
      </c>
      <c r="AI27" s="235"/>
      <c r="AJ27" s="333" t="str">
        <f t="shared" ca="1" si="3"/>
        <v/>
      </c>
      <c r="AM27" s="465" t="s">
        <v>203</v>
      </c>
      <c r="AN27" s="427" t="str">
        <f>IF(Planung!$C34="","",Planung!$C34)</f>
        <v/>
      </c>
      <c r="AO27" s="618"/>
      <c r="AP27" s="692">
        <f>IF($AN27="",0,COUNTIF(TieBreak!$U$12:$U$17,$AN27))</f>
        <v>0</v>
      </c>
    </row>
    <row r="28" spans="2:42" ht="24" customHeight="1" thickTop="1" x14ac:dyDescent="0.2">
      <c r="B28" s="484">
        <f ca="1">Planung!$E22</f>
        <v>17</v>
      </c>
      <c r="C28" s="491">
        <f ca="1">Planung!$F22</f>
        <v>0.49652777777777779</v>
      </c>
      <c r="D28" s="492">
        <f ca="1">Planung!$G22</f>
        <v>2</v>
      </c>
      <c r="E28" s="492" t="str">
        <f ca="1">Planung!$H22</f>
        <v>A</v>
      </c>
      <c r="F28" s="496" t="str">
        <f ca="1">Planung!$L22</f>
        <v>Maibach 1822 eV</v>
      </c>
      <c r="G28" s="220" t="s">
        <v>4</v>
      </c>
      <c r="H28" s="499" t="str">
        <f ca="1">Planung!$N22</f>
        <v>VFB Essenheim</v>
      </c>
      <c r="I28" s="487">
        <v>25</v>
      </c>
      <c r="J28" s="479" t="str">
        <f>Sprache!$E$77</f>
        <v>:</v>
      </c>
      <c r="K28" s="724">
        <v>20</v>
      </c>
      <c r="L28" s="725">
        <v>25</v>
      </c>
      <c r="M28" s="593" t="str">
        <f>Sprache!$E$77</f>
        <v>:</v>
      </c>
      <c r="N28" s="480">
        <v>19</v>
      </c>
    </row>
    <row r="29" spans="2:42" ht="24" customHeight="1" x14ac:dyDescent="0.2">
      <c r="B29" s="484">
        <f ca="1">Planung!$E23</f>
        <v>18</v>
      </c>
      <c r="C29" s="491">
        <f ca="1">Planung!$F23</f>
        <v>0.49652777777777779</v>
      </c>
      <c r="D29" s="492">
        <f ca="1">Planung!$G23</f>
        <v>3</v>
      </c>
      <c r="E29" s="492" t="str">
        <f ca="1">Planung!$H23</f>
        <v>B</v>
      </c>
      <c r="F29" s="496" t="str">
        <f ca="1">Planung!$L23</f>
        <v>Manchester City</v>
      </c>
      <c r="G29" s="220" t="s">
        <v>4</v>
      </c>
      <c r="H29" s="499" t="str">
        <f ca="1">Planung!$N23</f>
        <v>FC Grönlingen</v>
      </c>
      <c r="I29" s="487">
        <v>25</v>
      </c>
      <c r="J29" s="479" t="str">
        <f>Sprache!$E$77</f>
        <v>:</v>
      </c>
      <c r="K29" s="724">
        <v>12</v>
      </c>
      <c r="L29" s="725">
        <v>25</v>
      </c>
      <c r="M29" s="593" t="str">
        <f>Sprache!$E$77</f>
        <v>:</v>
      </c>
      <c r="N29" s="480">
        <v>20</v>
      </c>
      <c r="P29" s="278"/>
      <c r="Q29" s="278"/>
      <c r="R29" s="278"/>
      <c r="S29" s="278"/>
      <c r="T29" s="278"/>
      <c r="U29" s="278"/>
      <c r="V29" s="278"/>
      <c r="W29" s="278"/>
      <c r="X29" s="278"/>
      <c r="Y29" s="278"/>
      <c r="Z29" s="278"/>
      <c r="AA29" s="278"/>
      <c r="AB29" s="278"/>
      <c r="AC29" s="278"/>
      <c r="AD29" s="278"/>
      <c r="AE29" s="278"/>
      <c r="AF29" s="278"/>
      <c r="AG29" s="278"/>
      <c r="AH29" s="278"/>
      <c r="AI29" s="278"/>
      <c r="AJ29" s="278"/>
    </row>
    <row r="30" spans="2:42" ht="24" customHeight="1" x14ac:dyDescent="0.2">
      <c r="B30" s="484">
        <f ca="1">Planung!$E24</f>
        <v>19</v>
      </c>
      <c r="C30" s="491">
        <f ca="1">Planung!$F24</f>
        <v>0.52083333333333337</v>
      </c>
      <c r="D30" s="492">
        <f ca="1">Planung!$G24</f>
        <v>1</v>
      </c>
      <c r="E30" s="492" t="str">
        <f ca="1">Planung!$H24</f>
        <v>A</v>
      </c>
      <c r="F30" s="496" t="str">
        <f ca="1">Planung!$L24</f>
        <v>1. FC Riedwald</v>
      </c>
      <c r="G30" s="220" t="s">
        <v>4</v>
      </c>
      <c r="H30" s="499" t="str">
        <f ca="1">Planung!$N24</f>
        <v>FC Barcelona</v>
      </c>
      <c r="I30" s="487">
        <v>25</v>
      </c>
      <c r="J30" s="479" t="str">
        <f>Sprache!$E$77</f>
        <v>:</v>
      </c>
      <c r="K30" s="724">
        <v>16</v>
      </c>
      <c r="L30" s="725">
        <v>25</v>
      </c>
      <c r="M30" s="593" t="str">
        <f>Sprache!$E$77</f>
        <v>:</v>
      </c>
      <c r="N30" s="480">
        <v>21</v>
      </c>
      <c r="P30" s="812" t="str">
        <f>Sprache!$E$40</f>
        <v>Ende der Vorrunde:</v>
      </c>
      <c r="Q30" s="812"/>
      <c r="R30" s="812"/>
      <c r="S30" s="812"/>
      <c r="T30" s="812"/>
      <c r="U30" s="812"/>
      <c r="V30" s="812"/>
      <c r="W30" s="812"/>
      <c r="X30" s="812"/>
      <c r="Y30" s="812"/>
      <c r="Z30" s="812"/>
      <c r="AA30" s="812"/>
      <c r="AB30" s="812"/>
      <c r="AC30" s="811">
        <f ca="1">Planung!$R$13</f>
        <v>0.54166666666666663</v>
      </c>
      <c r="AD30" s="811"/>
      <c r="AE30" s="811"/>
      <c r="AF30" s="811"/>
      <c r="AG30" s="811"/>
      <c r="AH30" s="811"/>
      <c r="AI30" s="811"/>
      <c r="AJ30" s="811"/>
    </row>
    <row r="31" spans="2:42" ht="24" customHeight="1" x14ac:dyDescent="0.2">
      <c r="B31" s="484">
        <f ca="1">Planung!$E25</f>
        <v>20</v>
      </c>
      <c r="C31" s="491">
        <f ca="1">Planung!$F25</f>
        <v>0.52083333333333337</v>
      </c>
      <c r="D31" s="492">
        <f ca="1">Planung!$G25</f>
        <v>2</v>
      </c>
      <c r="E31" s="492" t="str">
        <f ca="1">Planung!$H25</f>
        <v>B</v>
      </c>
      <c r="F31" s="496" t="str">
        <f ca="1">Planung!$L25</f>
        <v>Mainz 05</v>
      </c>
      <c r="G31" s="220" t="s">
        <v>4</v>
      </c>
      <c r="H31" s="499" t="str">
        <f ca="1">Planung!$N25</f>
        <v>Inter Mailand</v>
      </c>
      <c r="I31" s="487">
        <v>25</v>
      </c>
      <c r="J31" s="479" t="str">
        <f>Sprache!$E$77</f>
        <v>:</v>
      </c>
      <c r="K31" s="724">
        <v>2</v>
      </c>
      <c r="L31" s="725">
        <v>25</v>
      </c>
      <c r="M31" s="593" t="str">
        <f>Sprache!$E$77</f>
        <v>:</v>
      </c>
      <c r="N31" s="480">
        <v>22</v>
      </c>
      <c r="P31" s="278"/>
      <c r="Q31" s="278"/>
      <c r="R31" s="278"/>
      <c r="S31" s="278"/>
      <c r="T31" s="278"/>
      <c r="U31" s="278"/>
      <c r="V31" s="278"/>
      <c r="W31" s="278"/>
      <c r="X31" s="278"/>
      <c r="Y31" s="278"/>
      <c r="Z31" s="278"/>
      <c r="AA31" s="278"/>
      <c r="AB31" s="278"/>
      <c r="AC31" s="278"/>
      <c r="AD31" s="278"/>
      <c r="AE31" s="278"/>
      <c r="AF31" s="278"/>
      <c r="AG31" s="278"/>
      <c r="AH31" s="278"/>
      <c r="AI31" s="278"/>
      <c r="AJ31" s="278"/>
    </row>
    <row r="32" spans="2:42" ht="24" customHeight="1" x14ac:dyDescent="0.4">
      <c r="B32" s="484" t="str">
        <f>Planung!$E26</f>
        <v/>
      </c>
      <c r="C32" s="491" t="str">
        <f>Planung!$F26</f>
        <v/>
      </c>
      <c r="D32" s="492" t="str">
        <f>Planung!$G26</f>
        <v/>
      </c>
      <c r="E32" s="492" t="str">
        <f ca="1">Planung!$H26</f>
        <v/>
      </c>
      <c r="F32" s="496" t="str">
        <f ca="1">Planung!$L26</f>
        <v/>
      </c>
      <c r="G32" s="220" t="s">
        <v>4</v>
      </c>
      <c r="H32" s="499" t="str">
        <f ca="1">Planung!$N26</f>
        <v/>
      </c>
      <c r="I32" s="487"/>
      <c r="J32" s="479" t="str">
        <f>Sprache!$E$77</f>
        <v>:</v>
      </c>
      <c r="K32" s="724"/>
      <c r="L32" s="725"/>
      <c r="M32" s="593" t="str">
        <f>Sprache!$E$77</f>
        <v>:</v>
      </c>
      <c r="N32" s="480"/>
      <c r="P32" s="278"/>
      <c r="Q32" s="278"/>
      <c r="R32" s="278"/>
      <c r="S32" s="278"/>
      <c r="T32" s="278"/>
      <c r="U32" s="278"/>
      <c r="V32" s="278"/>
      <c r="W32" s="278"/>
      <c r="X32" s="278"/>
      <c r="Y32" s="278"/>
      <c r="Z32" s="278"/>
      <c r="AA32" s="278"/>
      <c r="AB32" s="278"/>
      <c r="AC32" s="278"/>
      <c r="AD32" s="338"/>
      <c r="AE32" s="338"/>
      <c r="AF32" s="338"/>
      <c r="AG32" s="338"/>
      <c r="AH32" s="338"/>
      <c r="AI32" s="338"/>
      <c r="AJ32" s="278"/>
    </row>
    <row r="33" spans="2:36" ht="24" customHeight="1" x14ac:dyDescent="0.2">
      <c r="B33" s="484" t="str">
        <f>Planung!$E27</f>
        <v/>
      </c>
      <c r="C33" s="491" t="str">
        <f>Planung!$F27</f>
        <v/>
      </c>
      <c r="D33" s="492" t="str">
        <f>Planung!$G27</f>
        <v/>
      </c>
      <c r="E33" s="492" t="str">
        <f ca="1">Planung!$H27</f>
        <v/>
      </c>
      <c r="F33" s="496" t="str">
        <f ca="1">Planung!$L27</f>
        <v/>
      </c>
      <c r="G33" s="220" t="s">
        <v>4</v>
      </c>
      <c r="H33" s="499" t="str">
        <f ca="1">Planung!$N27</f>
        <v/>
      </c>
      <c r="I33" s="487"/>
      <c r="J33" s="479" t="str">
        <f>Sprache!$E$77</f>
        <v>:</v>
      </c>
      <c r="K33" s="724"/>
      <c r="L33" s="725"/>
      <c r="M33" s="593" t="str">
        <f>Sprache!$E$77</f>
        <v>:</v>
      </c>
      <c r="N33" s="480"/>
      <c r="P33" s="279"/>
      <c r="Q33" s="278"/>
      <c r="R33" s="278"/>
      <c r="S33" s="278"/>
      <c r="T33" s="278"/>
      <c r="U33" s="278"/>
      <c r="V33" s="278"/>
      <c r="W33" s="278"/>
      <c r="X33" s="278"/>
      <c r="Y33" s="278"/>
      <c r="Z33" s="278"/>
      <c r="AA33" s="278"/>
      <c r="AB33" s="278"/>
      <c r="AC33" s="278"/>
      <c r="AD33" s="278"/>
      <c r="AE33" s="278"/>
      <c r="AF33" s="278"/>
      <c r="AG33" s="278"/>
      <c r="AH33" s="278"/>
      <c r="AI33" s="278"/>
      <c r="AJ33" s="278"/>
    </row>
    <row r="34" spans="2:36" ht="24" customHeight="1" x14ac:dyDescent="0.2">
      <c r="B34" s="484" t="str">
        <f>Planung!$E28</f>
        <v/>
      </c>
      <c r="C34" s="491" t="str">
        <f>Planung!$F28</f>
        <v/>
      </c>
      <c r="D34" s="492" t="str">
        <f>Planung!$G28</f>
        <v/>
      </c>
      <c r="E34" s="492" t="str">
        <f ca="1">Planung!$H28</f>
        <v/>
      </c>
      <c r="F34" s="496" t="str">
        <f ca="1">Planung!$L28</f>
        <v/>
      </c>
      <c r="G34" s="220" t="s">
        <v>4</v>
      </c>
      <c r="H34" s="499" t="str">
        <f ca="1">Planung!$N28</f>
        <v/>
      </c>
      <c r="I34" s="487"/>
      <c r="J34" s="479" t="str">
        <f>Sprache!$E$77</f>
        <v>:</v>
      </c>
      <c r="K34" s="724"/>
      <c r="L34" s="725"/>
      <c r="M34" s="593" t="str">
        <f>Sprache!$E$77</f>
        <v>:</v>
      </c>
      <c r="N34" s="480"/>
      <c r="P34" s="280"/>
      <c r="Q34" s="280"/>
      <c r="R34" s="280"/>
      <c r="S34" s="280"/>
      <c r="T34" s="280"/>
      <c r="U34" s="280"/>
      <c r="V34" s="280"/>
      <c r="W34" s="280"/>
      <c r="X34" s="280"/>
      <c r="Y34" s="280"/>
      <c r="Z34" s="280"/>
      <c r="AA34" s="280"/>
      <c r="AB34" s="280"/>
      <c r="AC34" s="280"/>
      <c r="AD34" s="281"/>
      <c r="AE34" s="281"/>
      <c r="AF34" s="281"/>
      <c r="AG34" s="281"/>
      <c r="AH34" s="281"/>
      <c r="AI34" s="281"/>
      <c r="AJ34" s="282"/>
    </row>
    <row r="35" spans="2:36" ht="24" customHeight="1" x14ac:dyDescent="0.2">
      <c r="B35" s="484" t="str">
        <f>Planung!$E29</f>
        <v/>
      </c>
      <c r="C35" s="491" t="str">
        <f>Planung!$F29</f>
        <v/>
      </c>
      <c r="D35" s="492" t="str">
        <f>Planung!$G29</f>
        <v/>
      </c>
      <c r="E35" s="492" t="str">
        <f ca="1">Planung!$H29</f>
        <v/>
      </c>
      <c r="F35" s="496" t="str">
        <f ca="1">Planung!$L29</f>
        <v/>
      </c>
      <c r="G35" s="220" t="s">
        <v>4</v>
      </c>
      <c r="H35" s="499" t="str">
        <f ca="1">Planung!$N29</f>
        <v/>
      </c>
      <c r="I35" s="487"/>
      <c r="J35" s="479" t="str">
        <f>Sprache!$E$77</f>
        <v>:</v>
      </c>
      <c r="K35" s="724"/>
      <c r="L35" s="725"/>
      <c r="M35" s="593" t="str">
        <f>Sprache!$E$77</f>
        <v>:</v>
      </c>
      <c r="N35" s="480"/>
      <c r="P35" s="337"/>
      <c r="Q35" s="337"/>
      <c r="R35" s="283"/>
      <c r="S35" s="283"/>
      <c r="T35" s="283"/>
      <c r="U35" s="283"/>
      <c r="V35" s="283"/>
      <c r="W35" s="283"/>
      <c r="X35" s="283"/>
      <c r="Y35" s="336"/>
      <c r="Z35" s="336"/>
      <c r="AA35" s="336"/>
      <c r="AB35" s="283"/>
      <c r="AC35" s="283"/>
      <c r="AD35" s="284"/>
      <c r="AE35" s="284"/>
      <c r="AF35" s="284"/>
      <c r="AG35" s="284"/>
      <c r="AH35" s="284"/>
      <c r="AI35" s="284"/>
      <c r="AJ35" s="282"/>
    </row>
    <row r="36" spans="2:36" ht="24" customHeight="1" x14ac:dyDescent="0.2">
      <c r="B36" s="484" t="str">
        <f>Planung!$E30</f>
        <v/>
      </c>
      <c r="C36" s="491" t="str">
        <f>Planung!$F30</f>
        <v/>
      </c>
      <c r="D36" s="492" t="str">
        <f>Planung!$G30</f>
        <v/>
      </c>
      <c r="E36" s="492" t="str">
        <f ca="1">Planung!$H30</f>
        <v/>
      </c>
      <c r="F36" s="496" t="str">
        <f ca="1">Planung!$L30</f>
        <v/>
      </c>
      <c r="G36" s="220" t="s">
        <v>4</v>
      </c>
      <c r="H36" s="499" t="str">
        <f ca="1">Planung!$N30</f>
        <v/>
      </c>
      <c r="I36" s="487"/>
      <c r="J36" s="479" t="str">
        <f>Sprache!$E$77</f>
        <v>:</v>
      </c>
      <c r="K36" s="724"/>
      <c r="L36" s="725"/>
      <c r="M36" s="593" t="str">
        <f>Sprache!$E$77</f>
        <v>:</v>
      </c>
      <c r="N36" s="480"/>
      <c r="P36" s="280"/>
      <c r="Q36" s="285"/>
      <c r="R36" s="286"/>
      <c r="S36" s="286"/>
      <c r="T36" s="286"/>
      <c r="U36" s="286"/>
      <c r="V36" s="286"/>
      <c r="W36" s="286"/>
      <c r="X36" s="286"/>
      <c r="Y36" s="287"/>
      <c r="Z36" s="286"/>
      <c r="AA36" s="285"/>
      <c r="AB36" s="286"/>
      <c r="AC36" s="288"/>
      <c r="AD36" s="286"/>
      <c r="AE36" s="286"/>
      <c r="AF36" s="286"/>
      <c r="AG36" s="286"/>
      <c r="AH36" s="286"/>
      <c r="AI36" s="286"/>
      <c r="AJ36" s="285"/>
    </row>
    <row r="37" spans="2:36" ht="24" customHeight="1" x14ac:dyDescent="0.2">
      <c r="B37" s="484" t="str">
        <f>Planung!$E31</f>
        <v/>
      </c>
      <c r="C37" s="491" t="str">
        <f>Planung!$F31</f>
        <v/>
      </c>
      <c r="D37" s="492" t="str">
        <f>Planung!$G31</f>
        <v/>
      </c>
      <c r="E37" s="492" t="str">
        <f ca="1">Planung!$H31</f>
        <v/>
      </c>
      <c r="F37" s="496" t="str">
        <f ca="1">Planung!$L31</f>
        <v/>
      </c>
      <c r="G37" s="220" t="s">
        <v>4</v>
      </c>
      <c r="H37" s="499" t="str">
        <f ca="1">Planung!$N31</f>
        <v/>
      </c>
      <c r="I37" s="487"/>
      <c r="J37" s="479" t="str">
        <f>Sprache!$E$77</f>
        <v>:</v>
      </c>
      <c r="K37" s="724"/>
      <c r="L37" s="725"/>
      <c r="M37" s="593" t="str">
        <f>Sprache!$E$77</f>
        <v>:</v>
      </c>
      <c r="N37" s="480"/>
      <c r="P37" s="280"/>
      <c r="Q37" s="285"/>
      <c r="R37" s="286"/>
      <c r="S37" s="286"/>
      <c r="T37" s="286"/>
      <c r="U37" s="286"/>
      <c r="V37" s="286"/>
      <c r="W37" s="286"/>
      <c r="X37" s="286"/>
      <c r="Y37" s="287"/>
      <c r="Z37" s="286"/>
      <c r="AA37" s="285"/>
      <c r="AB37" s="286"/>
      <c r="AC37" s="288"/>
      <c r="AD37" s="286"/>
      <c r="AE37" s="286"/>
      <c r="AF37" s="286"/>
      <c r="AG37" s="286"/>
      <c r="AH37" s="286"/>
      <c r="AI37" s="286"/>
      <c r="AJ37" s="285"/>
    </row>
    <row r="38" spans="2:36" ht="24" customHeight="1" x14ac:dyDescent="0.2">
      <c r="B38" s="484" t="str">
        <f>Planung!$E32</f>
        <v/>
      </c>
      <c r="C38" s="491" t="str">
        <f>Planung!$F32</f>
        <v/>
      </c>
      <c r="D38" s="492" t="str">
        <f>Planung!$G32</f>
        <v/>
      </c>
      <c r="E38" s="492" t="str">
        <f ca="1">Planung!$H32</f>
        <v/>
      </c>
      <c r="F38" s="496" t="str">
        <f ca="1">Planung!$L32</f>
        <v/>
      </c>
      <c r="G38" s="220" t="s">
        <v>4</v>
      </c>
      <c r="H38" s="499" t="str">
        <f ca="1">Planung!$N32</f>
        <v/>
      </c>
      <c r="I38" s="487"/>
      <c r="J38" s="479" t="str">
        <f>Sprache!$E$77</f>
        <v>:</v>
      </c>
      <c r="K38" s="724"/>
      <c r="L38" s="725"/>
      <c r="M38" s="593" t="str">
        <f>Sprache!$E$77</f>
        <v>:</v>
      </c>
      <c r="N38" s="480"/>
      <c r="P38" s="280"/>
      <c r="Q38" s="285"/>
      <c r="R38" s="286"/>
      <c r="S38" s="286"/>
      <c r="T38" s="286"/>
      <c r="U38" s="286"/>
      <c r="V38" s="286"/>
      <c r="W38" s="286"/>
      <c r="X38" s="286"/>
      <c r="Y38" s="287"/>
      <c r="Z38" s="286"/>
      <c r="AA38" s="285"/>
      <c r="AB38" s="286"/>
      <c r="AC38" s="288"/>
      <c r="AD38" s="286"/>
      <c r="AE38" s="286"/>
      <c r="AF38" s="286"/>
      <c r="AG38" s="286"/>
      <c r="AH38" s="286"/>
      <c r="AI38" s="286"/>
      <c r="AJ38" s="285"/>
    </row>
    <row r="39" spans="2:36" ht="24" customHeight="1" x14ac:dyDescent="0.2">
      <c r="B39" s="484" t="str">
        <f>Planung!$E33</f>
        <v/>
      </c>
      <c r="C39" s="491" t="str">
        <f>Planung!$F33</f>
        <v/>
      </c>
      <c r="D39" s="492" t="str">
        <f>Planung!$G33</f>
        <v/>
      </c>
      <c r="E39" s="492" t="str">
        <f ca="1">Planung!$H33</f>
        <v/>
      </c>
      <c r="F39" s="496" t="str">
        <f ca="1">Planung!$L33</f>
        <v/>
      </c>
      <c r="G39" s="220" t="s">
        <v>4</v>
      </c>
      <c r="H39" s="499" t="str">
        <f ca="1">Planung!$N33</f>
        <v/>
      </c>
      <c r="I39" s="487"/>
      <c r="J39" s="479" t="str">
        <f>Sprache!$E$77</f>
        <v>:</v>
      </c>
      <c r="K39" s="724"/>
      <c r="L39" s="725"/>
      <c r="M39" s="593" t="str">
        <f>Sprache!$E$77</f>
        <v>:</v>
      </c>
      <c r="N39" s="480"/>
      <c r="P39" s="280"/>
      <c r="Q39" s="285"/>
      <c r="R39" s="286"/>
      <c r="S39" s="286"/>
      <c r="T39" s="286"/>
      <c r="U39" s="286"/>
      <c r="V39" s="286"/>
      <c r="W39" s="286"/>
      <c r="X39" s="286"/>
      <c r="Y39" s="287"/>
      <c r="Z39" s="286"/>
      <c r="AA39" s="285"/>
      <c r="AB39" s="286"/>
      <c r="AC39" s="288"/>
      <c r="AD39" s="286"/>
      <c r="AE39" s="286"/>
      <c r="AF39" s="286"/>
      <c r="AG39" s="286"/>
      <c r="AH39" s="286"/>
      <c r="AI39" s="286"/>
      <c r="AJ39" s="285"/>
    </row>
    <row r="40" spans="2:36" ht="24" customHeight="1" x14ac:dyDescent="0.2">
      <c r="B40" s="484" t="str">
        <f>Planung!$E34</f>
        <v/>
      </c>
      <c r="C40" s="491" t="str">
        <f>Planung!$F34</f>
        <v/>
      </c>
      <c r="D40" s="492" t="str">
        <f>Planung!$G34</f>
        <v/>
      </c>
      <c r="E40" s="492" t="str">
        <f ca="1">Planung!$H34</f>
        <v/>
      </c>
      <c r="F40" s="496" t="str">
        <f ca="1">Planung!$L34</f>
        <v/>
      </c>
      <c r="G40" s="220" t="s">
        <v>4</v>
      </c>
      <c r="H40" s="499" t="str">
        <f ca="1">Planung!$N34</f>
        <v/>
      </c>
      <c r="I40" s="487"/>
      <c r="J40" s="479" t="str">
        <f>Sprache!$E$77</f>
        <v>:</v>
      </c>
      <c r="K40" s="724"/>
      <c r="L40" s="725"/>
      <c r="M40" s="593" t="str">
        <f>Sprache!$E$77</f>
        <v>:</v>
      </c>
      <c r="N40" s="480"/>
      <c r="P40" s="280"/>
      <c r="Q40" s="285"/>
      <c r="R40" s="286"/>
      <c r="S40" s="286"/>
      <c r="T40" s="286"/>
      <c r="U40" s="286"/>
      <c r="V40" s="286"/>
      <c r="W40" s="286"/>
      <c r="X40" s="286"/>
      <c r="Y40" s="287"/>
      <c r="Z40" s="286"/>
      <c r="AA40" s="285"/>
      <c r="AB40" s="286"/>
      <c r="AC40" s="288"/>
      <c r="AD40" s="286"/>
      <c r="AE40" s="286"/>
      <c r="AF40" s="286"/>
      <c r="AG40" s="286"/>
      <c r="AH40" s="286"/>
      <c r="AI40" s="286"/>
      <c r="AJ40" s="285"/>
    </row>
    <row r="41" spans="2:36" ht="24" customHeight="1" thickBot="1" x14ac:dyDescent="0.25">
      <c r="B41" s="485" t="str">
        <f>Planung!$E35</f>
        <v/>
      </c>
      <c r="C41" s="493" t="str">
        <f>Planung!$F35</f>
        <v/>
      </c>
      <c r="D41" s="494" t="str">
        <f>Planung!$G35</f>
        <v/>
      </c>
      <c r="E41" s="494" t="str">
        <f ca="1">Planung!$H35</f>
        <v/>
      </c>
      <c r="F41" s="497" t="str">
        <f ca="1">Planung!$L35</f>
        <v/>
      </c>
      <c r="G41" s="231" t="s">
        <v>4</v>
      </c>
      <c r="H41" s="500" t="str">
        <f ca="1">Planung!$N35</f>
        <v/>
      </c>
      <c r="I41" s="488"/>
      <c r="J41" s="481" t="str">
        <f>Sprache!$E$77</f>
        <v>:</v>
      </c>
      <c r="K41" s="726"/>
      <c r="L41" s="727"/>
      <c r="M41" s="594" t="str">
        <f>Sprache!$E$77</f>
        <v>:</v>
      </c>
      <c r="N41" s="482"/>
      <c r="P41" s="280"/>
      <c r="Q41" s="285"/>
      <c r="R41" s="286"/>
      <c r="S41" s="286"/>
      <c r="T41" s="286"/>
      <c r="U41" s="286"/>
      <c r="V41" s="286"/>
      <c r="W41" s="286"/>
      <c r="X41" s="286"/>
      <c r="Y41" s="287"/>
      <c r="Z41" s="286"/>
      <c r="AA41" s="285"/>
      <c r="AB41" s="286"/>
      <c r="AC41" s="288"/>
      <c r="AD41" s="286"/>
      <c r="AE41" s="286"/>
      <c r="AF41" s="286"/>
      <c r="AG41" s="286"/>
      <c r="AH41" s="286"/>
      <c r="AI41" s="286"/>
      <c r="AJ41" s="285"/>
    </row>
    <row r="42" spans="2:36" ht="24" customHeight="1" thickTop="1" x14ac:dyDescent="0.2">
      <c r="B42" s="291"/>
      <c r="C42" s="292"/>
      <c r="D42" s="293"/>
      <c r="E42" s="293"/>
      <c r="F42" s="294"/>
      <c r="G42" s="291"/>
      <c r="H42" s="294"/>
      <c r="I42" s="295"/>
      <c r="J42" s="291"/>
      <c r="K42" s="296"/>
      <c r="L42" s="296"/>
      <c r="M42" s="296"/>
      <c r="N42" s="296"/>
      <c r="P42" s="280"/>
      <c r="Q42" s="285"/>
      <c r="R42" s="286"/>
      <c r="S42" s="286"/>
      <c r="T42" s="286"/>
      <c r="U42" s="286"/>
      <c r="V42" s="286"/>
      <c r="W42" s="286"/>
      <c r="X42" s="286"/>
      <c r="Y42" s="287"/>
      <c r="Z42" s="286"/>
      <c r="AA42" s="285"/>
      <c r="AB42" s="286"/>
      <c r="AC42" s="288"/>
      <c r="AD42" s="286"/>
      <c r="AE42" s="286"/>
      <c r="AF42" s="286"/>
      <c r="AG42" s="286"/>
      <c r="AH42" s="286"/>
      <c r="AI42" s="286"/>
      <c r="AJ42" s="285"/>
    </row>
    <row r="43" spans="2:36" x14ac:dyDescent="0.2"/>
  </sheetData>
  <sheetProtection sheet="1" selectLockedCells="1"/>
  <mergeCells count="21">
    <mergeCell ref="AC30:AJ30"/>
    <mergeCell ref="P30:AB30"/>
    <mergeCell ref="AM10:AN10"/>
    <mergeCell ref="AM20:AN20"/>
    <mergeCell ref="P21:Q21"/>
    <mergeCell ref="Y21:AA21"/>
    <mergeCell ref="P20:Q20"/>
    <mergeCell ref="V21:X21"/>
    <mergeCell ref="P1:Q1"/>
    <mergeCell ref="F11:H11"/>
    <mergeCell ref="I11:K11"/>
    <mergeCell ref="K7:Y8"/>
    <mergeCell ref="Y11:AA11"/>
    <mergeCell ref="P11:Q11"/>
    <mergeCell ref="P10:Q10"/>
    <mergeCell ref="G2:AE2"/>
    <mergeCell ref="G3:AE3"/>
    <mergeCell ref="G4:AE4"/>
    <mergeCell ref="G5:AE5"/>
    <mergeCell ref="L11:N11"/>
    <mergeCell ref="V11:X11"/>
  </mergeCells>
  <conditionalFormatting sqref="B12:N41">
    <cfRule type="expression" dxfId="31" priority="4">
      <formula>OR($F12="",$H12="")</formula>
    </cfRule>
  </conditionalFormatting>
  <conditionalFormatting sqref="P12:AJ17 P22:AJ27">
    <cfRule type="expression" dxfId="30" priority="3">
      <formula>$Q12=""</formula>
    </cfRule>
  </conditionalFormatting>
  <conditionalFormatting sqref="P12:AC17 AJ12:AJ17 AJ22:AJ27 P22:AC27">
    <cfRule type="expression" dxfId="29" priority="2">
      <formula>OR(AND($P12=$P11,$Q11&lt;&gt;""),AND($P12=$P13,$Q13&lt;&gt;""))</formula>
    </cfRule>
  </conditionalFormatting>
  <conditionalFormatting sqref="I12:N41">
    <cfRule type="expression" dxfId="28" priority="1">
      <formula>OR(AND($I12&lt;&gt;"",$I12=$K12),AND($L12&lt;&gt;"",$L12=$N12))</formula>
    </cfRule>
  </conditionalFormatting>
  <dataValidations count="2">
    <dataValidation type="whole" allowBlank="1" showErrorMessage="1" errorTitle="Error" error="Maximal 999 !" sqref="I12:I42 K12:N42" xr:uid="{D9E07FCF-67B7-4BAF-9BC8-AE233331B860}">
      <formula1>0</formula1>
      <formula2>999</formula2>
    </dataValidation>
    <dataValidation type="whole" allowBlank="1" showInputMessage="1" showErrorMessage="1" sqref="AO12:AO17 AO22:AO27" xr:uid="{F8B159EB-3E39-407B-B2B3-70A1B1FF45BA}">
      <formula1>-99</formula1>
      <formula2>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8BE99-1B0D-4846-8A87-2EA6DA8B630B}">
  <dimension ref="A1:AE33"/>
  <sheetViews>
    <sheetView showGridLines="0" showRowColHeaders="0" zoomScaleNormal="100" workbookViewId="0">
      <selection activeCell="F12" sqref="F12"/>
    </sheetView>
  </sheetViews>
  <sheetFormatPr baseColWidth="10" defaultColWidth="0" defaultRowHeight="0" customHeight="1" zeroHeight="1" x14ac:dyDescent="0.2"/>
  <cols>
    <col min="1" max="1" width="6.85546875" style="623" customWidth="1"/>
    <col min="2" max="2" width="6.7109375" style="623" customWidth="1"/>
    <col min="3" max="3" width="9.28515625" style="623" customWidth="1"/>
    <col min="4" max="4" width="10.42578125" style="623" customWidth="1"/>
    <col min="5" max="5" width="6.42578125" style="623" customWidth="1"/>
    <col min="6" max="6" width="8.7109375" style="623" customWidth="1"/>
    <col min="7" max="7" width="2" style="623" customWidth="1"/>
    <col min="8" max="8" width="8.7109375" style="623" customWidth="1"/>
    <col min="9" max="9" width="24.7109375" style="623" customWidth="1"/>
    <col min="10" max="10" width="2.85546875" style="623" customWidth="1"/>
    <col min="11" max="11" width="24.7109375" style="623" customWidth="1"/>
    <col min="12" max="12" width="4.7109375" style="623" customWidth="1"/>
    <col min="13" max="13" width="2.42578125" style="623" customWidth="1"/>
    <col min="14" max="15" width="4.7109375" style="623" customWidth="1"/>
    <col min="16" max="16" width="2.7109375" style="624" customWidth="1"/>
    <col min="17" max="18" width="4.7109375" style="623" customWidth="1"/>
    <col min="19" max="19" width="2.7109375" style="623" customWidth="1"/>
    <col min="20" max="20" width="4.7109375" style="623" customWidth="1"/>
    <col min="21" max="21" width="24.7109375" style="623" customWidth="1"/>
    <col min="22" max="22" width="9.140625" style="623" customWidth="1"/>
    <col min="23" max="23" width="8.42578125" style="623" hidden="1" customWidth="1"/>
    <col min="24" max="24" width="6.140625" style="623" hidden="1" customWidth="1"/>
    <col min="25" max="25" width="5.85546875" style="623" hidden="1" customWidth="1"/>
    <col min="26" max="26" width="6.140625" style="623" hidden="1" customWidth="1"/>
    <col min="27" max="27" width="6.42578125" style="623" hidden="1" customWidth="1"/>
    <col min="28" max="28" width="3.28515625" style="623" hidden="1" customWidth="1"/>
    <col min="29" max="30" width="14.140625" style="623" hidden="1" customWidth="1"/>
    <col min="31" max="31" width="11.85546875" style="623" hidden="1" customWidth="1"/>
    <col min="32" max="16384" width="24.7109375" style="623" hidden="1"/>
  </cols>
  <sheetData>
    <row r="1" spans="2:31" ht="13.5" thickBot="1" x14ac:dyDescent="0.25"/>
    <row r="2" spans="2:31" ht="36" customHeight="1" thickTop="1" x14ac:dyDescent="0.2">
      <c r="F2" s="815" t="str">
        <f>Vorrunde!$G$2</f>
        <v>Internationales U10-Turnier am 12.03.2025</v>
      </c>
      <c r="G2" s="816"/>
      <c r="H2" s="816"/>
      <c r="I2" s="816"/>
      <c r="J2" s="816"/>
      <c r="K2" s="816"/>
      <c r="L2" s="816"/>
      <c r="M2" s="816"/>
      <c r="N2" s="816"/>
      <c r="O2" s="816"/>
      <c r="P2" s="816"/>
      <c r="Q2" s="816"/>
      <c r="R2" s="816"/>
      <c r="S2" s="816"/>
      <c r="T2" s="816"/>
      <c r="U2" s="817"/>
    </row>
    <row r="3" spans="2:31" ht="30" customHeight="1" x14ac:dyDescent="0.2">
      <c r="F3" s="818" t="str">
        <f>Vorrunde!$G$3</f>
        <v>Veranstalter:  1. FC Riedwald</v>
      </c>
      <c r="G3" s="819"/>
      <c r="H3" s="819"/>
      <c r="I3" s="819"/>
      <c r="J3" s="819"/>
      <c r="K3" s="819"/>
      <c r="L3" s="819"/>
      <c r="M3" s="819"/>
      <c r="N3" s="819"/>
      <c r="O3" s="819"/>
      <c r="P3" s="819"/>
      <c r="Q3" s="819"/>
      <c r="R3" s="819"/>
      <c r="S3" s="819"/>
      <c r="T3" s="819"/>
      <c r="U3" s="820"/>
    </row>
    <row r="4" spans="2:31" ht="30" customHeight="1" x14ac:dyDescent="0.2">
      <c r="F4" s="821" t="str">
        <f>Vorrunde!$G$4</f>
        <v>Sporthalle Wiesengrund, Wendiger Str. 51, 65432 Riedwald</v>
      </c>
      <c r="G4" s="822"/>
      <c r="H4" s="822"/>
      <c r="I4" s="822"/>
      <c r="J4" s="822"/>
      <c r="K4" s="822"/>
      <c r="L4" s="822"/>
      <c r="M4" s="822"/>
      <c r="N4" s="822"/>
      <c r="O4" s="822"/>
      <c r="P4" s="822"/>
      <c r="Q4" s="822"/>
      <c r="R4" s="822"/>
      <c r="S4" s="822"/>
      <c r="T4" s="822"/>
      <c r="U4" s="823"/>
    </row>
    <row r="5" spans="2:31" ht="30" customHeight="1" thickBot="1" x14ac:dyDescent="0.25">
      <c r="F5" s="824" t="str">
        <f>Vorrunde!$G$5</f>
        <v>Beginn:  9:00 Uhr</v>
      </c>
      <c r="G5" s="825"/>
      <c r="H5" s="825"/>
      <c r="I5" s="825"/>
      <c r="J5" s="825"/>
      <c r="K5" s="825"/>
      <c r="L5" s="825"/>
      <c r="M5" s="825"/>
      <c r="N5" s="825"/>
      <c r="O5" s="825"/>
      <c r="P5" s="825"/>
      <c r="Q5" s="825"/>
      <c r="R5" s="825"/>
      <c r="S5" s="825"/>
      <c r="T5" s="825"/>
      <c r="U5" s="826"/>
    </row>
    <row r="6" spans="2:31" ht="40.5" customHeight="1" thickTop="1" x14ac:dyDescent="0.2"/>
    <row r="7" spans="2:31" ht="30" customHeight="1" x14ac:dyDescent="0.2">
      <c r="H7" s="827" t="str">
        <f>Sprache!$E$6</f>
        <v>Tie Break Vorrunde</v>
      </c>
      <c r="I7" s="827"/>
      <c r="J7" s="827"/>
      <c r="K7" s="827"/>
      <c r="L7" s="827"/>
      <c r="M7" s="827"/>
      <c r="N7" s="827"/>
      <c r="O7" s="827"/>
      <c r="P7" s="827"/>
      <c r="Q7" s="827"/>
      <c r="R7" s="827"/>
      <c r="S7" s="827"/>
      <c r="T7" s="827"/>
    </row>
    <row r="8" spans="2:31" ht="30" customHeight="1" x14ac:dyDescent="0.2">
      <c r="H8" s="827"/>
      <c r="I8" s="827"/>
      <c r="J8" s="827"/>
      <c r="K8" s="827"/>
      <c r="L8" s="827"/>
      <c r="M8" s="827"/>
      <c r="N8" s="827"/>
      <c r="O8" s="827"/>
      <c r="P8" s="827"/>
      <c r="Q8" s="827"/>
      <c r="R8" s="827"/>
      <c r="S8" s="827"/>
      <c r="T8" s="827"/>
    </row>
    <row r="9" spans="2:31" ht="15.95" customHeight="1" x14ac:dyDescent="0.2"/>
    <row r="10" spans="2:31" ht="24" customHeight="1" thickBot="1" x14ac:dyDescent="0.3">
      <c r="C10" s="813"/>
      <c r="D10" s="813"/>
      <c r="E10" s="625"/>
      <c r="F10" s="814" t="str">
        <f>Sprache!$E$66</f>
        <v>z.B.  A2 - A4</v>
      </c>
      <c r="G10" s="814"/>
      <c r="H10" s="814"/>
      <c r="I10" s="625"/>
      <c r="J10" s="625"/>
      <c r="K10" s="625"/>
      <c r="L10" s="626"/>
      <c r="M10" s="626"/>
      <c r="N10" s="626"/>
      <c r="O10" s="627"/>
      <c r="P10" s="628"/>
      <c r="Q10" s="629"/>
      <c r="R10" s="629"/>
      <c r="S10" s="629"/>
      <c r="T10" s="629"/>
      <c r="U10" s="630"/>
    </row>
    <row r="11" spans="2:31" ht="24" customHeight="1" thickTop="1" x14ac:dyDescent="0.2">
      <c r="C11" s="631" t="str">
        <f>Sprache!$E$33</f>
        <v>Spiel-Nr.</v>
      </c>
      <c r="D11" s="632" t="str">
        <f>Sprache!$E$39</f>
        <v>Beginn</v>
      </c>
      <c r="E11" s="632" t="str">
        <f>Sprache!$E$48</f>
        <v>Feld</v>
      </c>
      <c r="F11" s="831" t="str">
        <f>Sprache!$E$65</f>
        <v>Team-Kürzel</v>
      </c>
      <c r="G11" s="832"/>
      <c r="H11" s="833"/>
      <c r="I11" s="831" t="str">
        <f>Sprache!$E$14</f>
        <v>Spielpaarung</v>
      </c>
      <c r="J11" s="832"/>
      <c r="K11" s="833"/>
      <c r="L11" s="828" t="str">
        <f>Sprache!$E$61</f>
        <v>1. Satz</v>
      </c>
      <c r="M11" s="829"/>
      <c r="N11" s="834"/>
      <c r="O11" s="828" t="str">
        <f>Sprache!$E$62</f>
        <v>2. Satz</v>
      </c>
      <c r="P11" s="829"/>
      <c r="Q11" s="834"/>
      <c r="R11" s="828" t="str">
        <f>Sprache!$E$63</f>
        <v>3. Satz</v>
      </c>
      <c r="S11" s="829"/>
      <c r="T11" s="830"/>
      <c r="U11" s="633" t="str">
        <f>Sprache!$E$99</f>
        <v>Sieger</v>
      </c>
      <c r="W11" s="634" t="str">
        <f>Sprache!$E$63&amp;"?"</f>
        <v>3. Satz?</v>
      </c>
      <c r="AC11" s="634" t="s">
        <v>341</v>
      </c>
      <c r="AD11" s="634" t="s">
        <v>342</v>
      </c>
      <c r="AE11" s="634" t="s">
        <v>343</v>
      </c>
    </row>
    <row r="12" spans="2:31" ht="24" customHeight="1" x14ac:dyDescent="0.2">
      <c r="B12" s="635"/>
      <c r="C12" s="636" t="s">
        <v>6</v>
      </c>
      <c r="D12" s="637"/>
      <c r="E12" s="638"/>
      <c r="F12" s="639"/>
      <c r="G12" s="640" t="s">
        <v>4</v>
      </c>
      <c r="H12" s="641"/>
      <c r="I12" s="642" t="str">
        <f>IF($F12="","",IFERROR(VLOOKUP($F12,Planung!$B$7:$C$35,2,0),""))</f>
        <v/>
      </c>
      <c r="J12" s="643" t="s">
        <v>4</v>
      </c>
      <c r="K12" s="644" t="str">
        <f>IF($H12="","",IFERROR(VLOOKUP($H12,Planung!$B$7:$C$35,2,0),""))</f>
        <v/>
      </c>
      <c r="L12" s="645"/>
      <c r="M12" s="646" t="str">
        <f>Sprache!$E$77</f>
        <v>:</v>
      </c>
      <c r="N12" s="647"/>
      <c r="O12" s="645"/>
      <c r="P12" s="646" t="str">
        <f>Sprache!$E$77</f>
        <v>:</v>
      </c>
      <c r="Q12" s="647"/>
      <c r="R12" s="648"/>
      <c r="S12" s="646" t="str">
        <f>Sprache!$E$77</f>
        <v>:</v>
      </c>
      <c r="T12" s="649"/>
      <c r="U12" s="650" t="str">
        <f>IF(OR($AC12,AND($AD12,OR($O12&lt;&gt;"",$Q12&lt;&gt;""))),"",IF($X12+$Z12&gt;$Y12+$AA12,$I12,IF($X12+$Z12&lt;$Y12+$AA12,$K12,"")))</f>
        <v/>
      </c>
      <c r="V12" s="651"/>
      <c r="W12" s="652" t="b">
        <f t="shared" ref="W12:W16" si="0">AND(NOT(OR($AC12,$AD12)),$X12=1,$Y12=1)</f>
        <v>0</v>
      </c>
      <c r="X12" s="652">
        <f t="shared" ref="X12:X16" si="1">IF($AC12,0,($L12&gt;$N12)+IF($AD12,0,$O12&gt;$Q12))</f>
        <v>0</v>
      </c>
      <c r="Y12" s="652">
        <f t="shared" ref="Y12:Y16" si="2">IF($AC12,0,($L12&lt;$N12)+IF($AD12,0,$O12&lt;$Q12))</f>
        <v>0</v>
      </c>
      <c r="Z12" s="652">
        <f t="shared" ref="Z12:Z16" si="3">($O12&lt;&gt;"")*($Q12&lt;&gt;"")*($R12&lt;&gt;"")*($T12&lt;&gt;"")*(X12=1)*(Y12=1)*($R12&gt;$T12)</f>
        <v>0</v>
      </c>
      <c r="AA12" s="652">
        <f t="shared" ref="AA12:AA16" si="4">($O12&lt;&gt;"")*($Q12&lt;&gt;"")*($R12&lt;&gt;"")*($T12&lt;&gt;"")*(X12=1)*(Y12=1)*($R12&lt;$T12)</f>
        <v>0</v>
      </c>
      <c r="AB12" s="653"/>
      <c r="AC12" s="652" t="b">
        <f t="shared" ref="AC12:AC16" si="5">OR($I12="",$K12="",$L12="",$N12="",AND($L12&lt;&gt;"",$L12=$N12))</f>
        <v>1</v>
      </c>
      <c r="AD12" s="652" t="b">
        <f t="shared" ref="AD12:AD16" si="6">OR(AC12,$O12="",$Q12="",AND($O12&lt;&gt;"",$O12=$Q12))</f>
        <v>1</v>
      </c>
      <c r="AE12" s="652" t="b">
        <f t="shared" ref="AE12:AE16" si="7">OR($R12="",$T12="",$R12=$T12)</f>
        <v>1</v>
      </c>
    </row>
    <row r="13" spans="2:31" ht="24" customHeight="1" x14ac:dyDescent="0.2">
      <c r="B13" s="635"/>
      <c r="C13" s="654" t="s">
        <v>7</v>
      </c>
      <c r="D13" s="655"/>
      <c r="E13" s="655"/>
      <c r="F13" s="639"/>
      <c r="G13" s="640" t="s">
        <v>4</v>
      </c>
      <c r="H13" s="641"/>
      <c r="I13" s="656" t="str">
        <f>IF($F13="","",IFERROR(VLOOKUP($F13,Planung!$B$7:$C$35,2,0),""))</f>
        <v/>
      </c>
      <c r="J13" s="657" t="s">
        <v>4</v>
      </c>
      <c r="K13" s="658" t="str">
        <f>IF($H13="","",IFERROR(VLOOKUP($H13,Planung!$B$7:$C$35,2,0),""))</f>
        <v/>
      </c>
      <c r="L13" s="639"/>
      <c r="M13" s="659" t="str">
        <f>Sprache!$E$77</f>
        <v>:</v>
      </c>
      <c r="N13" s="641"/>
      <c r="O13" s="639"/>
      <c r="P13" s="659" t="str">
        <f>Sprache!$E$77</f>
        <v>:</v>
      </c>
      <c r="Q13" s="641"/>
      <c r="R13" s="639"/>
      <c r="S13" s="659" t="str">
        <f>Sprache!$E$77</f>
        <v>:</v>
      </c>
      <c r="T13" s="660"/>
      <c r="U13" s="661" t="str">
        <f t="shared" ref="U13:U17" si="8">IF(OR($AC13,AND($AD13,OR($O13&lt;&gt;"",$Q13&lt;&gt;""))),"",IF($X13+$Z13&gt;$Y13+$AA13,$I13,IF($X13+$Z13&lt;$Y13+$AA13,$K13,"")))</f>
        <v/>
      </c>
      <c r="V13" s="651"/>
      <c r="W13" s="652" t="b">
        <f t="shared" si="0"/>
        <v>0</v>
      </c>
      <c r="X13" s="652">
        <f t="shared" si="1"/>
        <v>0</v>
      </c>
      <c r="Y13" s="652">
        <f t="shared" si="2"/>
        <v>0</v>
      </c>
      <c r="Z13" s="652">
        <f t="shared" si="3"/>
        <v>0</v>
      </c>
      <c r="AA13" s="652">
        <f t="shared" si="4"/>
        <v>0</v>
      </c>
      <c r="AB13" s="653"/>
      <c r="AC13" s="652" t="b">
        <f t="shared" si="5"/>
        <v>1</v>
      </c>
      <c r="AD13" s="652" t="b">
        <f t="shared" si="6"/>
        <v>1</v>
      </c>
      <c r="AE13" s="652" t="b">
        <f t="shared" si="7"/>
        <v>1</v>
      </c>
    </row>
    <row r="14" spans="2:31" ht="24" customHeight="1" x14ac:dyDescent="0.2">
      <c r="B14" s="635"/>
      <c r="C14" s="654" t="s">
        <v>8</v>
      </c>
      <c r="D14" s="655"/>
      <c r="E14" s="655"/>
      <c r="F14" s="639"/>
      <c r="G14" s="640" t="s">
        <v>4</v>
      </c>
      <c r="H14" s="641"/>
      <c r="I14" s="656" t="str">
        <f>IF($F14="","",IFERROR(VLOOKUP($F14,Planung!$B$7:$C$35,2,0),""))</f>
        <v/>
      </c>
      <c r="J14" s="657" t="s">
        <v>4</v>
      </c>
      <c r="K14" s="658" t="str">
        <f>IF($H14="","",IFERROR(VLOOKUP($H14,Planung!$B$7:$C$35,2,0),""))</f>
        <v/>
      </c>
      <c r="L14" s="639"/>
      <c r="M14" s="659" t="str">
        <f>Sprache!$E$77</f>
        <v>:</v>
      </c>
      <c r="N14" s="641"/>
      <c r="O14" s="639"/>
      <c r="P14" s="659" t="str">
        <f>Sprache!$E$77</f>
        <v>:</v>
      </c>
      <c r="Q14" s="641"/>
      <c r="R14" s="639"/>
      <c r="S14" s="659" t="str">
        <f>Sprache!$E$77</f>
        <v>:</v>
      </c>
      <c r="T14" s="660"/>
      <c r="U14" s="661" t="str">
        <f t="shared" si="8"/>
        <v/>
      </c>
      <c r="V14" s="651"/>
      <c r="W14" s="652" t="b">
        <f t="shared" si="0"/>
        <v>0</v>
      </c>
      <c r="X14" s="652">
        <f t="shared" si="1"/>
        <v>0</v>
      </c>
      <c r="Y14" s="652">
        <f t="shared" si="2"/>
        <v>0</v>
      </c>
      <c r="Z14" s="652">
        <f t="shared" si="3"/>
        <v>0</v>
      </c>
      <c r="AA14" s="652">
        <f t="shared" si="4"/>
        <v>0</v>
      </c>
      <c r="AB14" s="653"/>
      <c r="AC14" s="652" t="b">
        <f t="shared" si="5"/>
        <v>1</v>
      </c>
      <c r="AD14" s="652" t="b">
        <f t="shared" si="6"/>
        <v>1</v>
      </c>
      <c r="AE14" s="652" t="b">
        <f t="shared" si="7"/>
        <v>1</v>
      </c>
    </row>
    <row r="15" spans="2:31" ht="24" customHeight="1" x14ac:dyDescent="0.2">
      <c r="B15" s="635"/>
      <c r="C15" s="654" t="s">
        <v>9</v>
      </c>
      <c r="D15" s="655"/>
      <c r="E15" s="655"/>
      <c r="F15" s="639"/>
      <c r="G15" s="640" t="s">
        <v>4</v>
      </c>
      <c r="H15" s="641"/>
      <c r="I15" s="656" t="str">
        <f>IF($F15="","",IFERROR(VLOOKUP($F15,Planung!$B$7:$C$35,2,0),""))</f>
        <v/>
      </c>
      <c r="J15" s="657" t="s">
        <v>4</v>
      </c>
      <c r="K15" s="658" t="str">
        <f>IF($H15="","",IFERROR(VLOOKUP($H15,Planung!$B$7:$C$35,2,0),""))</f>
        <v/>
      </c>
      <c r="L15" s="639"/>
      <c r="M15" s="659" t="str">
        <f>Sprache!$E$77</f>
        <v>:</v>
      </c>
      <c r="N15" s="641"/>
      <c r="O15" s="639"/>
      <c r="P15" s="659" t="str">
        <f>Sprache!$E$77</f>
        <v>:</v>
      </c>
      <c r="Q15" s="641"/>
      <c r="R15" s="639"/>
      <c r="S15" s="659" t="str">
        <f>Sprache!$E$77</f>
        <v>:</v>
      </c>
      <c r="T15" s="660"/>
      <c r="U15" s="661" t="str">
        <f t="shared" si="8"/>
        <v/>
      </c>
      <c r="V15" s="651"/>
      <c r="W15" s="652" t="b">
        <f t="shared" si="0"/>
        <v>0</v>
      </c>
      <c r="X15" s="652">
        <f t="shared" si="1"/>
        <v>0</v>
      </c>
      <c r="Y15" s="652">
        <f t="shared" si="2"/>
        <v>0</v>
      </c>
      <c r="Z15" s="652">
        <f t="shared" si="3"/>
        <v>0</v>
      </c>
      <c r="AA15" s="652">
        <f t="shared" si="4"/>
        <v>0</v>
      </c>
      <c r="AB15" s="653"/>
      <c r="AC15" s="652" t="b">
        <f t="shared" si="5"/>
        <v>1</v>
      </c>
      <c r="AD15" s="652" t="b">
        <f t="shared" si="6"/>
        <v>1</v>
      </c>
      <c r="AE15" s="652" t="b">
        <f t="shared" si="7"/>
        <v>1</v>
      </c>
    </row>
    <row r="16" spans="2:31" ht="24" customHeight="1" x14ac:dyDescent="0.2">
      <c r="B16" s="635"/>
      <c r="C16" s="654" t="s">
        <v>10</v>
      </c>
      <c r="D16" s="655"/>
      <c r="E16" s="655"/>
      <c r="F16" s="639"/>
      <c r="G16" s="640" t="s">
        <v>4</v>
      </c>
      <c r="H16" s="641"/>
      <c r="I16" s="656" t="str">
        <f>IF($F16="","",IFERROR(VLOOKUP($F16,Planung!$B$7:$C$35,2,0),""))</f>
        <v/>
      </c>
      <c r="J16" s="657" t="s">
        <v>4</v>
      </c>
      <c r="K16" s="658" t="str">
        <f>IF($H16="","",IFERROR(VLOOKUP($H16,Planung!$B$7:$C$35,2,0),""))</f>
        <v/>
      </c>
      <c r="L16" s="639"/>
      <c r="M16" s="659" t="str">
        <f>Sprache!$E$77</f>
        <v>:</v>
      </c>
      <c r="N16" s="641"/>
      <c r="O16" s="639"/>
      <c r="P16" s="659" t="str">
        <f>Sprache!$E$77</f>
        <v>:</v>
      </c>
      <c r="Q16" s="641"/>
      <c r="R16" s="639"/>
      <c r="S16" s="659" t="str">
        <f>Sprache!$E$77</f>
        <v>:</v>
      </c>
      <c r="T16" s="660"/>
      <c r="U16" s="661" t="str">
        <f t="shared" si="8"/>
        <v/>
      </c>
      <c r="V16" s="651"/>
      <c r="W16" s="652" t="b">
        <f t="shared" si="0"/>
        <v>0</v>
      </c>
      <c r="X16" s="652">
        <f t="shared" si="1"/>
        <v>0</v>
      </c>
      <c r="Y16" s="652">
        <f t="shared" si="2"/>
        <v>0</v>
      </c>
      <c r="Z16" s="652">
        <f t="shared" si="3"/>
        <v>0</v>
      </c>
      <c r="AA16" s="652">
        <f t="shared" si="4"/>
        <v>0</v>
      </c>
      <c r="AB16" s="653"/>
      <c r="AC16" s="652" t="b">
        <f t="shared" si="5"/>
        <v>1</v>
      </c>
      <c r="AD16" s="652" t="b">
        <f t="shared" si="6"/>
        <v>1</v>
      </c>
      <c r="AE16" s="652" t="b">
        <f t="shared" si="7"/>
        <v>1</v>
      </c>
    </row>
    <row r="17" spans="2:31" ht="24" customHeight="1" thickBot="1" x14ac:dyDescent="0.25">
      <c r="B17" s="635"/>
      <c r="C17" s="662" t="s">
        <v>11</v>
      </c>
      <c r="D17" s="663"/>
      <c r="E17" s="663"/>
      <c r="F17" s="664"/>
      <c r="G17" s="665" t="s">
        <v>4</v>
      </c>
      <c r="H17" s="666"/>
      <c r="I17" s="667" t="str">
        <f>IF($F17="","",IFERROR(VLOOKUP($F17,Planung!$B$7:$C$35,2,0),""))</f>
        <v/>
      </c>
      <c r="J17" s="668" t="s">
        <v>4</v>
      </c>
      <c r="K17" s="669" t="str">
        <f>IF($H17="","",IFERROR(VLOOKUP($H17,Planung!$B$7:$C$35,2,0),""))</f>
        <v/>
      </c>
      <c r="L17" s="664"/>
      <c r="M17" s="670" t="str">
        <f>Sprache!$E$77</f>
        <v>:</v>
      </c>
      <c r="N17" s="666"/>
      <c r="O17" s="664"/>
      <c r="P17" s="670" t="str">
        <f>Sprache!$E$77</f>
        <v>:</v>
      </c>
      <c r="Q17" s="666"/>
      <c r="R17" s="664"/>
      <c r="S17" s="670" t="str">
        <f>Sprache!$E$77</f>
        <v>:</v>
      </c>
      <c r="T17" s="671"/>
      <c r="U17" s="672" t="str">
        <f t="shared" si="8"/>
        <v/>
      </c>
      <c r="V17" s="651"/>
      <c r="W17" s="652" t="b">
        <f>AND(NOT(OR($AC17,$AD17)),$X17=1,$Y17=1)</f>
        <v>0</v>
      </c>
      <c r="X17" s="652">
        <f>IF($AC17,0,($L17&gt;$N17)+IF($AD17,0,$O17&gt;$Q17))</f>
        <v>0</v>
      </c>
      <c r="Y17" s="652">
        <f>IF($AC17,0,($L17&lt;$N17)+IF($AD17,0,$O17&lt;$Q17))</f>
        <v>0</v>
      </c>
      <c r="Z17" s="652">
        <f>($O17&lt;&gt;"")*($Q17&lt;&gt;"")*($R17&lt;&gt;"")*($T17&lt;&gt;"")*(X17=1)*(Y17=1)*($R17&gt;$T17)</f>
        <v>0</v>
      </c>
      <c r="AA17" s="652">
        <f>($O17&lt;&gt;"")*($Q17&lt;&gt;"")*($R17&lt;&gt;"")*($T17&lt;&gt;"")*(X17=1)*(Y17=1)*($R17&lt;$T17)</f>
        <v>0</v>
      </c>
      <c r="AB17" s="653"/>
      <c r="AC17" s="652" t="b">
        <f>OR($I17="",$K17="",$L17="",$N17="",AND($L17&lt;&gt;"",$L17=$N17))</f>
        <v>1</v>
      </c>
      <c r="AD17" s="652" t="b">
        <f>OR(AC17,$O17="",$Q17="",AND($O17&lt;&gt;"",$O17=$Q17))</f>
        <v>1</v>
      </c>
      <c r="AE17" s="652" t="b">
        <f>OR($R17="",$T17="",$R17=$T17)</f>
        <v>1</v>
      </c>
    </row>
    <row r="18" spans="2:31" ht="36" customHeight="1" thickTop="1" x14ac:dyDescent="0.25">
      <c r="B18" s="673"/>
      <c r="C18" s="674"/>
      <c r="D18" s="675"/>
      <c r="E18" s="676"/>
      <c r="F18" s="677"/>
      <c r="G18" s="678"/>
      <c r="H18" s="679"/>
      <c r="I18" s="680" t="s">
        <v>260</v>
      </c>
      <c r="J18" s="681"/>
      <c r="K18" s="680" t="s">
        <v>260</v>
      </c>
      <c r="L18" s="682"/>
      <c r="M18" s="683"/>
      <c r="N18" s="684"/>
      <c r="O18" s="685"/>
      <c r="P18" s="685"/>
      <c r="Q18" s="685"/>
      <c r="R18" s="685"/>
      <c r="S18" s="685"/>
      <c r="T18" s="685"/>
      <c r="U18" s="651"/>
      <c r="V18" s="651"/>
    </row>
    <row r="19" spans="2:31" ht="24" customHeight="1" x14ac:dyDescent="0.2"/>
    <row r="20" spans="2:31" ht="24" customHeight="1" x14ac:dyDescent="0.2">
      <c r="H20" s="827" t="str">
        <f>Sprache!$E$64</f>
        <v>Tie Break Endrunde 4</v>
      </c>
      <c r="I20" s="827"/>
      <c r="J20" s="827"/>
      <c r="K20" s="827"/>
      <c r="L20" s="827"/>
      <c r="M20" s="827"/>
      <c r="N20" s="827"/>
      <c r="O20" s="827"/>
      <c r="P20" s="827"/>
      <c r="Q20" s="827"/>
      <c r="R20" s="827"/>
      <c r="S20" s="827"/>
      <c r="T20" s="827"/>
    </row>
    <row r="21" spans="2:31" ht="24" customHeight="1" x14ac:dyDescent="0.2">
      <c r="H21" s="827"/>
      <c r="I21" s="827"/>
      <c r="J21" s="827"/>
      <c r="K21" s="827"/>
      <c r="L21" s="827"/>
      <c r="M21" s="827"/>
      <c r="N21" s="827"/>
      <c r="O21" s="827"/>
      <c r="P21" s="827"/>
      <c r="Q21" s="827"/>
      <c r="R21" s="827"/>
      <c r="S21" s="827"/>
      <c r="T21" s="827"/>
    </row>
    <row r="22" spans="2:31" ht="11.25" customHeight="1" x14ac:dyDescent="0.2"/>
    <row r="23" spans="2:31" ht="24" customHeight="1" thickBot="1" x14ac:dyDescent="0.3">
      <c r="C23" s="813"/>
      <c r="D23" s="813"/>
      <c r="E23" s="625"/>
      <c r="F23" s="625"/>
      <c r="G23" s="625"/>
      <c r="H23" s="625"/>
      <c r="I23" s="625"/>
      <c r="J23" s="625"/>
      <c r="K23" s="625"/>
      <c r="L23" s="626"/>
      <c r="M23" s="626"/>
      <c r="N23" s="626"/>
      <c r="O23" s="627"/>
      <c r="P23" s="628"/>
      <c r="Q23" s="629"/>
      <c r="R23" s="629"/>
      <c r="S23" s="629"/>
      <c r="T23" s="629"/>
      <c r="U23" s="630"/>
    </row>
    <row r="24" spans="2:31" ht="24" customHeight="1" thickTop="1" x14ac:dyDescent="0.2">
      <c r="C24" s="631" t="str">
        <f>Sprache!$E$33</f>
        <v>Spiel-Nr.</v>
      </c>
      <c r="D24" s="632" t="str">
        <f>Sprache!$E$39</f>
        <v>Beginn</v>
      </c>
      <c r="E24" s="632" t="str">
        <f>Sprache!$E$48</f>
        <v>Feld</v>
      </c>
      <c r="F24" s="831" t="str">
        <f>Sprache!$E$65</f>
        <v>Team-Kürzel</v>
      </c>
      <c r="G24" s="832"/>
      <c r="H24" s="833"/>
      <c r="I24" s="831" t="str">
        <f>Sprache!$E$14</f>
        <v>Spielpaarung</v>
      </c>
      <c r="J24" s="832"/>
      <c r="K24" s="833"/>
      <c r="L24" s="828" t="str">
        <f>Sprache!$E$61</f>
        <v>1. Satz</v>
      </c>
      <c r="M24" s="829"/>
      <c r="N24" s="834"/>
      <c r="O24" s="828" t="str">
        <f>Sprache!$E$62</f>
        <v>2. Satz</v>
      </c>
      <c r="P24" s="829"/>
      <c r="Q24" s="834"/>
      <c r="R24" s="828" t="str">
        <f>Sprache!$E$63</f>
        <v>3. Satz</v>
      </c>
      <c r="S24" s="829"/>
      <c r="T24" s="830"/>
      <c r="U24" s="633" t="str">
        <f>Sprache!$E$99</f>
        <v>Sieger</v>
      </c>
      <c r="W24" s="634" t="str">
        <f>Sprache!$E$63&amp;"?"</f>
        <v>3. Satz?</v>
      </c>
      <c r="AC24" s="634" t="s">
        <v>341</v>
      </c>
      <c r="AD24" s="634" t="s">
        <v>342</v>
      </c>
      <c r="AE24" s="634" t="s">
        <v>343</v>
      </c>
    </row>
    <row r="25" spans="2:31" ht="24" customHeight="1" x14ac:dyDescent="0.2">
      <c r="C25" s="636" t="s">
        <v>6</v>
      </c>
      <c r="D25" s="637"/>
      <c r="E25" s="638"/>
      <c r="F25" s="639"/>
      <c r="G25" s="640" t="s">
        <v>4</v>
      </c>
      <c r="H25" s="641"/>
      <c r="I25" s="642" t="str">
        <f>IF($F25="","",IFERROR(VLOOKUP($F25,Planung!$B$7:$C$35,2,0),""))</f>
        <v/>
      </c>
      <c r="J25" s="643" t="s">
        <v>4</v>
      </c>
      <c r="K25" s="644" t="str">
        <f>IF($H25="","",IFERROR(VLOOKUP($H25,Planung!$B$7:$C$35,2,0),""))</f>
        <v/>
      </c>
      <c r="L25" s="645"/>
      <c r="M25" s="646" t="str">
        <f>Sprache!$E$77</f>
        <v>:</v>
      </c>
      <c r="N25" s="647"/>
      <c r="O25" s="645"/>
      <c r="P25" s="646" t="str">
        <f>Sprache!$E$77</f>
        <v>:</v>
      </c>
      <c r="Q25" s="647"/>
      <c r="R25" s="648"/>
      <c r="S25" s="646" t="str">
        <f>Sprache!$E$77</f>
        <v>:</v>
      </c>
      <c r="T25" s="649"/>
      <c r="U25" s="650" t="str">
        <f>IF(OR($AC25,AND($AD25,OR($O25&lt;&gt;"",$Q25&lt;&gt;""))),"",IF($X25+$Z25&gt;$Y25+$AA25,$I25,IF($X25+$Z25&lt;$Y25+$AA25,$K25,"")))</f>
        <v/>
      </c>
      <c r="V25" s="651"/>
      <c r="W25" s="652" t="b">
        <f t="shared" ref="W25:W29" si="9">AND(NOT(OR($AC25,$AD25)),$X25=1,$Y25=1)</f>
        <v>0</v>
      </c>
      <c r="X25" s="652">
        <f t="shared" ref="X25:X29" si="10">IF($AC25,0,($L25&gt;$N25)+IF($AD25,0,$O25&gt;$Q25))</f>
        <v>0</v>
      </c>
      <c r="Y25" s="652">
        <f t="shared" ref="Y25:Y29" si="11">IF($AC25,0,($L25&lt;$N25)+IF($AD25,0,$O25&lt;$Q25))</f>
        <v>0</v>
      </c>
      <c r="Z25" s="652">
        <f t="shared" ref="Z25:Z29" si="12">($O25&lt;&gt;"")*($Q25&lt;&gt;"")*($R25&lt;&gt;"")*($T25&lt;&gt;"")*(X25=1)*(Y25=1)*($R25&gt;$T25)</f>
        <v>0</v>
      </c>
      <c r="AA25" s="652">
        <f t="shared" ref="AA25:AA29" si="13">($O25&lt;&gt;"")*($Q25&lt;&gt;"")*($R25&lt;&gt;"")*($T25&lt;&gt;"")*(X25=1)*(Y25=1)*($R25&lt;$T25)</f>
        <v>0</v>
      </c>
      <c r="AB25" s="653"/>
      <c r="AC25" s="652" t="b">
        <f t="shared" ref="AC25:AC29" si="14">OR($I25="",$K25="",$L25="",$N25="",AND($L25&lt;&gt;"",$L25=$N25))</f>
        <v>1</v>
      </c>
      <c r="AD25" s="652" t="b">
        <f t="shared" ref="AD25:AD29" si="15">OR(AC25,$O25="",$Q25="",AND($O25&lt;&gt;"",$O25=$Q25))</f>
        <v>1</v>
      </c>
      <c r="AE25" s="652" t="b">
        <f t="shared" ref="AE25:AE29" si="16">OR($R25="",$T25="",$R25=$T25)</f>
        <v>1</v>
      </c>
    </row>
    <row r="26" spans="2:31" ht="24" customHeight="1" x14ac:dyDescent="0.2">
      <c r="C26" s="654" t="s">
        <v>7</v>
      </c>
      <c r="D26" s="655"/>
      <c r="E26" s="655"/>
      <c r="F26" s="639"/>
      <c r="G26" s="640" t="s">
        <v>4</v>
      </c>
      <c r="H26" s="641"/>
      <c r="I26" s="656" t="str">
        <f>IF($F26="","",IFERROR(VLOOKUP($F26,Planung!$B$7:$C$35,2,0),""))</f>
        <v/>
      </c>
      <c r="J26" s="657" t="s">
        <v>4</v>
      </c>
      <c r="K26" s="658" t="str">
        <f>IF($H26="","",IFERROR(VLOOKUP($H26,Planung!$B$7:$C$35,2,0),""))</f>
        <v/>
      </c>
      <c r="L26" s="639"/>
      <c r="M26" s="659" t="str">
        <f>Sprache!$E$77</f>
        <v>:</v>
      </c>
      <c r="N26" s="641"/>
      <c r="O26" s="639"/>
      <c r="P26" s="659" t="str">
        <f>Sprache!$E$77</f>
        <v>:</v>
      </c>
      <c r="Q26" s="641"/>
      <c r="R26" s="639"/>
      <c r="S26" s="659" t="str">
        <f>Sprache!$E$77</f>
        <v>:</v>
      </c>
      <c r="T26" s="660"/>
      <c r="U26" s="661" t="str">
        <f t="shared" ref="U26:U30" si="17">IF(OR($AC26,AND($AD26,OR($O26&lt;&gt;"",$Q26&lt;&gt;""))),"",IF($X26+$Z26&gt;$Y26+$AA26,$I26,IF($X26+$Z26&lt;$Y26+$AA26,$K26,"")))</f>
        <v/>
      </c>
      <c r="V26" s="651"/>
      <c r="W26" s="652" t="b">
        <f t="shared" si="9"/>
        <v>0</v>
      </c>
      <c r="X26" s="652">
        <f t="shared" si="10"/>
        <v>0</v>
      </c>
      <c r="Y26" s="652">
        <f t="shared" si="11"/>
        <v>0</v>
      </c>
      <c r="Z26" s="652">
        <f t="shared" si="12"/>
        <v>0</v>
      </c>
      <c r="AA26" s="652">
        <f t="shared" si="13"/>
        <v>0</v>
      </c>
      <c r="AB26" s="653"/>
      <c r="AC26" s="652" t="b">
        <f t="shared" si="14"/>
        <v>1</v>
      </c>
      <c r="AD26" s="652" t="b">
        <f t="shared" si="15"/>
        <v>1</v>
      </c>
      <c r="AE26" s="652" t="b">
        <f t="shared" si="16"/>
        <v>1</v>
      </c>
    </row>
    <row r="27" spans="2:31" ht="24" customHeight="1" x14ac:dyDescent="0.2">
      <c r="C27" s="654" t="s">
        <v>8</v>
      </c>
      <c r="D27" s="655"/>
      <c r="E27" s="655"/>
      <c r="F27" s="639"/>
      <c r="G27" s="640" t="s">
        <v>4</v>
      </c>
      <c r="H27" s="641"/>
      <c r="I27" s="656" t="str">
        <f>IF($F27="","",IFERROR(VLOOKUP($F27,Planung!$B$7:$C$35,2,0),""))</f>
        <v/>
      </c>
      <c r="J27" s="657" t="s">
        <v>4</v>
      </c>
      <c r="K27" s="658" t="str">
        <f>IF($H27="","",IFERROR(VLOOKUP($H27,Planung!$B$7:$C$35,2,0),""))</f>
        <v/>
      </c>
      <c r="L27" s="639"/>
      <c r="M27" s="659" t="str">
        <f>Sprache!$E$77</f>
        <v>:</v>
      </c>
      <c r="N27" s="641"/>
      <c r="O27" s="639"/>
      <c r="P27" s="659" t="str">
        <f>Sprache!$E$77</f>
        <v>:</v>
      </c>
      <c r="Q27" s="641"/>
      <c r="R27" s="639"/>
      <c r="S27" s="659" t="str">
        <f>Sprache!$E$77</f>
        <v>:</v>
      </c>
      <c r="T27" s="660"/>
      <c r="U27" s="661" t="str">
        <f t="shared" si="17"/>
        <v/>
      </c>
      <c r="V27" s="651"/>
      <c r="W27" s="652" t="b">
        <f t="shared" si="9"/>
        <v>0</v>
      </c>
      <c r="X27" s="652">
        <f t="shared" si="10"/>
        <v>0</v>
      </c>
      <c r="Y27" s="652">
        <f t="shared" si="11"/>
        <v>0</v>
      </c>
      <c r="Z27" s="652">
        <f t="shared" si="12"/>
        <v>0</v>
      </c>
      <c r="AA27" s="652">
        <f t="shared" si="13"/>
        <v>0</v>
      </c>
      <c r="AB27" s="653"/>
      <c r="AC27" s="652" t="b">
        <f t="shared" si="14"/>
        <v>1</v>
      </c>
      <c r="AD27" s="652" t="b">
        <f t="shared" si="15"/>
        <v>1</v>
      </c>
      <c r="AE27" s="652" t="b">
        <f t="shared" si="16"/>
        <v>1</v>
      </c>
    </row>
    <row r="28" spans="2:31" ht="24" customHeight="1" x14ac:dyDescent="0.2">
      <c r="C28" s="654" t="s">
        <v>9</v>
      </c>
      <c r="D28" s="655"/>
      <c r="E28" s="655"/>
      <c r="F28" s="639"/>
      <c r="G28" s="640" t="s">
        <v>4</v>
      </c>
      <c r="H28" s="641"/>
      <c r="I28" s="656" t="str">
        <f>IF($F28="","",IFERROR(VLOOKUP($F28,Planung!$B$7:$C$35,2,0),""))</f>
        <v/>
      </c>
      <c r="J28" s="657" t="s">
        <v>4</v>
      </c>
      <c r="K28" s="658" t="str">
        <f>IF($H28="","",IFERROR(VLOOKUP($H28,Planung!$B$7:$C$35,2,0),""))</f>
        <v/>
      </c>
      <c r="L28" s="639"/>
      <c r="M28" s="659" t="str">
        <f>Sprache!$E$77</f>
        <v>:</v>
      </c>
      <c r="N28" s="641"/>
      <c r="O28" s="639"/>
      <c r="P28" s="659" t="str">
        <f>Sprache!$E$77</f>
        <v>:</v>
      </c>
      <c r="Q28" s="641"/>
      <c r="R28" s="639"/>
      <c r="S28" s="659" t="str">
        <f>Sprache!$E$77</f>
        <v>:</v>
      </c>
      <c r="T28" s="660"/>
      <c r="U28" s="661" t="str">
        <f t="shared" si="17"/>
        <v/>
      </c>
      <c r="V28" s="651"/>
      <c r="W28" s="652" t="b">
        <f t="shared" si="9"/>
        <v>0</v>
      </c>
      <c r="X28" s="652">
        <f t="shared" si="10"/>
        <v>0</v>
      </c>
      <c r="Y28" s="652">
        <f t="shared" si="11"/>
        <v>0</v>
      </c>
      <c r="Z28" s="652">
        <f t="shared" si="12"/>
        <v>0</v>
      </c>
      <c r="AA28" s="652">
        <f t="shared" si="13"/>
        <v>0</v>
      </c>
      <c r="AB28" s="653"/>
      <c r="AC28" s="652" t="b">
        <f t="shared" si="14"/>
        <v>1</v>
      </c>
      <c r="AD28" s="652" t="b">
        <f t="shared" si="15"/>
        <v>1</v>
      </c>
      <c r="AE28" s="652" t="b">
        <f t="shared" si="16"/>
        <v>1</v>
      </c>
    </row>
    <row r="29" spans="2:31" ht="24" customHeight="1" x14ac:dyDescent="0.2">
      <c r="C29" s="654" t="s">
        <v>10</v>
      </c>
      <c r="D29" s="655"/>
      <c r="E29" s="655"/>
      <c r="F29" s="639"/>
      <c r="G29" s="640" t="s">
        <v>4</v>
      </c>
      <c r="H29" s="641"/>
      <c r="I29" s="656" t="str">
        <f>IF($F29="","",IFERROR(VLOOKUP($F29,Planung!$B$7:$C$35,2,0),""))</f>
        <v/>
      </c>
      <c r="J29" s="657" t="s">
        <v>4</v>
      </c>
      <c r="K29" s="658" t="str">
        <f>IF($H29="","",IFERROR(VLOOKUP($H29,Planung!$B$7:$C$35,2,0),""))</f>
        <v/>
      </c>
      <c r="L29" s="639"/>
      <c r="M29" s="659" t="str">
        <f>Sprache!$E$77</f>
        <v>:</v>
      </c>
      <c r="N29" s="641"/>
      <c r="O29" s="639"/>
      <c r="P29" s="659" t="str">
        <f>Sprache!$E$77</f>
        <v>:</v>
      </c>
      <c r="Q29" s="641"/>
      <c r="R29" s="639"/>
      <c r="S29" s="659" t="str">
        <f>Sprache!$E$77</f>
        <v>:</v>
      </c>
      <c r="T29" s="660"/>
      <c r="U29" s="661" t="str">
        <f t="shared" si="17"/>
        <v/>
      </c>
      <c r="V29" s="651"/>
      <c r="W29" s="652" t="b">
        <f t="shared" si="9"/>
        <v>0</v>
      </c>
      <c r="X29" s="652">
        <f t="shared" si="10"/>
        <v>0</v>
      </c>
      <c r="Y29" s="652">
        <f t="shared" si="11"/>
        <v>0</v>
      </c>
      <c r="Z29" s="652">
        <f t="shared" si="12"/>
        <v>0</v>
      </c>
      <c r="AA29" s="652">
        <f t="shared" si="13"/>
        <v>0</v>
      </c>
      <c r="AB29" s="653"/>
      <c r="AC29" s="652" t="b">
        <f t="shared" si="14"/>
        <v>1</v>
      </c>
      <c r="AD29" s="652" t="b">
        <f t="shared" si="15"/>
        <v>1</v>
      </c>
      <c r="AE29" s="652" t="b">
        <f t="shared" si="16"/>
        <v>1</v>
      </c>
    </row>
    <row r="30" spans="2:31" ht="24" customHeight="1" thickBot="1" x14ac:dyDescent="0.25">
      <c r="C30" s="662" t="s">
        <v>11</v>
      </c>
      <c r="D30" s="663"/>
      <c r="E30" s="663"/>
      <c r="F30" s="664"/>
      <c r="G30" s="665" t="s">
        <v>4</v>
      </c>
      <c r="H30" s="666"/>
      <c r="I30" s="667" t="str">
        <f>IF($F30="","",IFERROR(VLOOKUP($F30,Planung!$B$7:$C$35,2,0),""))</f>
        <v/>
      </c>
      <c r="J30" s="668" t="s">
        <v>4</v>
      </c>
      <c r="K30" s="669" t="str">
        <f>IF($H30="","",IFERROR(VLOOKUP($H30,Planung!$B$7:$C$35,2,0),""))</f>
        <v/>
      </c>
      <c r="L30" s="664"/>
      <c r="M30" s="670" t="str">
        <f>Sprache!$E$77</f>
        <v>:</v>
      </c>
      <c r="N30" s="666"/>
      <c r="O30" s="664"/>
      <c r="P30" s="670" t="str">
        <f>Sprache!$E$77</f>
        <v>:</v>
      </c>
      <c r="Q30" s="666"/>
      <c r="R30" s="664"/>
      <c r="S30" s="670" t="str">
        <f>Sprache!$E$77</f>
        <v>:</v>
      </c>
      <c r="T30" s="671"/>
      <c r="U30" s="672" t="str">
        <f t="shared" si="17"/>
        <v/>
      </c>
      <c r="V30" s="651"/>
      <c r="W30" s="652" t="b">
        <f>AND(NOT(OR($AC30,$AD30)),$X30=1,$Y30=1)</f>
        <v>0</v>
      </c>
      <c r="X30" s="652">
        <f>IF($AC30,0,($L30&gt;$N30)+IF($AD30,0,$O30&gt;$Q30))</f>
        <v>0</v>
      </c>
      <c r="Y30" s="652">
        <f>IF($AC30,0,($L30&lt;$N30)+IF($AD30,0,$O30&lt;$Q30))</f>
        <v>0</v>
      </c>
      <c r="Z30" s="652">
        <f>($O30&lt;&gt;"")*($Q30&lt;&gt;"")*($R30&lt;&gt;"")*($T30&lt;&gt;"")*(X30=1)*(Y30=1)*($R30&gt;$T30)</f>
        <v>0</v>
      </c>
      <c r="AA30" s="652">
        <f>($O30&lt;&gt;"")*($Q30&lt;&gt;"")*($R30&lt;&gt;"")*($T30&lt;&gt;"")*(X30=1)*(Y30=1)*($R30&lt;$T30)</f>
        <v>0</v>
      </c>
      <c r="AB30" s="653"/>
      <c r="AC30" s="652" t="b">
        <f>OR($I30="",$K30="",$L30="",$N30="",AND($L30&lt;&gt;"",$L30=$N30))</f>
        <v>1</v>
      </c>
      <c r="AD30" s="652" t="b">
        <f>OR(AC30,$O30="",$Q30="",AND($O30&lt;&gt;"",$O30=$Q30))</f>
        <v>1</v>
      </c>
      <c r="AE30" s="652" t="b">
        <f>OR($R30="",$T30="",$R30=$T30)</f>
        <v>1</v>
      </c>
    </row>
    <row r="31" spans="2:31" ht="39.75" customHeight="1" thickTop="1" x14ac:dyDescent="0.2"/>
    <row r="32" spans="2:31" ht="12.75" customHeight="1" x14ac:dyDescent="0.2"/>
    <row r="33" ht="12.75" customHeight="1" x14ac:dyDescent="0.2"/>
  </sheetData>
  <sheetProtection sheet="1" selectLockedCells="1"/>
  <mergeCells count="19">
    <mergeCell ref="C23:D23"/>
    <mergeCell ref="F24:H24"/>
    <mergeCell ref="I24:K24"/>
    <mergeCell ref="L24:N24"/>
    <mergeCell ref="O24:Q24"/>
    <mergeCell ref="R24:T24"/>
    <mergeCell ref="F11:H11"/>
    <mergeCell ref="I11:K11"/>
    <mergeCell ref="L11:N11"/>
    <mergeCell ref="O11:Q11"/>
    <mergeCell ref="R11:T11"/>
    <mergeCell ref="H20:T21"/>
    <mergeCell ref="C10:D10"/>
    <mergeCell ref="F10:H10"/>
    <mergeCell ref="F2:U2"/>
    <mergeCell ref="F3:U3"/>
    <mergeCell ref="F4:U4"/>
    <mergeCell ref="F5:U5"/>
    <mergeCell ref="H7:T8"/>
  </mergeCells>
  <conditionalFormatting sqref="R12:T17">
    <cfRule type="expression" dxfId="27" priority="3">
      <formula>NOT($W12)</formula>
    </cfRule>
  </conditionalFormatting>
  <conditionalFormatting sqref="R25:T30">
    <cfRule type="expression" dxfId="26" priority="2">
      <formula>NOT($W25)</formula>
    </cfRule>
  </conditionalFormatting>
  <dataValidations count="1">
    <dataValidation allowBlank="1" showInputMessage="1" showErrorMessage="1" errorTitle="Unzulässige Teilnehmernummer" error="Es müssen Zahlen von 1 bis 9 eingetragen werden!" sqref="F12:F18 H12:H18 F25:F30 H25:H30" xr:uid="{481A70DA-7163-4470-8845-CE9376B67CB7}"/>
  </dataValidations>
  <pageMargins left="0.7" right="0.7" top="0.78740157499999996" bottom="0.78740157499999996"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AB37"/>
  <sheetViews>
    <sheetView showGridLines="0" showRowColHeaders="0" zoomScaleNormal="100" workbookViewId="0">
      <selection activeCell="J12" sqref="J12"/>
    </sheetView>
  </sheetViews>
  <sheetFormatPr baseColWidth="10" defaultColWidth="0" defaultRowHeight="12.75" zeroHeight="1" x14ac:dyDescent="0.2"/>
  <cols>
    <col min="1" max="1" width="10.42578125" style="46" customWidth="1"/>
    <col min="2" max="2" width="5.28515625" style="46" customWidth="1"/>
    <col min="3" max="3" width="6.85546875" style="46" customWidth="1"/>
    <col min="4" max="4" width="11.42578125" style="46" customWidth="1"/>
    <col min="5" max="5" width="8.42578125" style="46" customWidth="1"/>
    <col min="6" max="6" width="11.42578125" style="46" customWidth="1"/>
    <col min="7" max="7" width="28.7109375" style="46" customWidth="1"/>
    <col min="8" max="8" width="2.85546875" style="46" customWidth="1"/>
    <col min="9" max="9" width="28.7109375" style="46" customWidth="1"/>
    <col min="10" max="10" width="4.7109375" style="46" customWidth="1"/>
    <col min="11" max="11" width="2.28515625" style="46" customWidth="1"/>
    <col min="12" max="13" width="4.7109375" style="46" customWidth="1"/>
    <col min="14" max="14" width="2.28515625" style="46" customWidth="1"/>
    <col min="15" max="16" width="4.7109375" style="46" customWidth="1"/>
    <col min="17" max="17" width="2.28515625" style="46" customWidth="1"/>
    <col min="18" max="18" width="4.7109375" style="46" customWidth="1"/>
    <col min="19" max="19" width="8" style="46" customWidth="1"/>
    <col min="20" max="20" width="6.140625" style="46" customWidth="1"/>
    <col min="21" max="21" width="11.42578125" style="46" customWidth="1"/>
    <col min="22" max="22" width="16.42578125" style="46" hidden="1" customWidth="1"/>
    <col min="23" max="23" width="16.140625" style="46" hidden="1" customWidth="1"/>
    <col min="24" max="25" width="11.42578125" style="46" hidden="1" customWidth="1"/>
    <col min="26" max="26" width="10.42578125" style="46" hidden="1" customWidth="1"/>
    <col min="27" max="27" width="5" style="46" hidden="1" customWidth="1"/>
    <col min="28" max="28" width="4.42578125" style="46" hidden="1" customWidth="1"/>
    <col min="29" max="16384" width="11.42578125" style="46" hidden="1"/>
  </cols>
  <sheetData>
    <row r="1" spans="2:28" ht="13.5" thickBot="1" x14ac:dyDescent="0.25"/>
    <row r="2" spans="2:28" ht="36" customHeight="1" thickTop="1" x14ac:dyDescent="0.2">
      <c r="E2" s="840" t="str">
        <f>Vorrunde!$G$2</f>
        <v>Internationales U10-Turnier am 12.03.2025</v>
      </c>
      <c r="F2" s="841"/>
      <c r="G2" s="841"/>
      <c r="H2" s="841"/>
      <c r="I2" s="841"/>
      <c r="J2" s="841"/>
      <c r="K2" s="841"/>
      <c r="L2" s="841"/>
      <c r="M2" s="841"/>
      <c r="N2" s="841"/>
      <c r="O2" s="841"/>
      <c r="P2" s="841"/>
      <c r="Q2" s="841"/>
      <c r="R2" s="841"/>
      <c r="S2" s="842"/>
    </row>
    <row r="3" spans="2:28" ht="30" customHeight="1" x14ac:dyDescent="0.2">
      <c r="E3" s="843" t="str">
        <f>Vorrunde!$G$3</f>
        <v>Veranstalter:  1. FC Riedwald</v>
      </c>
      <c r="F3" s="844"/>
      <c r="G3" s="844"/>
      <c r="H3" s="844"/>
      <c r="I3" s="844"/>
      <c r="J3" s="844"/>
      <c r="K3" s="844"/>
      <c r="L3" s="844"/>
      <c r="M3" s="844"/>
      <c r="N3" s="844"/>
      <c r="O3" s="844"/>
      <c r="P3" s="844"/>
      <c r="Q3" s="844"/>
      <c r="R3" s="844"/>
      <c r="S3" s="845"/>
    </row>
    <row r="4" spans="2:28" ht="30" customHeight="1" x14ac:dyDescent="0.2">
      <c r="E4" s="846" t="str">
        <f>Vorrunde!$G$4</f>
        <v>Sporthalle Wiesengrund, Wendiger Str. 51, 65432 Riedwald</v>
      </c>
      <c r="F4" s="847"/>
      <c r="G4" s="847"/>
      <c r="H4" s="847"/>
      <c r="I4" s="847"/>
      <c r="J4" s="847"/>
      <c r="K4" s="847"/>
      <c r="L4" s="847"/>
      <c r="M4" s="847"/>
      <c r="N4" s="847"/>
      <c r="O4" s="847"/>
      <c r="P4" s="847"/>
      <c r="Q4" s="847"/>
      <c r="R4" s="847"/>
      <c r="S4" s="848"/>
    </row>
    <row r="5" spans="2:28" ht="30" customHeight="1" thickBot="1" x14ac:dyDescent="0.25">
      <c r="E5" s="849" t="str">
        <f>Vorrunde!$G$5</f>
        <v>Beginn:  9:00 Uhr</v>
      </c>
      <c r="F5" s="850"/>
      <c r="G5" s="850"/>
      <c r="H5" s="850"/>
      <c r="I5" s="850"/>
      <c r="J5" s="850"/>
      <c r="K5" s="850"/>
      <c r="L5" s="850"/>
      <c r="M5" s="850"/>
      <c r="N5" s="850"/>
      <c r="O5" s="850"/>
      <c r="P5" s="850"/>
      <c r="Q5" s="850"/>
      <c r="R5" s="850"/>
      <c r="S5" s="851"/>
    </row>
    <row r="6" spans="2:28" ht="18" customHeight="1" thickTop="1" thickBot="1" x14ac:dyDescent="0.25"/>
    <row r="7" spans="2:28" ht="30" customHeight="1" thickTop="1" x14ac:dyDescent="0.2">
      <c r="G7" s="858" t="str">
        <f>Sprache!$E$19</f>
        <v>Endrunde</v>
      </c>
      <c r="H7" s="859"/>
      <c r="I7" s="860"/>
    </row>
    <row r="8" spans="2:28" ht="30" customHeight="1" thickBot="1" x14ac:dyDescent="0.25">
      <c r="G8" s="861"/>
      <c r="H8" s="862"/>
      <c r="I8" s="863"/>
    </row>
    <row r="9" spans="2:28" ht="12.6" customHeight="1" thickTop="1" x14ac:dyDescent="0.2">
      <c r="S9" s="766" t="str">
        <f>Sprache!$E$20</f>
        <v>Zusätzl. Pause (min)</v>
      </c>
    </row>
    <row r="10" spans="2:28" ht="27.95" customHeight="1" thickBot="1" x14ac:dyDescent="0.35">
      <c r="C10" s="839" t="str">
        <f>Sprache!$E$55&amp;IF(MIN(Calc1!$F$13,Calc2!$F$13)*2&lt;2,""," 1 - "&amp;MIN(Calc1!$F$13,Calc2!$F$13)*2)</f>
        <v>Spiele um die Plätze  1 - 10</v>
      </c>
      <c r="D10" s="839"/>
      <c r="E10" s="839"/>
      <c r="F10" s="839"/>
      <c r="S10" s="766"/>
    </row>
    <row r="11" spans="2:28" ht="24" customHeight="1" thickTop="1" thickBot="1" x14ac:dyDescent="0.25">
      <c r="B11" s="390"/>
      <c r="C11" s="441" t="str">
        <f>Sprache!$E$9</f>
        <v>Nr.</v>
      </c>
      <c r="D11" s="386" t="str">
        <f>Sprache!$E$39</f>
        <v>Beginn</v>
      </c>
      <c r="E11" s="375" t="str">
        <f>Sprache!$E$48</f>
        <v>Feld</v>
      </c>
      <c r="F11" s="375"/>
      <c r="G11" s="872" t="str">
        <f>Sprache!$E$14</f>
        <v>Spielpaarung</v>
      </c>
      <c r="H11" s="837"/>
      <c r="I11" s="838"/>
      <c r="J11" s="836" t="str">
        <f>Sprache!$E$61</f>
        <v>1. Satz</v>
      </c>
      <c r="K11" s="837"/>
      <c r="L11" s="838"/>
      <c r="M11" s="852" t="str">
        <f>Sprache!$E$62</f>
        <v>2. Satz</v>
      </c>
      <c r="N11" s="782"/>
      <c r="O11" s="782"/>
      <c r="P11" s="782" t="str">
        <f>Sprache!$E$63</f>
        <v>3. Satz</v>
      </c>
      <c r="Q11" s="782"/>
      <c r="R11" s="807"/>
      <c r="S11" s="767"/>
      <c r="V11" s="735" t="s">
        <v>373</v>
      </c>
      <c r="W11" s="735" t="s">
        <v>374</v>
      </c>
      <c r="X11" s="734" t="s">
        <v>372</v>
      </c>
      <c r="Y11" s="734" t="s">
        <v>376</v>
      </c>
      <c r="Z11" s="734" t="s">
        <v>375</v>
      </c>
      <c r="AA11" s="853" t="s">
        <v>335</v>
      </c>
      <c r="AB11" s="853"/>
    </row>
    <row r="12" spans="2:28" s="357" customFormat="1" ht="24" customHeight="1" x14ac:dyDescent="0.2">
      <c r="B12" s="428"/>
      <c r="C12" s="440">
        <f t="array" aca="1" ref="C12" ca="1">31-SUM(((Planung!$L$6:$L$35="")+(Planung!$N$6:$N$35="")&gt;0)*1)</f>
        <v>21</v>
      </c>
      <c r="D12" s="387">
        <f ca="1">IF(Planung!$U$15,"",Planung!$R$13+(Planung!$R$9+Planung!$P$35)/1440)</f>
        <v>0.54513888888888884</v>
      </c>
      <c r="E12" s="383">
        <f>IF(Planung!$U$15,"",1)</f>
        <v>1</v>
      </c>
      <c r="F12" s="371" t="s">
        <v>212</v>
      </c>
      <c r="G12" s="372" t="str">
        <f ca="1">Vorrunde!$Q$17</f>
        <v/>
      </c>
      <c r="H12" s="373" t="s">
        <v>4</v>
      </c>
      <c r="I12" s="374" t="str">
        <f ca="1">Vorrunde!$Q$27</f>
        <v/>
      </c>
      <c r="J12" s="376"/>
      <c r="K12" s="380" t="str">
        <f>Sprache!$E$77</f>
        <v>:</v>
      </c>
      <c r="L12" s="393"/>
      <c r="M12" s="394"/>
      <c r="N12" s="380" t="str">
        <f>Sprache!$E$77</f>
        <v>:</v>
      </c>
      <c r="O12" s="705"/>
      <c r="P12" s="420"/>
      <c r="Q12" s="694" t="str">
        <f>Sprache!$E$77</f>
        <v>:</v>
      </c>
      <c r="R12" s="377"/>
      <c r="S12" s="697"/>
      <c r="V12" s="357" t="str">
        <f ca="1">IF(AA12&gt;AB12,$G12,IF(AA12&lt;AB12,$I12,""))</f>
        <v/>
      </c>
      <c r="W12" s="357" t="str">
        <f ca="1">IF(AA12&lt;AB12,$G12,IF(AA12&gt;AB12,$I12,""))</f>
        <v/>
      </c>
      <c r="X12" s="357" t="b">
        <f>AND($J12&lt;&gt;"",$L12&lt;&gt;"",$M12&lt;&gt;"",$O12&lt;&gt;"",$J12&lt;&gt;$L12,$M12&lt;&gt;$O12,($J12&gt;$L12)+($M12&gt;$O12)=1)</f>
        <v>0</v>
      </c>
      <c r="Y12" s="736" t="b">
        <f ca="1">AND($J12&lt;&gt;"",$L12&lt;&gt;"",$J12&lt;&gt;$L12,OR(AND($M12="",$O12=""),AND($M12&lt;&gt;"",$O12&lt;&gt;"",$M12&lt;&gt;$O12)),$G12&lt;&gt;"",$I12&lt;&gt;"",$G12&lt;&gt;$I12)</f>
        <v>0</v>
      </c>
      <c r="Z12" s="357" t="b">
        <f>AND(X12,$P12&lt;&gt;"",$R12&lt;&gt;"",$P12&lt;&gt;$R12)</f>
        <v>0</v>
      </c>
      <c r="AA12" s="736">
        <f ca="1">(($J12&gt;$L12)+($M12&gt;$O12)+($P12&gt;$R12)*Z12)*Y12</f>
        <v>0</v>
      </c>
      <c r="AB12" s="736">
        <f ca="1">(($J12&lt;$L12)+($M12&lt;$O12)+($P12&lt;$R12)*Z12)*Y12</f>
        <v>0</v>
      </c>
    </row>
    <row r="13" spans="2:28" s="357" customFormat="1" ht="24" customHeight="1" x14ac:dyDescent="0.2">
      <c r="B13" s="428"/>
      <c r="C13" s="430">
        <f t="array" aca="1" ref="C13" ca="1">ROW(32:32)-SUM(((Planung!$L$6:$L$35="")+(Planung!$N$6:$N$35="")&gt;0)*1)-SUM((($G$12:$G12="")+($I$12:$I12="")&gt;0)*1)</f>
        <v>21</v>
      </c>
      <c r="D13" s="388">
        <f t="array" aca="1" ref="D13" ca="1">IF(Planung!$U$15,"",$D$12+QUOTIENT(($C13-$C$12),Planung!$U$11)*(Planung!$R$7+Planung!$R$9)/1440+SUM($S$12:$S12)/1440)</f>
        <v>0.54513888888888884</v>
      </c>
      <c r="E13" s="383">
        <f ca="1">IF(Planung!$U$15,"",MOD($C13-$C$12,Planung!$U$11)+1)</f>
        <v>1</v>
      </c>
      <c r="F13" s="369" t="s">
        <v>213</v>
      </c>
      <c r="G13" s="365" t="str">
        <f ca="1">Vorrunde!$Q$16</f>
        <v>VFB Essenheim</v>
      </c>
      <c r="H13" s="153" t="s">
        <v>4</v>
      </c>
      <c r="I13" s="367" t="str">
        <f ca="1">Vorrunde!$Q$26</f>
        <v>Inter Mailand</v>
      </c>
      <c r="J13" s="378">
        <v>25</v>
      </c>
      <c r="K13" s="380" t="str">
        <f>Sprache!$E$77</f>
        <v>:</v>
      </c>
      <c r="L13" s="361">
        <v>22</v>
      </c>
      <c r="M13" s="395">
        <v>25</v>
      </c>
      <c r="N13" s="380" t="str">
        <f>Sprache!$E$77</f>
        <v>:</v>
      </c>
      <c r="O13" s="706">
        <v>21</v>
      </c>
      <c r="P13" s="378"/>
      <c r="Q13" s="695" t="str">
        <f>Sprache!$E$77</f>
        <v>:</v>
      </c>
      <c r="R13" s="362"/>
      <c r="S13" s="698"/>
      <c r="V13" s="357" t="str">
        <f t="shared" ref="V13:V17" ca="1" si="0">IF($AA13&gt;$AB13,$G13,IF($AA13&lt;$AB13,$I13,""))</f>
        <v>VFB Essenheim</v>
      </c>
      <c r="W13" s="357" t="str">
        <f t="shared" ref="W13:W17" ca="1" si="1">IF($AA13&lt;$AB13,$G13,IF($AA13&gt;$AB13,$I13,""))</f>
        <v>Inter Mailand</v>
      </c>
      <c r="X13" s="357" t="b">
        <f t="shared" ref="X13:X17" si="2">AND($J13&lt;&gt;"",$L13&lt;&gt;"",$M13&lt;&gt;"",$O13&lt;&gt;"",$J13&lt;&gt;$L13,$M13&lt;&gt;$O13,($J13&gt;$L13)+($M13&gt;$O13)=1)</f>
        <v>0</v>
      </c>
      <c r="Y13" s="736" t="b">
        <f t="shared" ref="Y13:Y17" ca="1" si="3">AND($J13&lt;&gt;"",$L13&lt;&gt;"",$J13&lt;&gt;$L13,OR(AND($M13="",$O13=""),AND($M13&lt;&gt;"",$O13&lt;&gt;"",$M13&lt;&gt;$O13)),$G13&lt;&gt;"",$I13&lt;&gt;"",$G13&lt;&gt;$I13)</f>
        <v>1</v>
      </c>
      <c r="Z13" s="357" t="b">
        <f t="shared" ref="Z13:Z17" si="4">AND($X13,$P13&lt;&gt;"",$R13&lt;&gt;"",$P13&lt;&gt;$R13)</f>
        <v>0</v>
      </c>
      <c r="AA13" s="736">
        <f t="shared" ref="AA13:AA17" ca="1" si="5">(($J13&gt;$L13)+($M13&gt;$O13)+($P13&gt;$R13)*$Z13)*$Y13</f>
        <v>2</v>
      </c>
      <c r="AB13" s="736">
        <f t="shared" ref="AB13:AB17" ca="1" si="6">(($J13&lt;$L13)+($M13&lt;$O13)+($P13&lt;$R13)*$Z13)*$Y13</f>
        <v>0</v>
      </c>
    </row>
    <row r="14" spans="2:28" s="357" customFormat="1" ht="24" customHeight="1" x14ac:dyDescent="0.2">
      <c r="B14" s="428"/>
      <c r="C14" s="430">
        <f t="array" aca="1" ref="C14" ca="1">ROW(33:33)-SUM(((Planung!$L$6:$L$35="")+(Planung!$N$6:$N$35="")&gt;0)*1)-SUM((($G$12:$G13="")+($I$12:$I13="")&gt;0)*1)</f>
        <v>22</v>
      </c>
      <c r="D14" s="388">
        <f t="array" aca="1" ref="D14" ca="1">IF(Planung!$U$15,"",$D$12+QUOTIENT(($C14-$C$12),Planung!$U$11)*(Planung!$R$7+Planung!$R$9)/1440+SUM($S$12:$S13)/1440)</f>
        <v>0.54513888888888884</v>
      </c>
      <c r="E14" s="383">
        <f ca="1">IF(Planung!$U$15,"",MOD($C14-$C$12,Planung!$U$11)+1)</f>
        <v>2</v>
      </c>
      <c r="F14" s="369" t="s">
        <v>214</v>
      </c>
      <c r="G14" s="365" t="str">
        <f ca="1">Vorrunde!$Q$15</f>
        <v>FC Barcelona</v>
      </c>
      <c r="H14" s="153" t="s">
        <v>4</v>
      </c>
      <c r="I14" s="367" t="str">
        <f ca="1">Vorrunde!$Q$25</f>
        <v>SSV Wildbach</v>
      </c>
      <c r="J14" s="378">
        <v>19</v>
      </c>
      <c r="K14" s="380" t="str">
        <f>Sprache!$E$77</f>
        <v>:</v>
      </c>
      <c r="L14" s="361">
        <v>25</v>
      </c>
      <c r="M14" s="395">
        <v>25</v>
      </c>
      <c r="N14" s="380" t="str">
        <f>Sprache!$E$77</f>
        <v>:</v>
      </c>
      <c r="O14" s="706">
        <v>20</v>
      </c>
      <c r="P14" s="378">
        <v>12</v>
      </c>
      <c r="Q14" s="695" t="str">
        <f>Sprache!$E$77</f>
        <v>:</v>
      </c>
      <c r="R14" s="362">
        <v>15</v>
      </c>
      <c r="S14" s="698"/>
      <c r="V14" s="357" t="str">
        <f t="shared" ca="1" si="0"/>
        <v>SSV Wildbach</v>
      </c>
      <c r="W14" s="357" t="str">
        <f t="shared" ca="1" si="1"/>
        <v>FC Barcelona</v>
      </c>
      <c r="X14" s="357" t="b">
        <f t="shared" si="2"/>
        <v>1</v>
      </c>
      <c r="Y14" s="736" t="b">
        <f t="shared" ca="1" si="3"/>
        <v>1</v>
      </c>
      <c r="Z14" s="357" t="b">
        <f t="shared" si="4"/>
        <v>1</v>
      </c>
      <c r="AA14" s="736">
        <f t="shared" ca="1" si="5"/>
        <v>1</v>
      </c>
      <c r="AB14" s="736">
        <f t="shared" ca="1" si="6"/>
        <v>2</v>
      </c>
    </row>
    <row r="15" spans="2:28" s="357" customFormat="1" ht="24" customHeight="1" x14ac:dyDescent="0.2">
      <c r="B15" s="428"/>
      <c r="C15" s="430">
        <f t="array" aca="1" ref="C15" ca="1">ROW(34:34)-SUM(((Planung!$L$6:$L$35="")+(Planung!$N$6:$N$35="")&gt;0)*1)-SUM((($G$12:$G14="")+($I$12:$I14="")&gt;0)*1)</f>
        <v>23</v>
      </c>
      <c r="D15" s="388">
        <f t="array" aca="1" ref="D15" ca="1">IF(Planung!$U$15,"",$D$12+QUOTIENT(($C15-$C$12),Planung!$U$11)*(Planung!$R$7+Planung!$R$9)/1440+SUM($S$12:$S14)/1440)</f>
        <v>0.54513888888888884</v>
      </c>
      <c r="E15" s="383">
        <f ca="1">IF(Planung!$U$15,"",MOD($C15-$C$12,Planung!$U$11)+1)</f>
        <v>3</v>
      </c>
      <c r="F15" s="369" t="s">
        <v>215</v>
      </c>
      <c r="G15" s="365" t="str">
        <f ca="1">Vorrunde!$Q$14</f>
        <v>1. FC Riedwald</v>
      </c>
      <c r="H15" s="153" t="s">
        <v>4</v>
      </c>
      <c r="I15" s="367" t="str">
        <f ca="1">Vorrunde!$Q$24</f>
        <v>FC Grönlingen</v>
      </c>
      <c r="J15" s="378">
        <v>25</v>
      </c>
      <c r="K15" s="381" t="str">
        <f>Sprache!$E$77</f>
        <v>:</v>
      </c>
      <c r="L15" s="361">
        <v>23</v>
      </c>
      <c r="M15" s="395">
        <v>25</v>
      </c>
      <c r="N15" s="381" t="str">
        <f>Sprache!$E$77</f>
        <v>:</v>
      </c>
      <c r="O15" s="706">
        <v>21</v>
      </c>
      <c r="P15" s="378"/>
      <c r="Q15" s="695" t="str">
        <f>Sprache!$E$77</f>
        <v>:</v>
      </c>
      <c r="R15" s="362"/>
      <c r="S15" s="698"/>
      <c r="V15" s="357" t="str">
        <f t="shared" ca="1" si="0"/>
        <v>1. FC Riedwald</v>
      </c>
      <c r="W15" s="357" t="str">
        <f t="shared" ca="1" si="1"/>
        <v>FC Grönlingen</v>
      </c>
      <c r="X15" s="357" t="b">
        <f t="shared" si="2"/>
        <v>0</v>
      </c>
      <c r="Y15" s="736" t="b">
        <f t="shared" ca="1" si="3"/>
        <v>1</v>
      </c>
      <c r="Z15" s="357" t="b">
        <f t="shared" si="4"/>
        <v>0</v>
      </c>
      <c r="AA15" s="736">
        <f t="shared" ca="1" si="5"/>
        <v>2</v>
      </c>
      <c r="AB15" s="736">
        <f t="shared" ca="1" si="6"/>
        <v>0</v>
      </c>
    </row>
    <row r="16" spans="2:28" s="357" customFormat="1" ht="24" customHeight="1" x14ac:dyDescent="0.2">
      <c r="B16" s="428"/>
      <c r="C16" s="430">
        <f t="array" aca="1" ref="C16" ca="1">ROW(35:35)-SUM(((Planung!$L$6:$L$35="")+(Planung!$N$6:$N$35="")&gt;0)*1)-SUM((($G$12:$G15="")+($I$12:$I15="")&gt;0)*1)</f>
        <v>24</v>
      </c>
      <c r="D16" s="388">
        <f t="array" aca="1" ref="D16" ca="1">IF(Planung!$U$15,"",$D$12+QUOTIENT(($C16-$C$12),Planung!$U$11)*(Planung!$R$7+Planung!$R$9)/1440+SUM($S$12:$S15)/1440)</f>
        <v>0.56944444444444442</v>
      </c>
      <c r="E16" s="383">
        <f ca="1">IF(Planung!$U$15,"",MOD($C16-$C$12,Planung!$U$11)+1)</f>
        <v>1</v>
      </c>
      <c r="F16" s="369" t="s">
        <v>216</v>
      </c>
      <c r="G16" s="365" t="str">
        <f ca="1">Vorrunde!$Q$13</f>
        <v>Eintracht Frankfurt</v>
      </c>
      <c r="H16" s="153" t="s">
        <v>4</v>
      </c>
      <c r="I16" s="367" t="str">
        <f ca="1">Vorrunde!$Q$23</f>
        <v>Manchester City</v>
      </c>
      <c r="J16" s="378">
        <v>26</v>
      </c>
      <c r="K16" s="381" t="str">
        <f>Sprache!$E$77</f>
        <v>:</v>
      </c>
      <c r="L16" s="361">
        <v>24</v>
      </c>
      <c r="M16" s="395">
        <v>25</v>
      </c>
      <c r="N16" s="381" t="str">
        <f>Sprache!$E$77</f>
        <v>:</v>
      </c>
      <c r="O16" s="706">
        <v>23</v>
      </c>
      <c r="P16" s="707"/>
      <c r="Q16" s="696" t="str">
        <f>Sprache!$E$77</f>
        <v>:</v>
      </c>
      <c r="R16" s="701"/>
      <c r="S16" s="699"/>
      <c r="V16" s="357" t="str">
        <f t="shared" ca="1" si="0"/>
        <v>Eintracht Frankfurt</v>
      </c>
      <c r="W16" s="357" t="str">
        <f t="shared" ca="1" si="1"/>
        <v>Manchester City</v>
      </c>
      <c r="X16" s="357" t="b">
        <f t="shared" si="2"/>
        <v>0</v>
      </c>
      <c r="Y16" s="736" t="b">
        <f t="shared" ca="1" si="3"/>
        <v>1</v>
      </c>
      <c r="Z16" s="357" t="b">
        <f t="shared" si="4"/>
        <v>0</v>
      </c>
      <c r="AA16" s="736">
        <f t="shared" ca="1" si="5"/>
        <v>2</v>
      </c>
      <c r="AB16" s="736">
        <f t="shared" ca="1" si="6"/>
        <v>0</v>
      </c>
    </row>
    <row r="17" spans="2:28" s="357" customFormat="1" ht="24" customHeight="1" thickBot="1" x14ac:dyDescent="0.25">
      <c r="B17" s="428"/>
      <c r="C17" s="431">
        <f t="array" aca="1" ref="C17" ca="1">ROW(36:36)-SUM(((Planung!$L$6:$L$35="")+(Planung!$N$6:$N$35="")&gt;0)*1)-SUM((($G$12:$G16="")+($I$12:$I16="")&gt;0)*1)</f>
        <v>25</v>
      </c>
      <c r="D17" s="389">
        <f t="array" aca="1" ref="D17" ca="1">IF(Planung!$U$15,"",$D$12+QUOTIENT(($C17-$C$12),Planung!$U$11)*(Planung!$R$7+Planung!$R$9)/1440+SUM($S$12:$S16)/1440)</f>
        <v>0.56944444444444442</v>
      </c>
      <c r="E17" s="385">
        <f ca="1">IF(Planung!$U$15,"",MOD($C17-$C$12,Planung!$U$11)+1)</f>
        <v>2</v>
      </c>
      <c r="F17" s="370" t="s">
        <v>217</v>
      </c>
      <c r="G17" s="366" t="str">
        <f ca="1">Vorrunde!$Q$12</f>
        <v>Maibach 1822 eV</v>
      </c>
      <c r="H17" s="154" t="s">
        <v>4</v>
      </c>
      <c r="I17" s="368" t="str">
        <f ca="1">Vorrunde!$Q$22</f>
        <v>Mainz 05</v>
      </c>
      <c r="J17" s="379">
        <v>14</v>
      </c>
      <c r="K17" s="382" t="str">
        <f>Sprache!$E$77</f>
        <v>:</v>
      </c>
      <c r="L17" s="363">
        <v>25</v>
      </c>
      <c r="M17" s="396">
        <v>12</v>
      </c>
      <c r="N17" s="382" t="str">
        <f>Sprache!$E$77</f>
        <v>:</v>
      </c>
      <c r="O17" s="708">
        <v>25</v>
      </c>
      <c r="P17" s="379"/>
      <c r="Q17" s="719" t="str">
        <f>Sprache!$E$77</f>
        <v>:</v>
      </c>
      <c r="R17" s="364"/>
      <c r="S17" s="715"/>
      <c r="V17" s="357" t="str">
        <f t="shared" ca="1" si="0"/>
        <v>Mainz 05</v>
      </c>
      <c r="W17" s="357" t="str">
        <f t="shared" ca="1" si="1"/>
        <v>Maibach 1822 eV</v>
      </c>
      <c r="X17" s="357" t="b">
        <f t="shared" si="2"/>
        <v>0</v>
      </c>
      <c r="Y17" s="736" t="b">
        <f t="shared" ca="1" si="3"/>
        <v>1</v>
      </c>
      <c r="Z17" s="357" t="b">
        <f t="shared" si="4"/>
        <v>0</v>
      </c>
      <c r="AA17" s="736">
        <f t="shared" ca="1" si="5"/>
        <v>0</v>
      </c>
      <c r="AB17" s="736">
        <f t="shared" ca="1" si="6"/>
        <v>2</v>
      </c>
    </row>
    <row r="18" spans="2:28" ht="13.5" thickTop="1" x14ac:dyDescent="0.2"/>
    <row r="19" spans="2:28" ht="24" customHeight="1" x14ac:dyDescent="0.2">
      <c r="C19" s="397"/>
      <c r="D19" s="397"/>
      <c r="E19" s="397"/>
      <c r="F19" s="397"/>
      <c r="G19" s="835" t="str">
        <f>Sprache!$E$29</f>
        <v>Turnierende:</v>
      </c>
      <c r="H19" s="835"/>
      <c r="I19" s="398">
        <f ca="1">IF(Planung!$R$13="","",$D$17+Planung!$R$7/1440)</f>
        <v>0.59027777777777779</v>
      </c>
      <c r="J19" s="399"/>
      <c r="K19" s="399"/>
      <c r="L19" s="399"/>
      <c r="M19" s="399"/>
      <c r="N19" s="399"/>
      <c r="O19" s="399"/>
      <c r="P19" s="399"/>
      <c r="Q19" s="399"/>
      <c r="R19" s="399"/>
      <c r="S19" s="399"/>
    </row>
    <row r="20" spans="2:28" x14ac:dyDescent="0.2">
      <c r="D20" s="391"/>
    </row>
    <row r="21" spans="2:28" ht="13.5" thickBot="1" x14ac:dyDescent="0.25">
      <c r="D21" s="391"/>
    </row>
    <row r="22" spans="2:28" ht="22.5" customHeight="1" thickBot="1" x14ac:dyDescent="0.25">
      <c r="F22" s="502" t="str">
        <f>Sprache!$E$85</f>
        <v>Rang</v>
      </c>
      <c r="G22" s="856" t="str">
        <f>"  "&amp;Sprache!$E$10</f>
        <v xml:space="preserve">  Teilnehmer bzw. Mannschaft</v>
      </c>
      <c r="H22" s="856"/>
      <c r="I22" s="857"/>
    </row>
    <row r="23" spans="2:28" ht="24" customHeight="1" thickTop="1" x14ac:dyDescent="0.2">
      <c r="E23" s="392">
        <v>1</v>
      </c>
      <c r="F23" s="442">
        <v>1</v>
      </c>
      <c r="G23" s="866" t="str">
        <f ca="1">V17</f>
        <v>Mainz 05</v>
      </c>
      <c r="H23" s="866"/>
      <c r="I23" s="867"/>
    </row>
    <row r="24" spans="2:28" ht="24" customHeight="1" x14ac:dyDescent="0.2">
      <c r="E24" s="392">
        <v>2</v>
      </c>
      <c r="F24" s="443">
        <v>2</v>
      </c>
      <c r="G24" s="868" t="str">
        <f ca="1">W17</f>
        <v>Maibach 1822 eV</v>
      </c>
      <c r="H24" s="868"/>
      <c r="I24" s="869"/>
    </row>
    <row r="25" spans="2:28" ht="24" customHeight="1" x14ac:dyDescent="0.2">
      <c r="E25" s="392">
        <v>3</v>
      </c>
      <c r="F25" s="444">
        <v>3</v>
      </c>
      <c r="G25" s="870" t="str">
        <f ca="1">V16</f>
        <v>Eintracht Frankfurt</v>
      </c>
      <c r="H25" s="870"/>
      <c r="I25" s="871"/>
    </row>
    <row r="26" spans="2:28" ht="24" customHeight="1" x14ac:dyDescent="0.2">
      <c r="E26" s="392">
        <v>4</v>
      </c>
      <c r="F26" s="445">
        <v>4</v>
      </c>
      <c r="G26" s="864" t="str">
        <f ca="1">W16</f>
        <v>Manchester City</v>
      </c>
      <c r="H26" s="864"/>
      <c r="I26" s="865"/>
    </row>
    <row r="27" spans="2:28" ht="24" customHeight="1" x14ac:dyDescent="0.2">
      <c r="E27" s="392">
        <v>5</v>
      </c>
      <c r="F27" s="445">
        <v>5</v>
      </c>
      <c r="G27" s="864" t="str">
        <f ca="1">V15</f>
        <v>1. FC Riedwald</v>
      </c>
      <c r="H27" s="864"/>
      <c r="I27" s="865"/>
    </row>
    <row r="28" spans="2:28" ht="24" customHeight="1" x14ac:dyDescent="0.2">
      <c r="E28" s="392">
        <v>6</v>
      </c>
      <c r="F28" s="445">
        <v>6</v>
      </c>
      <c r="G28" s="864" t="str">
        <f ca="1">W15</f>
        <v>FC Grönlingen</v>
      </c>
      <c r="H28" s="864"/>
      <c r="I28" s="865"/>
    </row>
    <row r="29" spans="2:28" ht="24" customHeight="1" x14ac:dyDescent="0.2">
      <c r="E29" s="392">
        <v>7</v>
      </c>
      <c r="F29" s="445">
        <v>7</v>
      </c>
      <c r="G29" s="864" t="str">
        <f ca="1">V14</f>
        <v>SSV Wildbach</v>
      </c>
      <c r="H29" s="864"/>
      <c r="I29" s="865"/>
    </row>
    <row r="30" spans="2:28" ht="24" customHeight="1" x14ac:dyDescent="0.2">
      <c r="E30" s="392">
        <v>8</v>
      </c>
      <c r="F30" s="445">
        <v>8</v>
      </c>
      <c r="G30" s="864" t="str">
        <f ca="1">W14</f>
        <v>FC Barcelona</v>
      </c>
      <c r="H30" s="864"/>
      <c r="I30" s="865"/>
    </row>
    <row r="31" spans="2:28" ht="24" customHeight="1" x14ac:dyDescent="0.2">
      <c r="E31" s="392">
        <v>9</v>
      </c>
      <c r="F31" s="445">
        <v>9</v>
      </c>
      <c r="G31" s="864" t="str">
        <f ca="1">V13</f>
        <v>VFB Essenheim</v>
      </c>
      <c r="H31" s="864"/>
      <c r="I31" s="865"/>
    </row>
    <row r="32" spans="2:28" ht="24" customHeight="1" x14ac:dyDescent="0.2">
      <c r="E32" s="392">
        <v>10</v>
      </c>
      <c r="F32" s="445">
        <v>10</v>
      </c>
      <c r="G32" s="864" t="str">
        <f ca="1">W13</f>
        <v>Inter Mailand</v>
      </c>
      <c r="H32" s="864"/>
      <c r="I32" s="865"/>
    </row>
    <row r="33" spans="5:9" ht="24" customHeight="1" x14ac:dyDescent="0.2">
      <c r="E33" s="392">
        <v>11</v>
      </c>
      <c r="F33" s="445">
        <v>11</v>
      </c>
      <c r="G33" s="864" t="str">
        <f ca="1">V12</f>
        <v/>
      </c>
      <c r="H33" s="864"/>
      <c r="I33" s="865"/>
    </row>
    <row r="34" spans="5:9" ht="24" customHeight="1" thickBot="1" x14ac:dyDescent="0.25">
      <c r="E34" s="392">
        <v>12</v>
      </c>
      <c r="F34" s="446">
        <v>12</v>
      </c>
      <c r="G34" s="854" t="str">
        <f ca="1">W12</f>
        <v/>
      </c>
      <c r="H34" s="854"/>
      <c r="I34" s="855"/>
    </row>
    <row r="35" spans="5:9" ht="13.5" thickTop="1" x14ac:dyDescent="0.2"/>
    <row r="36" spans="5:9" x14ac:dyDescent="0.2"/>
    <row r="37" spans="5:9" x14ac:dyDescent="0.2"/>
  </sheetData>
  <sheetProtection sheet="1" selectLockedCells="1"/>
  <mergeCells count="26">
    <mergeCell ref="AA11:AB11"/>
    <mergeCell ref="G34:I34"/>
    <mergeCell ref="G22:I22"/>
    <mergeCell ref="G7:I8"/>
    <mergeCell ref="G28:I28"/>
    <mergeCell ref="G29:I29"/>
    <mergeCell ref="G30:I30"/>
    <mergeCell ref="G31:I31"/>
    <mergeCell ref="G32:I32"/>
    <mergeCell ref="G33:I33"/>
    <mergeCell ref="G23:I23"/>
    <mergeCell ref="G24:I24"/>
    <mergeCell ref="G25:I25"/>
    <mergeCell ref="G26:I26"/>
    <mergeCell ref="G27:I27"/>
    <mergeCell ref="G11:I11"/>
    <mergeCell ref="G19:H19"/>
    <mergeCell ref="J11:L11"/>
    <mergeCell ref="C10:F10"/>
    <mergeCell ref="E2:S2"/>
    <mergeCell ref="E3:S3"/>
    <mergeCell ref="E4:S4"/>
    <mergeCell ref="E5:S5"/>
    <mergeCell ref="S9:S11"/>
    <mergeCell ref="M11:O11"/>
    <mergeCell ref="P11:R11"/>
  </mergeCells>
  <conditionalFormatting sqref="C12:R17">
    <cfRule type="expression" dxfId="25" priority="4">
      <formula>OR($G12="",$I12="")</formula>
    </cfRule>
  </conditionalFormatting>
  <conditionalFormatting sqref="J12:O17">
    <cfRule type="expression" dxfId="24" priority="3">
      <formula>OR(AND($J12&lt;&gt;"",$J12=$L12),AND($M12&lt;&gt;"",$M12=$O12))</formula>
    </cfRule>
  </conditionalFormatting>
  <conditionalFormatting sqref="P12:R17">
    <cfRule type="expression" dxfId="23" priority="1">
      <formula>NOT($X12)</formula>
    </cfRule>
    <cfRule type="expression" dxfId="22" priority="2">
      <formula>AND($P12&lt;&gt;"",$R12&lt;&gt;"",$P12=$R12,$X12)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5" id="{17BB91E0-A3CE-4ED3-B5A3-AE335022FDB6}">
            <xm:f>$F26&gt;2*Calc1!$F$14-MOD((Calc1!$F$13+Calc2!$F$13),2)</xm:f>
            <x14:dxf>
              <numFmt numFmtId="165" formatCode=";;;"/>
            </x14:dxf>
          </x14:cfRule>
          <xm:sqref>F26:F34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CCBC-5822-4495-B3C7-DB0CA00BC521}">
  <dimension ref="A1:AB42"/>
  <sheetViews>
    <sheetView showGridLines="0" showRowColHeaders="0" workbookViewId="0">
      <selection activeCell="J12" sqref="J12"/>
    </sheetView>
  </sheetViews>
  <sheetFormatPr baseColWidth="10" defaultColWidth="0" defaultRowHeight="12.75" zeroHeight="1" x14ac:dyDescent="0.2"/>
  <cols>
    <col min="1" max="1" width="10.42578125" style="46" customWidth="1"/>
    <col min="2" max="2" width="5.28515625" style="46" customWidth="1"/>
    <col min="3" max="3" width="6.7109375" style="46" customWidth="1"/>
    <col min="4" max="6" width="11.42578125" style="46" customWidth="1"/>
    <col min="7" max="7" width="28.7109375" style="46" customWidth="1"/>
    <col min="8" max="8" width="2.85546875" style="46" customWidth="1"/>
    <col min="9" max="9" width="28.7109375" style="46" customWidth="1"/>
    <col min="10" max="10" width="4.7109375" style="46" customWidth="1"/>
    <col min="11" max="11" width="2.28515625" style="46" customWidth="1"/>
    <col min="12" max="13" width="4.7109375" style="46" customWidth="1"/>
    <col min="14" max="14" width="2.28515625" style="46" customWidth="1"/>
    <col min="15" max="16" width="4.7109375" style="46" customWidth="1"/>
    <col min="17" max="17" width="2.28515625" style="46" customWidth="1"/>
    <col min="18" max="18" width="4.7109375" style="46" customWidth="1"/>
    <col min="19" max="20" width="8" style="46" customWidth="1"/>
    <col min="21" max="21" width="11.42578125" customWidth="1"/>
    <col min="22" max="22" width="17.85546875" hidden="1" customWidth="1"/>
    <col min="23" max="23" width="17.5703125" hidden="1" customWidth="1"/>
    <col min="24" max="24" width="11" hidden="1" customWidth="1"/>
    <col min="25" max="26" width="11.42578125" hidden="1" customWidth="1"/>
    <col min="27" max="27" width="5.42578125" hidden="1" customWidth="1"/>
    <col min="28" max="28" width="5.7109375" hidden="1" customWidth="1"/>
    <col min="29" max="16384" width="11.42578125" hidden="1"/>
  </cols>
  <sheetData>
    <row r="1" spans="1:28" ht="13.5" thickBot="1" x14ac:dyDescent="0.25"/>
    <row r="2" spans="1:28" ht="36.75" thickTop="1" x14ac:dyDescent="0.2">
      <c r="E2" s="840" t="str">
        <f>Vorrunde!$G$2</f>
        <v>Internationales U10-Turnier am 12.03.2025</v>
      </c>
      <c r="F2" s="841"/>
      <c r="G2" s="841"/>
      <c r="H2" s="841"/>
      <c r="I2" s="841"/>
      <c r="J2" s="841"/>
      <c r="K2" s="841"/>
      <c r="L2" s="841"/>
      <c r="M2" s="841"/>
      <c r="N2" s="841"/>
      <c r="O2" s="841"/>
      <c r="P2" s="841"/>
      <c r="Q2" s="841"/>
      <c r="R2" s="841"/>
      <c r="S2" s="842"/>
    </row>
    <row r="3" spans="1:28" ht="30" customHeight="1" x14ac:dyDescent="0.2">
      <c r="E3" s="843" t="str">
        <f>Vorrunde!$G$3</f>
        <v>Veranstalter:  1. FC Riedwald</v>
      </c>
      <c r="F3" s="844"/>
      <c r="G3" s="844"/>
      <c r="H3" s="844"/>
      <c r="I3" s="844"/>
      <c r="J3" s="844"/>
      <c r="K3" s="844"/>
      <c r="L3" s="844"/>
      <c r="M3" s="844"/>
      <c r="N3" s="844"/>
      <c r="O3" s="844"/>
      <c r="P3" s="844"/>
      <c r="Q3" s="844"/>
      <c r="R3" s="844"/>
      <c r="S3" s="845"/>
    </row>
    <row r="4" spans="1:28" ht="30" customHeight="1" x14ac:dyDescent="0.2">
      <c r="E4" s="846" t="str">
        <f>Vorrunde!$G$4</f>
        <v>Sporthalle Wiesengrund, Wendiger Str. 51, 65432 Riedwald</v>
      </c>
      <c r="F4" s="847"/>
      <c r="G4" s="847"/>
      <c r="H4" s="847"/>
      <c r="I4" s="847"/>
      <c r="J4" s="847"/>
      <c r="K4" s="847"/>
      <c r="L4" s="847"/>
      <c r="M4" s="847"/>
      <c r="N4" s="847"/>
      <c r="O4" s="847"/>
      <c r="P4" s="847"/>
      <c r="Q4" s="847"/>
      <c r="R4" s="847"/>
      <c r="S4" s="848"/>
    </row>
    <row r="5" spans="1:28" ht="30" customHeight="1" thickBot="1" x14ac:dyDescent="0.25">
      <c r="E5" s="849" t="str">
        <f>Vorrunde!$G$5</f>
        <v>Beginn:  9:00 Uhr</v>
      </c>
      <c r="F5" s="850"/>
      <c r="G5" s="850"/>
      <c r="H5" s="850"/>
      <c r="I5" s="850"/>
      <c r="J5" s="850"/>
      <c r="K5" s="850"/>
      <c r="L5" s="850"/>
      <c r="M5" s="850"/>
      <c r="N5" s="850"/>
      <c r="O5" s="850"/>
      <c r="P5" s="850"/>
      <c r="Q5" s="850"/>
      <c r="R5" s="850"/>
      <c r="S5" s="851"/>
    </row>
    <row r="6" spans="1:28" ht="18" customHeight="1" thickTop="1" thickBot="1" x14ac:dyDescent="0.25"/>
    <row r="7" spans="1:28" ht="30" customHeight="1" thickTop="1" x14ac:dyDescent="0.2">
      <c r="G7" s="858" t="str">
        <f>Sprache!$E$19</f>
        <v>Endrunde</v>
      </c>
      <c r="H7" s="859"/>
      <c r="I7" s="860"/>
    </row>
    <row r="8" spans="1:28" ht="30" customHeight="1" thickBot="1" x14ac:dyDescent="0.25">
      <c r="G8" s="861"/>
      <c r="H8" s="862"/>
      <c r="I8" s="863"/>
    </row>
    <row r="9" spans="1:28" ht="12.6" customHeight="1" thickTop="1" x14ac:dyDescent="0.2">
      <c r="S9" s="766" t="str">
        <f>Sprache!$E$20</f>
        <v>Zusätzl. Pause (min)</v>
      </c>
    </row>
    <row r="10" spans="1:28" ht="27.95" customHeight="1" thickBot="1" x14ac:dyDescent="0.35">
      <c r="C10" s="839" t="str">
        <f>Sprache!$E$55&amp;IF(MIN(Calc1!$F$13,Calc2!$F$13)*2&lt;6,""," 5 - "&amp;MIN(Calc1!$F$13,Calc2!$F$13)*2)</f>
        <v>Spiele um die Plätze  5 - 10</v>
      </c>
      <c r="D10" s="839"/>
      <c r="E10" s="839"/>
      <c r="F10" s="839"/>
      <c r="S10" s="766"/>
    </row>
    <row r="11" spans="1:28" ht="24" customHeight="1" thickTop="1" thickBot="1" x14ac:dyDescent="0.25">
      <c r="B11" s="390"/>
      <c r="C11" s="441" t="str">
        <f>Sprache!$E$9</f>
        <v>Nr.</v>
      </c>
      <c r="D11" s="386" t="str">
        <f>Sprache!$E$39</f>
        <v>Beginn</v>
      </c>
      <c r="E11" s="375" t="str">
        <f>Sprache!$E$48</f>
        <v>Feld</v>
      </c>
      <c r="F11" s="375"/>
      <c r="G11" s="782" t="str">
        <f>Sprache!$E$14</f>
        <v>Spielpaarung</v>
      </c>
      <c r="H11" s="782"/>
      <c r="I11" s="782"/>
      <c r="J11" s="782" t="str">
        <f>Sprache!$E$61</f>
        <v>1. Satz</v>
      </c>
      <c r="K11" s="782"/>
      <c r="L11" s="782"/>
      <c r="M11" s="782" t="str">
        <f>Sprache!$E$62</f>
        <v>2. Satz</v>
      </c>
      <c r="N11" s="782"/>
      <c r="O11" s="782"/>
      <c r="P11" s="782" t="str">
        <f>Sprache!$E$63</f>
        <v>3. Satz</v>
      </c>
      <c r="Q11" s="782"/>
      <c r="R11" s="807"/>
      <c r="S11" s="767"/>
      <c r="V11" s="735" t="s">
        <v>373</v>
      </c>
      <c r="W11" s="735" t="s">
        <v>374</v>
      </c>
      <c r="X11" s="734" t="s">
        <v>372</v>
      </c>
      <c r="Y11" s="734" t="s">
        <v>376</v>
      </c>
      <c r="Z11" s="734" t="s">
        <v>375</v>
      </c>
      <c r="AA11" s="853" t="s">
        <v>335</v>
      </c>
      <c r="AB11" s="853"/>
    </row>
    <row r="12" spans="1:28" ht="24" customHeight="1" x14ac:dyDescent="0.2">
      <c r="A12" s="357"/>
      <c r="B12" s="428"/>
      <c r="C12" s="432">
        <f t="array" aca="1" ref="C12" ca="1">31-SUM(((Planung!$L$6:$L$35="")+(Planung!$N$6:$N$35="")&gt;0)*1)</f>
        <v>21</v>
      </c>
      <c r="D12" s="435">
        <f ca="1">IF(Planung!$U$15,"",Planung!$R$13+(Planung!$R$9+Planung!$P$35)/1440)</f>
        <v>0.54513888888888884</v>
      </c>
      <c r="E12" s="416">
        <f>IF(Planung!$U$15,"",1)</f>
        <v>1</v>
      </c>
      <c r="F12" s="417" t="s">
        <v>212</v>
      </c>
      <c r="G12" s="418" t="str">
        <f ca="1">Vorrunde!$Q$17</f>
        <v/>
      </c>
      <c r="H12" s="152" t="s">
        <v>4</v>
      </c>
      <c r="I12" s="419" t="str">
        <f ca="1">Vorrunde!$Q$27</f>
        <v/>
      </c>
      <c r="J12" s="420"/>
      <c r="K12" s="421" t="str">
        <f>Sprache!$E$77</f>
        <v>:</v>
      </c>
      <c r="L12" s="705"/>
      <c r="M12" s="420"/>
      <c r="N12" s="421" t="str">
        <f>Sprache!$E$77</f>
        <v>:</v>
      </c>
      <c r="O12" s="705"/>
      <c r="P12" s="376"/>
      <c r="Q12" s="694" t="str">
        <f>Sprache!$E$77</f>
        <v>:</v>
      </c>
      <c r="R12" s="377"/>
      <c r="S12" s="697"/>
      <c r="T12" s="357"/>
      <c r="V12" s="357" t="str">
        <f ca="1">IF($AA12&gt;$AB12,$G12,IF($AA12&lt;$AB12,$I12,""))</f>
        <v/>
      </c>
      <c r="W12" s="357" t="str">
        <f ca="1">IF($AA12&lt;$AB12,$G12,IF($AA12&gt;$AB12,$I12,""))</f>
        <v/>
      </c>
      <c r="X12" s="357" t="b">
        <f>AND($J12&lt;&gt;"",$L12&lt;&gt;"",$M12&lt;&gt;"",$O12&lt;&gt;"",$J12&lt;&gt;$L12,$M12&lt;&gt;$O12,($J12&gt;$L12)+($M12&gt;$O12)=1)</f>
        <v>0</v>
      </c>
      <c r="Y12" s="736" t="b">
        <f ca="1">AND($J12&lt;&gt;"",$L12&lt;&gt;"",$J12&lt;&gt;$L12,OR(AND($M12="",$O12=""),AND($M12&lt;&gt;"",$O12&lt;&gt;"",$M12&lt;&gt;$O12)),$G12&lt;&gt;"",$I12&lt;&gt;"",$G12&lt;&gt;$I12)</f>
        <v>0</v>
      </c>
      <c r="Z12" s="357" t="b">
        <f>AND($X12,$P12&lt;&gt;"",$R12&lt;&gt;"",$P12&lt;&gt;$R12)</f>
        <v>0</v>
      </c>
      <c r="AA12" s="736">
        <f ca="1">(($J12&gt;$L12)+($M12&gt;$O12)+($P12&gt;$R12)*$Z12)*$Y12</f>
        <v>0</v>
      </c>
      <c r="AB12" s="736">
        <f ca="1">(($J12&lt;$L12)+($M12&lt;$O12)+($P12&lt;$R12)*$Z12)*$Y12</f>
        <v>0</v>
      </c>
    </row>
    <row r="13" spans="1:28" ht="24" customHeight="1" x14ac:dyDescent="0.2">
      <c r="A13" s="357"/>
      <c r="B13" s="428"/>
      <c r="C13" s="433">
        <f t="array" aca="1" ref="C13" ca="1">ROW(32:32)-SUM(((Planung!$L$6:$L$35="")+(Planung!$N$6:$N$35="")&gt;0)*1)-SUM((($G$12:$G12="")+($I$12:$I12="")&gt;0)*1)</f>
        <v>21</v>
      </c>
      <c r="D13" s="436">
        <f t="array" aca="1" ref="D13" ca="1">IF(Planung!$U$15,"",$D$12+QUOTIENT(($C13-$C$12),Planung!$U$11)*(Planung!$R$7+Planung!$R$9)/1440+SUM($S$12:$S12)/1440)</f>
        <v>0.54513888888888884</v>
      </c>
      <c r="E13" s="564">
        <f ca="1">IF(Planung!$U$15,"",MOD($C13-$C$12,Planung!$U$11)+1)</f>
        <v>1</v>
      </c>
      <c r="F13" s="369" t="s">
        <v>213</v>
      </c>
      <c r="G13" s="365" t="str">
        <f ca="1">Vorrunde!$Q$16</f>
        <v>VFB Essenheim</v>
      </c>
      <c r="H13" s="153" t="s">
        <v>4</v>
      </c>
      <c r="I13" s="367" t="str">
        <f ca="1">Vorrunde!$Q$26</f>
        <v>Inter Mailand</v>
      </c>
      <c r="J13" s="378">
        <v>19</v>
      </c>
      <c r="K13" s="380" t="str">
        <f>Sprache!$E$77</f>
        <v>:</v>
      </c>
      <c r="L13" s="706">
        <v>25</v>
      </c>
      <c r="M13" s="378">
        <v>25</v>
      </c>
      <c r="N13" s="380" t="str">
        <f>Sprache!$E$77</f>
        <v>:</v>
      </c>
      <c r="O13" s="706">
        <v>17</v>
      </c>
      <c r="P13" s="378">
        <v>18</v>
      </c>
      <c r="Q13" s="695" t="str">
        <f>Sprache!$E$77</f>
        <v>:</v>
      </c>
      <c r="R13" s="362">
        <v>16</v>
      </c>
      <c r="S13" s="698"/>
      <c r="T13" s="357"/>
      <c r="V13" s="718" t="str">
        <f t="shared" ref="V13:V15" ca="1" si="0">IF($AA13&gt;$AB13,$G13,IF($AA13&lt;$AB13,$I13,""))</f>
        <v>VFB Essenheim</v>
      </c>
      <c r="W13" s="718" t="str">
        <f t="shared" ref="W13:W15" ca="1" si="1">IF($AA13&lt;$AB13,$G13,IF($AA13&gt;$AB13,$I13,""))</f>
        <v>Inter Mailand</v>
      </c>
      <c r="X13" s="357" t="b">
        <f t="shared" ref="X13:X15" si="2">AND($J13&lt;&gt;"",$L13&lt;&gt;"",$M13&lt;&gt;"",$O13&lt;&gt;"",$J13&lt;&gt;$L13,$M13&lt;&gt;$O13,($J13&gt;$L13)+($M13&gt;$O13)=1)</f>
        <v>1</v>
      </c>
      <c r="Y13" s="736" t="b">
        <f t="shared" ref="Y13:Y15" ca="1" si="3">AND($J13&lt;&gt;"",$L13&lt;&gt;"",$J13&lt;&gt;$L13,OR(AND($M13="",$O13=""),AND($M13&lt;&gt;"",$O13&lt;&gt;"",$M13&lt;&gt;$O13)),$G13&lt;&gt;"",$I13&lt;&gt;"",$G13&lt;&gt;$I13)</f>
        <v>1</v>
      </c>
      <c r="Z13" s="357" t="b">
        <f t="shared" ref="Z13:Z15" si="4">AND($X13,$P13&lt;&gt;"",$R13&lt;&gt;"",$P13&lt;&gt;$R13)</f>
        <v>1</v>
      </c>
      <c r="AA13" s="736">
        <f t="shared" ref="AA13:AA15" ca="1" si="5">(($J13&gt;$L13)+($M13&gt;$O13)+($P13&gt;$R13)*$Z13)*$Y13</f>
        <v>2</v>
      </c>
      <c r="AB13" s="736">
        <f t="shared" ref="AB13:AB15" ca="1" si="6">(($J13&lt;$L13)+($M13&lt;$O13)+($P13&lt;$R13)*$Z13)*$Y13</f>
        <v>1</v>
      </c>
    </row>
    <row r="14" spans="1:28" ht="24" customHeight="1" x14ac:dyDescent="0.2">
      <c r="A14" s="357"/>
      <c r="B14" s="428"/>
      <c r="C14" s="433">
        <f t="array" aca="1" ref="C14" ca="1">ROW(33:33)-SUM(((Planung!$L$6:$L$35="")+(Planung!$N$6:$N$35="")&gt;0)*1)-SUM((($G$12:$G13="")+($I$12:$I13="")&gt;0)*1)</f>
        <v>22</v>
      </c>
      <c r="D14" s="436">
        <f t="array" aca="1" ref="D14" ca="1">IF(Planung!$U$15,"",$D$12+QUOTIENT(($C14-$C$12),Planung!$U$11)*(Planung!$R$7+Planung!$R$9)/1440+SUM($S$12:$S13)/1440)</f>
        <v>0.54513888888888884</v>
      </c>
      <c r="E14" s="564">
        <f ca="1">IF(Planung!$U$15,"",MOD($C14-$C$12,Planung!$U$11)+1)</f>
        <v>2</v>
      </c>
      <c r="F14" s="369" t="s">
        <v>214</v>
      </c>
      <c r="G14" s="365" t="str">
        <f ca="1">Vorrunde!$Q$15</f>
        <v>FC Barcelona</v>
      </c>
      <c r="H14" s="153" t="s">
        <v>4</v>
      </c>
      <c r="I14" s="367" t="str">
        <f ca="1">Vorrunde!$Q$25</f>
        <v>SSV Wildbach</v>
      </c>
      <c r="J14" s="378">
        <v>15</v>
      </c>
      <c r="K14" s="380" t="str">
        <f>Sprache!$E$77</f>
        <v>:</v>
      </c>
      <c r="L14" s="706">
        <v>25</v>
      </c>
      <c r="M14" s="378">
        <v>20</v>
      </c>
      <c r="N14" s="380" t="str">
        <f>Sprache!$E$77</f>
        <v>:</v>
      </c>
      <c r="O14" s="706">
        <v>25</v>
      </c>
      <c r="P14" s="378"/>
      <c r="Q14" s="695" t="str">
        <f>Sprache!$E$77</f>
        <v>:</v>
      </c>
      <c r="R14" s="362"/>
      <c r="S14" s="698"/>
      <c r="T14" s="357"/>
      <c r="V14" s="718" t="str">
        <f t="shared" ca="1" si="0"/>
        <v>SSV Wildbach</v>
      </c>
      <c r="W14" s="718" t="str">
        <f t="shared" ca="1" si="1"/>
        <v>FC Barcelona</v>
      </c>
      <c r="X14" s="357" t="b">
        <f t="shared" si="2"/>
        <v>0</v>
      </c>
      <c r="Y14" s="736" t="b">
        <f t="shared" ca="1" si="3"/>
        <v>1</v>
      </c>
      <c r="Z14" s="357" t="b">
        <f t="shared" si="4"/>
        <v>0</v>
      </c>
      <c r="AA14" s="736">
        <f t="shared" ca="1" si="5"/>
        <v>0</v>
      </c>
      <c r="AB14" s="736">
        <f t="shared" ca="1" si="6"/>
        <v>2</v>
      </c>
    </row>
    <row r="15" spans="1:28" ht="24" customHeight="1" thickBot="1" x14ac:dyDescent="0.25">
      <c r="A15" s="357"/>
      <c r="B15" s="428"/>
      <c r="C15" s="434">
        <f t="array" aca="1" ref="C15" ca="1">ROW(34:34)-SUM(((Planung!$L$6:$L$35="")+(Planung!$N$6:$N$35="")&gt;0)*1)-SUM((($G$12:$G14="")+($I$12:$I14="")&gt;0)*1)</f>
        <v>23</v>
      </c>
      <c r="D15" s="437">
        <f t="array" aca="1" ref="D15" ca="1">IF(Planung!$U$15,"",$D$12+QUOTIENT(($C15-$C$12),Planung!$U$11)*(Planung!$R$7+Planung!$R$9)/1440+SUM($S$12:$S14)/1440)</f>
        <v>0.54513888888888884</v>
      </c>
      <c r="E15" s="413">
        <f ca="1">IF(Planung!$U$15,"",MOD($C15-$C$12,Planung!$U$11)+1)</f>
        <v>3</v>
      </c>
      <c r="F15" s="370" t="s">
        <v>215</v>
      </c>
      <c r="G15" s="366" t="str">
        <f ca="1">Vorrunde!$Q$14</f>
        <v>1. FC Riedwald</v>
      </c>
      <c r="H15" s="154" t="s">
        <v>4</v>
      </c>
      <c r="I15" s="368" t="str">
        <f ca="1">Vorrunde!$Q$24</f>
        <v>FC Grönlingen</v>
      </c>
      <c r="J15" s="379">
        <v>26</v>
      </c>
      <c r="K15" s="414" t="str">
        <f>Sprache!$E$77</f>
        <v>:</v>
      </c>
      <c r="L15" s="708">
        <v>24</v>
      </c>
      <c r="M15" s="379">
        <v>25</v>
      </c>
      <c r="N15" s="414" t="str">
        <f>Sprache!$E$77</f>
        <v>:</v>
      </c>
      <c r="O15" s="708">
        <v>22</v>
      </c>
      <c r="P15" s="379"/>
      <c r="Q15" s="719" t="str">
        <f>Sprache!$E$77</f>
        <v>:</v>
      </c>
      <c r="R15" s="364"/>
      <c r="S15" s="716"/>
      <c r="T15" s="357"/>
      <c r="V15" s="718" t="str">
        <f t="shared" ca="1" si="0"/>
        <v>1. FC Riedwald</v>
      </c>
      <c r="W15" s="718" t="str">
        <f t="shared" ca="1" si="1"/>
        <v>FC Grönlingen</v>
      </c>
      <c r="X15" s="357" t="b">
        <f t="shared" si="2"/>
        <v>0</v>
      </c>
      <c r="Y15" s="736" t="b">
        <f t="shared" ca="1" si="3"/>
        <v>1</v>
      </c>
      <c r="Z15" s="357" t="b">
        <f t="shared" si="4"/>
        <v>0</v>
      </c>
      <c r="AA15" s="736">
        <f t="shared" ca="1" si="5"/>
        <v>2</v>
      </c>
      <c r="AB15" s="736">
        <f t="shared" ca="1" si="6"/>
        <v>0</v>
      </c>
    </row>
    <row r="16" spans="1:28" ht="27.95" customHeight="1" thickTop="1" thickBot="1" x14ac:dyDescent="0.35">
      <c r="A16" s="357"/>
      <c r="B16" s="429"/>
      <c r="C16" s="873" t="str">
        <f>Sprache!$E$53</f>
        <v>Halbfinale</v>
      </c>
      <c r="D16" s="873"/>
      <c r="E16" s="873"/>
      <c r="F16" s="873"/>
      <c r="G16" s="451" t="s">
        <v>260</v>
      </c>
      <c r="H16" s="120"/>
      <c r="I16" s="451" t="s">
        <v>260</v>
      </c>
      <c r="J16" s="402"/>
      <c r="K16" s="402"/>
      <c r="L16" s="402"/>
      <c r="M16" s="402"/>
      <c r="N16" s="402"/>
      <c r="O16" s="402"/>
      <c r="P16" s="402"/>
      <c r="Q16" s="402"/>
      <c r="R16" s="402"/>
      <c r="S16" s="404"/>
      <c r="T16" s="357"/>
      <c r="V16" s="718"/>
      <c r="W16" s="718"/>
      <c r="X16" s="357"/>
      <c r="Y16" s="736"/>
      <c r="Z16" s="357"/>
      <c r="AA16" s="736"/>
      <c r="AB16" s="736"/>
    </row>
    <row r="17" spans="1:28" ht="24" customHeight="1" thickTop="1" x14ac:dyDescent="0.2">
      <c r="A17" s="357"/>
      <c r="B17" s="428"/>
      <c r="C17" s="438">
        <f t="array" aca="1" ref="C17" ca="1">ROW(35:35)-SUM(((Planung!$L$6:$L$35="")+(Planung!$N$6:$N$35="")&gt;0)*1)-SUM((($G$12:$G16="")+($I$12:$I16="")&gt;0)*1)</f>
        <v>24</v>
      </c>
      <c r="D17" s="439">
        <f t="array" aca="1" ref="D17" ca="1">IF(Planung!$U$15,"",$D$12+QUOTIENT(($C17-$C$12),Planung!$U$11)*(Planung!$R$7+Planung!$R$9)/1440+SUM($S$12:$S16)/1440)</f>
        <v>0.56944444444444442</v>
      </c>
      <c r="E17" s="405">
        <f ca="1">IF(Planung!$U$15,"",MOD($C17-$C$12,Planung!$U$11)+1)</f>
        <v>1</v>
      </c>
      <c r="F17" s="406" t="s">
        <v>234</v>
      </c>
      <c r="G17" s="407" t="str">
        <f ca="1">Vorrunde!$Q$12</f>
        <v>Maibach 1822 eV</v>
      </c>
      <c r="H17" s="408" t="s">
        <v>4</v>
      </c>
      <c r="I17" s="409" t="str">
        <f ca="1">Vorrunde!$Q$23</f>
        <v>Manchester City</v>
      </c>
      <c r="J17" s="410">
        <v>15</v>
      </c>
      <c r="K17" s="411" t="str">
        <f>Sprache!$E$77</f>
        <v>:</v>
      </c>
      <c r="L17" s="717">
        <v>25</v>
      </c>
      <c r="M17" s="410">
        <v>20</v>
      </c>
      <c r="N17" s="411" t="str">
        <f>Sprache!$E$77</f>
        <v>:</v>
      </c>
      <c r="O17" s="717">
        <v>25</v>
      </c>
      <c r="P17" s="410"/>
      <c r="Q17" s="720" t="str">
        <f>Sprache!$E$77</f>
        <v>:</v>
      </c>
      <c r="R17" s="412"/>
      <c r="S17" s="384"/>
      <c r="T17" s="357"/>
      <c r="V17" s="718" t="str">
        <f t="shared" ref="V17:V18" ca="1" si="7">IF($AA17&gt;$AB17,$G17,IF($AA17&lt;$AB17,$I17,""))</f>
        <v>Manchester City</v>
      </c>
      <c r="W17" s="718" t="str">
        <f t="shared" ref="W17:W18" ca="1" si="8">IF($AA17&lt;$AB17,$G17,IF($AA17&gt;$AB17,$I17,""))</f>
        <v>Maibach 1822 eV</v>
      </c>
      <c r="X17" s="357" t="b">
        <f t="shared" ref="X17:X18" si="9">AND($J17&lt;&gt;"",$L17&lt;&gt;"",$M17&lt;&gt;"",$O17&lt;&gt;"",$J17&lt;&gt;$L17,$M17&lt;&gt;$O17,($J17&gt;$L17)+($M17&gt;$O17)=1)</f>
        <v>0</v>
      </c>
      <c r="Y17" s="736" t="b">
        <f t="shared" ref="Y17:Y18" ca="1" si="10">AND($J17&lt;&gt;"",$L17&lt;&gt;"",$J17&lt;&gt;$L17,OR(AND($M17="",$O17=""),AND($M17&lt;&gt;"",$O17&lt;&gt;"",$M17&lt;&gt;$O17)),$G17&lt;&gt;"",$I17&lt;&gt;"",$G17&lt;&gt;$I17)</f>
        <v>1</v>
      </c>
      <c r="Z17" s="357" t="b">
        <f t="shared" ref="Z17:Z18" si="11">AND($X17,$P17&lt;&gt;"",$R17&lt;&gt;"",$P17&lt;&gt;$R17)</f>
        <v>0</v>
      </c>
      <c r="AA17" s="736">
        <f t="shared" ref="AA17:AA18" ca="1" si="12">(($J17&gt;$L17)+($M17&gt;$O17)+($P17&gt;$R17)*$Z17)*$Y17</f>
        <v>0</v>
      </c>
      <c r="AB17" s="736">
        <f t="shared" ref="AB17:AB18" ca="1" si="13">(($J17&lt;$L17)+($M17&lt;$O17)+($P17&lt;$R17)*$Z17)*$Y17</f>
        <v>2</v>
      </c>
    </row>
    <row r="18" spans="1:28" ht="24" customHeight="1" thickBot="1" x14ac:dyDescent="0.25">
      <c r="A18" s="357"/>
      <c r="B18" s="428"/>
      <c r="C18" s="434">
        <f ca="1">$C$17+1</f>
        <v>25</v>
      </c>
      <c r="D18" s="437">
        <f t="array" aca="1" ref="D18" ca="1">IF(Planung!$U$15,"",$D$12+QUOTIENT(($C18-$C$12),Planung!$U$11)*(Planung!$R$7+Planung!$R$9)/1440+SUM($S$12:$S17)/1440)</f>
        <v>0.56944444444444442</v>
      </c>
      <c r="E18" s="413">
        <f ca="1">IF(Planung!$U$15,"",MOD($C18-$C$12,Planung!$U$11)+1)</f>
        <v>2</v>
      </c>
      <c r="F18" s="370" t="s">
        <v>235</v>
      </c>
      <c r="G18" s="366" t="str">
        <f ca="1">Vorrunde!$Q$22</f>
        <v>Mainz 05</v>
      </c>
      <c r="H18" s="154" t="s">
        <v>4</v>
      </c>
      <c r="I18" s="368" t="str">
        <f ca="1">Vorrunde!$Q$13</f>
        <v>Eintracht Frankfurt</v>
      </c>
      <c r="J18" s="379">
        <v>26</v>
      </c>
      <c r="K18" s="414" t="str">
        <f>Sprache!$E$77</f>
        <v>:</v>
      </c>
      <c r="L18" s="708">
        <v>24</v>
      </c>
      <c r="M18" s="379">
        <v>25</v>
      </c>
      <c r="N18" s="414" t="str">
        <f>Sprache!$E$77</f>
        <v>:</v>
      </c>
      <c r="O18" s="708">
        <v>22</v>
      </c>
      <c r="P18" s="379"/>
      <c r="Q18" s="719" t="str">
        <f>Sprache!$E$77</f>
        <v>:</v>
      </c>
      <c r="R18" s="364"/>
      <c r="S18" s="415">
        <v>15</v>
      </c>
      <c r="T18" s="357"/>
      <c r="V18" s="718" t="str">
        <f t="shared" ca="1" si="7"/>
        <v>Mainz 05</v>
      </c>
      <c r="W18" s="718" t="str">
        <f t="shared" ca="1" si="8"/>
        <v>Eintracht Frankfurt</v>
      </c>
      <c r="X18" s="357" t="b">
        <f t="shared" si="9"/>
        <v>0</v>
      </c>
      <c r="Y18" s="736" t="b">
        <f t="shared" ca="1" si="10"/>
        <v>1</v>
      </c>
      <c r="Z18" s="357" t="b">
        <f t="shared" si="11"/>
        <v>0</v>
      </c>
      <c r="AA18" s="736">
        <f t="shared" ca="1" si="12"/>
        <v>2</v>
      </c>
      <c r="AB18" s="736">
        <f t="shared" ca="1" si="13"/>
        <v>0</v>
      </c>
    </row>
    <row r="19" spans="1:28" ht="27.95" customHeight="1" thickTop="1" thickBot="1" x14ac:dyDescent="0.35">
      <c r="A19" s="357"/>
      <c r="B19" s="429"/>
      <c r="C19" s="873" t="str">
        <f>Sprache!$E$54</f>
        <v>Endspiele</v>
      </c>
      <c r="D19" s="873"/>
      <c r="E19" s="873"/>
      <c r="F19" s="873"/>
      <c r="G19" s="501"/>
      <c r="H19" s="120"/>
      <c r="I19" s="501"/>
      <c r="J19" s="402"/>
      <c r="K19" s="402"/>
      <c r="L19" s="402"/>
      <c r="M19" s="402"/>
      <c r="N19" s="402"/>
      <c r="O19" s="402"/>
      <c r="P19" s="402"/>
      <c r="Q19" s="402"/>
      <c r="R19" s="402"/>
      <c r="S19" s="404"/>
      <c r="T19" s="357"/>
      <c r="V19" s="718"/>
      <c r="W19" s="718"/>
      <c r="X19" s="357"/>
      <c r="Y19" s="736"/>
      <c r="Z19" s="357"/>
      <c r="AA19" s="736"/>
      <c r="AB19" s="736"/>
    </row>
    <row r="20" spans="1:28" ht="24" customHeight="1" thickTop="1" x14ac:dyDescent="0.2">
      <c r="A20" s="357"/>
      <c r="B20" s="428"/>
      <c r="C20" s="438">
        <f ca="1">$C$17+2</f>
        <v>26</v>
      </c>
      <c r="D20" s="439">
        <f ca="1">IF(Planung!$U$15,"",$D$18+($S$18+Planung!$R$9+Planung!$R$7)/1440)</f>
        <v>0.60416666666666663</v>
      </c>
      <c r="E20" s="405">
        <f>IF(Planung!$U$15,"",1)</f>
        <v>1</v>
      </c>
      <c r="F20" s="406" t="str">
        <f>Sprache!$E$86</f>
        <v>3. Platz</v>
      </c>
      <c r="G20" s="407" t="str">
        <f ca="1">W17</f>
        <v>Maibach 1822 eV</v>
      </c>
      <c r="H20" s="408" t="s">
        <v>4</v>
      </c>
      <c r="I20" s="409" t="str">
        <f ca="1">W18</f>
        <v>Eintracht Frankfurt</v>
      </c>
      <c r="J20" s="410">
        <v>19</v>
      </c>
      <c r="K20" s="411" t="str">
        <f>Sprache!$E$77</f>
        <v>:</v>
      </c>
      <c r="L20" s="717">
        <v>25</v>
      </c>
      <c r="M20" s="410">
        <v>25</v>
      </c>
      <c r="N20" s="411" t="str">
        <f>Sprache!$E$77</f>
        <v>:</v>
      </c>
      <c r="O20" s="717">
        <v>17</v>
      </c>
      <c r="P20" s="410">
        <v>14</v>
      </c>
      <c r="Q20" s="720" t="str">
        <f>Sprache!$E$77</f>
        <v>:</v>
      </c>
      <c r="R20" s="412">
        <v>16</v>
      </c>
      <c r="S20" s="384"/>
      <c r="T20" s="357"/>
      <c r="V20" s="718" t="str">
        <f t="shared" ref="V20:V21" ca="1" si="14">IF($AA20&gt;$AB20,$G20,IF($AA20&lt;$AB20,$I20,""))</f>
        <v>Eintracht Frankfurt</v>
      </c>
      <c r="W20" s="718" t="str">
        <f t="shared" ref="W20:W21" ca="1" si="15">IF($AA20&lt;$AB20,$G20,IF($AA20&gt;$AB20,$I20,""))</f>
        <v>Maibach 1822 eV</v>
      </c>
      <c r="X20" s="357" t="b">
        <f t="shared" ref="X20:X21" si="16">AND($J20&lt;&gt;"",$L20&lt;&gt;"",$M20&lt;&gt;"",$O20&lt;&gt;"",$J20&lt;&gt;$L20,$M20&lt;&gt;$O20,($J20&gt;$L20)+($M20&gt;$O20)=1)</f>
        <v>1</v>
      </c>
      <c r="Y20" s="736" t="b">
        <f t="shared" ref="Y20:Y21" ca="1" si="17">AND($J20&lt;&gt;"",$L20&lt;&gt;"",$J20&lt;&gt;$L20,OR(AND($M20="",$O20=""),AND($M20&lt;&gt;"",$O20&lt;&gt;"",$M20&lt;&gt;$O20)),$G20&lt;&gt;"",$I20&lt;&gt;"",$G20&lt;&gt;$I20)</f>
        <v>1</v>
      </c>
      <c r="Z20" s="357" t="b">
        <f t="shared" ref="Z20:Z21" si="18">AND($X20,$P20&lt;&gt;"",$R20&lt;&gt;"",$P20&lt;&gt;$R20)</f>
        <v>1</v>
      </c>
      <c r="AA20" s="736">
        <f t="shared" ref="AA20:AA21" ca="1" si="19">(($J20&gt;$L20)+($M20&gt;$O20)+($P20&gt;$R20)*$Z20)*$Y20</f>
        <v>1</v>
      </c>
      <c r="AB20" s="736">
        <f t="shared" ref="AB20:AB21" ca="1" si="20">(($J20&lt;$L20)+($M20&lt;$O20)+($P20&lt;$R20)*$Z20)*$Y20</f>
        <v>2</v>
      </c>
    </row>
    <row r="21" spans="1:28" ht="24" customHeight="1" thickBot="1" x14ac:dyDescent="0.25">
      <c r="A21" s="357"/>
      <c r="B21" s="428"/>
      <c r="C21" s="434">
        <f ca="1">$C$17+3</f>
        <v>27</v>
      </c>
      <c r="D21" s="437">
        <f ca="1">IF(Planung!$U$15,"",$D$20+($S$20+Planung!$R$9+Planung!$R$7)/1440)</f>
        <v>0.62847222222222221</v>
      </c>
      <c r="E21" s="413">
        <f>IF(Planung!$U$15,"",1)</f>
        <v>1</v>
      </c>
      <c r="F21" s="370" t="str">
        <f>Sprache!$E$87</f>
        <v>Finale</v>
      </c>
      <c r="G21" s="366" t="str">
        <f ca="1">V17</f>
        <v>Manchester City</v>
      </c>
      <c r="H21" s="154" t="s">
        <v>4</v>
      </c>
      <c r="I21" s="368" t="str">
        <f ca="1">V18</f>
        <v>Mainz 05</v>
      </c>
      <c r="J21" s="379">
        <v>15</v>
      </c>
      <c r="K21" s="414" t="str">
        <f>Sprache!$E$77</f>
        <v>:</v>
      </c>
      <c r="L21" s="708">
        <v>25</v>
      </c>
      <c r="M21" s="379">
        <v>20</v>
      </c>
      <c r="N21" s="414" t="str">
        <f>Sprache!$E$77</f>
        <v>:</v>
      </c>
      <c r="O21" s="708">
        <v>25</v>
      </c>
      <c r="P21" s="379"/>
      <c r="Q21" s="719" t="str">
        <f>Sprache!$E$77</f>
        <v>:</v>
      </c>
      <c r="R21" s="364"/>
      <c r="S21" s="400"/>
      <c r="T21" s="357"/>
      <c r="V21" s="718" t="str">
        <f t="shared" ca="1" si="14"/>
        <v>Mainz 05</v>
      </c>
      <c r="W21" s="718" t="str">
        <f t="shared" ca="1" si="15"/>
        <v>Manchester City</v>
      </c>
      <c r="X21" s="357" t="b">
        <f t="shared" si="16"/>
        <v>0</v>
      </c>
      <c r="Y21" s="736" t="b">
        <f t="shared" ca="1" si="17"/>
        <v>1</v>
      </c>
      <c r="Z21" s="357" t="b">
        <f t="shared" si="18"/>
        <v>0</v>
      </c>
      <c r="AA21" s="736">
        <f t="shared" ca="1" si="19"/>
        <v>0</v>
      </c>
      <c r="AB21" s="736">
        <f t="shared" ca="1" si="20"/>
        <v>2</v>
      </c>
    </row>
    <row r="22" spans="1:28" ht="12.75" customHeight="1" thickTop="1" x14ac:dyDescent="0.2"/>
    <row r="23" spans="1:28" ht="24" customHeight="1" x14ac:dyDescent="0.2">
      <c r="C23" s="397"/>
      <c r="D23" s="397"/>
      <c r="E23" s="397"/>
      <c r="F23" s="397"/>
      <c r="G23" s="835" t="str">
        <f>Sprache!$E$29</f>
        <v>Turnierende:</v>
      </c>
      <c r="H23" s="835"/>
      <c r="I23" s="398">
        <f ca="1">IF(Planung!$R$13="","",$D$21+Planung!$R$7/1440)</f>
        <v>0.64930555555555558</v>
      </c>
      <c r="J23" s="399"/>
      <c r="K23" s="399"/>
      <c r="L23" s="399"/>
      <c r="M23" s="399"/>
      <c r="N23" s="399"/>
      <c r="O23" s="399"/>
      <c r="P23" s="399"/>
      <c r="Q23" s="399"/>
      <c r="R23" s="399"/>
      <c r="S23" s="399"/>
    </row>
    <row r="24" spans="1:28" ht="12.75" customHeight="1" x14ac:dyDescent="0.2">
      <c r="D24" s="391"/>
    </row>
    <row r="25" spans="1:28" ht="12.75" customHeight="1" x14ac:dyDescent="0.2">
      <c r="D25" s="391"/>
    </row>
    <row r="26" spans="1:28" ht="24" customHeight="1" thickBot="1" x14ac:dyDescent="0.25">
      <c r="F26" s="401" t="str">
        <f>Sprache!$E$85</f>
        <v>Rang</v>
      </c>
      <c r="G26" s="880" t="str">
        <f>"  "&amp;Sprache!$E$10</f>
        <v xml:space="preserve">  Teilnehmer bzw. Mannschaft</v>
      </c>
      <c r="H26" s="880"/>
      <c r="I26" s="881"/>
    </row>
    <row r="27" spans="1:28" ht="24" customHeight="1" thickTop="1" x14ac:dyDescent="0.2">
      <c r="E27" s="392">
        <v>1</v>
      </c>
      <c r="F27" s="442">
        <v>1</v>
      </c>
      <c r="G27" s="882" t="str">
        <f ca="1">V21</f>
        <v>Mainz 05</v>
      </c>
      <c r="H27" s="882"/>
      <c r="I27" s="883"/>
    </row>
    <row r="28" spans="1:28" ht="24" customHeight="1" x14ac:dyDescent="0.2">
      <c r="E28" s="392">
        <v>2</v>
      </c>
      <c r="F28" s="443">
        <v>2</v>
      </c>
      <c r="G28" s="884" t="str">
        <f ca="1">W21</f>
        <v>Manchester City</v>
      </c>
      <c r="H28" s="884"/>
      <c r="I28" s="885"/>
    </row>
    <row r="29" spans="1:28" ht="24" customHeight="1" x14ac:dyDescent="0.2">
      <c r="E29" s="392">
        <v>3</v>
      </c>
      <c r="F29" s="444">
        <v>3</v>
      </c>
      <c r="G29" s="878" t="str">
        <f ca="1">V20</f>
        <v>Eintracht Frankfurt</v>
      </c>
      <c r="H29" s="878"/>
      <c r="I29" s="879"/>
    </row>
    <row r="30" spans="1:28" ht="24" customHeight="1" x14ac:dyDescent="0.2">
      <c r="E30" s="392">
        <v>4</v>
      </c>
      <c r="F30" s="445">
        <v>4</v>
      </c>
      <c r="G30" s="874" t="str">
        <f ca="1">W20</f>
        <v>Maibach 1822 eV</v>
      </c>
      <c r="H30" s="874"/>
      <c r="I30" s="875"/>
    </row>
    <row r="31" spans="1:28" ht="24" customHeight="1" x14ac:dyDescent="0.2">
      <c r="E31" s="392">
        <v>5</v>
      </c>
      <c r="F31" s="445">
        <v>5</v>
      </c>
      <c r="G31" s="874" t="str">
        <f ca="1">V15</f>
        <v>1. FC Riedwald</v>
      </c>
      <c r="H31" s="874"/>
      <c r="I31" s="875"/>
    </row>
    <row r="32" spans="1:28" ht="24" customHeight="1" x14ac:dyDescent="0.2">
      <c r="E32" s="392">
        <v>6</v>
      </c>
      <c r="F32" s="445">
        <v>6</v>
      </c>
      <c r="G32" s="874" t="str">
        <f ca="1">W15</f>
        <v>FC Grönlingen</v>
      </c>
      <c r="H32" s="874"/>
      <c r="I32" s="875"/>
    </row>
    <row r="33" spans="5:9" ht="24" customHeight="1" x14ac:dyDescent="0.2">
      <c r="E33" s="392">
        <v>7</v>
      </c>
      <c r="F33" s="445">
        <v>7</v>
      </c>
      <c r="G33" s="874" t="str">
        <f ca="1">V14</f>
        <v>SSV Wildbach</v>
      </c>
      <c r="H33" s="874"/>
      <c r="I33" s="875"/>
    </row>
    <row r="34" spans="5:9" ht="24" customHeight="1" x14ac:dyDescent="0.2">
      <c r="E34" s="392">
        <v>8</v>
      </c>
      <c r="F34" s="445">
        <v>8</v>
      </c>
      <c r="G34" s="874" t="str">
        <f ca="1">W14</f>
        <v>FC Barcelona</v>
      </c>
      <c r="H34" s="874"/>
      <c r="I34" s="875"/>
    </row>
    <row r="35" spans="5:9" ht="24" customHeight="1" x14ac:dyDescent="0.2">
      <c r="E35" s="392">
        <v>9</v>
      </c>
      <c r="F35" s="445">
        <v>9</v>
      </c>
      <c r="G35" s="874" t="str">
        <f ca="1">V13</f>
        <v>VFB Essenheim</v>
      </c>
      <c r="H35" s="874"/>
      <c r="I35" s="875"/>
    </row>
    <row r="36" spans="5:9" ht="24" customHeight="1" x14ac:dyDescent="0.2">
      <c r="E36" s="392">
        <v>10</v>
      </c>
      <c r="F36" s="445">
        <v>10</v>
      </c>
      <c r="G36" s="874" t="str">
        <f ca="1">W13</f>
        <v>Inter Mailand</v>
      </c>
      <c r="H36" s="874"/>
      <c r="I36" s="875"/>
    </row>
    <row r="37" spans="5:9" ht="24" customHeight="1" x14ac:dyDescent="0.2">
      <c r="E37" s="392">
        <v>11</v>
      </c>
      <c r="F37" s="445">
        <v>11</v>
      </c>
      <c r="G37" s="874" t="str">
        <f ca="1">V12</f>
        <v/>
      </c>
      <c r="H37" s="874"/>
      <c r="I37" s="875"/>
    </row>
    <row r="38" spans="5:9" ht="24" customHeight="1" thickBot="1" x14ac:dyDescent="0.25">
      <c r="E38" s="392">
        <v>12</v>
      </c>
      <c r="F38" s="446">
        <v>12</v>
      </c>
      <c r="G38" s="876" t="str">
        <f ca="1">W12</f>
        <v/>
      </c>
      <c r="H38" s="876"/>
      <c r="I38" s="877"/>
    </row>
    <row r="39" spans="5:9" ht="13.5" thickTop="1" x14ac:dyDescent="0.2"/>
    <row r="40" spans="5:9" x14ac:dyDescent="0.2"/>
    <row r="41" spans="5:9" x14ac:dyDescent="0.2"/>
    <row r="42" spans="5:9" x14ac:dyDescent="0.2"/>
  </sheetData>
  <sheetProtection sheet="1" selectLockedCells="1"/>
  <mergeCells count="28">
    <mergeCell ref="AA11:AB11"/>
    <mergeCell ref="G36:I36"/>
    <mergeCell ref="G37:I37"/>
    <mergeCell ref="G38:I38"/>
    <mergeCell ref="G30:I30"/>
    <mergeCell ref="G31:I31"/>
    <mergeCell ref="G32:I32"/>
    <mergeCell ref="G33:I33"/>
    <mergeCell ref="G34:I34"/>
    <mergeCell ref="G35:I35"/>
    <mergeCell ref="G29:I29"/>
    <mergeCell ref="G26:I26"/>
    <mergeCell ref="G27:I27"/>
    <mergeCell ref="G28:I28"/>
    <mergeCell ref="G23:H23"/>
    <mergeCell ref="E2:S2"/>
    <mergeCell ref="E3:S3"/>
    <mergeCell ref="E4:S4"/>
    <mergeCell ref="E5:S5"/>
    <mergeCell ref="C10:F10"/>
    <mergeCell ref="G7:I8"/>
    <mergeCell ref="C16:F16"/>
    <mergeCell ref="C19:F19"/>
    <mergeCell ref="S9:S11"/>
    <mergeCell ref="G11:I11"/>
    <mergeCell ref="J11:L11"/>
    <mergeCell ref="M11:O11"/>
    <mergeCell ref="P11:R11"/>
  </mergeCells>
  <conditionalFormatting sqref="C12:R15">
    <cfRule type="expression" dxfId="20" priority="4">
      <formula>OR($G12="",$I12="")</formula>
    </cfRule>
  </conditionalFormatting>
  <conditionalFormatting sqref="J12:O15 J17:O18 J20:O21">
    <cfRule type="expression" dxfId="19" priority="3">
      <formula>OR(AND($J12&lt;&gt;"",$J12=$L12),AND($M12&lt;&gt;"",$M12=$O12))</formula>
    </cfRule>
  </conditionalFormatting>
  <conditionalFormatting sqref="P12:R15 P17:R18 P20:R21">
    <cfRule type="expression" dxfId="18" priority="1">
      <formula>NOT($X12)</formula>
    </cfRule>
    <cfRule type="expression" dxfId="17" priority="2">
      <formula>AND($P12&lt;&gt;"",$R12&lt;&gt;"",$P12=$R12,$X12)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9" id="{2F853DF4-ED67-4F75-899F-808BA77A2FD7}">
            <xm:f>$F30&gt;2*Calc1!$F$14-MOD((Calc1!$F$13+Calc2!$F$13),2)</xm:f>
            <x14:dxf>
              <numFmt numFmtId="165" formatCode=";;;"/>
            </x14:dxf>
          </x14:cfRule>
          <xm:sqref>F30:F38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23B7-42EC-482C-A535-F8A6D621F2BB}">
  <sheetPr codeName="Tabelle2"/>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6" customWidth="1"/>
    <col min="2" max="2" width="4.5703125" style="46" customWidth="1"/>
    <col min="3" max="3" width="32.7109375" style="46" customWidth="1"/>
    <col min="4" max="6" width="11.7109375" style="46" customWidth="1"/>
    <col min="7" max="12" width="6.85546875" style="46" customWidth="1"/>
    <col min="13" max="13" width="32.7109375" style="46" customWidth="1"/>
    <col min="14" max="14" width="4.5703125" style="46" customWidth="1"/>
    <col min="15" max="16384" width="11.42578125" style="46" hidden="1"/>
  </cols>
  <sheetData>
    <row r="1" spans="2:13" x14ac:dyDescent="0.2"/>
    <row r="2" spans="2:13" ht="33.75" x14ac:dyDescent="0.2">
      <c r="B2" s="886" t="str">
        <f>Sprache!$E$7</f>
        <v>Direkte Vergleiche</v>
      </c>
      <c r="C2" s="886"/>
      <c r="D2" s="886"/>
      <c r="E2" s="886"/>
      <c r="F2" s="886"/>
      <c r="G2" s="886"/>
      <c r="H2" s="886"/>
      <c r="I2" s="886"/>
      <c r="J2" s="886"/>
      <c r="K2" s="886"/>
      <c r="L2" s="886"/>
    </row>
    <row r="3" spans="2:13" ht="42.75" customHeight="1" x14ac:dyDescent="0.2">
      <c r="B3" s="887" t="str">
        <f>Sprache!$E$56&amp;" A"</f>
        <v>Vorrunde Gruppe A</v>
      </c>
      <c r="C3" s="887"/>
      <c r="D3" s="887"/>
      <c r="E3" s="887"/>
      <c r="F3" s="887"/>
      <c r="G3" s="887"/>
      <c r="H3" s="887"/>
      <c r="I3" s="887"/>
      <c r="J3" s="887"/>
      <c r="K3" s="887"/>
      <c r="L3" s="887"/>
    </row>
    <row r="4" spans="2:13" ht="17.25" customHeight="1" x14ac:dyDescent="0.2">
      <c r="B4" s="888" t="str">
        <f>Sprache!$E$75</f>
        <v>Rote Schrift bedeutet, dass die Rangfolge auch mit dem direkten Vergleich nicht geklärt ist. Ein Entscheidungsspiel oder Los muss hier entscheiden.</v>
      </c>
      <c r="C4" s="888"/>
      <c r="D4" s="888"/>
      <c r="E4" s="888"/>
      <c r="F4" s="888"/>
      <c r="G4" s="888"/>
      <c r="H4" s="888"/>
      <c r="I4" s="888"/>
      <c r="J4" s="888"/>
      <c r="K4" s="888"/>
      <c r="L4" s="888"/>
      <c r="M4" s="888"/>
    </row>
    <row r="5" spans="2:13" ht="17.25" customHeight="1" thickBot="1" x14ac:dyDescent="0.25">
      <c r="B5" s="118"/>
      <c r="C5" s="118"/>
      <c r="D5" s="118"/>
      <c r="E5" s="118"/>
      <c r="F5" s="118"/>
      <c r="G5" s="119"/>
      <c r="H5" s="119"/>
      <c r="I5" s="119"/>
      <c r="J5" s="119"/>
      <c r="K5" s="119"/>
      <c r="L5" s="119"/>
    </row>
    <row r="6" spans="2:13" ht="21.95" customHeight="1" thickBot="1" x14ac:dyDescent="0.25">
      <c r="G6" s="148" t="str">
        <f ca="1">IF(LEN(G7)&gt;Einstellungen!$C$11,LEFT(G7,Einstellungen!$C$11)&amp;".",G7)</f>
        <v/>
      </c>
      <c r="H6" s="149" t="str">
        <f ca="1">IF(LEN(H7)&gt;Einstellungen!$C$11,LEFT(H7,Einstellungen!$C$11)&amp;".",H7)</f>
        <v/>
      </c>
      <c r="I6" s="149" t="str">
        <f ca="1">IF(LEN(I7)&gt;Einstellungen!$C$11,LEFT(I7,Einstellungen!$C$11)&amp;".",I7)</f>
        <v/>
      </c>
      <c r="J6" s="149" t="str">
        <f ca="1">IF(LEN(J7)&gt;Einstellungen!$C$11,LEFT(J7,Einstellungen!$C$11)&amp;".",J7)</f>
        <v/>
      </c>
      <c r="K6" s="149" t="str">
        <f ca="1">IF(LEN(K7)&gt;Einstellungen!$C$11,LEFT(K7,Einstellungen!$C$11)&amp;".",K7)</f>
        <v/>
      </c>
      <c r="L6" s="150" t="str">
        <f ca="1">IF(LEN(L7)&gt;Einstellungen!$C$11,LEFT(L7,Einstellungen!$C$11)&amp;".",L7)</f>
        <v/>
      </c>
    </row>
    <row r="7" spans="2:13" ht="21.95" customHeight="1" thickTop="1" thickBot="1" x14ac:dyDescent="0.25">
      <c r="B7" s="116"/>
      <c r="C7" s="122" t="str">
        <f>Sprache!$E$10</f>
        <v>Teilnehmer bzw. Mannschaft</v>
      </c>
      <c r="D7" s="126" t="str">
        <f>Sprache!$E$27</f>
        <v>Pkt</v>
      </c>
      <c r="E7" s="113" t="str">
        <f>Sprache!$E$26</f>
        <v>Diff.</v>
      </c>
      <c r="F7" s="151" t="str">
        <f>Sprache!$E$49</f>
        <v>Tie-Break</v>
      </c>
      <c r="G7" s="130" t="str">
        <f ca="1">C8</f>
        <v/>
      </c>
      <c r="H7" s="131" t="str">
        <f ca="1">C9</f>
        <v/>
      </c>
      <c r="I7" s="131" t="str">
        <f ca="1">C10</f>
        <v/>
      </c>
      <c r="J7" s="131" t="str">
        <f ca="1">C11</f>
        <v/>
      </c>
      <c r="K7" s="131" t="str">
        <f ca="1">C12</f>
        <v/>
      </c>
      <c r="L7" s="155" t="str">
        <f ca="1">C13</f>
        <v/>
      </c>
    </row>
    <row r="8" spans="2:13" ht="21.95" customHeight="1" x14ac:dyDescent="0.2">
      <c r="B8" s="114" t="str">
        <f ca="1">IF($C8="","",INDEX(Calc1!$E$4:$E$12,MATCH($C8,Calc1!$F$4:$F$12,0)))</f>
        <v/>
      </c>
      <c r="C8" s="123" t="str">
        <f ca="1">IF(Calc1!$K$13=0,"",Calc1!$X4)</f>
        <v/>
      </c>
      <c r="D8" s="127" t="str">
        <f ca="1">IF($C8="","",VLOOKUP($C8,Calc1!$C$17:$AC$25,25,0))</f>
        <v/>
      </c>
      <c r="E8" s="110" t="str">
        <f ca="1">IF($C8="","",VLOOKUP($C8,Calc1!$C$17:$AC$25,26,0))</f>
        <v/>
      </c>
      <c r="F8" s="505" t="str">
        <f ca="1">IF($C8="","",VLOOKUP(C8,Vorrunde!$AN$12:$AP$27,3,0))</f>
        <v/>
      </c>
      <c r="G8" s="135"/>
      <c r="H8" s="110" t="str">
        <f ca="1">IFERROR(VLOOKUP($C8&amp;H$7,Calc1!$Z$64:$AB$207,3,0),"")</f>
        <v/>
      </c>
      <c r="I8" s="110" t="str">
        <f ca="1">IFERROR(VLOOKUP($C8&amp;I$7,Calc1!$Z$64:$AB$207,3,0),"")</f>
        <v/>
      </c>
      <c r="J8" s="110" t="str">
        <f ca="1">IFERROR(VLOOKUP($C8&amp;J$7,Calc1!$Z$64:$AB$207,3,0),"")</f>
        <v/>
      </c>
      <c r="K8" s="110" t="str">
        <f ca="1">IFERROR(VLOOKUP($C8&amp;K$7,Calc1!$Z$64:$AB$207,3,0),"")</f>
        <v/>
      </c>
      <c r="L8" s="156" t="str">
        <f ca="1">IFERROR(VLOOKUP($C8&amp;L$7,Calc1!$Z$64:$AB$207,3,0),"")</f>
        <v/>
      </c>
      <c r="M8" s="186" t="str">
        <f t="shared" ref="M8:M13" ca="1" si="0">C8</f>
        <v/>
      </c>
    </row>
    <row r="9" spans="2:13" ht="21.95" customHeight="1" x14ac:dyDescent="0.2">
      <c r="B9" s="114" t="str">
        <f ca="1">IF($C9="","",INDEX(Calc1!$E$4:$E$12,MATCH($C9,Calc1!$F$4:$F$12,0)))</f>
        <v/>
      </c>
      <c r="C9" s="124" t="str">
        <f ca="1">IF(Calc1!$K$13=0,"",Calc1!$X5)</f>
        <v/>
      </c>
      <c r="D9" s="128" t="str">
        <f ca="1">IF($C9="","",VLOOKUP($C9,Calc1!$C$17:$AC$25,25,0))</f>
        <v/>
      </c>
      <c r="E9" s="111" t="str">
        <f ca="1">IF($C9="","",VLOOKUP($C9,Calc1!$C$17:$AC$25,26,0))</f>
        <v/>
      </c>
      <c r="F9" s="506" t="str">
        <f ca="1">IF($C9="","",VLOOKUP(C9,Vorrunde!$AN$12:$AP$27,3,0))</f>
        <v/>
      </c>
      <c r="G9" s="136" t="str">
        <f ca="1">IFERROR(VLOOKUP($C9&amp;G$7,Calc1!$Z$64:$AB$207,3,0),"")</f>
        <v/>
      </c>
      <c r="H9" s="121"/>
      <c r="I9" s="111" t="str">
        <f ca="1">IFERROR(VLOOKUP($C9&amp;I$7,Calc1!$Z$64:$AB$207,3,0),"")</f>
        <v/>
      </c>
      <c r="J9" s="111" t="str">
        <f ca="1">IFERROR(VLOOKUP($C9&amp;J$7,Calc1!$Z$64:$AB$207,3,0),"")</f>
        <v/>
      </c>
      <c r="K9" s="111" t="str">
        <f ca="1">IFERROR(VLOOKUP($C9&amp;K$7,Calc1!$Z$64:$AB$207,3,0),"")</f>
        <v/>
      </c>
      <c r="L9" s="157" t="str">
        <f ca="1">IFERROR(VLOOKUP($C9&amp;L$7,Calc1!$Z$64:$AB$207,3,0),"")</f>
        <v/>
      </c>
      <c r="M9" s="187" t="str">
        <f t="shared" ca="1" si="0"/>
        <v/>
      </c>
    </row>
    <row r="10" spans="2:13" ht="21.95" customHeight="1" x14ac:dyDescent="0.2">
      <c r="B10" s="114" t="str">
        <f ca="1">IF($C10="","",INDEX(Calc1!$E$4:$E$12,MATCH($C10,Calc1!$F$4:$F$12,0)))</f>
        <v/>
      </c>
      <c r="C10" s="124" t="str">
        <f ca="1">IF(Calc1!$K$13=0,"",Calc1!$X6)</f>
        <v/>
      </c>
      <c r="D10" s="128" t="str">
        <f ca="1">IF($C10="","",VLOOKUP($C10,Calc1!$C$17:$AC$25,25,0))</f>
        <v/>
      </c>
      <c r="E10" s="111" t="str">
        <f ca="1">IF($C10="","",VLOOKUP($C10,Calc1!$C$17:$AC$25,26,0))</f>
        <v/>
      </c>
      <c r="F10" s="506" t="str">
        <f ca="1">IF($C10="","",VLOOKUP(C10,Vorrunde!$AN$12:$AP$27,3,0))</f>
        <v/>
      </c>
      <c r="G10" s="136" t="str">
        <f ca="1">IFERROR(VLOOKUP($C10&amp;G$7,Calc1!$Z$64:$AB$207,3,0),"")</f>
        <v/>
      </c>
      <c r="H10" s="111" t="str">
        <f ca="1">IFERROR(VLOOKUP($C10&amp;H$7,Calc1!$Z$64:$AB$207,3,0),"")</f>
        <v/>
      </c>
      <c r="I10" s="121"/>
      <c r="J10" s="111" t="str">
        <f ca="1">IFERROR(VLOOKUP($C10&amp;J$7,Calc1!$Z$64:$AB$207,3,0),"")</f>
        <v/>
      </c>
      <c r="K10" s="111" t="str">
        <f ca="1">IFERROR(VLOOKUP($C10&amp;K$7,Calc1!$Z$64:$AB$207,3,0),"")</f>
        <v/>
      </c>
      <c r="L10" s="157" t="str">
        <f ca="1">IFERROR(VLOOKUP($C10&amp;L$7,Calc1!$Z$64:$AB$207,3,0),"")</f>
        <v/>
      </c>
      <c r="M10" s="187" t="str">
        <f t="shared" ca="1" si="0"/>
        <v/>
      </c>
    </row>
    <row r="11" spans="2:13" ht="21.95" customHeight="1" x14ac:dyDescent="0.2">
      <c r="B11" s="114" t="str">
        <f ca="1">IF($C11="","",INDEX(Calc1!$E$4:$E$12,MATCH($C11,Calc1!$F$4:$F$12,0)))</f>
        <v/>
      </c>
      <c r="C11" s="124" t="str">
        <f ca="1">IF(Calc1!$K$13=0,"",Calc1!$X7)</f>
        <v/>
      </c>
      <c r="D11" s="128" t="str">
        <f ca="1">IF($C11="","",VLOOKUP($C11,Calc1!$C$17:$AC$25,25,0))</f>
        <v/>
      </c>
      <c r="E11" s="111" t="str">
        <f ca="1">IF($C11="","",VLOOKUP($C11,Calc1!$C$17:$AC$25,26,0))</f>
        <v/>
      </c>
      <c r="F11" s="506" t="str">
        <f ca="1">IF($C11="","",VLOOKUP(C11,Vorrunde!$AN$12:$AP$27,3,0))</f>
        <v/>
      </c>
      <c r="G11" s="136" t="str">
        <f ca="1">IFERROR(VLOOKUP($C11&amp;G$7,Calc1!$Z$64:$AB$207,3,0),"")</f>
        <v/>
      </c>
      <c r="H11" s="111" t="str">
        <f ca="1">IFERROR(VLOOKUP($C11&amp;H$7,Calc1!$Z$64:$AB$207,3,0),"")</f>
        <v/>
      </c>
      <c r="I11" s="111" t="str">
        <f ca="1">IFERROR(VLOOKUP($C11&amp;I$7,Calc1!$Z$64:$AB$207,3,0),"")</f>
        <v/>
      </c>
      <c r="J11" s="121"/>
      <c r="K11" s="111" t="str">
        <f ca="1">IFERROR(VLOOKUP($C11&amp;K$7,Calc1!$Z$64:$AB$207,3,0),"")</f>
        <v/>
      </c>
      <c r="L11" s="157" t="str">
        <f ca="1">IFERROR(VLOOKUP($C11&amp;L$7,Calc1!$Z$64:$AB$207,3,0),"")</f>
        <v/>
      </c>
      <c r="M11" s="187" t="str">
        <f t="shared" ca="1" si="0"/>
        <v/>
      </c>
    </row>
    <row r="12" spans="2:13" ht="21.95" customHeight="1" x14ac:dyDescent="0.2">
      <c r="B12" s="114" t="str">
        <f ca="1">IF($C12="","",INDEX(Calc1!$E$4:$E$12,MATCH($C12,Calc1!$F$4:$F$12,0)))</f>
        <v/>
      </c>
      <c r="C12" s="124" t="str">
        <f ca="1">IF(Calc1!$K$13=0,"",Calc1!$X8)</f>
        <v/>
      </c>
      <c r="D12" s="128" t="str">
        <f ca="1">IF($C12="","",VLOOKUP($C12,Calc1!$C$17:$AC$25,25,0))</f>
        <v/>
      </c>
      <c r="E12" s="111" t="str">
        <f ca="1">IF($C12="","",VLOOKUP($C12,Calc1!$C$17:$AC$25,26,0))</f>
        <v/>
      </c>
      <c r="F12" s="506" t="str">
        <f ca="1">IF($C12="","",VLOOKUP(C12,Vorrunde!$AN$12:$AP$27,3,0))</f>
        <v/>
      </c>
      <c r="G12" s="136" t="str">
        <f ca="1">IFERROR(VLOOKUP($C12&amp;G$7,Calc1!$Z$64:$AB$207,3,0),"")</f>
        <v/>
      </c>
      <c r="H12" s="111" t="str">
        <f ca="1">IFERROR(VLOOKUP($C12&amp;H$7,Calc1!$Z$64:$AB$207,3,0),"")</f>
        <v/>
      </c>
      <c r="I12" s="111" t="str">
        <f ca="1">IFERROR(VLOOKUP($C12&amp;I$7,Calc1!$Z$64:$AB$207,3,0),"")</f>
        <v/>
      </c>
      <c r="J12" s="111" t="str">
        <f ca="1">IFERROR(VLOOKUP($C12&amp;J$7,Calc1!$Z$64:$AB$207,3,0),"")</f>
        <v/>
      </c>
      <c r="K12" s="121"/>
      <c r="L12" s="157" t="str">
        <f ca="1">IFERROR(VLOOKUP($C12&amp;L$7,Calc1!$Z$64:$AB$207,3,0),"")</f>
        <v/>
      </c>
      <c r="M12" s="187" t="str">
        <f t="shared" ca="1" si="0"/>
        <v/>
      </c>
    </row>
    <row r="13" spans="2:13" ht="21.95" customHeight="1" thickBot="1" x14ac:dyDescent="0.25">
      <c r="B13" s="115" t="str">
        <f ca="1">IF($C13="","",INDEX(Calc1!$E$4:$E$12,MATCH($C13,Calc1!$F$4:$F$12,0)))</f>
        <v/>
      </c>
      <c r="C13" s="125" t="str">
        <f ca="1">IF(Calc1!$K$13=0,"",Calc1!$X9)</f>
        <v/>
      </c>
      <c r="D13" s="129" t="str">
        <f ca="1">IF($C13="","",VLOOKUP($C13,Calc1!$C$17:$AC$25,25,0))</f>
        <v/>
      </c>
      <c r="E13" s="112" t="str">
        <f ca="1">IF($C13="","",VLOOKUP($C13,Calc1!$C$17:$AC$25,26,0))</f>
        <v/>
      </c>
      <c r="F13" s="507" t="str">
        <f ca="1">IF($C13="","",VLOOKUP(C13,Vorrunde!$AN$12:$AP$27,3,0))</f>
        <v/>
      </c>
      <c r="G13" s="137" t="str">
        <f ca="1">IFERROR(VLOOKUP($C13&amp;G$7,Calc1!$Z$64:$AB$207,3,0),"")</f>
        <v/>
      </c>
      <c r="H13" s="112" t="str">
        <f ca="1">IFERROR(VLOOKUP($C13&amp;H$7,Calc1!$Z$64:$AB$207,3,0),"")</f>
        <v/>
      </c>
      <c r="I13" s="112" t="str">
        <f ca="1">IFERROR(VLOOKUP($C13&amp;I$7,Calc1!$Z$64:$AB$207,3,0),"")</f>
        <v/>
      </c>
      <c r="J13" s="112" t="str">
        <f ca="1">IFERROR(VLOOKUP($C13&amp;J$7,Calc1!$Z$64:$AB$207,3,0),"")</f>
        <v/>
      </c>
      <c r="K13" s="112" t="str">
        <f ca="1">IFERROR(VLOOKUP($C13&amp;K$7,Calc1!$Z$64:$AB$207,3,0),"")</f>
        <v/>
      </c>
      <c r="L13" s="158"/>
      <c r="M13" s="188" t="str">
        <f t="shared" ca="1" si="0"/>
        <v/>
      </c>
    </row>
    <row r="14" spans="2:13" ht="42.75" customHeight="1" thickTop="1" thickBot="1" x14ac:dyDescent="0.25">
      <c r="B14" s="132"/>
      <c r="C14" s="133"/>
      <c r="D14" s="134"/>
      <c r="E14" s="120"/>
      <c r="F14" s="120"/>
      <c r="G14" s="120"/>
      <c r="H14" s="120"/>
      <c r="I14" s="120"/>
      <c r="J14" s="120"/>
      <c r="K14" s="120"/>
      <c r="L14" s="120"/>
    </row>
    <row r="15" spans="2:13" ht="21.95" customHeight="1" thickBot="1" x14ac:dyDescent="0.25">
      <c r="G15" s="148" t="str">
        <f ca="1">IF(LEN(G16)&gt;Einstellungen!$C$11,LEFT(G16,Einstellungen!$C$11)&amp;".",G16)</f>
        <v/>
      </c>
      <c r="H15" s="149" t="str">
        <f ca="1">IF(LEN(H16)&gt;Einstellungen!$C$11,LEFT(H16,Einstellungen!$C$11)&amp;".",H16)</f>
        <v/>
      </c>
      <c r="I15" s="149" t="str">
        <f ca="1">IF(LEN(I16)&gt;Einstellungen!$C$11,LEFT(I16,Einstellungen!$C$11)&amp;".",I16)</f>
        <v/>
      </c>
      <c r="J15" s="149" t="str">
        <f ca="1">IF(LEN(J16)&gt;Einstellungen!$C$11,LEFT(J16,Einstellungen!$C$11)&amp;".",J16)</f>
        <v/>
      </c>
      <c r="K15" s="149" t="str">
        <f ca="1">IF(LEN(K16)&gt;Einstellungen!$C$11,LEFT(K16,Einstellungen!$C$11)&amp;".",K16)</f>
        <v/>
      </c>
      <c r="L15" s="150" t="str">
        <f ca="1">IF(LEN(L16)&gt;Einstellungen!$C$11,LEFT(L16,Einstellungen!$C$11)&amp;".",L16)</f>
        <v/>
      </c>
    </row>
    <row r="16" spans="2:13" ht="21.95" customHeight="1" thickTop="1" thickBot="1" x14ac:dyDescent="0.25">
      <c r="B16" s="116"/>
      <c r="C16" s="122" t="str">
        <f>Sprache!$E$10</f>
        <v>Teilnehmer bzw. Mannschaft</v>
      </c>
      <c r="D16" s="126" t="str">
        <f>Sprache!$E$27</f>
        <v>Pkt</v>
      </c>
      <c r="E16" s="113" t="str">
        <f>Sprache!$E$26</f>
        <v>Diff.</v>
      </c>
      <c r="F16" s="151" t="str">
        <f>Sprache!$E$49</f>
        <v>Tie-Break</v>
      </c>
      <c r="G16" s="130" t="str">
        <f ca="1">C17</f>
        <v/>
      </c>
      <c r="H16" s="131" t="str">
        <f ca="1">C18</f>
        <v/>
      </c>
      <c r="I16" s="131" t="str">
        <f ca="1">C19</f>
        <v/>
      </c>
      <c r="J16" s="131" t="str">
        <f ca="1">C20</f>
        <v/>
      </c>
      <c r="K16" s="131" t="str">
        <f ca="1">C21</f>
        <v/>
      </c>
      <c r="L16" s="155" t="str">
        <f ca="1">C22</f>
        <v/>
      </c>
    </row>
    <row r="17" spans="2:13" ht="21.95" customHeight="1" x14ac:dyDescent="0.2">
      <c r="B17" s="114" t="str">
        <f ca="1">IF($C17="","",INDEX(Calc1!$E$4:$E$12,MATCH($C17,Calc1!$F$4:$F$12,0)))</f>
        <v/>
      </c>
      <c r="C17" s="123" t="str">
        <f ca="1">IF(Calc1!$K$13=0,"",Calc1!$AC4)</f>
        <v/>
      </c>
      <c r="D17" s="127" t="str">
        <f ca="1">IF($C17="","",VLOOKUP($C17,Calc1!$C$17:$AC$25,25,0))</f>
        <v/>
      </c>
      <c r="E17" s="110" t="str">
        <f ca="1">IF($C17="","",VLOOKUP($C17,Calc1!$C$17:$AC$25,26,0))</f>
        <v/>
      </c>
      <c r="F17" s="505" t="str">
        <f ca="1">IF($C17="","",VLOOKUP(C17,Vorrunde!$AN$12:$AP$27,3,0))</f>
        <v/>
      </c>
      <c r="G17" s="135"/>
      <c r="H17" s="110" t="str">
        <f ca="1">IFERROR(VLOOKUP($C17&amp;H$16,Calc1!$Z$64:$AB$207,3,0),"")</f>
        <v/>
      </c>
      <c r="I17" s="110" t="str">
        <f ca="1">IFERROR(VLOOKUP($C17&amp;I$16,Calc1!$Z$64:$AB$207,3,0),"")</f>
        <v/>
      </c>
      <c r="J17" s="110" t="str">
        <f ca="1">IFERROR(VLOOKUP($C17&amp;J$16,Calc1!$Z$64:$AB$207,3,0),"")</f>
        <v/>
      </c>
      <c r="K17" s="110" t="str">
        <f ca="1">IFERROR(VLOOKUP($C17&amp;K$16,Calc1!$Z$64:$AB$207,3,0),"")</f>
        <v/>
      </c>
      <c r="L17" s="156" t="str">
        <f ca="1">IFERROR(VLOOKUP($C17&amp;L$16,Calc1!$Z$64:$AB$207,3,0),"")</f>
        <v/>
      </c>
      <c r="M17" s="186" t="str">
        <f t="shared" ref="M17:M22" ca="1" si="1">C17</f>
        <v/>
      </c>
    </row>
    <row r="18" spans="2:13" ht="21.95" customHeight="1" x14ac:dyDescent="0.2">
      <c r="B18" s="114" t="str">
        <f ca="1">IF($C18="","",INDEX(Calc1!$E$4:$E$12,MATCH($C18,Calc1!$F$4:$F$12,0)))</f>
        <v/>
      </c>
      <c r="C18" s="124" t="str">
        <f ca="1">IF(Calc1!$K$13=0,"",Calc1!$AC5)</f>
        <v/>
      </c>
      <c r="D18" s="128" t="str">
        <f ca="1">IF($C18="","",VLOOKUP($C18,Calc1!$C$17:$AC$25,25,0))</f>
        <v/>
      </c>
      <c r="E18" s="111" t="str">
        <f ca="1">IF($C18="","",VLOOKUP($C18,Calc1!$C$17:$AC$25,26,0))</f>
        <v/>
      </c>
      <c r="F18" s="506" t="str">
        <f ca="1">IF($C18="","",VLOOKUP(C18,Vorrunde!$AN$12:$AP$27,3,0))</f>
        <v/>
      </c>
      <c r="G18" s="136" t="str">
        <f ca="1">IFERROR(VLOOKUP($C18&amp;G$16,Calc1!$Z$64:$AB$207,3,0),"")</f>
        <v/>
      </c>
      <c r="H18" s="121"/>
      <c r="I18" s="111" t="str">
        <f ca="1">IFERROR(VLOOKUP($C18&amp;I$16,Calc1!$Z$64:$AB$207,3,0),"")</f>
        <v/>
      </c>
      <c r="J18" s="111" t="str">
        <f ca="1">IFERROR(VLOOKUP($C18&amp;J$16,Calc1!$Z$64:$AB$207,3,0),"")</f>
        <v/>
      </c>
      <c r="K18" s="111" t="str">
        <f ca="1">IFERROR(VLOOKUP($C18&amp;K$16,Calc1!$Z$64:$AB$207,3,0),"")</f>
        <v/>
      </c>
      <c r="L18" s="157" t="str">
        <f ca="1">IFERROR(VLOOKUP($C18&amp;L$16,Calc1!$Z$64:$AB$207,3,0),"")</f>
        <v/>
      </c>
      <c r="M18" s="187" t="str">
        <f t="shared" ca="1" si="1"/>
        <v/>
      </c>
    </row>
    <row r="19" spans="2:13" ht="21.95" customHeight="1" x14ac:dyDescent="0.2">
      <c r="B19" s="114" t="str">
        <f ca="1">IF($C19="","",INDEX(Calc1!$E$4:$E$12,MATCH($C19,Calc1!$F$4:$F$12,0)))</f>
        <v/>
      </c>
      <c r="C19" s="124" t="str">
        <f ca="1">IF(Calc1!$K$13=0,"",Calc1!$AC6)</f>
        <v/>
      </c>
      <c r="D19" s="128" t="str">
        <f ca="1">IF($C19="","",VLOOKUP($C19,Calc1!$C$17:$AC$25,25,0))</f>
        <v/>
      </c>
      <c r="E19" s="111" t="str">
        <f ca="1">IF($C19="","",VLOOKUP($C19,Calc1!$C$17:$AC$25,26,0))</f>
        <v/>
      </c>
      <c r="F19" s="506" t="str">
        <f ca="1">IF($C19="","",VLOOKUP(C19,Vorrunde!$AN$12:$AP$27,3,0))</f>
        <v/>
      </c>
      <c r="G19" s="136" t="str">
        <f ca="1">IFERROR(VLOOKUP($C19&amp;G$16,Calc1!$Z$64:$AB$207,3,0),"")</f>
        <v/>
      </c>
      <c r="H19" s="111" t="str">
        <f ca="1">IFERROR(VLOOKUP($C19&amp;H$16,Calc1!$Z$64:$AB$207,3,0),"")</f>
        <v/>
      </c>
      <c r="I19" s="121"/>
      <c r="J19" s="111" t="str">
        <f ca="1">IFERROR(VLOOKUP($C19&amp;J$16,Calc1!$Z$64:$AB$207,3,0),"")</f>
        <v/>
      </c>
      <c r="K19" s="111" t="str">
        <f ca="1">IFERROR(VLOOKUP($C19&amp;K$16,Calc1!$Z$64:$AB$207,3,0),"")</f>
        <v/>
      </c>
      <c r="L19" s="157" t="str">
        <f ca="1">IFERROR(VLOOKUP($C19&amp;L$16,Calc1!$Z$64:$AB$207,3,0),"")</f>
        <v/>
      </c>
      <c r="M19" s="187" t="str">
        <f t="shared" ca="1" si="1"/>
        <v/>
      </c>
    </row>
    <row r="20" spans="2:13" ht="21.95" customHeight="1" x14ac:dyDescent="0.2">
      <c r="B20" s="114" t="str">
        <f ca="1">IF($C20="","",INDEX(Calc1!$E$4:$E$12,MATCH($C20,Calc1!$F$4:$F$12,0)))</f>
        <v/>
      </c>
      <c r="C20" s="124" t="str">
        <f ca="1">IF(Calc1!$K$13=0,"",Calc1!$AC7)</f>
        <v/>
      </c>
      <c r="D20" s="128" t="str">
        <f ca="1">IF($C20="","",VLOOKUP($C20,Calc1!$C$17:$AC$25,25,0))</f>
        <v/>
      </c>
      <c r="E20" s="111" t="str">
        <f ca="1">IF($C20="","",VLOOKUP($C20,Calc1!$C$17:$AC$25,26,0))</f>
        <v/>
      </c>
      <c r="F20" s="506" t="str">
        <f ca="1">IF($C20="","",VLOOKUP(C20,Vorrunde!$AN$12:$AP$27,3,0))</f>
        <v/>
      </c>
      <c r="G20" s="136" t="str">
        <f ca="1">IFERROR(VLOOKUP($C20&amp;G$16,Calc1!$Z$64:$AB$207,3,0),"")</f>
        <v/>
      </c>
      <c r="H20" s="111" t="str">
        <f ca="1">IFERROR(VLOOKUP($C20&amp;H$16,Calc1!$Z$64:$AB$207,3,0),"")</f>
        <v/>
      </c>
      <c r="I20" s="111" t="str">
        <f ca="1">IFERROR(VLOOKUP($C20&amp;I$16,Calc1!$Z$64:$AB$207,3,0),"")</f>
        <v/>
      </c>
      <c r="J20" s="121"/>
      <c r="K20" s="111" t="str">
        <f ca="1">IFERROR(VLOOKUP($C20&amp;K$16,Calc1!$Z$64:$AB$207,3,0),"")</f>
        <v/>
      </c>
      <c r="L20" s="157" t="str">
        <f ca="1">IFERROR(VLOOKUP($C20&amp;L$16,Calc1!$Z$64:$AB$207,3,0),"")</f>
        <v/>
      </c>
      <c r="M20" s="187" t="str">
        <f t="shared" ca="1" si="1"/>
        <v/>
      </c>
    </row>
    <row r="21" spans="2:13" ht="21.95" customHeight="1" x14ac:dyDescent="0.2">
      <c r="B21" s="114" t="str">
        <f ca="1">IF($C21="","",INDEX(Calc1!$E$4:$E$12,MATCH($C21,Calc1!$F$4:$F$12,0)))</f>
        <v/>
      </c>
      <c r="C21" s="124" t="str">
        <f ca="1">IF(Calc1!$K$13=0,"",Calc1!$AC8)</f>
        <v/>
      </c>
      <c r="D21" s="128" t="str">
        <f ca="1">IF($C21="","",VLOOKUP($C21,Calc1!$C$17:$AC$25,25,0))</f>
        <v/>
      </c>
      <c r="E21" s="111" t="str">
        <f ca="1">IF($C21="","",VLOOKUP($C21,Calc1!$C$17:$AC$25,26,0))</f>
        <v/>
      </c>
      <c r="F21" s="506" t="str">
        <f ca="1">IF($C21="","",VLOOKUP(C21,Vorrunde!$AN$12:$AP$27,3,0))</f>
        <v/>
      </c>
      <c r="G21" s="136" t="str">
        <f ca="1">IFERROR(VLOOKUP($C21&amp;G$16,Calc1!$Z$64:$AB$207,3,0),"")</f>
        <v/>
      </c>
      <c r="H21" s="111" t="str">
        <f ca="1">IFERROR(VLOOKUP($C21&amp;H$16,Calc1!$Z$64:$AB$207,3,0),"")</f>
        <v/>
      </c>
      <c r="I21" s="111" t="str">
        <f ca="1">IFERROR(VLOOKUP($C21&amp;I$16,Calc1!$Z$64:$AB$207,3,0),"")</f>
        <v/>
      </c>
      <c r="J21" s="111" t="str">
        <f ca="1">IFERROR(VLOOKUP($C21&amp;J$16,Calc1!$Z$64:$AB$207,3,0),"")</f>
        <v/>
      </c>
      <c r="K21" s="121"/>
      <c r="L21" s="157" t="str">
        <f ca="1">IFERROR(VLOOKUP($C21&amp;L$16,Calc1!$Z$64:$AB$207,3,0),"")</f>
        <v/>
      </c>
      <c r="M21" s="187" t="str">
        <f t="shared" ca="1" si="1"/>
        <v/>
      </c>
    </row>
    <row r="22" spans="2:13" ht="21.95" customHeight="1" thickBot="1" x14ac:dyDescent="0.25">
      <c r="B22" s="115" t="str">
        <f ca="1">IF($C22="","",INDEX(Calc1!$E$4:$E$12,MATCH($C22,Calc1!$F$4:$F$12,0)))</f>
        <v/>
      </c>
      <c r="C22" s="125" t="str">
        <f ca="1">IF(Calc1!$K$13=0,"",Calc1!$AC9)</f>
        <v/>
      </c>
      <c r="D22" s="129" t="str">
        <f ca="1">IF($C22="","",VLOOKUP($C22,Calc1!$C$17:$AC$25,25,0))</f>
        <v/>
      </c>
      <c r="E22" s="112" t="str">
        <f ca="1">IF($C22="","",VLOOKUP($C22,Calc1!$C$17:$AC$25,26,0))</f>
        <v/>
      </c>
      <c r="F22" s="507" t="str">
        <f ca="1">IF($C22="","",VLOOKUP(C22,Vorrunde!$AN$12:$AP$27,3,0))</f>
        <v/>
      </c>
      <c r="G22" s="137" t="str">
        <f ca="1">IFERROR(VLOOKUP($C22&amp;G$16,Calc1!$Z$64:$AB$207,3,0),"")</f>
        <v/>
      </c>
      <c r="H22" s="112" t="str">
        <f ca="1">IFERROR(VLOOKUP($C22&amp;H$16,Calc1!$Z$64:$AB$207,3,0),"")</f>
        <v/>
      </c>
      <c r="I22" s="112" t="str">
        <f ca="1">IFERROR(VLOOKUP($C22&amp;I$16,Calc1!$Z$64:$AB$207,3,0),"")</f>
        <v/>
      </c>
      <c r="J22" s="112" t="str">
        <f ca="1">IFERROR(VLOOKUP($C22&amp;J$16,Calc1!$Z$64:$AB$207,3,0),"")</f>
        <v/>
      </c>
      <c r="K22" s="112" t="str">
        <f ca="1">IFERROR(VLOOKUP($C22&amp;K$16,Calc1!$Z$64:$AB$207,3,0),"")</f>
        <v/>
      </c>
      <c r="L22" s="158"/>
      <c r="M22" s="188" t="str">
        <f t="shared" ca="1" si="1"/>
        <v/>
      </c>
    </row>
    <row r="23" spans="2:13" ht="42.75" customHeight="1" thickTop="1" thickBot="1" x14ac:dyDescent="0.25">
      <c r="B23" s="132"/>
      <c r="C23" s="133"/>
      <c r="D23" s="134"/>
      <c r="E23" s="120"/>
      <c r="F23" s="120"/>
      <c r="G23" s="120"/>
      <c r="H23" s="120"/>
      <c r="I23" s="120"/>
      <c r="J23" s="120"/>
      <c r="K23" s="120"/>
      <c r="L23" s="120"/>
    </row>
    <row r="24" spans="2:13" ht="21.95" customHeight="1" thickBot="1" x14ac:dyDescent="0.25">
      <c r="G24" s="148" t="str">
        <f ca="1">IF(LEN(G25)&gt;Einstellungen!$C$11,LEFT(G25,Einstellungen!$C$11)&amp;".",G25)</f>
        <v/>
      </c>
      <c r="H24" s="149" t="str">
        <f ca="1">IF(LEN(H25)&gt;Einstellungen!$C$11,LEFT(H25,Einstellungen!$C$11)&amp;".",H25)</f>
        <v/>
      </c>
      <c r="I24" s="149" t="str">
        <f ca="1">IF(LEN(I25)&gt;Einstellungen!$C$11,LEFT(I25,Einstellungen!$C$11)&amp;".",I25)</f>
        <v/>
      </c>
      <c r="J24" s="149" t="str">
        <f ca="1">IF(LEN(J25)&gt;Einstellungen!$C$11,LEFT(J25,Einstellungen!$C$11)&amp;".",J25)</f>
        <v/>
      </c>
      <c r="K24" s="149" t="str">
        <f ca="1">IF(LEN(K25)&gt;Einstellungen!$C$11,LEFT(K25,Einstellungen!$C$11)&amp;".",K25)</f>
        <v/>
      </c>
      <c r="L24" s="150" t="str">
        <f ca="1">IF(LEN(L25)&gt;Einstellungen!$C$11,LEFT(L25,Einstellungen!$C$11)&amp;".",L25)</f>
        <v/>
      </c>
    </row>
    <row r="25" spans="2:13" ht="21.95" customHeight="1" thickTop="1" thickBot="1" x14ac:dyDescent="0.25">
      <c r="B25" s="116"/>
      <c r="C25" s="122" t="str">
        <f>Sprache!$E$10</f>
        <v>Teilnehmer bzw. Mannschaft</v>
      </c>
      <c r="D25" s="126" t="str">
        <f>Sprache!$E$27</f>
        <v>Pkt</v>
      </c>
      <c r="E25" s="113" t="str">
        <f>Sprache!$E$26</f>
        <v>Diff.</v>
      </c>
      <c r="F25" s="151" t="str">
        <f>Sprache!$E$49</f>
        <v>Tie-Break</v>
      </c>
      <c r="G25" s="130" t="str">
        <f ca="1">C26</f>
        <v/>
      </c>
      <c r="H25" s="131" t="str">
        <f ca="1">C27</f>
        <v/>
      </c>
      <c r="I25" s="131" t="str">
        <f ca="1">C28</f>
        <v/>
      </c>
      <c r="J25" s="131" t="str">
        <f ca="1">C29</f>
        <v/>
      </c>
      <c r="K25" s="131" t="str">
        <f ca="1">C30</f>
        <v/>
      </c>
      <c r="L25" s="155" t="str">
        <f ca="1">C31</f>
        <v/>
      </c>
    </row>
    <row r="26" spans="2:13" ht="21.95" customHeight="1" x14ac:dyDescent="0.2">
      <c r="B26" s="114" t="str">
        <f ca="1">IF($C26="","",INDEX(Calc1!$E$4:$E$12,MATCH($C26,Calc1!$F$4:$F$12,0)))</f>
        <v/>
      </c>
      <c r="C26" s="123" t="str">
        <f ca="1">IF(Calc1!$K$13=0,"",Calc1!$AH4)</f>
        <v/>
      </c>
      <c r="D26" s="127" t="str">
        <f ca="1">IF($C26="","",VLOOKUP($C26,Calc1!$C$17:$AC$25,25,0))</f>
        <v/>
      </c>
      <c r="E26" s="110" t="str">
        <f ca="1">IF($C26="","",VLOOKUP($C26,Calc1!$C$17:$AC$25,26,0))</f>
        <v/>
      </c>
      <c r="F26" s="505" t="str">
        <f ca="1">IF($C26="","",VLOOKUP(C26,Vorrunde!$AN$12:$AP$27,3,0))</f>
        <v/>
      </c>
      <c r="G26" s="135"/>
      <c r="H26" s="110" t="str">
        <f ca="1">IFERROR(VLOOKUP($C26&amp;H$25,Calc1!$Z$64:$AB$207,3,0),"")</f>
        <v/>
      </c>
      <c r="I26" s="110" t="str">
        <f ca="1">IFERROR(VLOOKUP($C26&amp;I$25,Calc1!$Z$64:$AB$207,3,0),"")</f>
        <v/>
      </c>
      <c r="J26" s="110" t="str">
        <f ca="1">IFERROR(VLOOKUP($C26&amp;J$25,Calc1!$Z$64:$AB$207,3,0),"")</f>
        <v/>
      </c>
      <c r="K26" s="110" t="str">
        <f ca="1">IFERROR(VLOOKUP($C26&amp;K$25,Calc1!$Z$64:$AB$207,3,0),"")</f>
        <v/>
      </c>
      <c r="L26" s="156" t="str">
        <f ca="1">IFERROR(VLOOKUP($C26&amp;L$25,Calc1!$Z$64:$AB$207,3,0),"")</f>
        <v/>
      </c>
      <c r="M26" s="186" t="str">
        <f t="shared" ref="M26:M31" ca="1" si="2">C26</f>
        <v/>
      </c>
    </row>
    <row r="27" spans="2:13" ht="21.95" customHeight="1" x14ac:dyDescent="0.2">
      <c r="B27" s="114" t="str">
        <f ca="1">IF($C27="","",INDEX(Calc1!$E$4:$E$12,MATCH($C27,Calc1!$F$4:$F$12,0)))</f>
        <v/>
      </c>
      <c r="C27" s="124" t="str">
        <f ca="1">IF(Calc1!$K$13=0,"",Calc1!$AH5)</f>
        <v/>
      </c>
      <c r="D27" s="128" t="str">
        <f ca="1">IF($C27="","",VLOOKUP($C27,Calc1!$C$17:$AC$25,25,0))</f>
        <v/>
      </c>
      <c r="E27" s="111" t="str">
        <f ca="1">IF($C27="","",VLOOKUP($C27,Calc1!$C$17:$AC$25,26,0))</f>
        <v/>
      </c>
      <c r="F27" s="506" t="str">
        <f ca="1">IF($C27="","",VLOOKUP(C27,Vorrunde!$AN$12:$AP$27,3,0))</f>
        <v/>
      </c>
      <c r="G27" s="136" t="str">
        <f ca="1">IFERROR(VLOOKUP($C27&amp;G$25,Calc1!$Z$64:$AB$207,3,0),"")</f>
        <v/>
      </c>
      <c r="H27" s="121"/>
      <c r="I27" s="111" t="str">
        <f ca="1">IFERROR(VLOOKUP($C27&amp;I$25,Calc1!$Z$64:$AB$207,3,0),"")</f>
        <v/>
      </c>
      <c r="J27" s="111" t="str">
        <f ca="1">IFERROR(VLOOKUP($C27&amp;J$25,Calc1!$Z$64:$AB$207,3,0),"")</f>
        <v/>
      </c>
      <c r="K27" s="111" t="str">
        <f ca="1">IFERROR(VLOOKUP($C27&amp;K$25,Calc1!$Z$64:$AB$207,3,0),"")</f>
        <v/>
      </c>
      <c r="L27" s="157" t="str">
        <f ca="1">IFERROR(VLOOKUP($C27&amp;L$25,Calc1!$Z$64:$AB$207,3,0),"")</f>
        <v/>
      </c>
      <c r="M27" s="187" t="str">
        <f t="shared" ca="1" si="2"/>
        <v/>
      </c>
    </row>
    <row r="28" spans="2:13" ht="21.95" customHeight="1" x14ac:dyDescent="0.2">
      <c r="B28" s="114" t="str">
        <f ca="1">IF($C28="","",INDEX(Calc1!$E$4:$E$12,MATCH($C28,Calc1!$F$4:$F$12,0)))</f>
        <v/>
      </c>
      <c r="C28" s="124" t="str">
        <f ca="1">IF(Calc1!$K$13=0,"",Calc1!$AH6)</f>
        <v/>
      </c>
      <c r="D28" s="128" t="str">
        <f ca="1">IF($C28="","",VLOOKUP($C28,Calc1!$C$17:$AC$25,25,0))</f>
        <v/>
      </c>
      <c r="E28" s="111" t="str">
        <f ca="1">IF($C28="","",VLOOKUP($C28,Calc1!$C$17:$AC$25,26,0))</f>
        <v/>
      </c>
      <c r="F28" s="506" t="str">
        <f ca="1">IF($C28="","",VLOOKUP(C28,Vorrunde!$AN$12:$AP$27,3,0))</f>
        <v/>
      </c>
      <c r="G28" s="136" t="str">
        <f ca="1">IFERROR(VLOOKUP($C28&amp;G$25,Calc1!$Z$64:$AB$207,3,0),"")</f>
        <v/>
      </c>
      <c r="H28" s="111" t="str">
        <f ca="1">IFERROR(VLOOKUP($C28&amp;H$25,Calc1!$Z$64:$AB$207,3,0),"")</f>
        <v/>
      </c>
      <c r="I28" s="121"/>
      <c r="J28" s="111" t="str">
        <f ca="1">IFERROR(VLOOKUP($C28&amp;J$25,Calc1!$Z$64:$AB$207,3,0),"")</f>
        <v/>
      </c>
      <c r="K28" s="111" t="str">
        <f ca="1">IFERROR(VLOOKUP($C28&amp;K$25,Calc1!$Z$64:$AB$207,3,0),"")</f>
        <v/>
      </c>
      <c r="L28" s="157" t="str">
        <f ca="1">IFERROR(VLOOKUP($C28&amp;L$25,Calc1!$Z$64:$AB$207,3,0),"")</f>
        <v/>
      </c>
      <c r="M28" s="187" t="str">
        <f t="shared" ca="1" si="2"/>
        <v/>
      </c>
    </row>
    <row r="29" spans="2:13" ht="21.95" customHeight="1" x14ac:dyDescent="0.2">
      <c r="B29" s="114" t="str">
        <f ca="1">IF($C29="","",INDEX(Calc1!$E$4:$E$12,MATCH($C29,Calc1!$F$4:$F$12,0)))</f>
        <v/>
      </c>
      <c r="C29" s="124" t="str">
        <f ca="1">IF(Calc1!$K$13=0,"",Calc1!$AH7)</f>
        <v/>
      </c>
      <c r="D29" s="128" t="str">
        <f ca="1">IF($C29="","",VLOOKUP($C29,Calc1!$C$17:$AC$25,25,0))</f>
        <v/>
      </c>
      <c r="E29" s="111" t="str">
        <f ca="1">IF($C29="","",VLOOKUP($C29,Calc1!$C$17:$AC$25,26,0))</f>
        <v/>
      </c>
      <c r="F29" s="506" t="str">
        <f ca="1">IF($C29="","",VLOOKUP(C29,Vorrunde!$AN$12:$AP$27,3,0))</f>
        <v/>
      </c>
      <c r="G29" s="136" t="str">
        <f ca="1">IFERROR(VLOOKUP($C29&amp;G$25,Calc1!$Z$64:$AB$207,3,0),"")</f>
        <v/>
      </c>
      <c r="H29" s="111" t="str">
        <f ca="1">IFERROR(VLOOKUP($C29&amp;H$25,Calc1!$Z$64:$AB$207,3,0),"")</f>
        <v/>
      </c>
      <c r="I29" s="111" t="str">
        <f ca="1">IFERROR(VLOOKUP($C29&amp;I$25,Calc1!$Z$64:$AB$207,3,0),"")</f>
        <v/>
      </c>
      <c r="J29" s="121"/>
      <c r="K29" s="111" t="str">
        <f ca="1">IFERROR(VLOOKUP($C29&amp;K$25,Calc1!$Z$64:$AB$207,3,0),"")</f>
        <v/>
      </c>
      <c r="L29" s="157" t="str">
        <f ca="1">IFERROR(VLOOKUP($C29&amp;L$25,Calc1!$Z$64:$AB$207,3,0),"")</f>
        <v/>
      </c>
      <c r="M29" s="187" t="str">
        <f t="shared" ca="1" si="2"/>
        <v/>
      </c>
    </row>
    <row r="30" spans="2:13" ht="21.95" customHeight="1" x14ac:dyDescent="0.2">
      <c r="B30" s="114" t="str">
        <f ca="1">IF($C30="","",INDEX(Calc1!$E$4:$E$12,MATCH($C30,Calc1!$F$4:$F$12,0)))</f>
        <v/>
      </c>
      <c r="C30" s="124" t="str">
        <f ca="1">IF(Calc1!$K$13=0,"",Calc1!$AH8)</f>
        <v/>
      </c>
      <c r="D30" s="128" t="str">
        <f ca="1">IF($C30="","",VLOOKUP($C30,Calc1!$C$17:$AC$25,25,0))</f>
        <v/>
      </c>
      <c r="E30" s="111" t="str">
        <f ca="1">IF($C30="","",VLOOKUP($C30,Calc1!$C$17:$AC$25,26,0))</f>
        <v/>
      </c>
      <c r="F30" s="506" t="str">
        <f ca="1">IF($C30="","",VLOOKUP(C30,Vorrunde!$AN$12:$AP$27,3,0))</f>
        <v/>
      </c>
      <c r="G30" s="136" t="str">
        <f ca="1">IFERROR(VLOOKUP($C30&amp;G$25,Calc1!$Z$64:$AB$207,3,0),"")</f>
        <v/>
      </c>
      <c r="H30" s="111" t="str">
        <f ca="1">IFERROR(VLOOKUP($C30&amp;H$25,Calc1!$Z$64:$AB$207,3,0),"")</f>
        <v/>
      </c>
      <c r="I30" s="111" t="str">
        <f ca="1">IFERROR(VLOOKUP($C30&amp;I$25,Calc1!$Z$64:$AB$207,3,0),"")</f>
        <v/>
      </c>
      <c r="J30" s="111" t="str">
        <f ca="1">IFERROR(VLOOKUP($C30&amp;J$25,Calc1!$Z$64:$AB$207,3,0),"")</f>
        <v/>
      </c>
      <c r="K30" s="121"/>
      <c r="L30" s="157" t="str">
        <f ca="1">IFERROR(VLOOKUP($C30&amp;L$25,Calc1!$Z$64:$AB$207,3,0),"")</f>
        <v/>
      </c>
      <c r="M30" s="187" t="str">
        <f t="shared" ca="1" si="2"/>
        <v/>
      </c>
    </row>
    <row r="31" spans="2:13" ht="21.95" customHeight="1" thickBot="1" x14ac:dyDescent="0.25">
      <c r="B31" s="115" t="str">
        <f ca="1">IF($C31="","",INDEX(Calc1!$E$4:$E$12,MATCH($C31,Calc1!$F$4:$F$12,0)))</f>
        <v/>
      </c>
      <c r="C31" s="125" t="str">
        <f ca="1">IF(Calc1!$K$13=0,"",Calc1!$AH9)</f>
        <v/>
      </c>
      <c r="D31" s="129" t="str">
        <f ca="1">IF($C31="","",VLOOKUP($C31,Calc1!$C$17:$AC$25,25,0))</f>
        <v/>
      </c>
      <c r="E31" s="112" t="str">
        <f ca="1">IF($C31="","",VLOOKUP($C31,Calc1!$C$17:$AC$25,26,0))</f>
        <v/>
      </c>
      <c r="F31" s="507" t="str">
        <f ca="1">IF($C31="","",VLOOKUP(C31,Vorrunde!$AN$12:$AP$27,3,0))</f>
        <v/>
      </c>
      <c r="G31" s="137" t="str">
        <f ca="1">IFERROR(VLOOKUP($C31&amp;G$25,Calc1!$Z$64:$AB$207,3,0),"")</f>
        <v/>
      </c>
      <c r="H31" s="112" t="str">
        <f ca="1">IFERROR(VLOOKUP($C31&amp;H$25,Calc1!$Z$64:$AB$207,3,0),"")</f>
        <v/>
      </c>
      <c r="I31" s="112" t="str">
        <f ca="1">IFERROR(VLOOKUP($C31&amp;I$25,Calc1!$Z$64:$AB$207,3,0),"")</f>
        <v/>
      </c>
      <c r="J31" s="112" t="str">
        <f ca="1">IFERROR(VLOOKUP($C31&amp;J$25,Calc1!$Z$64:$AB$207,3,0),"")</f>
        <v/>
      </c>
      <c r="K31" s="112" t="str">
        <f ca="1">IFERROR(VLOOKUP($C31&amp;K$25,Calc1!$Z$64:$AB$207,3,0),"")</f>
        <v/>
      </c>
      <c r="L31" s="158"/>
      <c r="M31" s="188" t="str">
        <f t="shared" ca="1" si="2"/>
        <v/>
      </c>
    </row>
    <row r="32" spans="2:13" ht="42.75" customHeight="1" thickTop="1" thickBot="1" x14ac:dyDescent="0.25"/>
    <row r="33" spans="2:13" ht="21.95" customHeight="1" thickBot="1" x14ac:dyDescent="0.25">
      <c r="G33" s="148" t="str">
        <f ca="1">IF(LEN(G34)&gt;Einstellungen!$C$11,LEFT(G34,Einstellungen!$C$11)&amp;".",G34)</f>
        <v/>
      </c>
      <c r="H33" s="149" t="str">
        <f ca="1">IF(LEN(H34)&gt;Einstellungen!$C$11,LEFT(H34,Einstellungen!$C$11)&amp;".",H34)</f>
        <v/>
      </c>
      <c r="I33" s="149" t="str">
        <f ca="1">IF(LEN(I34)&gt;Einstellungen!$C$11,LEFT(I34,Einstellungen!$C$11)&amp;".",I34)</f>
        <v/>
      </c>
      <c r="J33" s="149" t="str">
        <f ca="1">IF(LEN(J34)&gt;Einstellungen!$C$11,LEFT(J34,Einstellungen!$C$11)&amp;".",J34)</f>
        <v/>
      </c>
      <c r="K33" s="149" t="str">
        <f ca="1">IF(LEN(K34)&gt;Einstellungen!$C$11,LEFT(K34,Einstellungen!$C$11)&amp;".",K34)</f>
        <v/>
      </c>
      <c r="L33" s="150" t="str">
        <f ca="1">IF(LEN(L34)&gt;Einstellungen!$C$11,LEFT(L34,Einstellungen!$C$11)&amp;".",L34)</f>
        <v/>
      </c>
    </row>
    <row r="34" spans="2:13" ht="21.95" customHeight="1" thickTop="1" thickBot="1" x14ac:dyDescent="0.25">
      <c r="B34" s="116"/>
      <c r="C34" s="122" t="str">
        <f>Sprache!$E$10</f>
        <v>Teilnehmer bzw. Mannschaft</v>
      </c>
      <c r="D34" s="126" t="str">
        <f>Sprache!$E$27</f>
        <v>Pkt</v>
      </c>
      <c r="E34" s="113" t="str">
        <f>Sprache!$E$26</f>
        <v>Diff.</v>
      </c>
      <c r="F34" s="151" t="str">
        <f>Sprache!$E$49</f>
        <v>Tie-Break</v>
      </c>
      <c r="G34" s="130" t="str">
        <f ca="1">C35</f>
        <v/>
      </c>
      <c r="H34" s="131" t="str">
        <f ca="1">C36</f>
        <v/>
      </c>
      <c r="I34" s="131" t="str">
        <f ca="1">C37</f>
        <v/>
      </c>
      <c r="J34" s="131" t="str">
        <f ca="1">C38</f>
        <v/>
      </c>
      <c r="K34" s="131" t="str">
        <f ca="1">C39</f>
        <v/>
      </c>
      <c r="L34" s="155" t="str">
        <f ca="1">C40</f>
        <v/>
      </c>
    </row>
    <row r="35" spans="2:13" ht="21.95" customHeight="1" x14ac:dyDescent="0.2">
      <c r="B35" s="114" t="str">
        <f ca="1">IF($C35="","",INDEX(Calc1!$E$4:$E$12,MATCH($C35,Calc1!$F$4:$F$12,0)))</f>
        <v/>
      </c>
      <c r="C35" s="123" t="str">
        <f ca="1">IF(Calc1!$K$13=0,"",Calc1!$AM4)</f>
        <v/>
      </c>
      <c r="D35" s="127" t="str">
        <f ca="1">IF($C35="","",VLOOKUP($C35,Calc1!$C$17:$AC$25,25,0))</f>
        <v/>
      </c>
      <c r="E35" s="110" t="str">
        <f ca="1">IF($C35="","",VLOOKUP($C35,Calc1!$C$17:$AC$25,26,0))</f>
        <v/>
      </c>
      <c r="F35" s="505" t="str">
        <f ca="1">IF($C35="","",VLOOKUP(C35,Vorrunde!$AN$12:$AP$27,3,0))</f>
        <v/>
      </c>
      <c r="G35" s="135"/>
      <c r="H35" s="110" t="str">
        <f ca="1">IFERROR(VLOOKUP($C35&amp;H$34,Calc1!$Z$64:$AB$207,3,0),"")</f>
        <v/>
      </c>
      <c r="I35" s="110" t="str">
        <f ca="1">IFERROR(VLOOKUP($C35&amp;I$34,Calc1!$Z$64:$AB$207,3,0),"")</f>
        <v/>
      </c>
      <c r="J35" s="110" t="str">
        <f ca="1">IFERROR(VLOOKUP($C35&amp;J$34,Calc1!$Z$64:$AB$207,3,0),"")</f>
        <v/>
      </c>
      <c r="K35" s="110" t="str">
        <f ca="1">IFERROR(VLOOKUP($C35&amp;K$34,Calc1!$Z$64:$AB$207,3,0),"")</f>
        <v/>
      </c>
      <c r="L35" s="156" t="str">
        <f ca="1">IFERROR(VLOOKUP($C35&amp;L$34,Calc1!$Z$64:$AB$207,3,0),"")</f>
        <v/>
      </c>
      <c r="M35" s="186" t="str">
        <f t="shared" ref="M35:M40" ca="1" si="3">C35</f>
        <v/>
      </c>
    </row>
    <row r="36" spans="2:13" ht="21.95" customHeight="1" x14ac:dyDescent="0.2">
      <c r="B36" s="114" t="str">
        <f ca="1">IF($C36="","",INDEX(Calc1!$E$4:$E$12,MATCH($C36,Calc1!$F$4:$F$12,0)))</f>
        <v/>
      </c>
      <c r="C36" s="124" t="str">
        <f ca="1">IF(Calc1!$K$13=0,"",Calc1!$AM5)</f>
        <v/>
      </c>
      <c r="D36" s="128" t="str">
        <f ca="1">IF($C36="","",VLOOKUP($C36,Calc1!$C$17:$AC$25,25,0))</f>
        <v/>
      </c>
      <c r="E36" s="111" t="str">
        <f ca="1">IF($C36="","",VLOOKUP($C36,Calc1!$C$17:$AC$25,26,0))</f>
        <v/>
      </c>
      <c r="F36" s="506" t="str">
        <f ca="1">IF($C36="","",VLOOKUP(C36,Vorrunde!$AN$12:$AP$27,3,0))</f>
        <v/>
      </c>
      <c r="G36" s="136" t="str">
        <f ca="1">IFERROR(VLOOKUP($C36&amp;G$34,Calc1!$Z$64:$AB$207,3,0),"")</f>
        <v/>
      </c>
      <c r="H36" s="121"/>
      <c r="I36" s="111" t="str">
        <f ca="1">IFERROR(VLOOKUP($C36&amp;I$34,Calc1!$Z$64:$AB$207,3,0),"")</f>
        <v/>
      </c>
      <c r="J36" s="111" t="str">
        <f ca="1">IFERROR(VLOOKUP($C36&amp;J$34,Calc1!$Z$64:$AB$207,3,0),"")</f>
        <v/>
      </c>
      <c r="K36" s="111" t="str">
        <f ca="1">IFERROR(VLOOKUP($C36&amp;K$34,Calc1!$Z$64:$AB$207,3,0),"")</f>
        <v/>
      </c>
      <c r="L36" s="157" t="str">
        <f ca="1">IFERROR(VLOOKUP($C36&amp;L$34,Calc1!$Z$64:$AB$207,3,0),"")</f>
        <v/>
      </c>
      <c r="M36" s="187" t="str">
        <f t="shared" ca="1" si="3"/>
        <v/>
      </c>
    </row>
    <row r="37" spans="2:13" ht="21.95" customHeight="1" x14ac:dyDescent="0.2">
      <c r="B37" s="114" t="str">
        <f ca="1">IF($C37="","",INDEX(Calc1!$E$4:$E$12,MATCH($C37,Calc1!$F$4:$F$12,0)))</f>
        <v/>
      </c>
      <c r="C37" s="124" t="str">
        <f ca="1">IF(Calc1!$K$13=0,"",Calc1!$AM6)</f>
        <v/>
      </c>
      <c r="D37" s="128" t="str">
        <f ca="1">IF($C37="","",VLOOKUP($C37,Calc1!$C$17:$AC$25,25,0))</f>
        <v/>
      </c>
      <c r="E37" s="111" t="str">
        <f ca="1">IF($C37="","",VLOOKUP($C37,Calc1!$C$17:$AC$25,26,0))</f>
        <v/>
      </c>
      <c r="F37" s="506" t="str">
        <f ca="1">IF($C37="","",VLOOKUP(C37,Vorrunde!$AN$12:$AP$27,3,0))</f>
        <v/>
      </c>
      <c r="G37" s="136" t="str">
        <f ca="1">IFERROR(VLOOKUP($C37&amp;G$34,Calc1!$Z$64:$AB$207,3,0),"")</f>
        <v/>
      </c>
      <c r="H37" s="111" t="str">
        <f ca="1">IFERROR(VLOOKUP($C37&amp;H$34,Calc1!$Z$64:$AB$207,3,0),"")</f>
        <v/>
      </c>
      <c r="I37" s="121"/>
      <c r="J37" s="111" t="str">
        <f ca="1">IFERROR(VLOOKUP($C37&amp;J$34,Calc1!$Z$64:$AB$207,3,0),"")</f>
        <v/>
      </c>
      <c r="K37" s="111" t="str">
        <f ca="1">IFERROR(VLOOKUP($C37&amp;K$34,Calc1!$Z$64:$AB$207,3,0),"")</f>
        <v/>
      </c>
      <c r="L37" s="157" t="str">
        <f ca="1">IFERROR(VLOOKUP($C37&amp;L$34,Calc1!$Z$64:$AB$207,3,0),"")</f>
        <v/>
      </c>
      <c r="M37" s="187" t="str">
        <f t="shared" ca="1" si="3"/>
        <v/>
      </c>
    </row>
    <row r="38" spans="2:13" ht="21.95" customHeight="1" x14ac:dyDescent="0.2">
      <c r="B38" s="114" t="str">
        <f ca="1">IF($C38="","",INDEX(Calc1!$E$4:$E$12,MATCH($C38,Calc1!$F$4:$F$12,0)))</f>
        <v/>
      </c>
      <c r="C38" s="124" t="str">
        <f ca="1">IF(Calc1!$K$13=0,"",Calc1!$AM7)</f>
        <v/>
      </c>
      <c r="D38" s="128" t="str">
        <f ca="1">IF($C38="","",VLOOKUP($C38,Calc1!$C$17:$AC$25,25,0))</f>
        <v/>
      </c>
      <c r="E38" s="111" t="str">
        <f ca="1">IF($C38="","",VLOOKUP($C38,Calc1!$C$17:$AC$25,26,0))</f>
        <v/>
      </c>
      <c r="F38" s="506" t="str">
        <f ca="1">IF($C38="","",VLOOKUP(C38,Vorrunde!$AN$12:$AP$27,3,0))</f>
        <v/>
      </c>
      <c r="G38" s="136" t="str">
        <f ca="1">IFERROR(VLOOKUP($C38&amp;G$34,Calc1!$Z$64:$AB$207,3,0),"")</f>
        <v/>
      </c>
      <c r="H38" s="111" t="str">
        <f ca="1">IFERROR(VLOOKUP($C38&amp;H$34,Calc1!$Z$64:$AB$207,3,0),"")</f>
        <v/>
      </c>
      <c r="I38" s="111" t="str">
        <f ca="1">IFERROR(VLOOKUP($C38&amp;I$34,Calc1!$Z$64:$AB$207,3,0),"")</f>
        <v/>
      </c>
      <c r="J38" s="121"/>
      <c r="K38" s="111" t="str">
        <f ca="1">IFERROR(VLOOKUP($C38&amp;K$34,Calc1!$Z$64:$AB$207,3,0),"")</f>
        <v/>
      </c>
      <c r="L38" s="157" t="str">
        <f ca="1">IFERROR(VLOOKUP($C38&amp;L$34,Calc1!$Z$64:$AB$207,3,0),"")</f>
        <v/>
      </c>
      <c r="M38" s="187" t="str">
        <f t="shared" ca="1" si="3"/>
        <v/>
      </c>
    </row>
    <row r="39" spans="2:13" ht="21.95" customHeight="1" x14ac:dyDescent="0.2">
      <c r="B39" s="114" t="str">
        <f ca="1">IF($C39="","",INDEX(Calc1!$E$4:$E$12,MATCH($C39,Calc1!$F$4:$F$12,0)))</f>
        <v/>
      </c>
      <c r="C39" s="124" t="str">
        <f ca="1">IF(Calc1!$K$13=0,"",Calc1!$AM8)</f>
        <v/>
      </c>
      <c r="D39" s="128" t="str">
        <f ca="1">IF($C39="","",VLOOKUP($C39,Calc1!$C$17:$AC$25,25,0))</f>
        <v/>
      </c>
      <c r="E39" s="111" t="str">
        <f ca="1">IF($C39="","",VLOOKUP($C39,Calc1!$C$17:$AC$25,26,0))</f>
        <v/>
      </c>
      <c r="F39" s="506" t="str">
        <f ca="1">IF($C39="","",VLOOKUP(C39,Vorrunde!$AN$12:$AP$27,3,0))</f>
        <v/>
      </c>
      <c r="G39" s="136" t="str">
        <f ca="1">IFERROR(VLOOKUP($C39&amp;G$34,Calc1!$Z$64:$AB$207,3,0),"")</f>
        <v/>
      </c>
      <c r="H39" s="111" t="str">
        <f ca="1">IFERROR(VLOOKUP($C39&amp;H$34,Calc1!$Z$64:$AB$207,3,0),"")</f>
        <v/>
      </c>
      <c r="I39" s="111" t="str">
        <f ca="1">IFERROR(VLOOKUP($C39&amp;I$34,Calc1!$Z$64:$AB$207,3,0),"")</f>
        <v/>
      </c>
      <c r="J39" s="111" t="str">
        <f ca="1">IFERROR(VLOOKUP($C39&amp;J$34,Calc1!$Z$64:$AB$207,3,0),"")</f>
        <v/>
      </c>
      <c r="K39" s="121"/>
      <c r="L39" s="157" t="str">
        <f ca="1">IFERROR(VLOOKUP($C39&amp;L$34,Calc1!$Z$64:$AB$207,3,0),"")</f>
        <v/>
      </c>
      <c r="M39" s="187" t="str">
        <f t="shared" ca="1" si="3"/>
        <v/>
      </c>
    </row>
    <row r="40" spans="2:13" ht="21.95" customHeight="1" thickBot="1" x14ac:dyDescent="0.25">
      <c r="B40" s="115" t="str">
        <f ca="1">IF($C40="","",INDEX(Calc1!$E$4:$E$12,MATCH($C40,Calc1!$F$4:$F$12,0)))</f>
        <v/>
      </c>
      <c r="C40" s="125" t="str">
        <f ca="1">IF(Calc1!$K$13=0,"",Calc1!$AM9)</f>
        <v/>
      </c>
      <c r="D40" s="129" t="str">
        <f ca="1">IF($C40="","",VLOOKUP($C40,Calc1!$C$17:$AC$25,25,0))</f>
        <v/>
      </c>
      <c r="E40" s="112" t="str">
        <f ca="1">IF($C40="","",VLOOKUP($C40,Calc1!$C$17:$AC$25,26,0))</f>
        <v/>
      </c>
      <c r="F40" s="507" t="str">
        <f ca="1">IF($C40="","",VLOOKUP(C40,Vorrunde!$AN$12:$AP$27,3,0))</f>
        <v/>
      </c>
      <c r="G40" s="137" t="str">
        <f ca="1">IFERROR(VLOOKUP($C40&amp;G$34,Calc1!$Z$64:$AB$207,3,0),"")</f>
        <v/>
      </c>
      <c r="H40" s="112" t="str">
        <f ca="1">IFERROR(VLOOKUP($C40&amp;H$34,Calc1!$Z$64:$AB$207,3,0),"")</f>
        <v/>
      </c>
      <c r="I40" s="112" t="str">
        <f ca="1">IFERROR(VLOOKUP($C40&amp;I$34,Calc1!$Z$64:$AB$207,3,0),"")</f>
        <v/>
      </c>
      <c r="J40" s="112" t="str">
        <f ca="1">IFERROR(VLOOKUP($C40&amp;J$34,Calc1!$Z$64:$AB$207,3,0),"")</f>
        <v/>
      </c>
      <c r="K40" s="112" t="str">
        <f ca="1">IFERROR(VLOOKUP($C40&amp;K$34,Calc1!$Z$64:$AB$207,3,0),"")</f>
        <v/>
      </c>
      <c r="L40" s="158"/>
      <c r="M40" s="188"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15" priority="1">
      <formula>OR(AND($B8=$B7,$C7&lt;&gt;""),AND($B8=$B9,$C9&lt;&gt;""))</formula>
    </cfRule>
  </conditionalFormatting>
  <pageMargins left="0.7" right="0.7" top="0.78740157499999996" bottom="0.78740157499999996"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5D79-012B-47EB-BB76-85174D42DB5A}">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6" customWidth="1"/>
    <col min="2" max="2" width="4.5703125" style="46" customWidth="1"/>
    <col min="3" max="3" width="32.7109375" style="46" customWidth="1"/>
    <col min="4" max="6" width="11.7109375" style="46" customWidth="1"/>
    <col min="7" max="12" width="6.85546875" style="46" customWidth="1"/>
    <col min="13" max="13" width="32.7109375" style="46" customWidth="1"/>
    <col min="14" max="14" width="4.85546875" style="46" customWidth="1"/>
    <col min="15" max="16384" width="11.42578125" style="46" hidden="1"/>
  </cols>
  <sheetData>
    <row r="1" spans="2:13" x14ac:dyDescent="0.2"/>
    <row r="2" spans="2:13" ht="33.75" x14ac:dyDescent="0.2">
      <c r="B2" s="886" t="str">
        <f>Sprache!$E$7</f>
        <v>Direkte Vergleiche</v>
      </c>
      <c r="C2" s="886"/>
      <c r="D2" s="886"/>
      <c r="E2" s="886"/>
      <c r="F2" s="886"/>
      <c r="G2" s="886"/>
      <c r="H2" s="886"/>
      <c r="I2" s="886"/>
      <c r="J2" s="886"/>
      <c r="K2" s="886"/>
      <c r="L2" s="886"/>
    </row>
    <row r="3" spans="2:13" ht="42.75" customHeight="1" x14ac:dyDescent="0.2">
      <c r="B3" s="887" t="str">
        <f>Sprache!$E$56&amp;" B"</f>
        <v>Vorrunde Gruppe B</v>
      </c>
      <c r="C3" s="887"/>
      <c r="D3" s="887"/>
      <c r="E3" s="887"/>
      <c r="F3" s="887"/>
      <c r="G3" s="887"/>
      <c r="H3" s="887"/>
      <c r="I3" s="887"/>
      <c r="J3" s="887"/>
      <c r="K3" s="887"/>
      <c r="L3" s="887"/>
    </row>
    <row r="4" spans="2:13" ht="17.25" customHeight="1" x14ac:dyDescent="0.2">
      <c r="B4" s="888" t="str">
        <f>Sprache!$E$75</f>
        <v>Rote Schrift bedeutet, dass die Rangfolge auch mit dem direkten Vergleich nicht geklärt ist. Ein Entscheidungsspiel oder Los muss hier entscheiden.</v>
      </c>
      <c r="C4" s="888"/>
      <c r="D4" s="888"/>
      <c r="E4" s="888"/>
      <c r="F4" s="888"/>
      <c r="G4" s="888"/>
      <c r="H4" s="888"/>
      <c r="I4" s="888"/>
      <c r="J4" s="888"/>
      <c r="K4" s="888"/>
      <c r="L4" s="888"/>
      <c r="M4" s="888"/>
    </row>
    <row r="5" spans="2:13" ht="17.25" customHeight="1" thickBot="1" x14ac:dyDescent="0.25">
      <c r="B5" s="119"/>
      <c r="C5" s="119"/>
      <c r="D5" s="119"/>
      <c r="E5" s="119"/>
      <c r="F5" s="119"/>
      <c r="G5" s="119"/>
      <c r="H5" s="119"/>
      <c r="I5" s="119"/>
      <c r="J5" s="119"/>
      <c r="K5" s="119"/>
      <c r="L5" s="119"/>
    </row>
    <row r="6" spans="2:13" ht="21.95" customHeight="1" thickBot="1" x14ac:dyDescent="0.25">
      <c r="G6" s="148" t="str">
        <f ca="1">IF(LEN(G7)&gt;Einstellungen!$C$11,LEFT(G7,Einstellungen!$C$11)&amp;".",G7)</f>
        <v/>
      </c>
      <c r="H6" s="149" t="str">
        <f ca="1">IF(LEN(H7)&gt;Einstellungen!$C$11,LEFT(H7,Einstellungen!$C$11)&amp;".",H7)</f>
        <v/>
      </c>
      <c r="I6" s="149" t="str">
        <f ca="1">IF(LEN(I7)&gt;Einstellungen!$C$11,LEFT(I7,Einstellungen!$C$11)&amp;".",I7)</f>
        <v/>
      </c>
      <c r="J6" s="149" t="str">
        <f ca="1">IF(LEN(J7)&gt;Einstellungen!$C$11,LEFT(J7,Einstellungen!$C$11)&amp;".",J7)</f>
        <v/>
      </c>
      <c r="K6" s="149" t="str">
        <f ca="1">IF(LEN(K7)&gt;Einstellungen!$C$11,LEFT(K7,Einstellungen!$C$11)&amp;".",K7)</f>
        <v/>
      </c>
      <c r="L6" s="150" t="str">
        <f ca="1">IF(LEN(L7)&gt;Einstellungen!$C$11,LEFT(L7,Einstellungen!$C$11)&amp;".",L7)</f>
        <v/>
      </c>
    </row>
    <row r="7" spans="2:13" ht="21.95" customHeight="1" thickTop="1" thickBot="1" x14ac:dyDescent="0.25">
      <c r="B7" s="116"/>
      <c r="C7" s="122" t="str">
        <f>Sprache!$E$10</f>
        <v>Teilnehmer bzw. Mannschaft</v>
      </c>
      <c r="D7" s="126" t="str">
        <f>Sprache!$E$27</f>
        <v>Pkt</v>
      </c>
      <c r="E7" s="113" t="str">
        <f>Sprache!$E$26</f>
        <v>Diff.</v>
      </c>
      <c r="F7" s="151" t="str">
        <f>Sprache!$E$49</f>
        <v>Tie-Break</v>
      </c>
      <c r="G7" s="130" t="str">
        <f ca="1">C8</f>
        <v/>
      </c>
      <c r="H7" s="131" t="str">
        <f ca="1">C9</f>
        <v/>
      </c>
      <c r="I7" s="131" t="str">
        <f ca="1">C10</f>
        <v/>
      </c>
      <c r="J7" s="131" t="str">
        <f ca="1">C11</f>
        <v/>
      </c>
      <c r="K7" s="131" t="str">
        <f ca="1">C12</f>
        <v/>
      </c>
      <c r="L7" s="155" t="str">
        <f ca="1">C13</f>
        <v/>
      </c>
    </row>
    <row r="8" spans="2:13" ht="21.95" customHeight="1" x14ac:dyDescent="0.2">
      <c r="B8" s="114" t="str">
        <f ca="1">IF($C8="","",INDEX(Calc2!$E$4:$E$12,MATCH($C8,Calc2!$F$4:$F$12,0)))</f>
        <v/>
      </c>
      <c r="C8" s="123" t="str">
        <f ca="1">IF(Calc2!$K$13=0,"",Calc2!$X4)</f>
        <v/>
      </c>
      <c r="D8" s="127" t="str">
        <f ca="1">IF($C8="","",VLOOKUP($C8,Calc2!$C$17:$AC$25,25,0))</f>
        <v/>
      </c>
      <c r="E8" s="110" t="str">
        <f ca="1">IF($C8="","",VLOOKUP($C8,Calc2!$C$17:$AC$25,26,0))</f>
        <v/>
      </c>
      <c r="F8" s="505" t="str">
        <f ca="1">IF($C8="","",VLOOKUP(C8,Vorrunde!$AN$12:$AP$27,3,0))</f>
        <v/>
      </c>
      <c r="G8" s="135"/>
      <c r="H8" s="110" t="str">
        <f ca="1">IFERROR(VLOOKUP($C8&amp;H$7,Calc2!$Z$64:$AB$207,3,0),"")</f>
        <v/>
      </c>
      <c r="I8" s="110" t="str">
        <f ca="1">IFERROR(VLOOKUP($C8&amp;I$7,Calc2!$Z$64:$AB$207,3,0),"")</f>
        <v/>
      </c>
      <c r="J8" s="110" t="str">
        <f ca="1">IFERROR(VLOOKUP($C8&amp;J$7,Calc2!$Z$64:$AB$207,3,0),"")</f>
        <v/>
      </c>
      <c r="K8" s="110" t="str">
        <f ca="1">IFERROR(VLOOKUP($C8&amp;K$7,Calc2!$Z$64:$AB$207,3,0),"")</f>
        <v/>
      </c>
      <c r="L8" s="156" t="str">
        <f ca="1">IFERROR(VLOOKUP($C8&amp;L$7,Calc2!$Z$64:$AB$207,3,0),"")</f>
        <v/>
      </c>
      <c r="M8" s="186" t="str">
        <f t="shared" ref="M8:M13" ca="1" si="0">C8</f>
        <v/>
      </c>
    </row>
    <row r="9" spans="2:13" ht="21.95" customHeight="1" x14ac:dyDescent="0.2">
      <c r="B9" s="114" t="str">
        <f ca="1">IF($C9="","",INDEX(Calc2!$E$4:$E$12,MATCH($C9,Calc2!$F$4:$F$12,0)))</f>
        <v/>
      </c>
      <c r="C9" s="124" t="str">
        <f ca="1">IF(Calc2!$K$13=0,"",Calc2!$X5)</f>
        <v/>
      </c>
      <c r="D9" s="128" t="str">
        <f ca="1">IF($C9="","",VLOOKUP($C9,Calc2!$C$17:$AC$25,25,0))</f>
        <v/>
      </c>
      <c r="E9" s="111" t="str">
        <f ca="1">IF($C9="","",VLOOKUP($C9,Calc2!$C$17:$AC$25,26,0))</f>
        <v/>
      </c>
      <c r="F9" s="506" t="str">
        <f ca="1">IF($C9="","",VLOOKUP(C9,Vorrunde!$AN$12:$AP$27,3,0))</f>
        <v/>
      </c>
      <c r="G9" s="136" t="str">
        <f ca="1">IFERROR(VLOOKUP($C9&amp;G$7,Calc2!$Z$64:$AB$207,3,0),"")</f>
        <v/>
      </c>
      <c r="H9" s="121"/>
      <c r="I9" s="111" t="str">
        <f ca="1">IFERROR(VLOOKUP($C9&amp;I$7,Calc2!$Z$64:$AB$207,3,0),"")</f>
        <v/>
      </c>
      <c r="J9" s="111" t="str">
        <f ca="1">IFERROR(VLOOKUP($C9&amp;J$7,Calc2!$Z$64:$AB$207,3,0),"")</f>
        <v/>
      </c>
      <c r="K9" s="111" t="str">
        <f ca="1">IFERROR(VLOOKUP($C9&amp;K$7,Calc2!$Z$64:$AB$207,3,0),"")</f>
        <v/>
      </c>
      <c r="L9" s="157" t="str">
        <f ca="1">IFERROR(VLOOKUP($C9&amp;L$7,Calc2!$Z$64:$AB$207,3,0),"")</f>
        <v/>
      </c>
      <c r="M9" s="187" t="str">
        <f t="shared" ca="1" si="0"/>
        <v/>
      </c>
    </row>
    <row r="10" spans="2:13" ht="21.95" customHeight="1" x14ac:dyDescent="0.2">
      <c r="B10" s="114" t="str">
        <f ca="1">IF($C10="","",INDEX(Calc2!$E$4:$E$12,MATCH($C10,Calc2!$F$4:$F$12,0)))</f>
        <v/>
      </c>
      <c r="C10" s="124" t="str">
        <f ca="1">IF(Calc2!$K$13=0,"",Calc2!$X6)</f>
        <v/>
      </c>
      <c r="D10" s="128" t="str">
        <f ca="1">IF($C10="","",VLOOKUP($C10,Calc2!$C$17:$AC$25,25,0))</f>
        <v/>
      </c>
      <c r="E10" s="111" t="str">
        <f ca="1">IF($C10="","",VLOOKUP($C10,Calc2!$C$17:$AC$25,26,0))</f>
        <v/>
      </c>
      <c r="F10" s="506" t="str">
        <f ca="1">IF($C10="","",VLOOKUP(C10,Vorrunde!$AN$12:$AP$27,3,0))</f>
        <v/>
      </c>
      <c r="G10" s="136" t="str">
        <f ca="1">IFERROR(VLOOKUP($C10&amp;G$7,Calc2!$Z$64:$AB$207,3,0),"")</f>
        <v/>
      </c>
      <c r="H10" s="111" t="str">
        <f ca="1">IFERROR(VLOOKUP($C10&amp;H$7,Calc2!$Z$64:$AB$207,3,0),"")</f>
        <v/>
      </c>
      <c r="I10" s="121"/>
      <c r="J10" s="111" t="str">
        <f ca="1">IFERROR(VLOOKUP($C10&amp;J$7,Calc2!$Z$64:$AB$207,3,0),"")</f>
        <v/>
      </c>
      <c r="K10" s="111" t="str">
        <f ca="1">IFERROR(VLOOKUP($C10&amp;K$7,Calc2!$Z$64:$AB$207,3,0),"")</f>
        <v/>
      </c>
      <c r="L10" s="157" t="str">
        <f ca="1">IFERROR(VLOOKUP($C10&amp;L$7,Calc2!$Z$64:$AB$207,3,0),"")</f>
        <v/>
      </c>
      <c r="M10" s="187" t="str">
        <f t="shared" ca="1" si="0"/>
        <v/>
      </c>
    </row>
    <row r="11" spans="2:13" ht="21.95" customHeight="1" x14ac:dyDescent="0.2">
      <c r="B11" s="114" t="str">
        <f ca="1">IF($C11="","",INDEX(Calc2!$E$4:$E$12,MATCH($C11,Calc2!$F$4:$F$12,0)))</f>
        <v/>
      </c>
      <c r="C11" s="124" t="str">
        <f ca="1">IF(Calc2!$K$13=0,"",Calc2!$X7)</f>
        <v/>
      </c>
      <c r="D11" s="128" t="str">
        <f ca="1">IF($C11="","",VLOOKUP($C11,Calc2!$C$17:$AC$25,25,0))</f>
        <v/>
      </c>
      <c r="E11" s="111" t="str">
        <f ca="1">IF($C11="","",VLOOKUP($C11,Calc2!$C$17:$AC$25,26,0))</f>
        <v/>
      </c>
      <c r="F11" s="506" t="str">
        <f ca="1">IF($C11="","",VLOOKUP(C11,Vorrunde!$AN$12:$AP$27,3,0))</f>
        <v/>
      </c>
      <c r="G11" s="136" t="str">
        <f ca="1">IFERROR(VLOOKUP($C11&amp;G$7,Calc2!$Z$64:$AB$207,3,0),"")</f>
        <v/>
      </c>
      <c r="H11" s="111" t="str">
        <f ca="1">IFERROR(VLOOKUP($C11&amp;H$7,Calc2!$Z$64:$AB$207,3,0),"")</f>
        <v/>
      </c>
      <c r="I11" s="111" t="str">
        <f ca="1">IFERROR(VLOOKUP($C11&amp;I$7,Calc2!$Z$64:$AB$207,3,0),"")</f>
        <v/>
      </c>
      <c r="J11" s="121"/>
      <c r="K11" s="111" t="str">
        <f ca="1">IFERROR(VLOOKUP($C11&amp;K$7,Calc2!$Z$64:$AB$207,3,0),"")</f>
        <v/>
      </c>
      <c r="L11" s="157" t="str">
        <f ca="1">IFERROR(VLOOKUP($C11&amp;L$7,Calc2!$Z$64:$AB$207,3,0),"")</f>
        <v/>
      </c>
      <c r="M11" s="187" t="str">
        <f t="shared" ca="1" si="0"/>
        <v/>
      </c>
    </row>
    <row r="12" spans="2:13" ht="21.95" customHeight="1" x14ac:dyDescent="0.2">
      <c r="B12" s="114" t="str">
        <f ca="1">IF($C12="","",INDEX(Calc2!$E$4:$E$12,MATCH($C12,Calc2!$F$4:$F$12,0)))</f>
        <v/>
      </c>
      <c r="C12" s="124" t="str">
        <f ca="1">IF(Calc2!$K$13=0,"",Calc2!$X8)</f>
        <v/>
      </c>
      <c r="D12" s="128" t="str">
        <f ca="1">IF($C12="","",VLOOKUP($C12,Calc2!$C$17:$AC$25,25,0))</f>
        <v/>
      </c>
      <c r="E12" s="111" t="str">
        <f ca="1">IF($C12="","",VLOOKUP($C12,Calc2!$C$17:$AC$25,26,0))</f>
        <v/>
      </c>
      <c r="F12" s="506" t="str">
        <f ca="1">IF($C12="","",VLOOKUP(C12,Vorrunde!$AN$12:$AP$27,3,0))</f>
        <v/>
      </c>
      <c r="G12" s="136" t="str">
        <f ca="1">IFERROR(VLOOKUP($C12&amp;G$7,Calc2!$Z$64:$AB$207,3,0),"")</f>
        <v/>
      </c>
      <c r="H12" s="111" t="str">
        <f ca="1">IFERROR(VLOOKUP($C12&amp;H$7,Calc2!$Z$64:$AB$207,3,0),"")</f>
        <v/>
      </c>
      <c r="I12" s="111" t="str">
        <f ca="1">IFERROR(VLOOKUP($C12&amp;I$7,Calc2!$Z$64:$AB$207,3,0),"")</f>
        <v/>
      </c>
      <c r="J12" s="111" t="str">
        <f ca="1">IFERROR(VLOOKUP($C12&amp;J$7,Calc2!$Z$64:$AB$207,3,0),"")</f>
        <v/>
      </c>
      <c r="K12" s="121"/>
      <c r="L12" s="157" t="str">
        <f ca="1">IFERROR(VLOOKUP($C12&amp;L$7,Calc2!$Z$64:$AB$207,3,0),"")</f>
        <v/>
      </c>
      <c r="M12" s="187" t="str">
        <f t="shared" ca="1" si="0"/>
        <v/>
      </c>
    </row>
    <row r="13" spans="2:13" ht="21.95" customHeight="1" thickBot="1" x14ac:dyDescent="0.25">
      <c r="B13" s="115" t="str">
        <f ca="1">IF($C13="","",INDEX(Calc2!$E$4:$E$12,MATCH($C13,Calc2!$F$4:$F$12,0)))</f>
        <v/>
      </c>
      <c r="C13" s="125" t="str">
        <f ca="1">IF(Calc2!$K$13=0,"",Calc2!$X9)</f>
        <v/>
      </c>
      <c r="D13" s="129" t="str">
        <f ca="1">IF($C13="","",VLOOKUP($C13,Calc2!$C$17:$AC$25,25,0))</f>
        <v/>
      </c>
      <c r="E13" s="112" t="str">
        <f ca="1">IF($C13="","",VLOOKUP($C13,Calc2!$C$17:$AC$25,26,0))</f>
        <v/>
      </c>
      <c r="F13" s="507" t="str">
        <f ca="1">IF($C13="","",VLOOKUP(C13,Vorrunde!$AN$12:$AP$27,3,0))</f>
        <v/>
      </c>
      <c r="G13" s="137" t="str">
        <f ca="1">IFERROR(VLOOKUP($C13&amp;G$7,Calc2!$Z$64:$AB$207,3,0),"")</f>
        <v/>
      </c>
      <c r="H13" s="112" t="str">
        <f ca="1">IFERROR(VLOOKUP($C13&amp;H$7,Calc2!$Z$64:$AB$207,3,0),"")</f>
        <v/>
      </c>
      <c r="I13" s="112" t="str">
        <f ca="1">IFERROR(VLOOKUP($C13&amp;I$7,Calc2!$Z$64:$AB$207,3,0),"")</f>
        <v/>
      </c>
      <c r="J13" s="112" t="str">
        <f ca="1">IFERROR(VLOOKUP($C13&amp;J$7,Calc2!$Z$64:$AB$207,3,0),"")</f>
        <v/>
      </c>
      <c r="K13" s="112" t="str">
        <f ca="1">IFERROR(VLOOKUP($C13&amp;K$7,Calc2!$Z$64:$AB$207,3,0),"")</f>
        <v/>
      </c>
      <c r="L13" s="158"/>
      <c r="M13" s="188" t="str">
        <f t="shared" ca="1" si="0"/>
        <v/>
      </c>
    </row>
    <row r="14" spans="2:13" ht="42.75" customHeight="1" thickTop="1" thickBot="1" x14ac:dyDescent="0.25">
      <c r="B14" s="132"/>
      <c r="C14" s="133"/>
      <c r="D14" s="134"/>
      <c r="E14" s="120"/>
      <c r="F14" s="120"/>
      <c r="G14" s="120"/>
      <c r="H14" s="120"/>
      <c r="I14" s="120"/>
      <c r="J14" s="120"/>
      <c r="K14" s="120"/>
      <c r="L14" s="120"/>
    </row>
    <row r="15" spans="2:13" ht="21.95" customHeight="1" thickBot="1" x14ac:dyDescent="0.25">
      <c r="G15" s="148" t="str">
        <f ca="1">IF(LEN(G16)&gt;Einstellungen!$C$11,LEFT(G16,Einstellungen!$C$11)&amp;".",G16)</f>
        <v/>
      </c>
      <c r="H15" s="149" t="str">
        <f ca="1">IF(LEN(H16)&gt;Einstellungen!$C$11,LEFT(H16,Einstellungen!$C$11)&amp;".",H16)</f>
        <v/>
      </c>
      <c r="I15" s="149" t="str">
        <f ca="1">IF(LEN(I16)&gt;Einstellungen!$C$11,LEFT(I16,Einstellungen!$C$11)&amp;".",I16)</f>
        <v/>
      </c>
      <c r="J15" s="149" t="str">
        <f ca="1">IF(LEN(J16)&gt;Einstellungen!$C$11,LEFT(J16,Einstellungen!$C$11)&amp;".",J16)</f>
        <v/>
      </c>
      <c r="K15" s="149" t="str">
        <f ca="1">IF(LEN(K16)&gt;Einstellungen!$C$11,LEFT(K16,Einstellungen!$C$11)&amp;".",K16)</f>
        <v/>
      </c>
      <c r="L15" s="150" t="str">
        <f ca="1">IF(LEN(L16)&gt;Einstellungen!$C$11,LEFT(L16,Einstellungen!$C$11)&amp;".",L16)</f>
        <v/>
      </c>
    </row>
    <row r="16" spans="2:13" ht="21.95" customHeight="1" thickTop="1" thickBot="1" x14ac:dyDescent="0.25">
      <c r="B16" s="116"/>
      <c r="C16" s="122" t="str">
        <f>Sprache!$E$10</f>
        <v>Teilnehmer bzw. Mannschaft</v>
      </c>
      <c r="D16" s="126" t="str">
        <f>Sprache!$E$27</f>
        <v>Pkt</v>
      </c>
      <c r="E16" s="113" t="str">
        <f>Sprache!$E$26</f>
        <v>Diff.</v>
      </c>
      <c r="F16" s="151" t="str">
        <f>Sprache!$E$49</f>
        <v>Tie-Break</v>
      </c>
      <c r="G16" s="130" t="str">
        <f ca="1">C17</f>
        <v/>
      </c>
      <c r="H16" s="131" t="str">
        <f ca="1">C18</f>
        <v/>
      </c>
      <c r="I16" s="131" t="str">
        <f ca="1">C19</f>
        <v/>
      </c>
      <c r="J16" s="131" t="str">
        <f ca="1">C20</f>
        <v/>
      </c>
      <c r="K16" s="131" t="str">
        <f ca="1">C21</f>
        <v/>
      </c>
      <c r="L16" s="155" t="str">
        <f ca="1">C22</f>
        <v/>
      </c>
    </row>
    <row r="17" spans="2:13" ht="21.95" customHeight="1" x14ac:dyDescent="0.2">
      <c r="B17" s="114" t="str">
        <f ca="1">IF($C17="","",INDEX(Calc2!$E$4:$E$12,MATCH($C17,Calc2!$F$4:$F$12,0)))</f>
        <v/>
      </c>
      <c r="C17" s="123" t="str">
        <f ca="1">IF(Calc2!$K$13=0,"",Calc2!$AC4)</f>
        <v/>
      </c>
      <c r="D17" s="127" t="str">
        <f ca="1">IF($C17="","",VLOOKUP($C17,Calc2!$C$17:$AC$25,25,0))</f>
        <v/>
      </c>
      <c r="E17" s="110" t="str">
        <f ca="1">IF($C17="","",VLOOKUP($C17,Calc2!$C$17:$AC$25,26,0))</f>
        <v/>
      </c>
      <c r="F17" s="505" t="str">
        <f ca="1">IF($C17="","",VLOOKUP(C17,Vorrunde!$AN$12:$AP$27,3,0))</f>
        <v/>
      </c>
      <c r="G17" s="135"/>
      <c r="H17" s="110" t="str">
        <f ca="1">IFERROR(VLOOKUP($C17&amp;H$16,Calc2!$Z$64:$AB$207,3,0),"")</f>
        <v/>
      </c>
      <c r="I17" s="110" t="str">
        <f ca="1">IFERROR(VLOOKUP($C17&amp;I$16,Calc2!$Z$64:$AB$207,3,0),"")</f>
        <v/>
      </c>
      <c r="J17" s="110" t="str">
        <f ca="1">IFERROR(VLOOKUP($C17&amp;J$16,Calc2!$Z$64:$AB$207,3,0),"")</f>
        <v/>
      </c>
      <c r="K17" s="110" t="str">
        <f ca="1">IFERROR(VLOOKUP($C17&amp;K$16,Calc2!$Z$64:$AB$207,3,0),"")</f>
        <v/>
      </c>
      <c r="L17" s="156" t="str">
        <f ca="1">IFERROR(VLOOKUP($C17&amp;L$16,Calc2!$Z$64:$AB$207,3,0),"")</f>
        <v/>
      </c>
      <c r="M17" s="186" t="str">
        <f t="shared" ref="M17:M22" ca="1" si="1">C17</f>
        <v/>
      </c>
    </row>
    <row r="18" spans="2:13" ht="21.95" customHeight="1" x14ac:dyDescent="0.2">
      <c r="B18" s="114" t="str">
        <f ca="1">IF($C18="","",INDEX(Calc2!$E$4:$E$12,MATCH($C18,Calc2!$F$4:$F$12,0)))</f>
        <v/>
      </c>
      <c r="C18" s="124" t="str">
        <f ca="1">IF(Calc2!$K$13=0,"",Calc2!$AC5)</f>
        <v/>
      </c>
      <c r="D18" s="128" t="str">
        <f ca="1">IF($C18="","",VLOOKUP($C18,Calc2!$C$17:$AC$25,25,0))</f>
        <v/>
      </c>
      <c r="E18" s="111" t="str">
        <f ca="1">IF($C18="","",VLOOKUP($C18,Calc2!$C$17:$AC$25,26,0))</f>
        <v/>
      </c>
      <c r="F18" s="506" t="str">
        <f ca="1">IF($C18="","",VLOOKUP(C18,Vorrunde!$AN$12:$AP$27,3,0))</f>
        <v/>
      </c>
      <c r="G18" s="136" t="str">
        <f ca="1">IFERROR(VLOOKUP($C18&amp;G$16,Calc2!$Z$64:$AB$207,3,0),"")</f>
        <v/>
      </c>
      <c r="H18" s="121"/>
      <c r="I18" s="111" t="str">
        <f ca="1">IFERROR(VLOOKUP($C18&amp;I$16,Calc2!$Z$64:$AB$207,3,0),"")</f>
        <v/>
      </c>
      <c r="J18" s="111" t="str">
        <f ca="1">IFERROR(VLOOKUP($C18&amp;J$16,Calc2!$Z$64:$AB$207,3,0),"")</f>
        <v/>
      </c>
      <c r="K18" s="111" t="str">
        <f ca="1">IFERROR(VLOOKUP($C18&amp;K$16,Calc2!$Z$64:$AB$207,3,0),"")</f>
        <v/>
      </c>
      <c r="L18" s="157" t="str">
        <f ca="1">IFERROR(VLOOKUP($C18&amp;L$16,Calc2!$Z$64:$AB$207,3,0),"")</f>
        <v/>
      </c>
      <c r="M18" s="187" t="str">
        <f t="shared" ca="1" si="1"/>
        <v/>
      </c>
    </row>
    <row r="19" spans="2:13" ht="21.95" customHeight="1" x14ac:dyDescent="0.2">
      <c r="B19" s="114" t="str">
        <f ca="1">IF($C19="","",INDEX(Calc2!$E$4:$E$12,MATCH($C19,Calc2!$F$4:$F$12,0)))</f>
        <v/>
      </c>
      <c r="C19" s="124" t="str">
        <f ca="1">IF(Calc2!$K$13=0,"",Calc2!$AC6)</f>
        <v/>
      </c>
      <c r="D19" s="128" t="str">
        <f ca="1">IF($C19="","",VLOOKUP($C19,Calc2!$C$17:$AC$25,25,0))</f>
        <v/>
      </c>
      <c r="E19" s="111" t="str">
        <f ca="1">IF($C19="","",VLOOKUP($C19,Calc2!$C$17:$AC$25,26,0))</f>
        <v/>
      </c>
      <c r="F19" s="506" t="str">
        <f ca="1">IF($C19="","",VLOOKUP(C19,Vorrunde!$AN$12:$AP$27,3,0))</f>
        <v/>
      </c>
      <c r="G19" s="136" t="str">
        <f ca="1">IFERROR(VLOOKUP($C19&amp;G$16,Calc2!$Z$64:$AB$207,3,0),"")</f>
        <v/>
      </c>
      <c r="H19" s="111" t="str">
        <f ca="1">IFERROR(VLOOKUP($C19&amp;H$16,Calc2!$Z$64:$AB$207,3,0),"")</f>
        <v/>
      </c>
      <c r="I19" s="121"/>
      <c r="J19" s="111" t="str">
        <f ca="1">IFERROR(VLOOKUP($C19&amp;J$16,Calc2!$Z$64:$AB$207,3,0),"")</f>
        <v/>
      </c>
      <c r="K19" s="111" t="str">
        <f ca="1">IFERROR(VLOOKUP($C19&amp;K$16,Calc2!$Z$64:$AB$207,3,0),"")</f>
        <v/>
      </c>
      <c r="L19" s="157" t="str">
        <f ca="1">IFERROR(VLOOKUP($C19&amp;L$16,Calc2!$Z$64:$AB$207,3,0),"")</f>
        <v/>
      </c>
      <c r="M19" s="187" t="str">
        <f t="shared" ca="1" si="1"/>
        <v/>
      </c>
    </row>
    <row r="20" spans="2:13" ht="21.95" customHeight="1" x14ac:dyDescent="0.2">
      <c r="B20" s="114" t="str">
        <f ca="1">IF($C20="","",INDEX(Calc2!$E$4:$E$12,MATCH($C20,Calc2!$F$4:$F$12,0)))</f>
        <v/>
      </c>
      <c r="C20" s="124" t="str">
        <f ca="1">IF(Calc2!$K$13=0,"",Calc2!$AC7)</f>
        <v/>
      </c>
      <c r="D20" s="128" t="str">
        <f ca="1">IF($C20="","",VLOOKUP($C20,Calc2!$C$17:$AC$25,25,0))</f>
        <v/>
      </c>
      <c r="E20" s="111" t="str">
        <f ca="1">IF($C20="","",VLOOKUP($C20,Calc2!$C$17:$AC$25,26,0))</f>
        <v/>
      </c>
      <c r="F20" s="506" t="str">
        <f ca="1">IF($C20="","",VLOOKUP(C20,Vorrunde!$AN$12:$AP$27,3,0))</f>
        <v/>
      </c>
      <c r="G20" s="136" t="str">
        <f ca="1">IFERROR(VLOOKUP($C20&amp;G$16,Calc2!$Z$64:$AB$207,3,0),"")</f>
        <v/>
      </c>
      <c r="H20" s="111" t="str">
        <f ca="1">IFERROR(VLOOKUP($C20&amp;H$16,Calc2!$Z$64:$AB$207,3,0),"")</f>
        <v/>
      </c>
      <c r="I20" s="111" t="str">
        <f ca="1">IFERROR(VLOOKUP($C20&amp;I$16,Calc2!$Z$64:$AB$207,3,0),"")</f>
        <v/>
      </c>
      <c r="J20" s="121"/>
      <c r="K20" s="111" t="str">
        <f ca="1">IFERROR(VLOOKUP($C20&amp;K$16,Calc2!$Z$64:$AB$207,3,0),"")</f>
        <v/>
      </c>
      <c r="L20" s="157" t="str">
        <f ca="1">IFERROR(VLOOKUP($C20&amp;L$16,Calc2!$Z$64:$AB$207,3,0),"")</f>
        <v/>
      </c>
      <c r="M20" s="187" t="str">
        <f t="shared" ca="1" si="1"/>
        <v/>
      </c>
    </row>
    <row r="21" spans="2:13" ht="21.95" customHeight="1" x14ac:dyDescent="0.2">
      <c r="B21" s="114" t="str">
        <f ca="1">IF($C21="","",INDEX(Calc2!$E$4:$E$12,MATCH($C21,Calc2!$F$4:$F$12,0)))</f>
        <v/>
      </c>
      <c r="C21" s="124" t="str">
        <f ca="1">IF(Calc2!$K$13=0,"",Calc2!$AC8)</f>
        <v/>
      </c>
      <c r="D21" s="128" t="str">
        <f ca="1">IF($C21="","",VLOOKUP($C21,Calc2!$C$17:$AC$25,25,0))</f>
        <v/>
      </c>
      <c r="E21" s="111" t="str">
        <f ca="1">IF($C21="","",VLOOKUP($C21,Calc2!$C$17:$AC$25,26,0))</f>
        <v/>
      </c>
      <c r="F21" s="506" t="str">
        <f ca="1">IF($C21="","",VLOOKUP(C21,Vorrunde!$AN$12:$AP$27,3,0))</f>
        <v/>
      </c>
      <c r="G21" s="136" t="str">
        <f ca="1">IFERROR(VLOOKUP($C21&amp;G$16,Calc2!$Z$64:$AB$207,3,0),"")</f>
        <v/>
      </c>
      <c r="H21" s="111" t="str">
        <f ca="1">IFERROR(VLOOKUP($C21&amp;H$16,Calc2!$Z$64:$AB$207,3,0),"")</f>
        <v/>
      </c>
      <c r="I21" s="111" t="str">
        <f ca="1">IFERROR(VLOOKUP($C21&amp;I$16,Calc2!$Z$64:$AB$207,3,0),"")</f>
        <v/>
      </c>
      <c r="J21" s="111" t="str">
        <f ca="1">IFERROR(VLOOKUP($C21&amp;J$16,Calc2!$Z$64:$AB$207,3,0),"")</f>
        <v/>
      </c>
      <c r="K21" s="121"/>
      <c r="L21" s="157" t="str">
        <f ca="1">IFERROR(VLOOKUP($C21&amp;L$16,Calc2!$Z$64:$AB$207,3,0),"")</f>
        <v/>
      </c>
      <c r="M21" s="187" t="str">
        <f t="shared" ca="1" si="1"/>
        <v/>
      </c>
    </row>
    <row r="22" spans="2:13" ht="21.95" customHeight="1" thickBot="1" x14ac:dyDescent="0.25">
      <c r="B22" s="115" t="str">
        <f ca="1">IF($C22="","",INDEX(Calc2!$E$4:$E$12,MATCH($C22,Calc2!$F$4:$F$12,0)))</f>
        <v/>
      </c>
      <c r="C22" s="125" t="str">
        <f ca="1">IF(Calc2!$K$13=0,"",Calc2!$AC9)</f>
        <v/>
      </c>
      <c r="D22" s="129" t="str">
        <f ca="1">IF($C22="","",VLOOKUP($C22,Calc2!$C$17:$AC$25,25,0))</f>
        <v/>
      </c>
      <c r="E22" s="112" t="str">
        <f ca="1">IF($C22="","",VLOOKUP($C22,Calc2!$C$17:$AC$25,26,0))</f>
        <v/>
      </c>
      <c r="F22" s="507" t="str">
        <f ca="1">IF($C22="","",VLOOKUP(C22,Vorrunde!$AN$12:$AP$27,3,0))</f>
        <v/>
      </c>
      <c r="G22" s="137" t="str">
        <f ca="1">IFERROR(VLOOKUP($C22&amp;G$16,Calc2!$Z$64:$AB$207,3,0),"")</f>
        <v/>
      </c>
      <c r="H22" s="112" t="str">
        <f ca="1">IFERROR(VLOOKUP($C22&amp;H$16,Calc2!$Z$64:$AB$207,3,0),"")</f>
        <v/>
      </c>
      <c r="I22" s="112" t="str">
        <f ca="1">IFERROR(VLOOKUP($C22&amp;I$16,Calc2!$Z$64:$AB$207,3,0),"")</f>
        <v/>
      </c>
      <c r="J22" s="112" t="str">
        <f ca="1">IFERROR(VLOOKUP($C22&amp;J$16,Calc2!$Z$64:$AB$207,3,0),"")</f>
        <v/>
      </c>
      <c r="K22" s="112" t="str">
        <f ca="1">IFERROR(VLOOKUP($C22&amp;K$16,Calc2!$Z$64:$AB$207,3,0),"")</f>
        <v/>
      </c>
      <c r="L22" s="158"/>
      <c r="M22" s="188" t="str">
        <f t="shared" ca="1" si="1"/>
        <v/>
      </c>
    </row>
    <row r="23" spans="2:13" ht="42.75" customHeight="1" thickTop="1" thickBot="1" x14ac:dyDescent="0.25">
      <c r="B23" s="132"/>
      <c r="C23" s="133"/>
      <c r="D23" s="134"/>
      <c r="E23" s="120"/>
      <c r="F23" s="120"/>
      <c r="G23" s="120"/>
      <c r="H23" s="120"/>
      <c r="I23" s="120"/>
      <c r="J23" s="120"/>
      <c r="K23" s="120"/>
      <c r="L23" s="120"/>
    </row>
    <row r="24" spans="2:13" ht="21.95" customHeight="1" thickBot="1" x14ac:dyDescent="0.25">
      <c r="G24" s="148" t="str">
        <f ca="1">IF(LEN(G25)&gt;Einstellungen!$C$11,LEFT(G25,Einstellungen!$C$11)&amp;".",G25)</f>
        <v/>
      </c>
      <c r="H24" s="149" t="str">
        <f ca="1">IF(LEN(H25)&gt;Einstellungen!$C$11,LEFT(H25,Einstellungen!$C$11)&amp;".",H25)</f>
        <v/>
      </c>
      <c r="I24" s="149" t="str">
        <f ca="1">IF(LEN(I25)&gt;Einstellungen!$C$11,LEFT(I25,Einstellungen!$C$11)&amp;".",I25)</f>
        <v/>
      </c>
      <c r="J24" s="149" t="str">
        <f ca="1">IF(LEN(J25)&gt;Einstellungen!$C$11,LEFT(J25,Einstellungen!$C$11)&amp;".",J25)</f>
        <v/>
      </c>
      <c r="K24" s="149" t="str">
        <f ca="1">IF(LEN(K25)&gt;Einstellungen!$C$11,LEFT(K25,Einstellungen!$C$11)&amp;".",K25)</f>
        <v/>
      </c>
      <c r="L24" s="150" t="str">
        <f ca="1">IF(LEN(L25)&gt;Einstellungen!$C$11,LEFT(L25,Einstellungen!$C$11)&amp;".",L25)</f>
        <v/>
      </c>
    </row>
    <row r="25" spans="2:13" ht="21.95" customHeight="1" thickTop="1" thickBot="1" x14ac:dyDescent="0.25">
      <c r="B25" s="116"/>
      <c r="C25" s="122" t="str">
        <f>Sprache!$E$10</f>
        <v>Teilnehmer bzw. Mannschaft</v>
      </c>
      <c r="D25" s="126" t="str">
        <f>Sprache!$E$27</f>
        <v>Pkt</v>
      </c>
      <c r="E25" s="113" t="str">
        <f>Sprache!$E$26</f>
        <v>Diff.</v>
      </c>
      <c r="F25" s="151" t="str">
        <f>Sprache!$E$49</f>
        <v>Tie-Break</v>
      </c>
      <c r="G25" s="130" t="str">
        <f ca="1">C26</f>
        <v/>
      </c>
      <c r="H25" s="131" t="str">
        <f ca="1">C27</f>
        <v/>
      </c>
      <c r="I25" s="131" t="str">
        <f ca="1">C28</f>
        <v/>
      </c>
      <c r="J25" s="131" t="str">
        <f ca="1">C29</f>
        <v/>
      </c>
      <c r="K25" s="131" t="str">
        <f ca="1">C30</f>
        <v/>
      </c>
      <c r="L25" s="155" t="str">
        <f ca="1">C31</f>
        <v/>
      </c>
    </row>
    <row r="26" spans="2:13" ht="21.95" customHeight="1" x14ac:dyDescent="0.2">
      <c r="B26" s="114" t="str">
        <f ca="1">IF($C26="","",INDEX(Calc2!$E$4:$E$12,MATCH($C26,Calc2!$F$4:$F$12,0)))</f>
        <v/>
      </c>
      <c r="C26" s="123" t="str">
        <f ca="1">IF(Calc2!$K$13=0,"",Calc2!$AH4)</f>
        <v/>
      </c>
      <c r="D26" s="127" t="str">
        <f ca="1">IF($C26="","",VLOOKUP($C26,Calc2!$C$17:$AC$25,25,0))</f>
        <v/>
      </c>
      <c r="E26" s="110" t="str">
        <f ca="1">IF($C26="","",VLOOKUP($C26,Calc2!$C$17:$AC$25,26,0))</f>
        <v/>
      </c>
      <c r="F26" s="505" t="str">
        <f ca="1">IF($C26="","",VLOOKUP(C26,Vorrunde!$AN$12:$AP$27,3,0))</f>
        <v/>
      </c>
      <c r="G26" s="135"/>
      <c r="H26" s="110" t="str">
        <f ca="1">IFERROR(VLOOKUP($C26&amp;H$25,Calc2!$Z$64:$AB$207,3,0),"")</f>
        <v/>
      </c>
      <c r="I26" s="110" t="str">
        <f ca="1">IFERROR(VLOOKUP($C26&amp;I$25,Calc2!$Z$64:$AB$207,3,0),"")</f>
        <v/>
      </c>
      <c r="J26" s="110" t="str">
        <f ca="1">IFERROR(VLOOKUP($C26&amp;J$25,Calc2!$Z$64:$AB$207,3,0),"")</f>
        <v/>
      </c>
      <c r="K26" s="110" t="str">
        <f ca="1">IFERROR(VLOOKUP($C26&amp;K$25,Calc2!$Z$64:$AB$207,3,0),"")</f>
        <v/>
      </c>
      <c r="L26" s="156" t="str">
        <f ca="1">IFERROR(VLOOKUP($C26&amp;L$25,Calc2!$Z$64:$AB$207,3,0),"")</f>
        <v/>
      </c>
      <c r="M26" s="186" t="str">
        <f t="shared" ref="M26:M31" ca="1" si="2">C26</f>
        <v/>
      </c>
    </row>
    <row r="27" spans="2:13" ht="21.95" customHeight="1" x14ac:dyDescent="0.2">
      <c r="B27" s="114" t="str">
        <f ca="1">IF($C27="","",INDEX(Calc2!$E$4:$E$12,MATCH($C27,Calc2!$F$4:$F$12,0)))</f>
        <v/>
      </c>
      <c r="C27" s="124" t="str">
        <f ca="1">IF(Calc2!$K$13=0,"",Calc2!$AH5)</f>
        <v/>
      </c>
      <c r="D27" s="128" t="str">
        <f ca="1">IF($C27="","",VLOOKUP($C27,Calc2!$C$17:$AC$25,25,0))</f>
        <v/>
      </c>
      <c r="E27" s="111" t="str">
        <f ca="1">IF($C27="","",VLOOKUP($C27,Calc2!$C$17:$AC$25,26,0))</f>
        <v/>
      </c>
      <c r="F27" s="506" t="str">
        <f ca="1">IF($C27="","",VLOOKUP(C27,Vorrunde!$AN$12:$AP$27,3,0))</f>
        <v/>
      </c>
      <c r="G27" s="136" t="str">
        <f ca="1">IFERROR(VLOOKUP($C27&amp;G$25,Calc2!$Z$64:$AB$207,3,0),"")</f>
        <v/>
      </c>
      <c r="H27" s="121"/>
      <c r="I27" s="111" t="str">
        <f ca="1">IFERROR(VLOOKUP($C27&amp;I$25,Calc2!$Z$64:$AB$207,3,0),"")</f>
        <v/>
      </c>
      <c r="J27" s="111" t="str">
        <f ca="1">IFERROR(VLOOKUP($C27&amp;J$25,Calc2!$Z$64:$AB$207,3,0),"")</f>
        <v/>
      </c>
      <c r="K27" s="111" t="str">
        <f ca="1">IFERROR(VLOOKUP($C27&amp;K$25,Calc2!$Z$64:$AB$207,3,0),"")</f>
        <v/>
      </c>
      <c r="L27" s="157" t="str">
        <f ca="1">IFERROR(VLOOKUP($C27&amp;L$25,Calc2!$Z$64:$AB$207,3,0),"")</f>
        <v/>
      </c>
      <c r="M27" s="187" t="str">
        <f t="shared" ca="1" si="2"/>
        <v/>
      </c>
    </row>
    <row r="28" spans="2:13" ht="21.95" customHeight="1" x14ac:dyDescent="0.2">
      <c r="B28" s="114" t="str">
        <f ca="1">IF($C28="","",INDEX(Calc2!$E$4:$E$12,MATCH($C28,Calc2!$F$4:$F$12,0)))</f>
        <v/>
      </c>
      <c r="C28" s="124" t="str">
        <f ca="1">IF(Calc2!$K$13=0,"",Calc2!$AH6)</f>
        <v/>
      </c>
      <c r="D28" s="128" t="str">
        <f ca="1">IF($C28="","",VLOOKUP($C28,Calc2!$C$17:$AC$25,25,0))</f>
        <v/>
      </c>
      <c r="E28" s="111" t="str">
        <f ca="1">IF($C28="","",VLOOKUP($C28,Calc2!$C$17:$AC$25,26,0))</f>
        <v/>
      </c>
      <c r="F28" s="506" t="str">
        <f ca="1">IF($C28="","",VLOOKUP(C28,Vorrunde!$AN$12:$AP$27,3,0))</f>
        <v/>
      </c>
      <c r="G28" s="136" t="str">
        <f ca="1">IFERROR(VLOOKUP($C28&amp;G$25,Calc2!$Z$64:$AB$207,3,0),"")</f>
        <v/>
      </c>
      <c r="H28" s="111" t="str">
        <f ca="1">IFERROR(VLOOKUP($C28&amp;H$25,Calc2!$Z$64:$AB$207,3,0),"")</f>
        <v/>
      </c>
      <c r="I28" s="121"/>
      <c r="J28" s="111" t="str">
        <f ca="1">IFERROR(VLOOKUP($C28&amp;J$25,Calc2!$Z$64:$AB$207,3,0),"")</f>
        <v/>
      </c>
      <c r="K28" s="111" t="str">
        <f ca="1">IFERROR(VLOOKUP($C28&amp;K$25,Calc2!$Z$64:$AB$207,3,0),"")</f>
        <v/>
      </c>
      <c r="L28" s="157" t="str">
        <f ca="1">IFERROR(VLOOKUP($C28&amp;L$25,Calc2!$Z$64:$AB$207,3,0),"")</f>
        <v/>
      </c>
      <c r="M28" s="187" t="str">
        <f t="shared" ca="1" si="2"/>
        <v/>
      </c>
    </row>
    <row r="29" spans="2:13" ht="21.95" customHeight="1" x14ac:dyDescent="0.2">
      <c r="B29" s="114" t="str">
        <f ca="1">IF($C29="","",INDEX(Calc2!$E$4:$E$12,MATCH($C29,Calc2!$F$4:$F$12,0)))</f>
        <v/>
      </c>
      <c r="C29" s="124" t="str">
        <f ca="1">IF(Calc2!$K$13=0,"",Calc2!$AH7)</f>
        <v/>
      </c>
      <c r="D29" s="128" t="str">
        <f ca="1">IF($C29="","",VLOOKUP($C29,Calc2!$C$17:$AC$25,25,0))</f>
        <v/>
      </c>
      <c r="E29" s="111" t="str">
        <f ca="1">IF($C29="","",VLOOKUP($C29,Calc2!$C$17:$AC$25,26,0))</f>
        <v/>
      </c>
      <c r="F29" s="506" t="str">
        <f ca="1">IF($C29="","",VLOOKUP(C29,Vorrunde!$AN$12:$AP$27,3,0))</f>
        <v/>
      </c>
      <c r="G29" s="136" t="str">
        <f ca="1">IFERROR(VLOOKUP($C29&amp;G$25,Calc2!$Z$64:$AB$207,3,0),"")</f>
        <v/>
      </c>
      <c r="H29" s="111" t="str">
        <f ca="1">IFERROR(VLOOKUP($C29&amp;H$25,Calc2!$Z$64:$AB$207,3,0),"")</f>
        <v/>
      </c>
      <c r="I29" s="111" t="str">
        <f ca="1">IFERROR(VLOOKUP($C29&amp;I$25,Calc2!$Z$64:$AB$207,3,0),"")</f>
        <v/>
      </c>
      <c r="J29" s="121"/>
      <c r="K29" s="111" t="str">
        <f ca="1">IFERROR(VLOOKUP($C29&amp;K$25,Calc2!$Z$64:$AB$207,3,0),"")</f>
        <v/>
      </c>
      <c r="L29" s="157" t="str">
        <f ca="1">IFERROR(VLOOKUP($C29&amp;L$25,Calc2!$Z$64:$AB$207,3,0),"")</f>
        <v/>
      </c>
      <c r="M29" s="187" t="str">
        <f t="shared" ca="1" si="2"/>
        <v/>
      </c>
    </row>
    <row r="30" spans="2:13" ht="21.95" customHeight="1" x14ac:dyDescent="0.2">
      <c r="B30" s="114" t="str">
        <f ca="1">IF($C30="","",INDEX(Calc2!$E$4:$E$12,MATCH($C30,Calc2!$F$4:$F$12,0)))</f>
        <v/>
      </c>
      <c r="C30" s="124" t="str">
        <f ca="1">IF(Calc2!$K$13=0,"",Calc2!$AH8)</f>
        <v/>
      </c>
      <c r="D30" s="128" t="str">
        <f ca="1">IF($C30="","",VLOOKUP($C30,Calc2!$C$17:$AC$25,25,0))</f>
        <v/>
      </c>
      <c r="E30" s="111" t="str">
        <f ca="1">IF($C30="","",VLOOKUP($C30,Calc2!$C$17:$AC$25,26,0))</f>
        <v/>
      </c>
      <c r="F30" s="506" t="str">
        <f ca="1">IF($C30="","",VLOOKUP(C30,Vorrunde!$AN$12:$AP$27,3,0))</f>
        <v/>
      </c>
      <c r="G30" s="136" t="str">
        <f ca="1">IFERROR(VLOOKUP($C30&amp;G$25,Calc2!$Z$64:$AB$207,3,0),"")</f>
        <v/>
      </c>
      <c r="H30" s="111" t="str">
        <f ca="1">IFERROR(VLOOKUP($C30&amp;H$25,Calc2!$Z$64:$AB$207,3,0),"")</f>
        <v/>
      </c>
      <c r="I30" s="111" t="str">
        <f ca="1">IFERROR(VLOOKUP($C30&amp;I$25,Calc2!$Z$64:$AB$207,3,0),"")</f>
        <v/>
      </c>
      <c r="J30" s="111" t="str">
        <f ca="1">IFERROR(VLOOKUP($C30&amp;J$25,Calc2!$Z$64:$AB$207,3,0),"")</f>
        <v/>
      </c>
      <c r="K30" s="121"/>
      <c r="L30" s="157" t="str">
        <f ca="1">IFERROR(VLOOKUP($C30&amp;L$25,Calc2!$Z$64:$AB$207,3,0),"")</f>
        <v/>
      </c>
      <c r="M30" s="187" t="str">
        <f t="shared" ca="1" si="2"/>
        <v/>
      </c>
    </row>
    <row r="31" spans="2:13" ht="21.95" customHeight="1" thickBot="1" x14ac:dyDescent="0.25">
      <c r="B31" s="115" t="str">
        <f ca="1">IF($C31="","",INDEX(Calc2!$E$4:$E$12,MATCH($C31,Calc2!$F$4:$F$12,0)))</f>
        <v/>
      </c>
      <c r="C31" s="125" t="str">
        <f ca="1">IF(Calc2!$K$13=0,"",Calc2!$AH9)</f>
        <v/>
      </c>
      <c r="D31" s="129" t="str">
        <f ca="1">IF($C31="","",VLOOKUP($C31,Calc2!$C$17:$AC$25,25,0))</f>
        <v/>
      </c>
      <c r="E31" s="112" t="str">
        <f ca="1">IF($C31="","",VLOOKUP($C31,Calc2!$C$17:$AC$25,26,0))</f>
        <v/>
      </c>
      <c r="F31" s="507" t="str">
        <f ca="1">IF($C31="","",VLOOKUP(C31,Vorrunde!$AN$12:$AP$27,3,0))</f>
        <v/>
      </c>
      <c r="G31" s="137" t="str">
        <f ca="1">IFERROR(VLOOKUP($C31&amp;G$25,Calc2!$Z$64:$AB$207,3,0),"")</f>
        <v/>
      </c>
      <c r="H31" s="112" t="str">
        <f ca="1">IFERROR(VLOOKUP($C31&amp;H$25,Calc2!$Z$64:$AB$207,3,0),"")</f>
        <v/>
      </c>
      <c r="I31" s="112" t="str">
        <f ca="1">IFERROR(VLOOKUP($C31&amp;I$25,Calc2!$Z$64:$AB$207,3,0),"")</f>
        <v/>
      </c>
      <c r="J31" s="112" t="str">
        <f ca="1">IFERROR(VLOOKUP($C31&amp;J$25,Calc2!$Z$64:$AB$207,3,0),"")</f>
        <v/>
      </c>
      <c r="K31" s="112" t="str">
        <f ca="1">IFERROR(VLOOKUP($C31&amp;K$25,Calc2!$Z$64:$AB$207,3,0),"")</f>
        <v/>
      </c>
      <c r="L31" s="158"/>
      <c r="M31" s="188" t="str">
        <f t="shared" ca="1" si="2"/>
        <v/>
      </c>
    </row>
    <row r="32" spans="2:13" ht="42.75" customHeight="1" thickTop="1" thickBot="1" x14ac:dyDescent="0.25"/>
    <row r="33" spans="2:13" ht="21.95" customHeight="1" thickBot="1" x14ac:dyDescent="0.25">
      <c r="G33" s="148" t="str">
        <f ca="1">IF(LEN(G34)&gt;Einstellungen!$C$11,LEFT(G34,Einstellungen!$C$11)&amp;".",G34)</f>
        <v/>
      </c>
      <c r="H33" s="149" t="str">
        <f ca="1">IF(LEN(H34)&gt;Einstellungen!$C$11,LEFT(H34,Einstellungen!$C$11)&amp;".",H34)</f>
        <v/>
      </c>
      <c r="I33" s="149" t="str">
        <f ca="1">IF(LEN(I34)&gt;Einstellungen!$C$11,LEFT(I34,Einstellungen!$C$11)&amp;".",I34)</f>
        <v/>
      </c>
      <c r="J33" s="149" t="str">
        <f ca="1">IF(LEN(J34)&gt;Einstellungen!$C$11,LEFT(J34,Einstellungen!$C$11)&amp;".",J34)</f>
        <v/>
      </c>
      <c r="K33" s="149" t="str">
        <f ca="1">IF(LEN(K34)&gt;Einstellungen!$C$11,LEFT(K34,Einstellungen!$C$11)&amp;".",K34)</f>
        <v/>
      </c>
      <c r="L33" s="150" t="str">
        <f ca="1">IF(LEN(L34)&gt;Einstellungen!$C$11,LEFT(L34,Einstellungen!$C$11)&amp;".",L34)</f>
        <v/>
      </c>
    </row>
    <row r="34" spans="2:13" ht="21.95" customHeight="1" thickTop="1" thickBot="1" x14ac:dyDescent="0.25">
      <c r="B34" s="116"/>
      <c r="C34" s="122" t="str">
        <f>Sprache!$E$10</f>
        <v>Teilnehmer bzw. Mannschaft</v>
      </c>
      <c r="D34" s="126" t="str">
        <f>Sprache!$E$27</f>
        <v>Pkt</v>
      </c>
      <c r="E34" s="113" t="str">
        <f>Sprache!$E$26</f>
        <v>Diff.</v>
      </c>
      <c r="F34" s="151" t="str">
        <f>Sprache!$E$49</f>
        <v>Tie-Break</v>
      </c>
      <c r="G34" s="130" t="str">
        <f ca="1">C35</f>
        <v/>
      </c>
      <c r="H34" s="131" t="str">
        <f ca="1">C36</f>
        <v/>
      </c>
      <c r="I34" s="131" t="str">
        <f ca="1">C37</f>
        <v/>
      </c>
      <c r="J34" s="131" t="str">
        <f ca="1">C38</f>
        <v/>
      </c>
      <c r="K34" s="131" t="str">
        <f ca="1">C39</f>
        <v/>
      </c>
      <c r="L34" s="155" t="str">
        <f ca="1">C40</f>
        <v/>
      </c>
    </row>
    <row r="35" spans="2:13" ht="21.95" customHeight="1" x14ac:dyDescent="0.2">
      <c r="B35" s="114" t="str">
        <f ca="1">IF($C35="","",INDEX(Calc2!$E$4:$E$12,MATCH($C35,Calc2!$F$4:$F$12,0)))</f>
        <v/>
      </c>
      <c r="C35" s="123" t="str">
        <f ca="1">IF(Calc2!$K$13=0,"",Calc2!$AM4)</f>
        <v/>
      </c>
      <c r="D35" s="127" t="str">
        <f ca="1">IF($C35="","",VLOOKUP($C35,Calc2!$C$17:$AC$25,25,0))</f>
        <v/>
      </c>
      <c r="E35" s="110" t="str">
        <f ca="1">IF($C35="","",VLOOKUP($C35,Calc2!$C$17:$AC$25,26,0))</f>
        <v/>
      </c>
      <c r="F35" s="505" t="str">
        <f ca="1">IF($C35="","",VLOOKUP(C35,Vorrunde!$AN$12:$AP$27,3,0))</f>
        <v/>
      </c>
      <c r="G35" s="135"/>
      <c r="H35" s="110" t="str">
        <f ca="1">IFERROR(VLOOKUP($C35&amp;H$34,Calc2!$Z$64:$AB$207,3,0),"")</f>
        <v/>
      </c>
      <c r="I35" s="110" t="str">
        <f ca="1">IFERROR(VLOOKUP($C35&amp;I$34,Calc2!$Z$64:$AB$207,3,0),"")</f>
        <v/>
      </c>
      <c r="J35" s="110" t="str">
        <f ca="1">IFERROR(VLOOKUP($C35&amp;J$34,Calc2!$Z$64:$AB$207,3,0),"")</f>
        <v/>
      </c>
      <c r="K35" s="110" t="str">
        <f ca="1">IFERROR(VLOOKUP($C35&amp;K$34,Calc2!$Z$64:$AB$207,3,0),"")</f>
        <v/>
      </c>
      <c r="L35" s="156" t="str">
        <f ca="1">IFERROR(VLOOKUP($C35&amp;L$34,Calc2!$Z$64:$AB$207,3,0),"")</f>
        <v/>
      </c>
      <c r="M35" s="186" t="str">
        <f t="shared" ref="M35:M40" ca="1" si="3">C35</f>
        <v/>
      </c>
    </row>
    <row r="36" spans="2:13" ht="21.95" customHeight="1" x14ac:dyDescent="0.2">
      <c r="B36" s="114" t="str">
        <f ca="1">IF($C36="","",INDEX(Calc2!$E$4:$E$12,MATCH($C36,Calc2!$F$4:$F$12,0)))</f>
        <v/>
      </c>
      <c r="C36" s="124" t="str">
        <f ca="1">IF(Calc2!$K$13=0,"",Calc2!$AM5)</f>
        <v/>
      </c>
      <c r="D36" s="128" t="str">
        <f ca="1">IF($C36="","",VLOOKUP($C36,Calc2!$C$17:$AC$25,25,0))</f>
        <v/>
      </c>
      <c r="E36" s="111" t="str">
        <f ca="1">IF($C36="","",VLOOKUP($C36,Calc2!$C$17:$AC$25,26,0))</f>
        <v/>
      </c>
      <c r="F36" s="506" t="str">
        <f ca="1">IF($C36="","",VLOOKUP(C36,Vorrunde!$AN$12:$AP$27,3,0))</f>
        <v/>
      </c>
      <c r="G36" s="136" t="str">
        <f ca="1">IFERROR(VLOOKUP($C36&amp;G$34,Calc2!$Z$64:$AB$207,3,0),"")</f>
        <v/>
      </c>
      <c r="H36" s="121"/>
      <c r="I36" s="111" t="str">
        <f ca="1">IFERROR(VLOOKUP($C36&amp;I$34,Calc2!$Z$64:$AB$207,3,0),"")</f>
        <v/>
      </c>
      <c r="J36" s="111" t="str">
        <f ca="1">IFERROR(VLOOKUP($C36&amp;J$34,Calc2!$Z$64:$AB$207,3,0),"")</f>
        <v/>
      </c>
      <c r="K36" s="111" t="str">
        <f ca="1">IFERROR(VLOOKUP($C36&amp;K$34,Calc2!$Z$64:$AB$207,3,0),"")</f>
        <v/>
      </c>
      <c r="L36" s="157" t="str">
        <f ca="1">IFERROR(VLOOKUP($C36&amp;L$34,Calc2!$Z$64:$AB$207,3,0),"")</f>
        <v/>
      </c>
      <c r="M36" s="187" t="str">
        <f t="shared" ca="1" si="3"/>
        <v/>
      </c>
    </row>
    <row r="37" spans="2:13" ht="21.95" customHeight="1" x14ac:dyDescent="0.2">
      <c r="B37" s="114" t="str">
        <f ca="1">IF($C37="","",INDEX(Calc2!$E$4:$E$12,MATCH($C37,Calc2!$F$4:$F$12,0)))</f>
        <v/>
      </c>
      <c r="C37" s="124" t="str">
        <f ca="1">IF(Calc2!$K$13=0,"",Calc2!$AM6)</f>
        <v/>
      </c>
      <c r="D37" s="128" t="str">
        <f ca="1">IF($C37="","",VLOOKUP($C37,Calc2!$C$17:$AC$25,25,0))</f>
        <v/>
      </c>
      <c r="E37" s="111" t="str">
        <f ca="1">IF($C37="","",VLOOKUP($C37,Calc2!$C$17:$AC$25,26,0))</f>
        <v/>
      </c>
      <c r="F37" s="506" t="str">
        <f ca="1">IF($C37="","",VLOOKUP(C37,Vorrunde!$AN$12:$AP$27,3,0))</f>
        <v/>
      </c>
      <c r="G37" s="136" t="str">
        <f ca="1">IFERROR(VLOOKUP($C37&amp;G$34,Calc2!$Z$64:$AB$207,3,0),"")</f>
        <v/>
      </c>
      <c r="H37" s="111" t="str">
        <f ca="1">IFERROR(VLOOKUP($C37&amp;H$34,Calc2!$Z$64:$AB$207,3,0),"")</f>
        <v/>
      </c>
      <c r="I37" s="121"/>
      <c r="J37" s="111" t="str">
        <f ca="1">IFERROR(VLOOKUP($C37&amp;J$34,Calc2!$Z$64:$AB$207,3,0),"")</f>
        <v/>
      </c>
      <c r="K37" s="111" t="str">
        <f ca="1">IFERROR(VLOOKUP($C37&amp;K$34,Calc2!$Z$64:$AB$207,3,0),"")</f>
        <v/>
      </c>
      <c r="L37" s="157" t="str">
        <f ca="1">IFERROR(VLOOKUP($C37&amp;L$34,Calc2!$Z$64:$AB$207,3,0),"")</f>
        <v/>
      </c>
      <c r="M37" s="187" t="str">
        <f t="shared" ca="1" si="3"/>
        <v/>
      </c>
    </row>
    <row r="38" spans="2:13" ht="21.95" customHeight="1" x14ac:dyDescent="0.2">
      <c r="B38" s="114" t="str">
        <f ca="1">IF($C38="","",INDEX(Calc2!$E$4:$E$12,MATCH($C38,Calc2!$F$4:$F$12,0)))</f>
        <v/>
      </c>
      <c r="C38" s="124" t="str">
        <f ca="1">IF(Calc2!$K$13=0,"",Calc2!$AM7)</f>
        <v/>
      </c>
      <c r="D38" s="128" t="str">
        <f ca="1">IF($C38="","",VLOOKUP($C38,Calc2!$C$17:$AC$25,25,0))</f>
        <v/>
      </c>
      <c r="E38" s="111" t="str">
        <f ca="1">IF($C38="","",VLOOKUP($C38,Calc2!$C$17:$AC$25,26,0))</f>
        <v/>
      </c>
      <c r="F38" s="506" t="str">
        <f ca="1">IF($C38="","",VLOOKUP(C38,Vorrunde!$AN$12:$AP$27,3,0))</f>
        <v/>
      </c>
      <c r="G38" s="136" t="str">
        <f ca="1">IFERROR(VLOOKUP($C38&amp;G$34,Calc2!$Z$64:$AB$207,3,0),"")</f>
        <v/>
      </c>
      <c r="H38" s="111" t="str">
        <f ca="1">IFERROR(VLOOKUP($C38&amp;H$34,Calc2!$Z$64:$AB$207,3,0),"")</f>
        <v/>
      </c>
      <c r="I38" s="111" t="str">
        <f ca="1">IFERROR(VLOOKUP($C38&amp;I$34,Calc2!$Z$64:$AB$207,3,0),"")</f>
        <v/>
      </c>
      <c r="J38" s="121"/>
      <c r="K38" s="111" t="str">
        <f ca="1">IFERROR(VLOOKUP($C38&amp;K$34,Calc2!$Z$64:$AB$207,3,0),"")</f>
        <v/>
      </c>
      <c r="L38" s="157" t="str">
        <f ca="1">IFERROR(VLOOKUP($C38&amp;L$34,Calc2!$Z$64:$AB$207,3,0),"")</f>
        <v/>
      </c>
      <c r="M38" s="187" t="str">
        <f t="shared" ca="1" si="3"/>
        <v/>
      </c>
    </row>
    <row r="39" spans="2:13" ht="21.95" customHeight="1" x14ac:dyDescent="0.2">
      <c r="B39" s="114" t="str">
        <f ca="1">IF($C39="","",INDEX(Calc2!$E$4:$E$12,MATCH($C39,Calc2!$F$4:$F$12,0)))</f>
        <v/>
      </c>
      <c r="C39" s="124" t="str">
        <f ca="1">IF(Calc2!$K$13=0,"",Calc2!$AM8)</f>
        <v/>
      </c>
      <c r="D39" s="128" t="str">
        <f ca="1">IF($C39="","",VLOOKUP($C39,Calc2!$C$17:$AC$25,25,0))</f>
        <v/>
      </c>
      <c r="E39" s="111" t="str">
        <f ca="1">IF($C39="","",VLOOKUP($C39,Calc2!$C$17:$AC$25,26,0))</f>
        <v/>
      </c>
      <c r="F39" s="506" t="str">
        <f ca="1">IF($C39="","",VLOOKUP(C39,Vorrunde!$AN$12:$AP$27,3,0))</f>
        <v/>
      </c>
      <c r="G39" s="136" t="str">
        <f ca="1">IFERROR(VLOOKUP($C39&amp;G$34,Calc2!$Z$64:$AB$207,3,0),"")</f>
        <v/>
      </c>
      <c r="H39" s="111" t="str">
        <f ca="1">IFERROR(VLOOKUP($C39&amp;H$34,Calc2!$Z$64:$AB$207,3,0),"")</f>
        <v/>
      </c>
      <c r="I39" s="111" t="str">
        <f ca="1">IFERROR(VLOOKUP($C39&amp;I$34,Calc2!$Z$64:$AB$207,3,0),"")</f>
        <v/>
      </c>
      <c r="J39" s="111" t="str">
        <f ca="1">IFERROR(VLOOKUP($C39&amp;J$34,Calc2!$Z$64:$AB$207,3,0),"")</f>
        <v/>
      </c>
      <c r="K39" s="121"/>
      <c r="L39" s="157" t="str">
        <f ca="1">IFERROR(VLOOKUP($C39&amp;L$34,Calc2!$Z$64:$AB$207,3,0),"")</f>
        <v/>
      </c>
      <c r="M39" s="187" t="str">
        <f t="shared" ca="1" si="3"/>
        <v/>
      </c>
    </row>
    <row r="40" spans="2:13" ht="21.95" customHeight="1" thickBot="1" x14ac:dyDescent="0.25">
      <c r="B40" s="115" t="str">
        <f ca="1">IF($C40="","",INDEX(Calc2!$E$4:$E$12,MATCH($C40,Calc2!$F$4:$F$12,0)))</f>
        <v/>
      </c>
      <c r="C40" s="125" t="str">
        <f ca="1">IF(Calc2!$K$13=0,"",Calc2!$AM9)</f>
        <v/>
      </c>
      <c r="D40" s="129" t="str">
        <f ca="1">IF($C40="","",VLOOKUP($C40,Calc2!$C$17:$AC$25,25,0))</f>
        <v/>
      </c>
      <c r="E40" s="112" t="str">
        <f ca="1">IF($C40="","",VLOOKUP($C40,Calc2!$C$17:$AC$25,26,0))</f>
        <v/>
      </c>
      <c r="F40" s="507" t="str">
        <f ca="1">IF($C40="","",VLOOKUP(C40,Vorrunde!$AN$12:$AP$27,3,0))</f>
        <v/>
      </c>
      <c r="G40" s="137" t="str">
        <f ca="1">IFERROR(VLOOKUP($C40&amp;G$34,Calc2!$Z$64:$AB$207,3,0),"")</f>
        <v/>
      </c>
      <c r="H40" s="112" t="str">
        <f ca="1">IFERROR(VLOOKUP($C40&amp;H$34,Calc2!$Z$64:$AB$207,3,0),"")</f>
        <v/>
      </c>
      <c r="I40" s="112" t="str">
        <f ca="1">IFERROR(VLOOKUP($C40&amp;I$34,Calc2!$Z$64:$AB$207,3,0),"")</f>
        <v/>
      </c>
      <c r="J40" s="112" t="str">
        <f ca="1">IFERROR(VLOOKUP($C40&amp;J$34,Calc2!$Z$64:$AB$207,3,0),"")</f>
        <v/>
      </c>
      <c r="K40" s="112" t="str">
        <f ca="1">IFERROR(VLOOKUP($C40&amp;K$34,Calc2!$Z$64:$AB$207,3,0),"")</f>
        <v/>
      </c>
      <c r="L40" s="158"/>
      <c r="M40" s="188"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14"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45925-0C66-4B5F-A970-E7668C88C5E9}">
  <dimension ref="A1:XFD31"/>
  <sheetViews>
    <sheetView showGridLines="0" showRowColHeaders="0" workbookViewId="0">
      <selection activeCell="J12" sqref="J12"/>
    </sheetView>
  </sheetViews>
  <sheetFormatPr baseColWidth="10" defaultColWidth="0" defaultRowHeight="0" customHeight="1" zeroHeight="1" x14ac:dyDescent="0.2"/>
  <cols>
    <col min="1" max="1" width="10.42578125" style="46" customWidth="1"/>
    <col min="2" max="2" width="5.28515625" style="46" customWidth="1"/>
    <col min="3" max="3" width="6.7109375" style="46" customWidth="1"/>
    <col min="4" max="6" width="11.42578125" style="46" customWidth="1"/>
    <col min="7" max="7" width="28.7109375" style="46" customWidth="1"/>
    <col min="8" max="8" width="2.85546875" style="46" customWidth="1"/>
    <col min="9" max="9" width="28.7109375" style="46" customWidth="1"/>
    <col min="10" max="10" width="4.7109375" style="46" customWidth="1"/>
    <col min="11" max="11" width="2.28515625" style="46" customWidth="1"/>
    <col min="12" max="13" width="4.7109375" style="46" customWidth="1"/>
    <col min="14" max="14" width="2.28515625" style="46" customWidth="1"/>
    <col min="15" max="16" width="4.7109375" style="46" customWidth="1"/>
    <col min="17" max="17" width="2.28515625" style="46" customWidth="1"/>
    <col min="18" max="18" width="4.7109375" style="46" customWidth="1"/>
    <col min="19" max="20" width="8" style="46" customWidth="1"/>
    <col min="21" max="21" width="11.42578125" customWidth="1"/>
    <col min="22" max="22" width="18.42578125" hidden="1" customWidth="1"/>
    <col min="23" max="23" width="18.28515625" hidden="1" customWidth="1"/>
    <col min="24" max="24" width="10.5703125" hidden="1" customWidth="1"/>
    <col min="25" max="25" width="9.28515625" hidden="1" customWidth="1"/>
    <col min="26" max="26" width="8.85546875" hidden="1" customWidth="1"/>
    <col min="27" max="27" width="5.85546875" hidden="1" customWidth="1"/>
    <col min="28" max="28" width="5.28515625" hidden="1" customWidth="1"/>
    <col min="29" max="16384" width="11.42578125" hidden="1"/>
  </cols>
  <sheetData>
    <row r="1" spans="1:28" ht="13.5" thickBot="1" x14ac:dyDescent="0.25"/>
    <row r="2" spans="1:28" ht="36.75" thickTop="1" x14ac:dyDescent="0.2">
      <c r="E2" s="840" t="str">
        <f>Vorrunde!$G$2</f>
        <v>Internationales U10-Turnier am 12.03.2025</v>
      </c>
      <c r="F2" s="841"/>
      <c r="G2" s="841"/>
      <c r="H2" s="841"/>
      <c r="I2" s="841"/>
      <c r="J2" s="841"/>
      <c r="K2" s="841"/>
      <c r="L2" s="841"/>
      <c r="M2" s="841"/>
      <c r="N2" s="841"/>
      <c r="O2" s="841"/>
      <c r="P2" s="841"/>
      <c r="Q2" s="841"/>
      <c r="R2" s="841"/>
      <c r="S2" s="842"/>
    </row>
    <row r="3" spans="1:28" ht="30" customHeight="1" x14ac:dyDescent="0.2">
      <c r="E3" s="843" t="str">
        <f>Vorrunde!$G$3</f>
        <v>Veranstalter:  1. FC Riedwald</v>
      </c>
      <c r="F3" s="844"/>
      <c r="G3" s="844"/>
      <c r="H3" s="844"/>
      <c r="I3" s="844"/>
      <c r="J3" s="844"/>
      <c r="K3" s="844"/>
      <c r="L3" s="844"/>
      <c r="M3" s="844"/>
      <c r="N3" s="844"/>
      <c r="O3" s="844"/>
      <c r="P3" s="844"/>
      <c r="Q3" s="844"/>
      <c r="R3" s="844"/>
      <c r="S3" s="845"/>
    </row>
    <row r="4" spans="1:28" ht="30" customHeight="1" x14ac:dyDescent="0.2">
      <c r="E4" s="846" t="str">
        <f>Vorrunde!$G$4</f>
        <v>Sporthalle Wiesengrund, Wendiger Str. 51, 65432 Riedwald</v>
      </c>
      <c r="F4" s="847"/>
      <c r="G4" s="847"/>
      <c r="H4" s="847"/>
      <c r="I4" s="847"/>
      <c r="J4" s="847"/>
      <c r="K4" s="847"/>
      <c r="L4" s="847"/>
      <c r="M4" s="847"/>
      <c r="N4" s="847"/>
      <c r="O4" s="847"/>
      <c r="P4" s="847"/>
      <c r="Q4" s="847"/>
      <c r="R4" s="847"/>
      <c r="S4" s="848"/>
    </row>
    <row r="5" spans="1:28" ht="30" customHeight="1" thickBot="1" x14ac:dyDescent="0.25">
      <c r="E5" s="849" t="str">
        <f>Vorrunde!$G$5</f>
        <v>Beginn:  9:00 Uhr</v>
      </c>
      <c r="F5" s="850"/>
      <c r="G5" s="850"/>
      <c r="H5" s="850"/>
      <c r="I5" s="850"/>
      <c r="J5" s="850"/>
      <c r="K5" s="850"/>
      <c r="L5" s="850"/>
      <c r="M5" s="850"/>
      <c r="N5" s="850"/>
      <c r="O5" s="850"/>
      <c r="P5" s="850"/>
      <c r="Q5" s="850"/>
      <c r="R5" s="850"/>
      <c r="S5" s="851"/>
    </row>
    <row r="6" spans="1:28" ht="18" customHeight="1" thickTop="1" thickBot="1" x14ac:dyDescent="0.25"/>
    <row r="7" spans="1:28" ht="30" customHeight="1" thickTop="1" x14ac:dyDescent="0.2">
      <c r="G7" s="858" t="str">
        <f>Sprache!$E$19</f>
        <v>Endrunde</v>
      </c>
      <c r="H7" s="859"/>
      <c r="I7" s="860"/>
    </row>
    <row r="8" spans="1:28" ht="30" customHeight="1" thickBot="1" x14ac:dyDescent="0.25">
      <c r="G8" s="861"/>
      <c r="H8" s="862"/>
      <c r="I8" s="863"/>
    </row>
    <row r="9" spans="1:28" ht="12.6" customHeight="1" thickTop="1" x14ac:dyDescent="0.2">
      <c r="S9" s="766" t="str">
        <f>Sprache!$E$20</f>
        <v>Zusätzl. Pause (min)</v>
      </c>
    </row>
    <row r="10" spans="1:28" ht="27.95" customHeight="1" thickBot="1" x14ac:dyDescent="0.35">
      <c r="C10" s="839" t="str">
        <f>Sprache!$E$53</f>
        <v>Halbfinale</v>
      </c>
      <c r="D10" s="839"/>
      <c r="E10" s="839"/>
      <c r="F10" s="839"/>
      <c r="S10" s="766"/>
    </row>
    <row r="11" spans="1:28" ht="24" customHeight="1" thickTop="1" thickBot="1" x14ac:dyDescent="0.25">
      <c r="B11" s="390"/>
      <c r="C11" s="441" t="str">
        <f>Sprache!$E$9</f>
        <v>Nr.</v>
      </c>
      <c r="D11" s="386" t="str">
        <f>Sprache!$E$39</f>
        <v>Beginn</v>
      </c>
      <c r="E11" s="375" t="str">
        <f>Sprache!$E$48</f>
        <v>Feld</v>
      </c>
      <c r="F11" s="375"/>
      <c r="G11" s="782" t="str">
        <f>Sprache!$E$14</f>
        <v>Spielpaarung</v>
      </c>
      <c r="H11" s="782"/>
      <c r="I11" s="782"/>
      <c r="J11" s="782" t="str">
        <f>Sprache!$E$61</f>
        <v>1. Satz</v>
      </c>
      <c r="K11" s="782"/>
      <c r="L11" s="782"/>
      <c r="M11" s="782" t="str">
        <f>Sprache!$E$62</f>
        <v>2. Satz</v>
      </c>
      <c r="N11" s="782"/>
      <c r="O11" s="782"/>
      <c r="P11" s="782" t="str">
        <f>Sprache!$E$63</f>
        <v>3. Satz</v>
      </c>
      <c r="Q11" s="782"/>
      <c r="R11" s="807"/>
      <c r="S11" s="767"/>
      <c r="V11" s="735" t="s">
        <v>373</v>
      </c>
      <c r="W11" s="735" t="s">
        <v>374</v>
      </c>
      <c r="X11" s="734" t="s">
        <v>372</v>
      </c>
      <c r="Y11" s="734" t="s">
        <v>376</v>
      </c>
      <c r="Z11" s="734" t="s">
        <v>375</v>
      </c>
      <c r="AA11" s="853" t="s">
        <v>335</v>
      </c>
      <c r="AB11" s="853"/>
    </row>
    <row r="12" spans="1:28" ht="24" customHeight="1" x14ac:dyDescent="0.2">
      <c r="A12" s="357"/>
      <c r="B12" s="428"/>
      <c r="C12" s="523">
        <f t="array" aca="1" ref="C12" ca="1">31-SUM(((Planung!$L$6:$L$35="")+(Planung!$N$6:$N$35="")&gt;0)*1)</f>
        <v>21</v>
      </c>
      <c r="D12" s="524">
        <f ca="1">IF(Planung!$U$15,"",Planung!$R$13+(Planung!$R$9+Planung!$P$35)/1440)</f>
        <v>0.54513888888888884</v>
      </c>
      <c r="E12" s="383">
        <f>IF(Planung!$U$15,"",1)</f>
        <v>1</v>
      </c>
      <c r="F12" s="371" t="s">
        <v>234</v>
      </c>
      <c r="G12" s="372" t="str">
        <f ca="1">Vorrunde!$Q$12</f>
        <v>Maibach 1822 eV</v>
      </c>
      <c r="H12" s="373" t="s">
        <v>4</v>
      </c>
      <c r="I12" s="374" t="str">
        <f ca="1">Vorrunde!$Q$23</f>
        <v>Manchester City</v>
      </c>
      <c r="J12" s="376">
        <v>13</v>
      </c>
      <c r="K12" s="380" t="str">
        <f>Sprache!$E$77</f>
        <v>:</v>
      </c>
      <c r="L12" s="721">
        <v>25</v>
      </c>
      <c r="M12" s="376">
        <v>8</v>
      </c>
      <c r="N12" s="380" t="str">
        <f>Sprache!$E$77</f>
        <v>:</v>
      </c>
      <c r="O12" s="721">
        <v>25</v>
      </c>
      <c r="P12" s="376"/>
      <c r="Q12" s="694" t="str">
        <f>Sprache!$E$77</f>
        <v>:</v>
      </c>
      <c r="R12" s="377"/>
      <c r="S12" s="697"/>
      <c r="T12" s="357"/>
      <c r="V12" s="357" t="str">
        <f ca="1">IF($AA12&gt;$AB12,$G12,IF($AA12&lt;$AB12,$I12,""))</f>
        <v>Manchester City</v>
      </c>
      <c r="W12" s="357" t="str">
        <f ca="1">IF($AA12&lt;$AB12,$G12,IF($AA12&gt;$AB12,$I12,""))</f>
        <v>Maibach 1822 eV</v>
      </c>
      <c r="X12" s="357" t="b">
        <f>AND($J12&lt;&gt;"",$L12&lt;&gt;"",$M12&lt;&gt;"",$O12&lt;&gt;"",$J12&lt;&gt;$L12,$M12&lt;&gt;$O12,($J12&gt;$L12)+($M12&gt;$O12)=1)</f>
        <v>0</v>
      </c>
      <c r="Y12" s="736" t="b">
        <f ca="1">AND($J12&lt;&gt;"",$L12&lt;&gt;"",$J12&lt;&gt;$L12,OR(AND($M12="",$O12=""),AND($M12&lt;&gt;"",$O12&lt;&gt;"",$M12&lt;&gt;$O12)),$G12&lt;&gt;"",$I12&lt;&gt;"",$G12&lt;&gt;$I12)</f>
        <v>1</v>
      </c>
      <c r="Z12" s="357" t="b">
        <f>AND($X12,$P12&lt;&gt;"",$R12&lt;&gt;"",$P12&lt;&gt;$R12)</f>
        <v>0</v>
      </c>
      <c r="AA12" s="736">
        <f ca="1">(($J12&gt;$L12)+($M12&gt;$O12)+($P12&gt;$R12)*$Z12)*$Y12</f>
        <v>0</v>
      </c>
      <c r="AB12" s="736">
        <f ca="1">(($J12&lt;$L12)+($M12&lt;$O12)+($P12&lt;$R12)*$Z12)*$Y12</f>
        <v>2</v>
      </c>
    </row>
    <row r="13" spans="1:28" ht="24" customHeight="1" thickBot="1" x14ac:dyDescent="0.25">
      <c r="A13" s="357"/>
      <c r="B13" s="428"/>
      <c r="C13" s="434">
        <f ca="1">$C$12+1</f>
        <v>22</v>
      </c>
      <c r="D13" s="437">
        <f ca="1">IF(Planung!$U$15,"",$D$12+QUOTIENT(1,Planung!$U$11)*(Planung!$R$7+Planung!$R$9)/1440+$S12/1440)</f>
        <v>0.54513888888888884</v>
      </c>
      <c r="E13" s="413">
        <f>IF(Planung!$U$15,"",MOD(1,Planung!$U$11)+1)</f>
        <v>2</v>
      </c>
      <c r="F13" s="370" t="s">
        <v>235</v>
      </c>
      <c r="G13" s="366" t="str">
        <f ca="1">Vorrunde!$Q$22</f>
        <v>Mainz 05</v>
      </c>
      <c r="H13" s="154" t="s">
        <v>4</v>
      </c>
      <c r="I13" s="368" t="str">
        <f ca="1">Vorrunde!$Q$13</f>
        <v>Eintracht Frankfurt</v>
      </c>
      <c r="J13" s="379">
        <v>25</v>
      </c>
      <c r="K13" s="414" t="str">
        <f>Sprache!$E$77</f>
        <v>:</v>
      </c>
      <c r="L13" s="708">
        <v>21</v>
      </c>
      <c r="M13" s="379">
        <v>22</v>
      </c>
      <c r="N13" s="414" t="str">
        <f>Sprache!$E$77</f>
        <v>:</v>
      </c>
      <c r="O13" s="708">
        <v>25</v>
      </c>
      <c r="P13" s="379">
        <v>13</v>
      </c>
      <c r="Q13" s="719" t="str">
        <f>Sprache!$E$77</f>
        <v>:</v>
      </c>
      <c r="R13" s="364">
        <v>15</v>
      </c>
      <c r="S13" s="716"/>
      <c r="T13" s="357"/>
      <c r="V13" s="357" t="str">
        <f ca="1">IF($AA13&gt;$AB13,$G13,IF($AA13&lt;$AB13,$I13,""))</f>
        <v>Eintracht Frankfurt</v>
      </c>
      <c r="W13" s="357" t="str">
        <f ca="1">IF($AA13&lt;$AB13,$G13,IF($AA13&gt;$AB13,$I13,""))</f>
        <v>Mainz 05</v>
      </c>
      <c r="X13" s="357" t="b">
        <f>AND($J13&lt;&gt;"",$L13&lt;&gt;"",$M13&lt;&gt;"",$O13&lt;&gt;"",$J13&lt;&gt;$L13,$M13&lt;&gt;$O13,($J13&gt;$L13)+($M13&gt;$O13)=1)</f>
        <v>1</v>
      </c>
      <c r="Y13" s="736" t="b">
        <f ca="1">AND($J13&lt;&gt;"",$L13&lt;&gt;"",$J13&lt;&gt;$L13,OR(AND($M13="",$O13=""),AND($M13&lt;&gt;"",$O13&lt;&gt;"",$M13&lt;&gt;$O13)),$G13&lt;&gt;"",$I13&lt;&gt;"",$G13&lt;&gt;$I13)</f>
        <v>1</v>
      </c>
      <c r="Z13" s="357" t="b">
        <f>AND($X13,$P13&lt;&gt;"",$R13&lt;&gt;"",$P13&lt;&gt;$R13)</f>
        <v>1</v>
      </c>
      <c r="AA13" s="736">
        <f ca="1">(($J13&gt;$L13)+($M13&gt;$O13)+($P13&gt;$R13)*$Z13)*$Y13</f>
        <v>1</v>
      </c>
      <c r="AB13" s="736">
        <f ca="1">(($J13&lt;$L13)+($M13&lt;$O13)+($P13&lt;$R13)*$Z13)*$Y13</f>
        <v>2</v>
      </c>
    </row>
    <row r="14" spans="1:28" ht="27.95" customHeight="1" thickTop="1" thickBot="1" x14ac:dyDescent="0.35">
      <c r="A14" s="357"/>
      <c r="B14" s="429"/>
      <c r="C14" s="873" t="str">
        <f>Sprache!$E$54</f>
        <v>Endspiele</v>
      </c>
      <c r="D14" s="873"/>
      <c r="E14" s="873"/>
      <c r="F14" s="873"/>
      <c r="G14" s="501"/>
      <c r="H14" s="120"/>
      <c r="I14" s="501"/>
      <c r="J14" s="402"/>
      <c r="K14" s="402"/>
      <c r="L14" s="402"/>
      <c r="M14" s="402"/>
      <c r="N14" s="402"/>
      <c r="O14" s="402"/>
      <c r="P14" s="402"/>
      <c r="Q14" s="402"/>
      <c r="R14" s="402"/>
      <c r="S14" s="404"/>
      <c r="T14" s="357"/>
      <c r="V14" s="718"/>
      <c r="W14" s="718"/>
      <c r="X14" s="718"/>
    </row>
    <row r="15" spans="1:28" ht="24" customHeight="1" thickTop="1" x14ac:dyDescent="0.2">
      <c r="A15" s="357"/>
      <c r="B15" s="428"/>
      <c r="C15" s="438">
        <f ca="1">$C$12+2</f>
        <v>23</v>
      </c>
      <c r="D15" s="439">
        <f ca="1">IF(Planung!$U$15,"",$D$13+($S$13+Planung!$R$9+Planung!$R$7)/1440)</f>
        <v>0.56944444444444442</v>
      </c>
      <c r="E15" s="405">
        <f>IF(Planung!$U$15,"",1)</f>
        <v>1</v>
      </c>
      <c r="F15" s="406" t="str">
        <f>Sprache!$E$86</f>
        <v>3. Platz</v>
      </c>
      <c r="G15" s="407" t="str">
        <f ca="1">W12</f>
        <v>Maibach 1822 eV</v>
      </c>
      <c r="H15" s="408" t="s">
        <v>4</v>
      </c>
      <c r="I15" s="409" t="str">
        <f ca="1">W13</f>
        <v>Mainz 05</v>
      </c>
      <c r="J15" s="410">
        <v>19</v>
      </c>
      <c r="K15" s="411" t="str">
        <f>Sprache!$E$77</f>
        <v>:</v>
      </c>
      <c r="L15" s="717">
        <v>25</v>
      </c>
      <c r="M15" s="410">
        <v>16</v>
      </c>
      <c r="N15" s="411" t="str">
        <f>Sprache!$E$77</f>
        <v>:</v>
      </c>
      <c r="O15" s="717">
        <v>25</v>
      </c>
      <c r="P15" s="410"/>
      <c r="Q15" s="720" t="str">
        <f>Sprache!$E$77</f>
        <v>:</v>
      </c>
      <c r="R15" s="412"/>
      <c r="S15" s="384"/>
      <c r="T15" s="357"/>
      <c r="V15" s="357" t="str">
        <f ca="1">IF($AA15&gt;$AB15,$G15,IF($AA15&lt;$AB15,$I15,""))</f>
        <v>Mainz 05</v>
      </c>
      <c r="W15" s="357" t="str">
        <f ca="1">IF($AA15&lt;$AB15,$G15,IF($AA15&gt;$AB15,$I15,""))</f>
        <v>Maibach 1822 eV</v>
      </c>
      <c r="X15" s="357" t="b">
        <f>AND($J15&lt;&gt;"",$L15&lt;&gt;"",$M15&lt;&gt;"",$O15&lt;&gt;"",$J15&lt;&gt;$L15,$M15&lt;&gt;$O15,($J15&gt;$L15)+($M15&gt;$O15)=1)</f>
        <v>0</v>
      </c>
      <c r="Y15" s="736" t="b">
        <f ca="1">AND($J15&lt;&gt;"",$L15&lt;&gt;"",$J15&lt;&gt;$L15,OR(AND($M15="",$O15=""),AND($M15&lt;&gt;"",$O15&lt;&gt;"",$M15&lt;&gt;$O15)),$G15&lt;&gt;"",$I15&lt;&gt;"",$G15&lt;&gt;$I15)</f>
        <v>1</v>
      </c>
      <c r="Z15" s="357" t="b">
        <f>AND($X15,$P15&lt;&gt;"",$R15&lt;&gt;"",$P15&lt;&gt;$R15)</f>
        <v>0</v>
      </c>
      <c r="AA15" s="736">
        <f ca="1">(($J15&gt;$L15)+($M15&gt;$O15)+($P15&gt;$R15)*$Z15)*$Y15</f>
        <v>0</v>
      </c>
      <c r="AB15" s="736">
        <f ca="1">(($J15&lt;$L15)+($M15&lt;$O15)+($P15&lt;$R15)*$Z15)*$Y15</f>
        <v>2</v>
      </c>
    </row>
    <row r="16" spans="1:28" ht="24" customHeight="1" thickBot="1" x14ac:dyDescent="0.25">
      <c r="A16" s="357"/>
      <c r="B16" s="428"/>
      <c r="C16" s="434">
        <f ca="1">$C$12+3</f>
        <v>24</v>
      </c>
      <c r="D16" s="437">
        <f ca="1">IF(Planung!$U$15,"",$D$15+($S$15+Planung!$R$9+Planung!$R$7)/1440)</f>
        <v>0.59375</v>
      </c>
      <c r="E16" s="413">
        <f>IF(Planung!$U$15,"",1)</f>
        <v>1</v>
      </c>
      <c r="F16" s="370" t="str">
        <f>Sprache!$E$87</f>
        <v>Finale</v>
      </c>
      <c r="G16" s="366" t="str">
        <f ca="1">V12</f>
        <v>Manchester City</v>
      </c>
      <c r="H16" s="154" t="s">
        <v>4</v>
      </c>
      <c r="I16" s="368" t="str">
        <f ca="1">V13</f>
        <v>Eintracht Frankfurt</v>
      </c>
      <c r="J16" s="379">
        <v>21</v>
      </c>
      <c r="K16" s="414" t="str">
        <f>Sprache!$E$77</f>
        <v>:</v>
      </c>
      <c r="L16" s="708">
        <v>25</v>
      </c>
      <c r="M16" s="379">
        <v>25</v>
      </c>
      <c r="N16" s="414" t="str">
        <f>Sprache!$E$77</f>
        <v>:</v>
      </c>
      <c r="O16" s="708">
        <v>23</v>
      </c>
      <c r="P16" s="379">
        <v>13</v>
      </c>
      <c r="Q16" s="719" t="str">
        <f>Sprache!$E$77</f>
        <v>:</v>
      </c>
      <c r="R16" s="364">
        <v>15</v>
      </c>
      <c r="S16" s="400"/>
      <c r="T16" s="357"/>
      <c r="V16" s="357" t="str">
        <f ca="1">IF($AA16&gt;$AB16,$G16,IF($AA16&lt;$AB16,$I16,""))</f>
        <v>Eintracht Frankfurt</v>
      </c>
      <c r="W16" s="357" t="str">
        <f ca="1">IF($AA16&lt;$AB16,$G16,IF($AA16&gt;$AB16,$I16,""))</f>
        <v>Manchester City</v>
      </c>
      <c r="X16" s="357" t="b">
        <f>AND($J16&lt;&gt;"",$L16&lt;&gt;"",$M16&lt;&gt;"",$O16&lt;&gt;"",$J16&lt;&gt;$L16,$M16&lt;&gt;$O16,($J16&gt;$L16)+($M16&gt;$O16)=1)</f>
        <v>1</v>
      </c>
      <c r="Y16" s="736" t="b">
        <f ca="1">AND($J16&lt;&gt;"",$L16&lt;&gt;"",$J16&lt;&gt;$L16,OR(AND($M16="",$O16=""),AND($M16&lt;&gt;"",$O16&lt;&gt;"",$M16&lt;&gt;$O16)),$G16&lt;&gt;"",$I16&lt;&gt;"",$G16&lt;&gt;$I16)</f>
        <v>1</v>
      </c>
      <c r="Z16" s="357" t="b">
        <f>AND($X16,$P16&lt;&gt;"",$R16&lt;&gt;"",$P16&lt;&gt;$R16)</f>
        <v>1</v>
      </c>
      <c r="AA16" s="736">
        <f ca="1">(($J16&gt;$L16)+($M16&gt;$O16)+($P16&gt;$R16)*$Z16)*$Y16</f>
        <v>1</v>
      </c>
      <c r="AB16" s="736">
        <f ca="1">(($J16&lt;$L16)+($M16&lt;$O16)+($P16&lt;$R16)*$Z16)*$Y16</f>
        <v>2</v>
      </c>
    </row>
    <row r="17" spans="3:16384" ht="12.75" customHeight="1" thickTop="1" x14ac:dyDescent="0.2"/>
    <row r="18" spans="3:16384" ht="24" customHeight="1" x14ac:dyDescent="0.2">
      <c r="C18" s="397"/>
      <c r="D18" s="397"/>
      <c r="E18" s="397"/>
      <c r="F18" s="397"/>
      <c r="G18" s="835" t="str">
        <f>Sprache!$E$29</f>
        <v>Turnierende:</v>
      </c>
      <c r="H18" s="835"/>
      <c r="I18" s="398">
        <f ca="1">IF(Planung!$R$13="","",$D$16+Planung!$R$7/1440)</f>
        <v>0.61458333333333337</v>
      </c>
      <c r="J18" s="399"/>
      <c r="K18" s="399"/>
      <c r="L18" s="399"/>
      <c r="M18" s="399"/>
      <c r="N18" s="399"/>
      <c r="O18" s="399"/>
      <c r="P18" s="399"/>
      <c r="Q18" s="399"/>
      <c r="R18" s="399"/>
      <c r="S18" s="399"/>
    </row>
    <row r="19" spans="3:16384" ht="12.75" customHeight="1" x14ac:dyDescent="0.2">
      <c r="D19" s="391"/>
    </row>
    <row r="20" spans="3:16384" ht="12.75" customHeight="1" x14ac:dyDescent="0.2">
      <c r="D20" s="391"/>
    </row>
    <row r="21" spans="3:16384" ht="24" customHeight="1" thickBot="1" x14ac:dyDescent="0.25">
      <c r="F21" s="401" t="str">
        <f>Sprache!$E$85</f>
        <v>Rang</v>
      </c>
      <c r="G21" s="880" t="str">
        <f>"  "&amp;Sprache!$E$10</f>
        <v xml:space="preserve">  Teilnehmer bzw. Mannschaft</v>
      </c>
      <c r="H21" s="880"/>
      <c r="I21" s="881"/>
    </row>
    <row r="22" spans="3:16384" ht="24" customHeight="1" thickTop="1" x14ac:dyDescent="0.2">
      <c r="E22" s="392">
        <v>1</v>
      </c>
      <c r="F22" s="442">
        <v>1</v>
      </c>
      <c r="G22" s="882" t="str">
        <f ca="1">V16</f>
        <v>Eintracht Frankfurt</v>
      </c>
      <c r="H22" s="882"/>
      <c r="I22" s="883"/>
    </row>
    <row r="23" spans="3:16384" ht="24" customHeight="1" x14ac:dyDescent="0.2">
      <c r="E23" s="392">
        <v>2</v>
      </c>
      <c r="F23" s="443">
        <v>2</v>
      </c>
      <c r="G23" s="884" t="str">
        <f ca="1">W16</f>
        <v>Manchester City</v>
      </c>
      <c r="H23" s="884"/>
      <c r="I23" s="885"/>
    </row>
    <row r="24" spans="3:16384" ht="24" customHeight="1" x14ac:dyDescent="0.2">
      <c r="E24" s="392">
        <v>3</v>
      </c>
      <c r="F24" s="444">
        <v>3</v>
      </c>
      <c r="G24" s="878" t="str">
        <f ca="1">V15</f>
        <v>Mainz 05</v>
      </c>
      <c r="H24" s="878"/>
      <c r="I24" s="879"/>
    </row>
    <row r="25" spans="3:16384" ht="24" customHeight="1" thickBot="1" x14ac:dyDescent="0.25">
      <c r="E25" s="392">
        <v>4</v>
      </c>
      <c r="F25" s="446">
        <v>4</v>
      </c>
      <c r="G25" s="876" t="str">
        <f ca="1">W15</f>
        <v>Maibach 1822 eV</v>
      </c>
      <c r="H25" s="876"/>
      <c r="I25" s="877"/>
    </row>
    <row r="26" spans="3:16384" s="46" customFormat="1" ht="13.5" thickTop="1" x14ac:dyDescent="0.2">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c r="XFD26"/>
    </row>
    <row r="27" spans="3:16384" s="46" customFormat="1" ht="12.75" x14ac:dyDescent="0.2">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c r="XFD27"/>
    </row>
    <row r="28" spans="3:16384" s="46" customFormat="1" ht="12.75" x14ac:dyDescent="0.2">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c r="XFD28"/>
    </row>
    <row r="29" spans="3:16384" s="46" customFormat="1" ht="12.75" x14ac:dyDescent="0.2">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c r="XFD29"/>
    </row>
    <row r="30" spans="3:16384" ht="12.75" customHeight="1" x14ac:dyDescent="0.2"/>
    <row r="31" spans="3:16384" ht="12.75" customHeight="1" x14ac:dyDescent="0.2"/>
  </sheetData>
  <sheetProtection sheet="1" selectLockedCells="1"/>
  <mergeCells count="19">
    <mergeCell ref="AA11:AB11"/>
    <mergeCell ref="G25:I25"/>
    <mergeCell ref="C14:F14"/>
    <mergeCell ref="G21:I21"/>
    <mergeCell ref="G22:I22"/>
    <mergeCell ref="G23:I23"/>
    <mergeCell ref="G24:I24"/>
    <mergeCell ref="G18:H18"/>
    <mergeCell ref="S9:S11"/>
    <mergeCell ref="C10:F10"/>
    <mergeCell ref="G11:I11"/>
    <mergeCell ref="J11:L11"/>
    <mergeCell ref="M11:O11"/>
    <mergeCell ref="P11:R11"/>
    <mergeCell ref="E2:S2"/>
    <mergeCell ref="E3:S3"/>
    <mergeCell ref="E4:S4"/>
    <mergeCell ref="E5:S5"/>
    <mergeCell ref="G7:I8"/>
  </mergeCells>
  <conditionalFormatting sqref="J12:O13 J15:O16">
    <cfRule type="expression" dxfId="13" priority="4">
      <formula>OR(AND($J12&lt;&gt;"",$J12=$L12),AND($M12&lt;&gt;"",$M12=$O12))</formula>
    </cfRule>
  </conditionalFormatting>
  <conditionalFormatting sqref="J12:R13 J15:R16">
    <cfRule type="expression" dxfId="12" priority="3">
      <formula>OR($G12="",$I12="")</formula>
    </cfRule>
  </conditionalFormatting>
  <conditionalFormatting sqref="P12:R13 P15:R16">
    <cfRule type="expression" dxfId="11" priority="1">
      <formula>NOT($X12)</formula>
    </cfRule>
    <cfRule type="expression" dxfId="10" priority="2">
      <formula>AND($P12&lt;&gt;"",$R12&lt;&gt;"",$P12=$R12,$X12)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6" id="{C98BB549-126A-4A9E-B6DC-B74627468A8F}">
            <xm:f>$F25&gt;2*Calc1!$F$14-MOD((Calc1!$F$13+Calc2!$F$13),2)</xm:f>
            <x14:dxf>
              <numFmt numFmtId="165" formatCode=";;;"/>
            </x14:dxf>
          </x14:cfRule>
          <xm:sqref>F25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B9099-21AB-4C82-AFD2-D55F9FF470F8}">
  <dimension ref="A1:AJ47"/>
  <sheetViews>
    <sheetView showGridLines="0" showRowColHeaders="0" topLeftCell="D1" zoomScaleNormal="100" workbookViewId="0">
      <selection activeCell="L12" sqref="L12"/>
    </sheetView>
  </sheetViews>
  <sheetFormatPr baseColWidth="10" defaultColWidth="0" defaultRowHeight="12.75" customHeight="1" zeroHeight="1" x14ac:dyDescent="0.2"/>
  <cols>
    <col min="1" max="1" width="3.42578125" style="46" customWidth="1"/>
    <col min="2" max="2" width="1.85546875" style="46" customWidth="1"/>
    <col min="3" max="3" width="6.85546875" style="46" customWidth="1"/>
    <col min="4" max="4" width="11.42578125" style="46" customWidth="1"/>
    <col min="5" max="5" width="8.42578125" style="46" customWidth="1"/>
    <col min="6" max="6" width="5.7109375" style="46" customWidth="1"/>
    <col min="7" max="7" width="2.42578125" style="46" customWidth="1"/>
    <col min="8" max="8" width="5.7109375" style="46" customWidth="1"/>
    <col min="9" max="9" width="26.7109375" style="46" customWidth="1"/>
    <col min="10" max="10" width="2.85546875" style="46" customWidth="1"/>
    <col min="11" max="11" width="26.7109375" style="46" customWidth="1"/>
    <col min="12" max="12" width="4.7109375" style="46" customWidth="1"/>
    <col min="13" max="13" width="2.28515625" style="46" customWidth="1"/>
    <col min="14" max="15" width="4.7109375" style="46" customWidth="1"/>
    <col min="16" max="16" width="2.28515625" style="46" customWidth="1"/>
    <col min="17" max="17" width="4.7109375" style="46" customWidth="1"/>
    <col min="18" max="18" width="8" style="46" customWidth="1"/>
    <col min="19" max="19" width="6.140625" style="46" customWidth="1"/>
    <col min="20" max="20" width="4.5703125" style="46" customWidth="1"/>
    <col min="21" max="21" width="28.7109375" style="46" customWidth="1"/>
    <col min="22" max="25" width="5.7109375" style="46" customWidth="1"/>
    <col min="26" max="26" width="6.7109375" style="46" customWidth="1"/>
    <col min="27" max="27" width="1.140625" style="46" customWidth="1"/>
    <col min="28" max="28" width="6.7109375" style="46" customWidth="1"/>
    <col min="29" max="29" width="7.42578125" style="46" customWidth="1"/>
    <col min="30" max="30" width="5.7109375" style="46" customWidth="1"/>
    <col min="31" max="31" width="3.85546875" style="46" customWidth="1"/>
    <col min="32" max="32" width="1.42578125" style="46" customWidth="1"/>
    <col min="33" max="33" width="6.7109375" style="46" customWidth="1"/>
    <col min="34" max="34" width="28.7109375" style="46" customWidth="1"/>
    <col min="35" max="35" width="8.7109375" style="46" customWidth="1"/>
    <col min="36" max="36" width="5.5703125" style="46" hidden="1" customWidth="1"/>
    <col min="37" max="16384" width="11.42578125" style="46" hidden="1"/>
  </cols>
  <sheetData>
    <row r="1" spans="2:35" ht="13.5" thickBot="1" x14ac:dyDescent="0.25"/>
    <row r="2" spans="2:35" ht="36" customHeight="1" thickTop="1" x14ac:dyDescent="0.2">
      <c r="F2" s="569"/>
      <c r="G2" s="569"/>
      <c r="H2" s="570"/>
      <c r="I2" s="840" t="str">
        <f>Vorrunde!$G$2</f>
        <v>Internationales U10-Turnier am 12.03.2025</v>
      </c>
      <c r="J2" s="841"/>
      <c r="K2" s="841"/>
      <c r="L2" s="841"/>
      <c r="M2" s="841"/>
      <c r="N2" s="841"/>
      <c r="O2" s="841"/>
      <c r="P2" s="841"/>
      <c r="Q2" s="841"/>
      <c r="R2" s="841"/>
      <c r="S2" s="841"/>
      <c r="T2" s="841"/>
      <c r="U2" s="841"/>
      <c r="V2" s="841"/>
      <c r="W2" s="841"/>
      <c r="X2" s="841"/>
      <c r="Y2" s="841"/>
      <c r="Z2" s="841"/>
      <c r="AA2" s="841"/>
      <c r="AB2" s="842"/>
    </row>
    <row r="3" spans="2:35" ht="30" customHeight="1" x14ac:dyDescent="0.2">
      <c r="F3" s="571"/>
      <c r="G3" s="571"/>
      <c r="H3" s="572"/>
      <c r="I3" s="843" t="str">
        <f>Vorrunde!$G$3</f>
        <v>Veranstalter:  1. FC Riedwald</v>
      </c>
      <c r="J3" s="844"/>
      <c r="K3" s="844"/>
      <c r="L3" s="844"/>
      <c r="M3" s="844"/>
      <c r="N3" s="844"/>
      <c r="O3" s="844"/>
      <c r="P3" s="844"/>
      <c r="Q3" s="844"/>
      <c r="R3" s="844"/>
      <c r="S3" s="844"/>
      <c r="T3" s="844"/>
      <c r="U3" s="844"/>
      <c r="V3" s="844"/>
      <c r="W3" s="844"/>
      <c r="X3" s="844"/>
      <c r="Y3" s="844"/>
      <c r="Z3" s="844"/>
      <c r="AA3" s="844"/>
      <c r="AB3" s="845"/>
    </row>
    <row r="4" spans="2:35" ht="30" customHeight="1" x14ac:dyDescent="0.2">
      <c r="F4" s="573"/>
      <c r="G4" s="573"/>
      <c r="H4" s="574"/>
      <c r="I4" s="846" t="str">
        <f>Vorrunde!$G$4</f>
        <v>Sporthalle Wiesengrund, Wendiger Str. 51, 65432 Riedwald</v>
      </c>
      <c r="J4" s="847"/>
      <c r="K4" s="847"/>
      <c r="L4" s="847"/>
      <c r="M4" s="847"/>
      <c r="N4" s="847"/>
      <c r="O4" s="847"/>
      <c r="P4" s="847"/>
      <c r="Q4" s="847"/>
      <c r="R4" s="847"/>
      <c r="S4" s="847"/>
      <c r="T4" s="847"/>
      <c r="U4" s="847"/>
      <c r="V4" s="847"/>
      <c r="W4" s="847"/>
      <c r="X4" s="847"/>
      <c r="Y4" s="847"/>
      <c r="Z4" s="847"/>
      <c r="AA4" s="847"/>
      <c r="AB4" s="848"/>
    </row>
    <row r="5" spans="2:35" ht="30" customHeight="1" thickBot="1" x14ac:dyDescent="0.25">
      <c r="F5" s="573"/>
      <c r="G5" s="573"/>
      <c r="H5" s="574"/>
      <c r="I5" s="849" t="str">
        <f>Vorrunde!$G$5</f>
        <v>Beginn:  9:00 Uhr</v>
      </c>
      <c r="J5" s="850"/>
      <c r="K5" s="850"/>
      <c r="L5" s="850"/>
      <c r="M5" s="850"/>
      <c r="N5" s="850"/>
      <c r="O5" s="850"/>
      <c r="P5" s="850"/>
      <c r="Q5" s="850"/>
      <c r="R5" s="850"/>
      <c r="S5" s="850"/>
      <c r="T5" s="850"/>
      <c r="U5" s="850"/>
      <c r="V5" s="850"/>
      <c r="W5" s="850"/>
      <c r="X5" s="850"/>
      <c r="Y5" s="850"/>
      <c r="Z5" s="850"/>
      <c r="AA5" s="850"/>
      <c r="AB5" s="851"/>
    </row>
    <row r="6" spans="2:35" ht="18" customHeight="1" thickTop="1" thickBot="1" x14ac:dyDescent="0.25"/>
    <row r="7" spans="2:35" ht="30" customHeight="1" thickTop="1" x14ac:dyDescent="0.2">
      <c r="L7" s="894" t="str">
        <f>Sprache!$E$19</f>
        <v>Endrunde</v>
      </c>
      <c r="M7" s="895"/>
      <c r="N7" s="895"/>
      <c r="O7" s="895"/>
      <c r="P7" s="895"/>
      <c r="Q7" s="895"/>
      <c r="R7" s="895"/>
      <c r="S7" s="895"/>
      <c r="T7" s="895"/>
      <c r="U7" s="896"/>
    </row>
    <row r="8" spans="2:35" ht="30" customHeight="1" thickBot="1" x14ac:dyDescent="0.25">
      <c r="L8" s="897"/>
      <c r="M8" s="898"/>
      <c r="N8" s="898"/>
      <c r="O8" s="898"/>
      <c r="P8" s="898"/>
      <c r="Q8" s="898"/>
      <c r="R8" s="898"/>
      <c r="S8" s="898"/>
      <c r="T8" s="898"/>
      <c r="U8" s="899"/>
    </row>
    <row r="9" spans="2:35" ht="12.6" customHeight="1" thickTop="1" x14ac:dyDescent="0.2"/>
    <row r="10" spans="2:35" ht="27.95" customHeight="1" thickBot="1" x14ac:dyDescent="0.45">
      <c r="C10" s="839" t="str">
        <f>Sprache!$E$55&amp;IF(MIN(Calc1!$F$13,Calc2!$F$13)*2&lt;2,""," 1 - "&amp;MIN(Calc1!$F$13,Calc2!$F$13)*2)</f>
        <v>Spiele um die Plätze  1 - 10</v>
      </c>
      <c r="D10" s="839"/>
      <c r="E10" s="839"/>
      <c r="F10" s="839"/>
      <c r="G10" s="533"/>
      <c r="H10" s="533"/>
      <c r="R10" s="766" t="str">
        <f>Sprache!$E$20</f>
        <v>Zusätzl. Pause (min)</v>
      </c>
      <c r="T10" s="889" t="str">
        <f>Sprache!$E$57</f>
        <v>Gruppenerste und -zweite</v>
      </c>
      <c r="U10" s="889"/>
      <c r="V10" s="889"/>
      <c r="W10" s="889"/>
      <c r="X10" s="889"/>
      <c r="Y10" s="889"/>
      <c r="Z10" s="199"/>
      <c r="AA10" s="199"/>
      <c r="AB10" s="199"/>
      <c r="AC10" s="199"/>
      <c r="AD10" s="199"/>
      <c r="AG10" s="890" t="str">
        <f>$T10</f>
        <v>Gruppenerste und -zweite</v>
      </c>
      <c r="AH10" s="890"/>
      <c r="AI10" s="891"/>
    </row>
    <row r="11" spans="2:35" ht="24" customHeight="1" thickTop="1" thickBot="1" x14ac:dyDescent="0.25">
      <c r="B11" s="390"/>
      <c r="C11" s="441" t="str">
        <f>Sprache!$E$9</f>
        <v>Nr.</v>
      </c>
      <c r="D11" s="386" t="str">
        <f>Sprache!$E$39</f>
        <v>Beginn</v>
      </c>
      <c r="E11" s="375" t="str">
        <f>Sprache!$E$48</f>
        <v>Feld</v>
      </c>
      <c r="F11" s="537"/>
      <c r="G11" s="534"/>
      <c r="H11" s="386"/>
      <c r="I11" s="872" t="str">
        <f>Sprache!$E$14</f>
        <v>Spielpaarung</v>
      </c>
      <c r="J11" s="837"/>
      <c r="K11" s="838"/>
      <c r="L11" s="852" t="str">
        <f>Sprache!$E$61</f>
        <v>1. Satz</v>
      </c>
      <c r="M11" s="782"/>
      <c r="N11" s="782"/>
      <c r="O11" s="782" t="str">
        <f>Sprache!$E$62</f>
        <v>2. Satz</v>
      </c>
      <c r="P11" s="782"/>
      <c r="Q11" s="807"/>
      <c r="R11" s="767"/>
      <c r="T11" s="892"/>
      <c r="U11" s="893"/>
      <c r="V11" s="201" t="str">
        <f>Sprache!$E$21</f>
        <v>SP</v>
      </c>
      <c r="W11" s="202" t="str">
        <f>Sprache!$E$22</f>
        <v>G</v>
      </c>
      <c r="X11" s="202" t="str">
        <f>Sprache!$E$23</f>
        <v>U</v>
      </c>
      <c r="Y11" s="532" t="str">
        <f>Sprache!$E$24</f>
        <v>V</v>
      </c>
      <c r="Z11" s="808" t="str">
        <f>Sprache!$E$60</f>
        <v>Bälle</v>
      </c>
      <c r="AA11" s="809"/>
      <c r="AB11" s="810"/>
      <c r="AC11" s="202" t="str">
        <f>IF(Einstellungen!$G$7,Sprache!$E$26,Sprache!$E$67)</f>
        <v>Diff.</v>
      </c>
      <c r="AD11" s="204" t="str">
        <f>Sprache!$E$27</f>
        <v>Pkt</v>
      </c>
      <c r="AG11" s="538"/>
      <c r="AH11" s="539" t="str">
        <f>Sprache!$E$10</f>
        <v>Teilnehmer bzw. Mannschaft</v>
      </c>
      <c r="AI11" s="712" t="str">
        <f>Sprache!$E$49</f>
        <v>Tie-Break</v>
      </c>
    </row>
    <row r="12" spans="2:35" s="357" customFormat="1" ht="24" customHeight="1" x14ac:dyDescent="0.2">
      <c r="B12" s="428"/>
      <c r="C12" s="440">
        <f t="array" aca="1" ref="C12" ca="1">31-SUM(((Planung!$L$6:$L$35="")+(Planung!$N$6:$N$35="")&gt;0)*1)</f>
        <v>21</v>
      </c>
      <c r="D12" s="387">
        <f ca="1">IF(Planung!$U$15,"",Planung!$R$13+(Planung!$R$9+Planung!$P$35)/1440)</f>
        <v>0.54513888888888884</v>
      </c>
      <c r="E12" s="383">
        <f>IF(Planung!$U$15,"",1)</f>
        <v>1</v>
      </c>
      <c r="F12" s="555" t="s">
        <v>319</v>
      </c>
      <c r="G12" s="556" t="s">
        <v>4</v>
      </c>
      <c r="H12" s="557" t="s">
        <v>322</v>
      </c>
      <c r="I12" s="535" t="str">
        <f t="shared" ref="I12:I29" ca="1" si="0">IF($F12="","",IF(VLOOKUP($F12,$AG$12:$AH$29,2,0)="","",VLOOKUP($F12,$AG$12:$AH$29,2,0)))</f>
        <v>VFB Essenheim</v>
      </c>
      <c r="J12" s="373" t="s">
        <v>4</v>
      </c>
      <c r="K12" s="374" t="str">
        <f t="shared" ref="K12:K29" ca="1" si="1">IF($H12="","",IF(VLOOKUP($H12,$AG$12:$AH$29,2,0)="","",VLOOKUP($H12,$AG$12:$AH$29,2,0)))</f>
        <v/>
      </c>
      <c r="L12" s="376"/>
      <c r="M12" s="380" t="str">
        <f>Sprache!$E$77</f>
        <v>:</v>
      </c>
      <c r="N12" s="705"/>
      <c r="O12" s="420"/>
      <c r="P12" s="694" t="str">
        <f>Sprache!$E$77</f>
        <v>:</v>
      </c>
      <c r="Q12" s="377"/>
      <c r="R12" s="697"/>
      <c r="T12" s="540">
        <f ca="1">IF(CalcE1!$K$13=0,"",1)</f>
        <v>1</v>
      </c>
      <c r="U12" s="423" t="str">
        <f ca="1">IF(Calc1!$F$14&lt;3,"",IF(CalcE1!$K$13=0,CalcE1!$Q$64,VLOOKUP(CalcE1!$B$4,CalcE1!$C$4:$N$12,4,0)))</f>
        <v>Manchester City</v>
      </c>
      <c r="V12" s="541">
        <f ca="1">IF(CalcE1!$K$13=0,"",VLOOKUP(CalcE1!$B$4,CalcE1!$C$4:$N$12,9,0))</f>
        <v>3</v>
      </c>
      <c r="W12" s="208">
        <f ca="1">IF(CalcE1!$K$13=0,"",VLOOKUP(CalcE1!$B$4,CalcE1!$C$4:$N$12,10,0))</f>
        <v>1</v>
      </c>
      <c r="X12" s="208">
        <f ca="1">IF(CalcE1!$K$13=0,"",VLOOKUP(CalcE1!$B$4,CalcE1!$C$4:$N$12,11,0))</f>
        <v>2</v>
      </c>
      <c r="Y12" s="208">
        <f ca="1">IF(CalcE1!$K$13=0,"",VLOOKUP(CalcE1!$B$4,CalcE1!$C$4:$N$12,12,0))</f>
        <v>0</v>
      </c>
      <c r="Z12" s="210">
        <f ca="1">IF(CalcE1!$K$13=0,"",VLOOKUP(CalcE1!$B$4,CalcE1!$C$4:$N$12,5,0))</f>
        <v>136</v>
      </c>
      <c r="AA12" s="542" t="str">
        <f>Sprache!$E$77</f>
        <v>:</v>
      </c>
      <c r="AB12" s="212">
        <f ca="1">IF(CalcE1!$K$13=0,"",VLOOKUP(CalcE1!$B$4,CalcE1!$C$4:$N$12,6,0))</f>
        <v>125</v>
      </c>
      <c r="AC12" s="208">
        <f ca="1">IF(CalcE1!$K$13=0,"",IF(VLOOKUP(CalcE1!$B4,CalcE1!$C$4:$AR$12,42,0)=Einstellungen!$F$7,"max",VLOOKUP(CalcE1!$B4,CalcE1!$C$4:$AR$12,42,0)))</f>
        <v>11</v>
      </c>
      <c r="AD12" s="213">
        <f ca="1">IF(CalcE1!$K$13=0,"",VLOOKUP(CalcE1!$B$4,CalcE1!$C$4:$N$12,8,0))</f>
        <v>4</v>
      </c>
      <c r="AE12" s="46"/>
      <c r="AF12" s="46"/>
      <c r="AG12" s="686" t="s">
        <v>313</v>
      </c>
      <c r="AH12" s="543" t="str">
        <f ca="1">IF(Vorrunde!$Q$12="","",Vorrunde!$Q$12)</f>
        <v>Maibach 1822 eV</v>
      </c>
      <c r="AI12" s="713">
        <f ca="1">IF($AH12="",0,COUNTIF(TieBreak!$U$25:$U$30,$AH12))</f>
        <v>0</v>
      </c>
    </row>
    <row r="13" spans="2:35" s="357" customFormat="1" ht="24" customHeight="1" x14ac:dyDescent="0.2">
      <c r="B13" s="428"/>
      <c r="C13" s="430">
        <f t="array" aca="1" ref="C13" ca="1">$C$12+ROW(1:1)-SUM((($I$12:$I12="")+($K$12:$K12="")&gt;0)*1)</f>
        <v>21</v>
      </c>
      <c r="D13" s="388">
        <f t="array" aca="1" ref="D13" ca="1">IF(Planung!$U$15,"",$D$12+QUOTIENT(($C13-$C$12),Planung!$U$11)*(Planung!$R$7+Planung!$R$9)/1440+SUM($R$12:$R12)/1440)</f>
        <v>0.54513888888888884</v>
      </c>
      <c r="E13" s="383">
        <f ca="1">IF(Planung!$U$15,"",MOD($C13-$C$12,Planung!$U$11)+1)</f>
        <v>1</v>
      </c>
      <c r="F13" s="558" t="s">
        <v>305</v>
      </c>
      <c r="G13" s="559" t="s">
        <v>4</v>
      </c>
      <c r="H13" s="560" t="s">
        <v>318</v>
      </c>
      <c r="I13" s="535" t="str">
        <f t="shared" ca="1" si="0"/>
        <v>1. FC Riedwald</v>
      </c>
      <c r="J13" s="373" t="s">
        <v>4</v>
      </c>
      <c r="K13" s="374" t="str">
        <f t="shared" ca="1" si="1"/>
        <v>SSV Wildbach</v>
      </c>
      <c r="L13" s="378">
        <v>25</v>
      </c>
      <c r="M13" s="380" t="str">
        <f>Sprache!$E$77</f>
        <v>:</v>
      </c>
      <c r="N13" s="706">
        <v>20</v>
      </c>
      <c r="O13" s="378">
        <v>17</v>
      </c>
      <c r="P13" s="695" t="str">
        <f>Sprache!$E$77</f>
        <v>:</v>
      </c>
      <c r="Q13" s="362">
        <v>25</v>
      </c>
      <c r="R13" s="698"/>
      <c r="T13" s="544">
        <f ca="1">IF(CalcE1!$K$13=0,"",IF(VLOOKUP(CalcE1!$B$5,CalcE1!$C$4:$E$12,3,0)=MAX($T12:$T12),VLOOKUP(CalcE1!$B$5,CalcE1!$C$4:$E$12,3,0),CalcE1!$B$5))</f>
        <v>2</v>
      </c>
      <c r="U13" s="425" t="str">
        <f ca="1">IF(Calc1!$F$14&lt;3,"",IF(CalcE1!$K$13=0,CalcE1!$Q$65,VLOOKUP(CalcE1!$B$5,CalcE1!$C$4:$N$12,4,0)))</f>
        <v>Eintracht Frankfurt</v>
      </c>
      <c r="V13" s="223">
        <f ca="1">IF(CalcE1!$K$13=0,"",VLOOKUP(CalcE1!$B$5,CalcE1!$C$4:$N$12,9,0))</f>
        <v>3</v>
      </c>
      <c r="W13" s="198">
        <f ca="1">IF(CalcE1!$K$13=0,"",VLOOKUP(CalcE1!$B$5,CalcE1!$C$4:$N$12,10,0))</f>
        <v>1</v>
      </c>
      <c r="X13" s="198">
        <f ca="1">IF(CalcE1!$K$13=0,"",VLOOKUP(CalcE1!$B$5,CalcE1!$C$4:$N$12,11,0))</f>
        <v>1</v>
      </c>
      <c r="Y13" s="198">
        <f ca="1">IF(CalcE1!$K$13=0,"",VLOOKUP(CalcE1!$B$5,CalcE1!$C$4:$N$12,12,0))</f>
        <v>1</v>
      </c>
      <c r="Z13" s="219">
        <f ca="1">IF(CalcE1!$K$13=0,"",VLOOKUP(CalcE1!$B$5,CalcE1!$C$4:$N$12,5,0))</f>
        <v>135</v>
      </c>
      <c r="AA13" s="545" t="str">
        <f>Sprache!$E$77</f>
        <v>:</v>
      </c>
      <c r="AB13" s="221">
        <f ca="1">IF(CalcE1!$K$13=0,"",VLOOKUP(CalcE1!$B$5,CalcE1!$C$4:$N$12,6,0))</f>
        <v>123</v>
      </c>
      <c r="AC13" s="198">
        <f ca="1">IF(CalcE1!$K$13=0,"",IF(VLOOKUP(CalcE1!$B5,CalcE1!$C$4:$AR$12,42,0)=Einstellungen!$F$7,"max",VLOOKUP(CalcE1!$B5,CalcE1!$C$4:$AR$12,42,0)))</f>
        <v>12</v>
      </c>
      <c r="AD13" s="222">
        <f ca="1">IF(CalcE1!$K$13=0,"",VLOOKUP(CalcE1!$B$5,CalcE1!$C$4:$N$12,8,0))</f>
        <v>3</v>
      </c>
      <c r="AE13" s="46"/>
      <c r="AF13" s="46"/>
      <c r="AG13" s="546" t="s">
        <v>306</v>
      </c>
      <c r="AH13" s="547" t="str">
        <f ca="1">IF(Vorrunde!$Q$22="","",Vorrunde!$Q$22)</f>
        <v>Mainz 05</v>
      </c>
      <c r="AI13" s="713">
        <f ca="1">IF($AH13="",0,COUNTIF(TieBreak!$U$25:$U$30,$AH13))</f>
        <v>0</v>
      </c>
    </row>
    <row r="14" spans="2:35" s="357" customFormat="1" ht="24" customHeight="1" x14ac:dyDescent="0.2">
      <c r="B14" s="428"/>
      <c r="C14" s="430">
        <f t="array" aca="1" ref="C14" ca="1">$C$12+ROW(2:2)-SUM((($I$12:$I13="")+($K$12:$K13="")&gt;0)*1)</f>
        <v>22</v>
      </c>
      <c r="D14" s="388">
        <f t="array" aca="1" ref="D14" ca="1">IF(Planung!$U$15,"",$D$12+QUOTIENT(($C14-$C$12),Planung!$U$11)*(Planung!$R$7+Planung!$R$9)/1440+SUM($R$12:$R13)/1440)</f>
        <v>0.54513888888888884</v>
      </c>
      <c r="E14" s="383">
        <f ca="1">IF(Planung!$U$15,"",MOD($C14-$C$12,Planung!$U$11)+1)</f>
        <v>2</v>
      </c>
      <c r="F14" s="558" t="s">
        <v>313</v>
      </c>
      <c r="G14" s="559" t="s">
        <v>4</v>
      </c>
      <c r="H14" s="560" t="s">
        <v>315</v>
      </c>
      <c r="I14" s="535" t="str">
        <f t="shared" ca="1" si="0"/>
        <v>Maibach 1822 eV</v>
      </c>
      <c r="J14" s="373" t="s">
        <v>4</v>
      </c>
      <c r="K14" s="374" t="str">
        <f t="shared" ca="1" si="1"/>
        <v>Manchester City</v>
      </c>
      <c r="L14" s="378">
        <v>19</v>
      </c>
      <c r="M14" s="380" t="str">
        <f>Sprache!$E$77</f>
        <v>:</v>
      </c>
      <c r="N14" s="706">
        <v>25</v>
      </c>
      <c r="O14" s="378">
        <v>16</v>
      </c>
      <c r="P14" s="695" t="str">
        <f>Sprache!$E$77</f>
        <v>:</v>
      </c>
      <c r="Q14" s="362">
        <v>25</v>
      </c>
      <c r="R14" s="698"/>
      <c r="T14" s="544">
        <f ca="1">IF(CalcE1!$K$13=0,"",IF(VLOOKUP(CalcE1!$B$6,CalcE1!$C$4:$E$12,3,0)=MAX($T12:$T13),VLOOKUP(CalcE1!$B$6,CalcE1!$C$4:$E$12,3,0),CalcE1!$B$6))</f>
        <v>3</v>
      </c>
      <c r="U14" s="425" t="str">
        <f ca="1">IF(Calc1!$F$14&lt;3,"",IF(CalcE1!$K$13=0,CalcE1!$Q$66,VLOOKUP(CalcE1!$B$6,CalcE1!$C$4:$N$12,4,0)))</f>
        <v>Mainz 05</v>
      </c>
      <c r="V14" s="223">
        <f ca="1">IF(CalcE1!$K$13=0,"",VLOOKUP(CalcE1!$B$6,CalcE1!$C$4:$N$12,9,0))</f>
        <v>3</v>
      </c>
      <c r="W14" s="198">
        <f ca="1">IF(CalcE1!$K$13=0,"",VLOOKUP(CalcE1!$B$6,CalcE1!$C$4:$N$12,10,0))</f>
        <v>1</v>
      </c>
      <c r="X14" s="198">
        <f ca="1">IF(CalcE1!$K$13=0,"",VLOOKUP(CalcE1!$B$6,CalcE1!$C$4:$N$12,11,0))</f>
        <v>1</v>
      </c>
      <c r="Y14" s="198">
        <f ca="1">IF(CalcE1!$K$13=0,"",VLOOKUP(CalcE1!$B$6,CalcE1!$C$4:$N$12,12,0))</f>
        <v>1</v>
      </c>
      <c r="Z14" s="219">
        <f ca="1">IF(CalcE1!$K$13=0,"",VLOOKUP(CalcE1!$B$6,CalcE1!$C$4:$N$12,5,0))</f>
        <v>127</v>
      </c>
      <c r="AA14" s="545" t="str">
        <f>Sprache!$E$77</f>
        <v>:</v>
      </c>
      <c r="AB14" s="221">
        <f ca="1">IF(CalcE1!$K$13=0,"",VLOOKUP(CalcE1!$B$6,CalcE1!$C$4:$N$12,6,0))</f>
        <v>133</v>
      </c>
      <c r="AC14" s="198">
        <f ca="1">IF(CalcE1!$K$13=0,"",IF(VLOOKUP(CalcE1!$B6,CalcE1!$C$4:$AR$12,42,0)=Einstellungen!$F$7,"max",VLOOKUP(CalcE1!$B6,CalcE1!$C$4:$AR$12,42,0)))</f>
        <v>-6</v>
      </c>
      <c r="AD14" s="222">
        <f ca="1">IF(CalcE1!$K$13=0,"",VLOOKUP(CalcE1!$B$6,CalcE1!$C$4:$N$12,8,0))</f>
        <v>3</v>
      </c>
      <c r="AE14" s="46"/>
      <c r="AF14" s="46"/>
      <c r="AG14" s="687" t="s">
        <v>314</v>
      </c>
      <c r="AH14" s="547" t="str">
        <f ca="1">IF(Vorrunde!$Q$13="","",Vorrunde!$Q$13)</f>
        <v>Eintracht Frankfurt</v>
      </c>
      <c r="AI14" s="713">
        <f ca="1">IF($AH14="",0,COUNTIF(TieBreak!$U$25:$U$30,$AH14))</f>
        <v>0</v>
      </c>
    </row>
    <row r="15" spans="2:35" s="357" customFormat="1" ht="24" customHeight="1" thickBot="1" x14ac:dyDescent="0.25">
      <c r="B15" s="428"/>
      <c r="C15" s="430">
        <f t="array" aca="1" ref="C15" ca="1">$C$12+ROW(3:3)-SUM((($I$12:$I14="")+($K$12:$K14="")&gt;0)*1)</f>
        <v>23</v>
      </c>
      <c r="D15" s="388">
        <f t="array" aca="1" ref="D15" ca="1">IF(Planung!$U$15,"",$D$12+QUOTIENT(($C15-$C$12),Planung!$U$11)*(Planung!$R$7+Planung!$R$9)/1440+SUM($R$12:$R14)/1440)</f>
        <v>0.54513888888888884</v>
      </c>
      <c r="E15" s="383">
        <f ca="1">IF(Planung!$U$15,"",MOD($C15-$C$12,Planung!$U$11)+1)</f>
        <v>3</v>
      </c>
      <c r="F15" s="558" t="s">
        <v>320</v>
      </c>
      <c r="G15" s="559" t="s">
        <v>4</v>
      </c>
      <c r="H15" s="560" t="s">
        <v>321</v>
      </c>
      <c r="I15" s="535" t="str">
        <f t="shared" ca="1" si="0"/>
        <v>Inter Mailand</v>
      </c>
      <c r="J15" s="373" t="s">
        <v>4</v>
      </c>
      <c r="K15" s="374" t="str">
        <f t="shared" ca="1" si="1"/>
        <v/>
      </c>
      <c r="L15" s="378"/>
      <c r="M15" s="381" t="str">
        <f>Sprache!$E$77</f>
        <v>:</v>
      </c>
      <c r="N15" s="706"/>
      <c r="O15" s="378"/>
      <c r="P15" s="695" t="str">
        <f>Sprache!$E$77</f>
        <v>:</v>
      </c>
      <c r="Q15" s="362"/>
      <c r="R15" s="698"/>
      <c r="T15" s="548">
        <f ca="1">IF(CalcE1!$K$13=0,"",IF(VLOOKUP(CalcE1!$B$7,CalcE1!$C$4:$E$12,3,0)=MAX($T12:$T14),VLOOKUP(CalcE1!$B$7,CalcE1!$C$4:$E$12,3,0),CalcE1!$B$7))</f>
        <v>4</v>
      </c>
      <c r="U15" s="427" t="str">
        <f ca="1">IF(Calc1!$F$14&lt;3,"",IF(CalcE1!$K$13=0,CalcE1!$Q$67,VLOOKUP(CalcE1!$B$7,CalcE1!$C$4:$N$12,4,0)))</f>
        <v>Maibach 1822 eV</v>
      </c>
      <c r="V15" s="234">
        <f ca="1">IF(CalcE1!$K$13=0,"",VLOOKUP(CalcE1!$B$7,CalcE1!$C$4:$N$12,9,0))</f>
        <v>3</v>
      </c>
      <c r="W15" s="228">
        <f ca="1">IF(CalcE1!$K$13=0,"",VLOOKUP(CalcE1!$B$7,CalcE1!$C$4:$N$12,10,0))</f>
        <v>1</v>
      </c>
      <c r="X15" s="228">
        <f ca="1">IF(CalcE1!$K$13=0,"",VLOOKUP(CalcE1!$B$7,CalcE1!$C$4:$N$12,11,0))</f>
        <v>0</v>
      </c>
      <c r="Y15" s="228">
        <f ca="1">IF(CalcE1!$K$13=0,"",VLOOKUP(CalcE1!$B$7,CalcE1!$C$4:$N$12,12,0))</f>
        <v>2</v>
      </c>
      <c r="Z15" s="230">
        <f ca="1">IF(CalcE1!$K$13=0,"",VLOOKUP(CalcE1!$B$7,CalcE1!$C$4:$N$12,5,0))</f>
        <v>116</v>
      </c>
      <c r="AA15" s="549" t="str">
        <f>Sprache!$E$77</f>
        <v>:</v>
      </c>
      <c r="AB15" s="232">
        <f ca="1">IF(CalcE1!$K$13=0,"",VLOOKUP(CalcE1!$B$7,CalcE1!$C$4:$N$12,6,0))</f>
        <v>133</v>
      </c>
      <c r="AC15" s="228">
        <f ca="1">IF(CalcE1!$K$13=0,"",IF(VLOOKUP(CalcE1!$B7,CalcE1!$C$4:$AR$12,42,0)=Einstellungen!$F$7,"max",VLOOKUP(CalcE1!$B7,CalcE1!$C$4:$AR$12,42,0)))</f>
        <v>-17</v>
      </c>
      <c r="AD15" s="233">
        <f ca="1">IF(CalcE1!$K$13=0,"",VLOOKUP(CalcE1!$B$7,CalcE1!$C$4:$N$12,8,0))</f>
        <v>2</v>
      </c>
      <c r="AE15" s="46"/>
      <c r="AF15" s="46"/>
      <c r="AG15" s="550" t="s">
        <v>315</v>
      </c>
      <c r="AH15" s="551" t="str">
        <f ca="1">IF(Vorrunde!$Q$23="","",Vorrunde!$Q$23)</f>
        <v>Manchester City</v>
      </c>
      <c r="AI15" s="713">
        <f ca="1">IF($AH15="",0,COUNTIF(TieBreak!$U$25:$U$30,$AH15))</f>
        <v>0</v>
      </c>
    </row>
    <row r="16" spans="2:35" s="357" customFormat="1" ht="24" customHeight="1" thickTop="1" x14ac:dyDescent="0.2">
      <c r="B16" s="428"/>
      <c r="C16" s="430">
        <f t="array" aca="1" ref="C16" ca="1">$C$12+ROW(4:4)-SUM((($I$12:$I15="")+($K$12:$K15="")&gt;0)*1)</f>
        <v>23</v>
      </c>
      <c r="D16" s="388">
        <f t="array" aca="1" ref="D16" ca="1">IF(Planung!$U$15,"",$D$12+QUOTIENT(($C16-$C$12),Planung!$U$11)*(Planung!$R$7+Planung!$R$9)/1440+SUM($R$12:$R15)/1440)</f>
        <v>0.54513888888888884</v>
      </c>
      <c r="E16" s="383">
        <f ca="1">IF(Planung!$U$15,"",MOD($C16-$C$12,Planung!$U$11)+1)</f>
        <v>3</v>
      </c>
      <c r="F16" s="558" t="s">
        <v>316</v>
      </c>
      <c r="G16" s="559" t="s">
        <v>4</v>
      </c>
      <c r="H16" s="560" t="s">
        <v>317</v>
      </c>
      <c r="I16" s="535" t="str">
        <f t="shared" ca="1" si="0"/>
        <v>FC Grönlingen</v>
      </c>
      <c r="J16" s="373" t="s">
        <v>4</v>
      </c>
      <c r="K16" s="374" t="str">
        <f t="shared" ca="1" si="1"/>
        <v>FC Barcelona</v>
      </c>
      <c r="L16" s="378">
        <v>25</v>
      </c>
      <c r="M16" s="381" t="str">
        <f>Sprache!$E$77</f>
        <v>:</v>
      </c>
      <c r="N16" s="706">
        <v>23</v>
      </c>
      <c r="O16" s="707">
        <v>25</v>
      </c>
      <c r="P16" s="696" t="str">
        <f>Sprache!$E$77</f>
        <v>:</v>
      </c>
      <c r="Q16" s="701">
        <v>21</v>
      </c>
      <c r="R16" s="699"/>
    </row>
    <row r="17" spans="2:35" s="357" customFormat="1" ht="24" customHeight="1" thickBot="1" x14ac:dyDescent="0.45">
      <c r="B17" s="428"/>
      <c r="C17" s="430">
        <f t="array" aca="1" ref="C17" ca="1">$C$12+ROW(5:5)-SUM((($I$12:$I16="")+($K$12:$K16="")&gt;0)*1)</f>
        <v>24</v>
      </c>
      <c r="D17" s="388">
        <f t="array" aca="1" ref="D17" ca="1">IF(Planung!$U$15,"",$D$12+QUOTIENT(($C17-$C$12),Planung!$U$11)*(Planung!$R$7+Planung!$R$9)/1440+SUM($R$12:$R16)/1440)</f>
        <v>0.56944444444444442</v>
      </c>
      <c r="E17" s="383">
        <f ca="1">IF(Planung!$U$15,"",MOD($C17-$C$12,Planung!$U$11)+1)</f>
        <v>1</v>
      </c>
      <c r="F17" s="558" t="s">
        <v>306</v>
      </c>
      <c r="G17" s="559" t="s">
        <v>4</v>
      </c>
      <c r="H17" s="560" t="s">
        <v>314</v>
      </c>
      <c r="I17" s="535" t="str">
        <f t="shared" ca="1" si="0"/>
        <v>Mainz 05</v>
      </c>
      <c r="J17" s="373" t="s">
        <v>4</v>
      </c>
      <c r="K17" s="374" t="str">
        <f t="shared" ca="1" si="1"/>
        <v>Eintracht Frankfurt</v>
      </c>
      <c r="L17" s="378">
        <v>25</v>
      </c>
      <c r="M17" s="381" t="str">
        <f>Sprache!$E$77</f>
        <v>:</v>
      </c>
      <c r="N17" s="706">
        <v>17</v>
      </c>
      <c r="O17" s="707">
        <v>25</v>
      </c>
      <c r="P17" s="696" t="str">
        <f>Sprache!$E$77</f>
        <v>:</v>
      </c>
      <c r="Q17" s="701">
        <v>22</v>
      </c>
      <c r="R17" s="699"/>
      <c r="T17" s="889" t="str">
        <f>Sprache!$E$58</f>
        <v>Gruppendritte und -vierte</v>
      </c>
      <c r="U17" s="889"/>
      <c r="V17" s="889"/>
      <c r="W17" s="889"/>
      <c r="X17" s="889"/>
      <c r="Y17" s="889"/>
      <c r="Z17" s="199"/>
      <c r="AA17" s="199"/>
      <c r="AB17" s="199"/>
      <c r="AC17" s="199"/>
      <c r="AD17" s="199"/>
      <c r="AE17" s="46"/>
      <c r="AF17" s="46"/>
      <c r="AG17" s="890" t="str">
        <f>$T17</f>
        <v>Gruppendritte und -vierte</v>
      </c>
      <c r="AH17" s="890"/>
      <c r="AI17" s="891"/>
    </row>
    <row r="18" spans="2:35" ht="24" customHeight="1" thickTop="1" thickBot="1" x14ac:dyDescent="0.25">
      <c r="C18" s="430">
        <f t="array" aca="1" ref="C18" ca="1">$C$12+ROW(6:6)-SUM((($I$12:$I17="")+($K$12:$K17="")&gt;0)*1)</f>
        <v>25</v>
      </c>
      <c r="D18" s="388">
        <f t="array" aca="1" ref="D18" ca="1">IF(Planung!$U$15,"",$D$12+QUOTIENT(($C18-$C$12),Planung!$U$11)*(Planung!$R$7+Planung!$R$9)/1440+SUM($R$12:$R17)/1440)</f>
        <v>0.56944444444444442</v>
      </c>
      <c r="E18" s="383">
        <f ca="1">IF(Planung!$U$15,"",MOD($C18-$C$12,Planung!$U$11)+1)</f>
        <v>2</v>
      </c>
      <c r="F18" s="558" t="s">
        <v>319</v>
      </c>
      <c r="G18" s="559" t="s">
        <v>4</v>
      </c>
      <c r="H18" s="560" t="s">
        <v>321</v>
      </c>
      <c r="I18" s="535" t="str">
        <f t="shared" ca="1" si="0"/>
        <v>VFB Essenheim</v>
      </c>
      <c r="J18" s="373" t="s">
        <v>4</v>
      </c>
      <c r="K18" s="374" t="str">
        <f t="shared" ca="1" si="1"/>
        <v/>
      </c>
      <c r="L18" s="378"/>
      <c r="M18" s="381" t="str">
        <f>Sprache!$E$77</f>
        <v>:</v>
      </c>
      <c r="N18" s="706"/>
      <c r="O18" s="707"/>
      <c r="P18" s="696" t="str">
        <f>Sprache!$E$77</f>
        <v>:</v>
      </c>
      <c r="Q18" s="701"/>
      <c r="R18" s="699"/>
      <c r="T18" s="892"/>
      <c r="U18" s="893"/>
      <c r="V18" s="201" t="str">
        <f>Sprache!$E$21</f>
        <v>SP</v>
      </c>
      <c r="W18" s="202" t="str">
        <f>Sprache!$E$22</f>
        <v>G</v>
      </c>
      <c r="X18" s="202" t="str">
        <f>Sprache!$E$23</f>
        <v>U</v>
      </c>
      <c r="Y18" s="532" t="str">
        <f>Sprache!$E$24</f>
        <v>V</v>
      </c>
      <c r="Z18" s="808" t="str">
        <f>Sprache!$E$60</f>
        <v>Bälle</v>
      </c>
      <c r="AA18" s="809"/>
      <c r="AB18" s="810"/>
      <c r="AC18" s="202" t="str">
        <f>IF(Einstellungen!$G$7,Sprache!$E$26,Sprache!$E$67)</f>
        <v>Diff.</v>
      </c>
      <c r="AD18" s="204" t="str">
        <f>Sprache!$E$27</f>
        <v>Pkt</v>
      </c>
      <c r="AG18" s="538"/>
      <c r="AH18" s="539" t="str">
        <f>Sprache!$E$10</f>
        <v>Teilnehmer bzw. Mannschaft</v>
      </c>
      <c r="AI18" s="712" t="str">
        <f>Sprache!$E$49</f>
        <v>Tie-Break</v>
      </c>
    </row>
    <row r="19" spans="2:35" ht="24" customHeight="1" x14ac:dyDescent="0.2">
      <c r="C19" s="430">
        <f t="array" aca="1" ref="C19" ca="1">$C$12+ROW(7:7)-SUM((($I$12:$I18="")+($K$12:$K18="")&gt;0)*1)</f>
        <v>25</v>
      </c>
      <c r="D19" s="388">
        <f t="array" aca="1" ref="D19" ca="1">IF(Planung!$U$15,"",$D$12+QUOTIENT(($C19-$C$12),Planung!$U$11)*(Planung!$R$7+Planung!$R$9)/1440+SUM($R$12:$R18)/1440)</f>
        <v>0.56944444444444442</v>
      </c>
      <c r="E19" s="383">
        <f ca="1">IF(Planung!$U$15,"",MOD($C19-$C$12,Planung!$U$11)+1)</f>
        <v>2</v>
      </c>
      <c r="F19" s="558" t="s">
        <v>305</v>
      </c>
      <c r="G19" s="559" t="s">
        <v>4</v>
      </c>
      <c r="H19" s="560" t="s">
        <v>317</v>
      </c>
      <c r="I19" s="535" t="str">
        <f t="shared" ca="1" si="0"/>
        <v>1. FC Riedwald</v>
      </c>
      <c r="J19" s="373" t="s">
        <v>4</v>
      </c>
      <c r="K19" s="374" t="str">
        <f t="shared" ca="1" si="1"/>
        <v>FC Barcelona</v>
      </c>
      <c r="L19" s="378">
        <v>19</v>
      </c>
      <c r="M19" s="381" t="str">
        <f>Sprache!$E$77</f>
        <v>:</v>
      </c>
      <c r="N19" s="706">
        <v>25</v>
      </c>
      <c r="O19" s="707">
        <v>25</v>
      </c>
      <c r="P19" s="696" t="str">
        <f>Sprache!$E$77</f>
        <v>:</v>
      </c>
      <c r="Q19" s="701">
        <v>12</v>
      </c>
      <c r="R19" s="699"/>
      <c r="T19" s="540">
        <f ca="1">IF(CalcE2!$K$13=0,"",1)</f>
        <v>1</v>
      </c>
      <c r="U19" s="423" t="str">
        <f ca="1">IF(Calc1!$F$14&lt;3,"",IF(AND(CalcE2!$K$13=0,AH23&lt;&gt;1),CalcE2!$Q$64,VLOOKUP(CalcE2!$B$4,CalcE2!$C$4:$N$12,4,0)))</f>
        <v>1. FC Riedwald</v>
      </c>
      <c r="V19" s="541">
        <f ca="1">IF(CalcE2!$K$13=0,"",VLOOKUP(CalcE2!$B$4,CalcE2!$C$4:$N$12,9,0))</f>
        <v>3</v>
      </c>
      <c r="W19" s="208">
        <f ca="1">IF(CalcE2!$K$13=0,"",VLOOKUP(CalcE2!$B$4,CalcE2!$C$4:$N$12,10,0))</f>
        <v>1</v>
      </c>
      <c r="X19" s="208">
        <f ca="1">IF(CalcE2!$K$13=0,"",VLOOKUP(CalcE2!$B$4,CalcE2!$C$4:$N$12,11,0))</f>
        <v>2</v>
      </c>
      <c r="Y19" s="208">
        <f ca="1">IF(CalcE2!$K$13=0,"",VLOOKUP(CalcE2!$B$4,CalcE2!$C$4:$N$12,12,0))</f>
        <v>0</v>
      </c>
      <c r="Z19" s="210">
        <f ca="1">IF(CalcE2!$K$13=0,"",VLOOKUP(CalcE2!$B$4,CalcE2!$C$4:$N$12,5,0))</f>
        <v>136</v>
      </c>
      <c r="AA19" s="542" t="str">
        <f>Sprache!$E$77</f>
        <v>:</v>
      </c>
      <c r="AB19" s="212">
        <f ca="1">IF(CalcE2!$K$13=0,"",VLOOKUP(CalcE2!$B$4,CalcE2!$C$4:$N$12,6,0))</f>
        <v>121</v>
      </c>
      <c r="AC19" s="208">
        <f ca="1">IF(CalcE2!$K$13=0,"",IF(VLOOKUP(CalcE2!$B4,CalcE2!$C$4:$AR$12,42,0)=Einstellungen!$F$7,"max",VLOOKUP(CalcE2!$B4,CalcE2!$C$4:$AR$12,42,0)))</f>
        <v>15</v>
      </c>
      <c r="AD19" s="213">
        <f ca="1">IF(CalcE2!$K$13=0,"",VLOOKUP(CalcE2!$B$4,CalcE2!$C$4:$N$12,8,0))</f>
        <v>4</v>
      </c>
      <c r="AG19" s="686" t="s">
        <v>305</v>
      </c>
      <c r="AH19" s="543" t="str">
        <f ca="1">IF(Vorrunde!$Q$14="","",Vorrunde!$Q$14)</f>
        <v>1. FC Riedwald</v>
      </c>
      <c r="AI19" s="713">
        <f ca="1">IF($AH19="",0,COUNTIF(TieBreak!$U$25:$U$30,$AH19))</f>
        <v>0</v>
      </c>
    </row>
    <row r="20" spans="2:35" ht="24" customHeight="1" x14ac:dyDescent="0.2">
      <c r="C20" s="430">
        <f t="array" aca="1" ref="C20" ca="1">$C$12+ROW(8:8)-SUM((($I$12:$I19="")+($K$12:$K19="")&gt;0)*1)</f>
        <v>26</v>
      </c>
      <c r="D20" s="388">
        <f t="array" aca="1" ref="D20" ca="1">IF(Planung!$U$15,"",$D$12+QUOTIENT(($C20-$C$12),Planung!$U$11)*(Planung!$R$7+Planung!$R$9)/1440+SUM($R$12:$R19)/1440)</f>
        <v>0.56944444444444442</v>
      </c>
      <c r="E20" s="383">
        <f ca="1">IF(Planung!$U$15,"",MOD($C20-$C$12,Planung!$U$11)+1)</f>
        <v>3</v>
      </c>
      <c r="F20" s="558" t="s">
        <v>313</v>
      </c>
      <c r="G20" s="559" t="s">
        <v>4</v>
      </c>
      <c r="H20" s="560" t="s">
        <v>314</v>
      </c>
      <c r="I20" s="535" t="str">
        <f t="shared" ca="1" si="0"/>
        <v>Maibach 1822 eV</v>
      </c>
      <c r="J20" s="373" t="s">
        <v>4</v>
      </c>
      <c r="K20" s="374" t="str">
        <f t="shared" ca="1" si="1"/>
        <v>Eintracht Frankfurt</v>
      </c>
      <c r="L20" s="378">
        <v>13</v>
      </c>
      <c r="M20" s="381" t="str">
        <f>Sprache!$E$77</f>
        <v>:</v>
      </c>
      <c r="N20" s="706">
        <v>25</v>
      </c>
      <c r="O20" s="707">
        <v>18</v>
      </c>
      <c r="P20" s="696" t="str">
        <f>Sprache!$E$77</f>
        <v>:</v>
      </c>
      <c r="Q20" s="701">
        <v>25</v>
      </c>
      <c r="R20" s="699"/>
      <c r="T20" s="544">
        <f ca="1">IF(CalcE2!$K$13=0,"",IF(VLOOKUP(CalcE2!$B$5,CalcE2!$C$4:$E$12,3,0)=MAX($T19:$T19),VLOOKUP(CalcE2!$B$5,CalcE2!$C$4:$E$12,3,0),CalcE2!$B$5))</f>
        <v>2</v>
      </c>
      <c r="U20" s="425" t="str">
        <f ca="1">IF(OR(Calc1!$F$14&lt;3,AH23=1),"",IF(CalcE2!$K$13=0,CalcE2!$Q$65,VLOOKUP(CalcE2!$B$5,CalcE2!$C$4:$N$12,4,0)))</f>
        <v>SSV Wildbach</v>
      </c>
      <c r="V20" s="223">
        <f ca="1">IF(CalcE2!$K$13=0,"",VLOOKUP(CalcE2!$B$5,CalcE2!$C$4:$N$12,9,0))</f>
        <v>3</v>
      </c>
      <c r="W20" s="198">
        <f ca="1">IF(CalcE2!$K$13=0,"",VLOOKUP(CalcE2!$B$5,CalcE2!$C$4:$N$12,10,0))</f>
        <v>0</v>
      </c>
      <c r="X20" s="198">
        <f ca="1">IF(CalcE2!$K$13=0,"",VLOOKUP(CalcE2!$B$5,CalcE2!$C$4:$N$12,11,0))</f>
        <v>3</v>
      </c>
      <c r="Y20" s="198">
        <f ca="1">IF(CalcE2!$K$13=0,"",VLOOKUP(CalcE2!$B$5,CalcE2!$C$4:$N$12,12,0))</f>
        <v>0</v>
      </c>
      <c r="Z20" s="219">
        <f ca="1">IF(CalcE2!$K$13=0,"",VLOOKUP(CalcE2!$B$5,CalcE2!$C$4:$N$12,5,0))</f>
        <v>138</v>
      </c>
      <c r="AA20" s="545" t="str">
        <f>Sprache!$E$77</f>
        <v>:</v>
      </c>
      <c r="AB20" s="221">
        <f ca="1">IF(CalcE2!$K$13=0,"",VLOOKUP(CalcE2!$B$5,CalcE2!$C$4:$N$12,6,0))</f>
        <v>128</v>
      </c>
      <c r="AC20" s="198">
        <f ca="1">IF(CalcE2!$K$13=0,"",IF(VLOOKUP(CalcE2!$B5,CalcE2!$C$4:$AR$12,42,0)=Einstellungen!$F$7,"max",VLOOKUP(CalcE2!$B5,CalcE2!$C$4:$AR$12,42,0)))</f>
        <v>10</v>
      </c>
      <c r="AD20" s="222">
        <f ca="1">IF(CalcE2!$K$13=0,"",VLOOKUP(CalcE2!$B$5,CalcE2!$C$4:$N$12,8,0))</f>
        <v>3</v>
      </c>
      <c r="AG20" s="546" t="s">
        <v>316</v>
      </c>
      <c r="AH20" s="547" t="str">
        <f ca="1">IF(Vorrunde!$Q$24="","",Vorrunde!$Q$24)</f>
        <v>FC Grönlingen</v>
      </c>
      <c r="AI20" s="713">
        <f ca="1">IF($AH20="",0,COUNTIF(TieBreak!$U$25:$U$30,$AH20))</f>
        <v>0</v>
      </c>
    </row>
    <row r="21" spans="2:35" ht="24" customHeight="1" x14ac:dyDescent="0.2">
      <c r="C21" s="430">
        <f t="array" aca="1" ref="C21" ca="1">$C$12+ROW(9:9)-SUM((($I$12:$I20="")+($K$12:$K20="")&gt;0)*1)</f>
        <v>27</v>
      </c>
      <c r="D21" s="388">
        <f t="array" aca="1" ref="D21" ca="1">IF(Planung!$U$15,"",$D$12+QUOTIENT(($C21-$C$12),Planung!$U$11)*(Planung!$R$7+Planung!$R$9)/1440+SUM($R$12:$R20)/1440)</f>
        <v>0.59375</v>
      </c>
      <c r="E21" s="383">
        <f ca="1">IF(Planung!$U$15,"",MOD($C21-$C$12,Planung!$U$11)+1)</f>
        <v>1</v>
      </c>
      <c r="F21" s="558" t="s">
        <v>320</v>
      </c>
      <c r="G21" s="559" t="s">
        <v>4</v>
      </c>
      <c r="H21" s="560" t="s">
        <v>322</v>
      </c>
      <c r="I21" s="535" t="str">
        <f t="shared" ca="1" si="0"/>
        <v>Inter Mailand</v>
      </c>
      <c r="J21" s="373" t="s">
        <v>4</v>
      </c>
      <c r="K21" s="374" t="str">
        <f t="shared" ca="1" si="1"/>
        <v/>
      </c>
      <c r="L21" s="378"/>
      <c r="M21" s="381" t="str">
        <f>Sprache!$E$77</f>
        <v>:</v>
      </c>
      <c r="N21" s="706"/>
      <c r="O21" s="707"/>
      <c r="P21" s="696" t="str">
        <f>Sprache!$E$77</f>
        <v>:</v>
      </c>
      <c r="Q21" s="701"/>
      <c r="R21" s="699"/>
      <c r="T21" s="544">
        <f ca="1">IF(CalcE2!$K$13=0,"",IF(VLOOKUP(CalcE2!$B$6,CalcE2!$C$4:$E$12,3,0)=MAX($T19:$T20),VLOOKUP(CalcE2!$B$6,CalcE2!$C$4:$E$12,3,0),CalcE2!$B$6))</f>
        <v>3</v>
      </c>
      <c r="U21" s="425" t="str">
        <f ca="1">IF(OR(Calc1!$F$14&lt;3,AH23=1),"",IF(CalcE2!$K$13=0,CalcE2!$Q$66,VLOOKUP(CalcE2!$B$6,CalcE2!$C$4:$N$12,4,0)))</f>
        <v>FC Grönlingen</v>
      </c>
      <c r="V21" s="223">
        <f ca="1">IF(CalcE2!$K$13=0,"",VLOOKUP(CalcE2!$B$6,CalcE2!$C$4:$N$12,9,0))</f>
        <v>3</v>
      </c>
      <c r="W21" s="198">
        <f ca="1">IF(CalcE2!$K$13=0,"",VLOOKUP(CalcE2!$B$6,CalcE2!$C$4:$N$12,10,0))</f>
        <v>1</v>
      </c>
      <c r="X21" s="198">
        <f ca="1">IF(CalcE2!$K$13=0,"",VLOOKUP(CalcE2!$B$6,CalcE2!$C$4:$N$12,11,0))</f>
        <v>1</v>
      </c>
      <c r="Y21" s="198">
        <f ca="1">IF(CalcE2!$K$13=0,"",VLOOKUP(CalcE2!$B$6,CalcE2!$C$4:$N$12,12,0))</f>
        <v>1</v>
      </c>
      <c r="Z21" s="219">
        <f ca="1">IF(CalcE2!$K$13=0,"",VLOOKUP(CalcE2!$B$6,CalcE2!$C$4:$N$12,5,0))</f>
        <v>136</v>
      </c>
      <c r="AA21" s="545" t="str">
        <f>Sprache!$E$77</f>
        <v>:</v>
      </c>
      <c r="AB21" s="221">
        <f ca="1">IF(CalcE2!$K$13=0,"",VLOOKUP(CalcE2!$B$6,CalcE2!$C$4:$N$12,6,0))</f>
        <v>139</v>
      </c>
      <c r="AC21" s="198">
        <f ca="1">IF(CalcE2!$K$13=0,"",IF(VLOOKUP(CalcE2!$B6,CalcE2!$C$4:$AR$12,42,0)=Einstellungen!$F$7,"max",VLOOKUP(CalcE2!$B6,CalcE2!$C$4:$AR$12,42,0)))</f>
        <v>-3</v>
      </c>
      <c r="AD21" s="222">
        <f ca="1">IF(CalcE2!$K$13=0,"",VLOOKUP(CalcE2!$B$6,CalcE2!$C$4:$N$12,8,0))</f>
        <v>3</v>
      </c>
      <c r="AG21" s="687" t="s">
        <v>317</v>
      </c>
      <c r="AH21" s="547" t="str">
        <f ca="1">IF(Vorrunde!$Q$15="","",Vorrunde!$Q$15)</f>
        <v>FC Barcelona</v>
      </c>
      <c r="AI21" s="713">
        <f ca="1">IF($AH21="",0,COUNTIF(TieBreak!$U$25:$U$30,$AH21))</f>
        <v>0</v>
      </c>
    </row>
    <row r="22" spans="2:35" ht="24" customHeight="1" thickBot="1" x14ac:dyDescent="0.25">
      <c r="C22" s="430">
        <f t="array" aca="1" ref="C22" ca="1">$C$12+ROW(10:10)-SUM((($I$12:$I21="")+($K$12:$K21="")&gt;0)*1)</f>
        <v>27</v>
      </c>
      <c r="D22" s="388">
        <f t="array" aca="1" ref="D22" ca="1">IF(Planung!$U$15,"",$D$12+QUOTIENT(($C22-$C$12),Planung!$U$11)*(Planung!$R$7+Planung!$R$9)/1440+SUM($R$12:$R21)/1440)</f>
        <v>0.59375</v>
      </c>
      <c r="E22" s="383">
        <f ca="1">IF(Planung!$U$15,"",MOD($C22-$C$12,Planung!$U$11)+1)</f>
        <v>1</v>
      </c>
      <c r="F22" s="558" t="s">
        <v>316</v>
      </c>
      <c r="G22" s="559" t="s">
        <v>4</v>
      </c>
      <c r="H22" s="560" t="s">
        <v>318</v>
      </c>
      <c r="I22" s="535" t="str">
        <f t="shared" ca="1" si="0"/>
        <v>FC Grönlingen</v>
      </c>
      <c r="J22" s="373" t="s">
        <v>4</v>
      </c>
      <c r="K22" s="374" t="str">
        <f t="shared" ca="1" si="1"/>
        <v>SSV Wildbach</v>
      </c>
      <c r="L22" s="378">
        <v>22</v>
      </c>
      <c r="M22" s="381" t="str">
        <f>Sprache!$E$77</f>
        <v>:</v>
      </c>
      <c r="N22" s="706">
        <v>25</v>
      </c>
      <c r="O22" s="707">
        <v>25</v>
      </c>
      <c r="P22" s="696" t="str">
        <f>Sprache!$E$77</f>
        <v>:</v>
      </c>
      <c r="Q22" s="701">
        <v>20</v>
      </c>
      <c r="R22" s="699"/>
      <c r="T22" s="548">
        <f ca="1">IF(CalcE2!$K$13=0,"",IF(VLOOKUP(CalcE2!$B$7,CalcE2!$C$4:$E$12,3,0)=MAX($T19:$T21),VLOOKUP(CalcE2!$B$7,CalcE2!$C$4:$E$12,3,0),CalcE2!$B$7))</f>
        <v>4</v>
      </c>
      <c r="U22" s="427" t="str">
        <f ca="1">IF(OR(Calc1!$F$14&lt;3,AH23=1),"",IF(CalcE2!$K$13=0,CalcE2!$Q$67,VLOOKUP(CalcE2!$B$7,CalcE2!$C$4:$N$12,4,0)))</f>
        <v>FC Barcelona</v>
      </c>
      <c r="V22" s="234">
        <f ca="1">IF(CalcE2!$K$13=0,"",VLOOKUP(CalcE2!$B$7,CalcE2!$C$4:$N$12,9,0))</f>
        <v>3</v>
      </c>
      <c r="W22" s="228">
        <f ca="1">IF(CalcE2!$K$13=0,"",VLOOKUP(CalcE2!$B$7,CalcE2!$C$4:$N$12,10,0))</f>
        <v>0</v>
      </c>
      <c r="X22" s="228">
        <f ca="1">IF(CalcE2!$K$13=0,"",VLOOKUP(CalcE2!$B$7,CalcE2!$C$4:$N$12,11,0))</f>
        <v>2</v>
      </c>
      <c r="Y22" s="228">
        <f ca="1">IF(CalcE2!$K$13=0,"",VLOOKUP(CalcE2!$B$7,CalcE2!$C$4:$N$12,12,0))</f>
        <v>1</v>
      </c>
      <c r="Z22" s="230">
        <f ca="1">IF(CalcE2!$K$13=0,"",VLOOKUP(CalcE2!$B$7,CalcE2!$C$4:$N$12,5,0))</f>
        <v>120</v>
      </c>
      <c r="AA22" s="549" t="str">
        <f>Sprache!$E$77</f>
        <v>:</v>
      </c>
      <c r="AB22" s="232">
        <f ca="1">IF(CalcE2!$K$13=0,"",VLOOKUP(CalcE2!$B$7,CalcE2!$C$4:$N$12,6,0))</f>
        <v>142</v>
      </c>
      <c r="AC22" s="228">
        <f ca="1">IF(CalcE2!$K$13=0,"",IF(VLOOKUP(CalcE2!$B7,CalcE2!$C$4:$AR$12,42,0)=Einstellungen!$F$7,"max",VLOOKUP(CalcE2!$B7,CalcE2!$C$4:$AR$12,42,0)))</f>
        <v>-22</v>
      </c>
      <c r="AD22" s="233">
        <f ca="1">IF(CalcE2!$K$13=0,"",VLOOKUP(CalcE2!$B$7,CalcE2!$C$4:$N$12,8,0))</f>
        <v>2</v>
      </c>
      <c r="AG22" s="550" t="s">
        <v>318</v>
      </c>
      <c r="AH22" s="551" t="str">
        <f ca="1">IF(Vorrunde!$Q$25="","",Vorrunde!$Q$25)</f>
        <v>SSV Wildbach</v>
      </c>
      <c r="AI22" s="713">
        <f ca="1">IF($AH22="",0,COUNTIF(TieBreak!$U$25:$U$30,$AH22))</f>
        <v>0</v>
      </c>
    </row>
    <row r="23" spans="2:35" ht="24" customHeight="1" thickTop="1" x14ac:dyDescent="0.2">
      <c r="C23" s="430">
        <f t="array" aca="1" ref="C23" ca="1">$C$12+ROW(11:11)-SUM((($I$12:$I22="")+($K$12:$K22="")&gt;0)*1)</f>
        <v>28</v>
      </c>
      <c r="D23" s="388">
        <f t="array" aca="1" ref="D23" ca="1">IF(Planung!$U$15,"",$D$12+QUOTIENT(($C23-$C$12),Planung!$U$11)*(Planung!$R$7+Planung!$R$9)/1440+SUM($R$12:$R22)/1440)</f>
        <v>0.59375</v>
      </c>
      <c r="E23" s="383">
        <f ca="1">IF(Planung!$U$15,"",MOD($C23-$C$12,Planung!$U$11)+1)</f>
        <v>2</v>
      </c>
      <c r="F23" s="558" t="s">
        <v>306</v>
      </c>
      <c r="G23" s="559" t="s">
        <v>4</v>
      </c>
      <c r="H23" s="560" t="s">
        <v>315</v>
      </c>
      <c r="I23" s="535" t="str">
        <f t="shared" ca="1" si="0"/>
        <v>Mainz 05</v>
      </c>
      <c r="J23" s="373" t="s">
        <v>4</v>
      </c>
      <c r="K23" s="374" t="str">
        <f t="shared" ca="1" si="1"/>
        <v>Manchester City</v>
      </c>
      <c r="L23" s="378">
        <v>19</v>
      </c>
      <c r="M23" s="381" t="str">
        <f>Sprache!$E$77</f>
        <v>:</v>
      </c>
      <c r="N23" s="706">
        <v>25</v>
      </c>
      <c r="O23" s="707">
        <v>25</v>
      </c>
      <c r="P23" s="696" t="str">
        <f>Sprache!$E$77</f>
        <v>:</v>
      </c>
      <c r="Q23" s="701">
        <v>19</v>
      </c>
      <c r="R23" s="699"/>
      <c r="AH23" s="576">
        <f t="array" ref="AH23" ca="1">SUM((AH19:AH22&lt;&gt;"")*1)</f>
        <v>4</v>
      </c>
    </row>
    <row r="24" spans="2:35" ht="24" customHeight="1" thickBot="1" x14ac:dyDescent="0.45">
      <c r="C24" s="430">
        <f t="array" aca="1" ref="C24" ca="1">$C$12+ROW(12:12)-SUM((($I$12:$I23="")+($K$12:$K23="")&gt;0)*1)</f>
        <v>29</v>
      </c>
      <c r="D24" s="388">
        <f t="array" aca="1" ref="D24" ca="1">IF(Planung!$U$15,"",$D$12+QUOTIENT(($C24-$C$12),Planung!$U$11)*(Planung!$R$7+Planung!$R$9)/1440+SUM($R$12:$R23)/1440)</f>
        <v>0.59375</v>
      </c>
      <c r="E24" s="383">
        <f ca="1">IF(Planung!$U$15,"",MOD($C24-$C$12,Planung!$U$11)+1)</f>
        <v>3</v>
      </c>
      <c r="F24" s="558" t="s">
        <v>321</v>
      </c>
      <c r="G24" s="559" t="s">
        <v>4</v>
      </c>
      <c r="H24" s="560" t="s">
        <v>322</v>
      </c>
      <c r="I24" s="535" t="str">
        <f t="shared" ca="1" si="0"/>
        <v/>
      </c>
      <c r="J24" s="373" t="s">
        <v>4</v>
      </c>
      <c r="K24" s="374" t="str">
        <f t="shared" ca="1" si="1"/>
        <v/>
      </c>
      <c r="L24" s="378"/>
      <c r="M24" s="381" t="str">
        <f>Sprache!$E$77</f>
        <v>:</v>
      </c>
      <c r="N24" s="706"/>
      <c r="O24" s="707"/>
      <c r="P24" s="696" t="str">
        <f>Sprache!$E$77</f>
        <v>:</v>
      </c>
      <c r="Q24" s="701"/>
      <c r="R24" s="699"/>
      <c r="T24" s="889" t="str">
        <f>Sprache!$E$59</f>
        <v>Gruppenfünfte und -sechste</v>
      </c>
      <c r="U24" s="889"/>
      <c r="V24" s="889"/>
      <c r="W24" s="889"/>
      <c r="X24" s="889"/>
      <c r="Y24" s="889"/>
      <c r="Z24" s="199"/>
      <c r="AA24" s="199"/>
      <c r="AB24" s="199"/>
      <c r="AC24" s="199"/>
      <c r="AD24" s="199"/>
      <c r="AG24" s="890" t="str">
        <f>$T24</f>
        <v>Gruppenfünfte und -sechste</v>
      </c>
      <c r="AH24" s="890"/>
      <c r="AI24" s="891"/>
    </row>
    <row r="25" spans="2:35" ht="24" customHeight="1" thickTop="1" thickBot="1" x14ac:dyDescent="0.25">
      <c r="C25" s="430">
        <f t="array" aca="1" ref="C25" ca="1">$C$12+ROW(13:13)-SUM((($I$12:$I24="")+($K$12:$K24="")&gt;0)*1)</f>
        <v>29</v>
      </c>
      <c r="D25" s="388">
        <f t="array" aca="1" ref="D25" ca="1">IF(Planung!$U$15,"",$D$12+QUOTIENT(($C25-$C$12),Planung!$U$11)*(Planung!$R$7+Planung!$R$9)/1440+SUM($R$12:$R24)/1440)</f>
        <v>0.59375</v>
      </c>
      <c r="E25" s="383">
        <f ca="1">IF(Planung!$U$15,"",MOD($C25-$C$12,Planung!$U$11)+1)</f>
        <v>3</v>
      </c>
      <c r="F25" s="558" t="s">
        <v>317</v>
      </c>
      <c r="G25" s="559" t="s">
        <v>4</v>
      </c>
      <c r="H25" s="560" t="s">
        <v>318</v>
      </c>
      <c r="I25" s="535" t="str">
        <f t="shared" ca="1" si="0"/>
        <v>FC Barcelona</v>
      </c>
      <c r="J25" s="373" t="s">
        <v>4</v>
      </c>
      <c r="K25" s="374" t="str">
        <f t="shared" ca="1" si="1"/>
        <v>SSV Wildbach</v>
      </c>
      <c r="L25" s="378">
        <v>14</v>
      </c>
      <c r="M25" s="381" t="str">
        <f>Sprache!$E$77</f>
        <v>:</v>
      </c>
      <c r="N25" s="706">
        <v>25</v>
      </c>
      <c r="O25" s="707">
        <v>25</v>
      </c>
      <c r="P25" s="696" t="str">
        <f>Sprache!$E$77</f>
        <v>:</v>
      </c>
      <c r="Q25" s="701">
        <v>23</v>
      </c>
      <c r="R25" s="699"/>
      <c r="T25" s="892"/>
      <c r="U25" s="893"/>
      <c r="V25" s="201" t="str">
        <f>Sprache!$E$21</f>
        <v>SP</v>
      </c>
      <c r="W25" s="202" t="str">
        <f>Sprache!$E$22</f>
        <v>G</v>
      </c>
      <c r="X25" s="202" t="str">
        <f>Sprache!$E$23</f>
        <v>U</v>
      </c>
      <c r="Y25" s="532" t="str">
        <f>Sprache!$E$24</f>
        <v>V</v>
      </c>
      <c r="Z25" s="808" t="str">
        <f>Sprache!$E$60</f>
        <v>Bälle</v>
      </c>
      <c r="AA25" s="809"/>
      <c r="AB25" s="810"/>
      <c r="AC25" s="202" t="str">
        <f>IF(Einstellungen!$G$7,Sprache!$E$26,Sprache!$E$67)</f>
        <v>Diff.</v>
      </c>
      <c r="AD25" s="204" t="str">
        <f>Sprache!$E$27</f>
        <v>Pkt</v>
      </c>
      <c r="AG25" s="538"/>
      <c r="AH25" s="539" t="str">
        <f>Sprache!$E$10</f>
        <v>Teilnehmer bzw. Mannschaft</v>
      </c>
      <c r="AI25" s="712" t="str">
        <f>Sprache!$E$49</f>
        <v>Tie-Break</v>
      </c>
    </row>
    <row r="26" spans="2:35" ht="24" customHeight="1" x14ac:dyDescent="0.2">
      <c r="C26" s="430">
        <f t="array" aca="1" ref="C26" ca="1">$C$12+ROW(14:14)-SUM((($I$12:$I25="")+($K$12:$K25="")&gt;0)*1)</f>
        <v>30</v>
      </c>
      <c r="D26" s="388">
        <f t="array" aca="1" ref="D26" ca="1">IF(Planung!$U$15,"",$D$12+QUOTIENT(($C26-$C$12),Planung!$U$11)*(Planung!$R$7+Planung!$R$9)/1440+SUM($R$12:$R25)/1440)</f>
        <v>0.61805555555555547</v>
      </c>
      <c r="E26" s="564">
        <f ca="1">IF(Planung!$U$15,"",MOD($C26-$C$12,Planung!$U$11)+1)</f>
        <v>1</v>
      </c>
      <c r="F26" s="558" t="s">
        <v>314</v>
      </c>
      <c r="G26" s="559" t="s">
        <v>4</v>
      </c>
      <c r="H26" s="560" t="s">
        <v>315</v>
      </c>
      <c r="I26" s="536" t="str">
        <f t="shared" ca="1" si="0"/>
        <v>Eintracht Frankfurt</v>
      </c>
      <c r="J26" s="153" t="s">
        <v>4</v>
      </c>
      <c r="K26" s="367" t="str">
        <f t="shared" ca="1" si="1"/>
        <v>Manchester City</v>
      </c>
      <c r="L26" s="378">
        <v>21</v>
      </c>
      <c r="M26" s="381" t="str">
        <f>Sprache!$E$77</f>
        <v>:</v>
      </c>
      <c r="N26" s="706">
        <v>25</v>
      </c>
      <c r="O26" s="707">
        <v>25</v>
      </c>
      <c r="P26" s="696" t="str">
        <f>Sprache!$E$77</f>
        <v>:</v>
      </c>
      <c r="Q26" s="701">
        <v>17</v>
      </c>
      <c r="R26" s="699"/>
      <c r="T26" s="540">
        <f ca="1">IF(CalcE3!$K$13=0,"",1)</f>
        <v>1</v>
      </c>
      <c r="U26" s="423" t="str">
        <f ca="1">IF(Calc1!$F$14&lt;3,"",IF(AND(CalcE3!$K$13=0,AH30&lt;&gt;1),CalcE3!$Q$64,VLOOKUP(CalcE3!$B$4,CalcE3!$C$4:$N$12,4,0)))</f>
        <v>Inter Mailand</v>
      </c>
      <c r="V26" s="541">
        <f ca="1">IF(CalcE3!$K$13=0,"",VLOOKUP(CalcE3!$B$4,CalcE3!$C$4:$N$12,9,0))</f>
        <v>1</v>
      </c>
      <c r="W26" s="208">
        <f ca="1">IF(CalcE3!$K$13=0,"",VLOOKUP(CalcE3!$B$4,CalcE3!$C$4:$N$12,10,0))</f>
        <v>1</v>
      </c>
      <c r="X26" s="208">
        <f ca="1">IF(CalcE3!$K$13=0,"",VLOOKUP(CalcE3!$B$4,CalcE3!$C$4:$N$12,11,0))</f>
        <v>0</v>
      </c>
      <c r="Y26" s="208">
        <f ca="1">IF(CalcE3!$K$13=0,"",VLOOKUP(CalcE3!$B$4,CalcE3!$C$4:$N$12,12,0))</f>
        <v>0</v>
      </c>
      <c r="Z26" s="210">
        <f ca="1">IF(CalcE3!$K$13=0,"",VLOOKUP(CalcE3!$B$4,CalcE3!$C$4:$N$12,5,0))</f>
        <v>50</v>
      </c>
      <c r="AA26" s="542" t="str">
        <f>Sprache!$E$77</f>
        <v>:</v>
      </c>
      <c r="AB26" s="212">
        <f ca="1">IF(CalcE3!$K$13=0,"",VLOOKUP(CalcE3!$B$4,CalcE3!$C$4:$N$12,6,0))</f>
        <v>38</v>
      </c>
      <c r="AC26" s="208">
        <f ca="1">IF(CalcE3!$K$13=0,"",IF(VLOOKUP(CalcE3!$B4,CalcE3!$C$4:$AR$12,42,0)=Einstellungen!$F$7,"max",VLOOKUP(CalcE3!$B4,CalcE3!$C$4:$AR$12,42,0)))</f>
        <v>12</v>
      </c>
      <c r="AD26" s="213">
        <f ca="1">IF(CalcE3!$K$13=0,"",VLOOKUP(CalcE3!$B$4,CalcE3!$C$4:$N$12,8,0))</f>
        <v>2</v>
      </c>
      <c r="AG26" s="686" t="s">
        <v>319</v>
      </c>
      <c r="AH26" s="543" t="str">
        <f ca="1">IF(Vorrunde!$Q$16="","",Vorrunde!$Q$16)</f>
        <v>VFB Essenheim</v>
      </c>
      <c r="AI26" s="713">
        <f ca="1">IF($AH26="",0,COUNTIF(TieBreak!$U$25:$U$30,$AH26))</f>
        <v>0</v>
      </c>
    </row>
    <row r="27" spans="2:35" ht="24" customHeight="1" x14ac:dyDescent="0.2">
      <c r="C27" s="430">
        <f t="array" aca="1" ref="C27" ca="1">$C$12+ROW(15:15)-SUM((($I$12:$I26="")+($K$12:$K26="")&gt;0)*1)</f>
        <v>31</v>
      </c>
      <c r="D27" s="388">
        <f t="array" aca="1" ref="D27" ca="1">IF(Planung!$U$15,"",$D$12+QUOTIENT(($C27-$C$12),Planung!$U$11)*(Planung!$R$7+Planung!$R$9)/1440+SUM($R$12:$R26)/1440)</f>
        <v>0.61805555555555547</v>
      </c>
      <c r="E27" s="383">
        <f ca="1">IF(Planung!$U$15,"",MOD($C27-$C$12,Planung!$U$11)+1)</f>
        <v>2</v>
      </c>
      <c r="F27" s="558" t="s">
        <v>319</v>
      </c>
      <c r="G27" s="559" t="s">
        <v>4</v>
      </c>
      <c r="H27" s="560" t="s">
        <v>320</v>
      </c>
      <c r="I27" s="535" t="str">
        <f t="shared" ca="1" si="0"/>
        <v>VFB Essenheim</v>
      </c>
      <c r="J27" s="373" t="s">
        <v>4</v>
      </c>
      <c r="K27" s="374" t="str">
        <f t="shared" ca="1" si="1"/>
        <v>Inter Mailand</v>
      </c>
      <c r="L27" s="378">
        <v>20</v>
      </c>
      <c r="M27" s="381" t="str">
        <f>Sprache!$E$77</f>
        <v>:</v>
      </c>
      <c r="N27" s="706">
        <v>25</v>
      </c>
      <c r="O27" s="707">
        <v>18</v>
      </c>
      <c r="P27" s="696" t="str">
        <f>Sprache!$E$77</f>
        <v>:</v>
      </c>
      <c r="Q27" s="701">
        <v>25</v>
      </c>
      <c r="R27" s="699"/>
      <c r="T27" s="544">
        <f ca="1">IF(CalcE3!$K$13=0,"",IF(VLOOKUP(CalcE3!$B$5,CalcE3!$C$4:$E$12,3,0)=MAX($T26:$T26),VLOOKUP(CalcE3!$B$5,CalcE3!$C$4:$E$12,3,0),CalcE3!$B$5))</f>
        <v>2</v>
      </c>
      <c r="U27" s="425" t="str">
        <f ca="1">IF(OR(Calc1!$F$14&lt;3,AH30=1),"",IF(CalcE3!$K$13=0,CalcE3!$Q$65,VLOOKUP(CalcE3!$B$5,CalcE3!$C$4:$N$12,4,0)))</f>
        <v>VFB Essenheim</v>
      </c>
      <c r="V27" s="223">
        <f ca="1">IF(CalcE3!$K$13=0,"",VLOOKUP(CalcE3!$B$5,CalcE3!$C$4:$N$12,9,0))</f>
        <v>1</v>
      </c>
      <c r="W27" s="198">
        <f ca="1">IF(CalcE3!$K$13=0,"",VLOOKUP(CalcE3!$B$5,CalcE3!$C$4:$N$12,10,0))</f>
        <v>0</v>
      </c>
      <c r="X27" s="198">
        <f ca="1">IF(CalcE3!$K$13=0,"",VLOOKUP(CalcE3!$B$5,CalcE3!$C$4:$N$12,11,0))</f>
        <v>0</v>
      </c>
      <c r="Y27" s="198">
        <f ca="1">IF(CalcE3!$K$13=0,"",VLOOKUP(CalcE3!$B$5,CalcE3!$C$4:$N$12,12,0))</f>
        <v>1</v>
      </c>
      <c r="Z27" s="219">
        <f ca="1">IF(CalcE3!$K$13=0,"",VLOOKUP(CalcE3!$B$5,CalcE3!$C$4:$N$12,5,0))</f>
        <v>38</v>
      </c>
      <c r="AA27" s="545" t="str">
        <f>Sprache!$E$77</f>
        <v>:</v>
      </c>
      <c r="AB27" s="221">
        <f ca="1">IF(CalcE3!$K$13=0,"",VLOOKUP(CalcE3!$B$5,CalcE3!$C$4:$N$12,6,0))</f>
        <v>50</v>
      </c>
      <c r="AC27" s="198">
        <f ca="1">IF(CalcE3!$K$13=0,"",IF(VLOOKUP(CalcE3!$B5,CalcE3!$C$4:$AR$12,42,0)=Einstellungen!$F$7,"max",VLOOKUP(CalcE3!$B5,CalcE3!$C$4:$AR$12,42,0)))</f>
        <v>-12</v>
      </c>
      <c r="AD27" s="222">
        <f ca="1">IF(CalcE3!$K$13=0,"",VLOOKUP(CalcE3!$B$5,CalcE3!$C$4:$N$12,8,0))</f>
        <v>0</v>
      </c>
      <c r="AG27" s="546" t="s">
        <v>320</v>
      </c>
      <c r="AH27" s="547" t="str">
        <f ca="1">IF(Vorrunde!$Q$26="","",Vorrunde!$Q$26)</f>
        <v>Inter Mailand</v>
      </c>
      <c r="AI27" s="713">
        <f ca="1">IF($AH27="",0,COUNTIF(TieBreak!$U$25:$U$30,$AH27))</f>
        <v>0</v>
      </c>
    </row>
    <row r="28" spans="2:35" ht="24" customHeight="1" thickBot="1" x14ac:dyDescent="0.25">
      <c r="C28" s="430">
        <f t="array" aca="1" ref="C28" ca="1">$C$12+ROW(16:16)-SUM((($I$12:$I27="")+($K$12:$K27="")&gt;0)*1)</f>
        <v>32</v>
      </c>
      <c r="D28" s="388">
        <f t="array" aca="1" ref="D28" ca="1">IF(Planung!$U$15,"",$D$12+QUOTIENT(($C28-$C$12),Planung!$U$11)*(Planung!$R$7+Planung!$R$9)/1440+SUM($R$12:$R27)/1440)</f>
        <v>0.61805555555555547</v>
      </c>
      <c r="E28" s="564">
        <f ca="1">IF(Planung!$U$15,"",MOD($C28-$C$12,Planung!$U$11)+1)</f>
        <v>3</v>
      </c>
      <c r="F28" s="558" t="s">
        <v>305</v>
      </c>
      <c r="G28" s="559" t="s">
        <v>4</v>
      </c>
      <c r="H28" s="560" t="s">
        <v>316</v>
      </c>
      <c r="I28" s="536" t="str">
        <f t="shared" ca="1" si="0"/>
        <v>1. FC Riedwald</v>
      </c>
      <c r="J28" s="153" t="s">
        <v>4</v>
      </c>
      <c r="K28" s="367" t="str">
        <f t="shared" ca="1" si="1"/>
        <v>FC Grönlingen</v>
      </c>
      <c r="L28" s="378">
        <v>25</v>
      </c>
      <c r="M28" s="381" t="str">
        <f>Sprache!$E$77</f>
        <v>:</v>
      </c>
      <c r="N28" s="706">
        <v>20</v>
      </c>
      <c r="O28" s="707">
        <v>25</v>
      </c>
      <c r="P28" s="696" t="str">
        <f>Sprache!$E$77</f>
        <v>:</v>
      </c>
      <c r="Q28" s="701">
        <v>19</v>
      </c>
      <c r="R28" s="699"/>
      <c r="T28" s="544">
        <f ca="1">IF(CalcE3!$K$13=0,"",IF(VLOOKUP(CalcE3!$B$6,CalcE3!$C$4:$E$12,3,0)=MAX($T26:$T27),VLOOKUP(CalcE3!$B$6,CalcE3!$C$4:$E$12,3,0),CalcE3!$B$6))</f>
        <v>2</v>
      </c>
      <c r="U28" s="425" t="str">
        <f ca="1">IF(OR(Calc1!$F$14&lt;3,AH30=1),"",IF(CalcE3!$K$13=0,CalcE3!$Q$66,VLOOKUP(CalcE3!$B$6,CalcE3!$C$4:$N$12,4,0)))</f>
        <v/>
      </c>
      <c r="V28" s="223">
        <f ca="1">IF(CalcE3!$K$13=0,"",VLOOKUP(CalcE3!$B$6,CalcE3!$C$4:$N$12,9,0))</f>
        <v>0</v>
      </c>
      <c r="W28" s="198">
        <f ca="1">IF(CalcE3!$K$13=0,"",VLOOKUP(CalcE3!$B$6,CalcE3!$C$4:$N$12,10,0))</f>
        <v>0</v>
      </c>
      <c r="X28" s="198">
        <f ca="1">IF(CalcE3!$K$13=0,"",VLOOKUP(CalcE3!$B$6,CalcE3!$C$4:$N$12,11,0))</f>
        <v>0</v>
      </c>
      <c r="Y28" s="198">
        <f ca="1">IF(CalcE3!$K$13=0,"",VLOOKUP(CalcE3!$B$6,CalcE3!$C$4:$N$12,12,0))</f>
        <v>0</v>
      </c>
      <c r="Z28" s="219">
        <f ca="1">IF(CalcE3!$K$13=0,"",VLOOKUP(CalcE3!$B$6,CalcE3!$C$4:$N$12,5,0))</f>
        <v>0</v>
      </c>
      <c r="AA28" s="545" t="str">
        <f>Sprache!$E$77</f>
        <v>:</v>
      </c>
      <c r="AB28" s="221">
        <f ca="1">IF(CalcE3!$K$13=0,"",VLOOKUP(CalcE3!$B$6,CalcE3!$C$4:$N$12,6,0))</f>
        <v>0</v>
      </c>
      <c r="AC28" s="198">
        <f ca="1">IF(CalcE3!$K$13=0,"",IF(VLOOKUP(CalcE3!$B6,CalcE3!$C$4:$AR$12,42,0)=Einstellungen!$F$7,"max",VLOOKUP(CalcE3!$B6,CalcE3!$C$4:$AR$12,42,0)))</f>
        <v>0</v>
      </c>
      <c r="AD28" s="222">
        <f ca="1">IF(CalcE3!$K$13=0,"",VLOOKUP(CalcE3!$B$6,CalcE3!$C$4:$N$12,8,0))</f>
        <v>0</v>
      </c>
      <c r="AG28" s="687" t="s">
        <v>321</v>
      </c>
      <c r="AH28" s="547" t="str">
        <f ca="1">IF(Vorrunde!$Q$17="","",Vorrunde!$Q$17)</f>
        <v/>
      </c>
      <c r="AI28" s="713">
        <f ca="1">IF($AH28="",0,COUNTIF(TieBreak!$U$25:$U$30,$AH28))</f>
        <v>0</v>
      </c>
    </row>
    <row r="29" spans="2:35" ht="24" customHeight="1" thickBot="1" x14ac:dyDescent="0.25">
      <c r="C29" s="431">
        <f t="array" aca="1" ref="C29" ca="1">$C$12+ROW(17:17)-SUM((($I$12:$I28="")+($K$12:$K28="")&gt;0)*1)</f>
        <v>33</v>
      </c>
      <c r="D29" s="389">
        <f t="array" aca="1" ref="D29" ca="1">IF(Planung!$U$15,"",$D$12+QUOTIENT(($C29-$C$12),Planung!$U$11)*(Planung!$R$7+Planung!$R$9)/1440+SUM($R$12:$R28)/1440)</f>
        <v>0.64236111111111105</v>
      </c>
      <c r="E29" s="385">
        <f ca="1">IF(Planung!$U$15,"",MOD($C29-$C$12,Planung!$U$11)+1)</f>
        <v>1</v>
      </c>
      <c r="F29" s="561" t="s">
        <v>313</v>
      </c>
      <c r="G29" s="562" t="s">
        <v>4</v>
      </c>
      <c r="H29" s="563" t="s">
        <v>306</v>
      </c>
      <c r="I29" s="565" t="str">
        <f t="shared" ca="1" si="0"/>
        <v>Maibach 1822 eV</v>
      </c>
      <c r="J29" s="566" t="s">
        <v>4</v>
      </c>
      <c r="K29" s="567" t="str">
        <f t="shared" ca="1" si="1"/>
        <v>Mainz 05</v>
      </c>
      <c r="L29" s="379">
        <v>25</v>
      </c>
      <c r="M29" s="414" t="str">
        <f>Sprache!$E$77</f>
        <v>:</v>
      </c>
      <c r="N29" s="708">
        <v>13</v>
      </c>
      <c r="O29" s="709">
        <v>25</v>
      </c>
      <c r="P29" s="702" t="str">
        <f>Sprache!$E$77</f>
        <v>:</v>
      </c>
      <c r="Q29" s="703">
        <v>20</v>
      </c>
      <c r="R29" s="700"/>
      <c r="T29" s="548">
        <f ca="1">IF(CalcE3!$K$13=0,"",IF(VLOOKUP(CalcE3!$B$7,CalcE3!$C$4:$E$12,3,0)=MAX($T26:$T28),VLOOKUP(CalcE3!$B$7,CalcE3!$C$4:$E$12,3,0),CalcE3!$B$7))</f>
        <v>2</v>
      </c>
      <c r="U29" s="427" t="str">
        <f ca="1">IF(OR(Calc1!$F$14&lt;3,AH30=1),"",IF(CalcE3!$K$13=0,CalcE3!$Q$67,VLOOKUP(CalcE3!$B$7,CalcE3!$C$4:$N$12,4,0)))</f>
        <v/>
      </c>
      <c r="V29" s="234">
        <f ca="1">IF(CalcE3!$K$13=0,"",VLOOKUP(CalcE3!$B$7,CalcE3!$C$4:$N$12,9,0))</f>
        <v>0</v>
      </c>
      <c r="W29" s="228">
        <f ca="1">IF(CalcE3!$K$13=0,"",VLOOKUP(CalcE3!$B$7,CalcE3!$C$4:$N$12,10,0))</f>
        <v>0</v>
      </c>
      <c r="X29" s="228">
        <f ca="1">IF(CalcE3!$K$13=0,"",VLOOKUP(CalcE3!$B$7,CalcE3!$C$4:$N$12,11,0))</f>
        <v>0</v>
      </c>
      <c r="Y29" s="228">
        <f ca="1">IF(CalcE3!$K$13=0,"",VLOOKUP(CalcE3!$B$7,CalcE3!$C$4:$N$12,12,0))</f>
        <v>0</v>
      </c>
      <c r="Z29" s="230">
        <f ca="1">IF(CalcE3!$K$13=0,"",VLOOKUP(CalcE3!$B$7,CalcE3!$C$4:$N$12,5,0))</f>
        <v>0</v>
      </c>
      <c r="AA29" s="549" t="str">
        <f>Sprache!$E$77</f>
        <v>:</v>
      </c>
      <c r="AB29" s="232">
        <f ca="1">IF(CalcE3!$K$13=0,"",VLOOKUP(CalcE3!$B$7,CalcE3!$C$4:$N$12,6,0))</f>
        <v>0</v>
      </c>
      <c r="AC29" s="228">
        <f ca="1">IF(CalcE3!$K$13=0,"",IF(VLOOKUP(CalcE3!$B7,CalcE3!$C$4:$AR$12,42,0)=Einstellungen!$F$7,"max",VLOOKUP(CalcE3!$B7,CalcE3!$C$4:$AR$12,42,0)))</f>
        <v>0</v>
      </c>
      <c r="AD29" s="233">
        <f ca="1">IF(CalcE3!$K$13=0,"",VLOOKUP(CalcE3!$B$7,CalcE3!$C$4:$N$12,8,0))</f>
        <v>0</v>
      </c>
      <c r="AG29" s="550" t="s">
        <v>322</v>
      </c>
      <c r="AH29" s="551" t="str">
        <f ca="1">IF(Vorrunde!$Q$27="","",Vorrunde!$Q$27)</f>
        <v/>
      </c>
      <c r="AI29" s="713">
        <f ca="1">IF($AH29="",0,COUNTIF(TieBreak!$U$25:$U$30,$AH29))</f>
        <v>0</v>
      </c>
    </row>
    <row r="30" spans="2:35" ht="24" customHeight="1" thickTop="1" x14ac:dyDescent="0.2">
      <c r="AH30" s="576">
        <f t="array" ref="AH30" ca="1">SUM((AH26:AH29&lt;&gt;"")*1)</f>
        <v>2</v>
      </c>
    </row>
    <row r="31" spans="2:35" ht="24" customHeight="1" x14ac:dyDescent="0.2">
      <c r="C31" s="397"/>
      <c r="D31" s="397"/>
      <c r="E31" s="397"/>
      <c r="F31" s="397"/>
      <c r="G31" s="397"/>
      <c r="H31" s="397"/>
      <c r="I31" s="835" t="str">
        <f>Sprache!$E$29</f>
        <v>Turnierende:</v>
      </c>
      <c r="J31" s="835"/>
      <c r="K31" s="398">
        <f ca="1">IF(Planung!$R$13="","",$D$29+Planung!$R$7/1440)</f>
        <v>0.66319444444444442</v>
      </c>
      <c r="L31" s="399"/>
      <c r="M31" s="399"/>
      <c r="N31" s="399"/>
      <c r="O31" s="399"/>
      <c r="P31" s="399"/>
      <c r="Q31" s="399"/>
      <c r="R31" s="399"/>
    </row>
    <row r="32" spans="2:35" ht="24" customHeight="1" thickBot="1" x14ac:dyDescent="0.25">
      <c r="D32" s="391"/>
    </row>
    <row r="33" spans="5:21" ht="24" customHeight="1" thickBot="1" x14ac:dyDescent="0.25">
      <c r="F33" s="552"/>
      <c r="G33" s="553"/>
      <c r="H33" s="502" t="str">
        <f>Sprache!$E$85</f>
        <v>Rang</v>
      </c>
      <c r="I33" s="900" t="str">
        <f>"  "&amp;Sprache!$E$10</f>
        <v xml:space="preserve">  Teilnehmer bzw. Mannschaft</v>
      </c>
      <c r="J33" s="901"/>
      <c r="K33" s="902"/>
    </row>
    <row r="34" spans="5:21" ht="24" customHeight="1" thickTop="1" x14ac:dyDescent="0.2">
      <c r="E34" s="392">
        <v>1</v>
      </c>
      <c r="F34" s="554"/>
      <c r="G34" s="554"/>
      <c r="H34" s="442">
        <v>1</v>
      </c>
      <c r="I34" s="866" t="str">
        <f ca="1">IF(CalcE1!$K$13=0,"",$U$12)</f>
        <v>Manchester City</v>
      </c>
      <c r="J34" s="866"/>
      <c r="K34" s="867"/>
    </row>
    <row r="35" spans="5:21" ht="24" customHeight="1" x14ac:dyDescent="0.2">
      <c r="E35" s="392">
        <v>2</v>
      </c>
      <c r="F35" s="554"/>
      <c r="G35" s="554"/>
      <c r="H35" s="443">
        <v>2</v>
      </c>
      <c r="I35" s="868" t="str">
        <f ca="1">IF(CalcE1!$K$13=0,"",$U$13)</f>
        <v>Eintracht Frankfurt</v>
      </c>
      <c r="J35" s="868"/>
      <c r="K35" s="869"/>
    </row>
    <row r="36" spans="5:21" ht="24" customHeight="1" x14ac:dyDescent="0.2">
      <c r="E36" s="392">
        <v>3</v>
      </c>
      <c r="F36" s="554"/>
      <c r="G36" s="554"/>
      <c r="H36" s="444">
        <v>3</v>
      </c>
      <c r="I36" s="870" t="str">
        <f ca="1">IF(CalcE1!$K$13=0,"",$U$14)</f>
        <v>Mainz 05</v>
      </c>
      <c r="J36" s="870"/>
      <c r="K36" s="871"/>
    </row>
    <row r="37" spans="5:21" ht="24" customHeight="1" x14ac:dyDescent="0.2">
      <c r="E37" s="392">
        <v>4</v>
      </c>
      <c r="F37" s="554"/>
      <c r="G37" s="554"/>
      <c r="H37" s="445">
        <v>4</v>
      </c>
      <c r="I37" s="864" t="str">
        <f ca="1">IF(CalcE1!$K$13=0,"",$U$15)</f>
        <v>Maibach 1822 eV</v>
      </c>
      <c r="J37" s="864"/>
      <c r="K37" s="865"/>
    </row>
    <row r="38" spans="5:21" ht="24" customHeight="1" x14ac:dyDescent="0.2">
      <c r="E38" s="392">
        <v>5</v>
      </c>
      <c r="F38" s="554"/>
      <c r="G38" s="554"/>
      <c r="H38" s="445">
        <v>5</v>
      </c>
      <c r="I38" s="864" t="str">
        <f ca="1">IF(AND(CalcE2!$K$13=0,CalcE2!$F$13&lt;&gt;1),"",$U$19)</f>
        <v>1. FC Riedwald</v>
      </c>
      <c r="J38" s="864"/>
      <c r="K38" s="865"/>
    </row>
    <row r="39" spans="5:21" ht="24" customHeight="1" x14ac:dyDescent="0.2">
      <c r="E39" s="392">
        <v>6</v>
      </c>
      <c r="F39" s="554"/>
      <c r="G39" s="554"/>
      <c r="H39" s="445">
        <v>6</v>
      </c>
      <c r="I39" s="864" t="str">
        <f ca="1">IF(CalcE2!$K$13=0,"",$U$20)</f>
        <v>SSV Wildbach</v>
      </c>
      <c r="J39" s="864"/>
      <c r="K39" s="865"/>
    </row>
    <row r="40" spans="5:21" ht="24" customHeight="1" x14ac:dyDescent="0.2">
      <c r="E40" s="392">
        <v>7</v>
      </c>
      <c r="F40" s="554"/>
      <c r="G40" s="554"/>
      <c r="H40" s="445">
        <v>7</v>
      </c>
      <c r="I40" s="864" t="str">
        <f ca="1">IF(CalcE2!$K$13=0,"",$U$21)</f>
        <v>FC Grönlingen</v>
      </c>
      <c r="J40" s="864"/>
      <c r="K40" s="865"/>
      <c r="U40" s="568"/>
    </row>
    <row r="41" spans="5:21" ht="24" customHeight="1" x14ac:dyDescent="0.2">
      <c r="E41" s="392">
        <v>8</v>
      </c>
      <c r="F41" s="554"/>
      <c r="G41" s="554"/>
      <c r="H41" s="445">
        <v>8</v>
      </c>
      <c r="I41" s="864" t="str">
        <f ca="1">IF(CalcE2!$K$13=0,"",$U$22)</f>
        <v>FC Barcelona</v>
      </c>
      <c r="J41" s="864"/>
      <c r="K41" s="865"/>
    </row>
    <row r="42" spans="5:21" ht="24" customHeight="1" x14ac:dyDescent="0.2">
      <c r="E42" s="392">
        <v>9</v>
      </c>
      <c r="F42" s="554"/>
      <c r="G42" s="554"/>
      <c r="H42" s="445">
        <v>9</v>
      </c>
      <c r="I42" s="864" t="str">
        <f ca="1">IF(AND(CalcE3!$K$13=0,CalcE3!$F$13&lt;&gt;1),"",$U$26)</f>
        <v>Inter Mailand</v>
      </c>
      <c r="J42" s="864"/>
      <c r="K42" s="865"/>
    </row>
    <row r="43" spans="5:21" ht="24" customHeight="1" x14ac:dyDescent="0.2">
      <c r="E43" s="392">
        <v>10</v>
      </c>
      <c r="F43" s="554"/>
      <c r="G43" s="554"/>
      <c r="H43" s="445">
        <v>10</v>
      </c>
      <c r="I43" s="864" t="str">
        <f ca="1">IF(CalcE3!$K$13=0,"",$U$27)</f>
        <v>VFB Essenheim</v>
      </c>
      <c r="J43" s="864"/>
      <c r="K43" s="865"/>
    </row>
    <row r="44" spans="5:21" ht="24" customHeight="1" x14ac:dyDescent="0.2">
      <c r="E44" s="392">
        <v>11</v>
      </c>
      <c r="F44" s="554"/>
      <c r="G44" s="554"/>
      <c r="H44" s="445">
        <v>11</v>
      </c>
      <c r="I44" s="864" t="str">
        <f ca="1">IF(CalcE3!$K$13=0,"",$U$28)</f>
        <v/>
      </c>
      <c r="J44" s="864"/>
      <c r="K44" s="865"/>
    </row>
    <row r="45" spans="5:21" ht="24" customHeight="1" thickBot="1" x14ac:dyDescent="0.25">
      <c r="E45" s="392">
        <v>12</v>
      </c>
      <c r="F45" s="554"/>
      <c r="G45" s="554"/>
      <c r="H45" s="446">
        <v>12</v>
      </c>
      <c r="I45" s="854" t="str">
        <f ca="1">IF(CalcE3!$K$13=0,"",$U$29)</f>
        <v/>
      </c>
      <c r="J45" s="854"/>
      <c r="K45" s="855"/>
    </row>
    <row r="46" spans="5:21" ht="24" customHeight="1" thickTop="1" x14ac:dyDescent="0.2"/>
    <row r="47" spans="5:21" ht="12.75" customHeight="1" x14ac:dyDescent="0.2"/>
  </sheetData>
  <sheetProtection sheet="1" selectLockedCells="1"/>
  <mergeCells count="36">
    <mergeCell ref="I37:K37"/>
    <mergeCell ref="I36:K36"/>
    <mergeCell ref="I35:K35"/>
    <mergeCell ref="I34:K34"/>
    <mergeCell ref="I33:K33"/>
    <mergeCell ref="I42:K42"/>
    <mergeCell ref="I43:K43"/>
    <mergeCell ref="I44:K44"/>
    <mergeCell ref="I45:K45"/>
    <mergeCell ref="I38:K38"/>
    <mergeCell ref="I41:K41"/>
    <mergeCell ref="I40:K40"/>
    <mergeCell ref="I39:K39"/>
    <mergeCell ref="C10:F10"/>
    <mergeCell ref="I11:K11"/>
    <mergeCell ref="L11:N11"/>
    <mergeCell ref="T17:Y17"/>
    <mergeCell ref="AG17:AI17"/>
    <mergeCell ref="O11:Q11"/>
    <mergeCell ref="I2:AB2"/>
    <mergeCell ref="I3:AB3"/>
    <mergeCell ref="I4:AB4"/>
    <mergeCell ref="I5:AB5"/>
    <mergeCell ref="L7:U8"/>
    <mergeCell ref="I31:J31"/>
    <mergeCell ref="R10:R11"/>
    <mergeCell ref="T10:Y10"/>
    <mergeCell ref="AG10:AI10"/>
    <mergeCell ref="T11:U11"/>
    <mergeCell ref="Z11:AB11"/>
    <mergeCell ref="T18:U18"/>
    <mergeCell ref="Z18:AB18"/>
    <mergeCell ref="T24:Y24"/>
    <mergeCell ref="AG24:AI24"/>
    <mergeCell ref="T25:U25"/>
    <mergeCell ref="Z25:AB25"/>
  </mergeCells>
  <conditionalFormatting sqref="C12:Q29">
    <cfRule type="expression" dxfId="8" priority="14">
      <formula>OR($I12="",$K12="")</formula>
    </cfRule>
  </conditionalFormatting>
  <conditionalFormatting sqref="T12:AD15 T19:AD22 T26:AD29">
    <cfRule type="expression" dxfId="7" priority="2">
      <formula>$U12=""</formula>
    </cfRule>
    <cfRule type="expression" dxfId="6" priority="3">
      <formula>OR(AND($T12=$T11,$U11&lt;&gt;""),AND($T12=$T13,$U13&lt;&gt;""))</formula>
    </cfRule>
  </conditionalFormatting>
  <conditionalFormatting sqref="L12:Q29">
    <cfRule type="expression" dxfId="5" priority="1">
      <formula>OR(AND($L12&lt;&gt;"",$L12=$N12),AND($O12&lt;&gt;"",$O12=$Q12))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4" id="{648D8133-7717-4F1D-AB74-A1A63E64B3CD}">
            <xm:f>$H34&gt;2*Calc1!$F$14-MOD((Calc1!$F$13+Calc2!$F$13),2)</xm:f>
            <x14:dxf>
              <numFmt numFmtId="165" formatCode=";;;"/>
            </x14:dxf>
          </x14:cfRule>
          <xm:sqref>H34:H45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09"/>
  <sheetViews>
    <sheetView showGridLines="0" showRowColHeaders="0" workbookViewId="0">
      <selection activeCell="J1" sqref="J1"/>
    </sheetView>
  </sheetViews>
  <sheetFormatPr baseColWidth="10" defaultColWidth="0" defaultRowHeight="12.75" zeroHeight="1" x14ac:dyDescent="0.2"/>
  <cols>
    <col min="1" max="1" width="11.42578125" customWidth="1"/>
    <col min="2" max="2" width="19.28515625" hidden="1" customWidth="1"/>
    <col min="3" max="3" width="11.42578125" hidden="1" customWidth="1"/>
    <col min="4" max="4" width="7" style="68"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87"/>
      <c r="F1" s="764" t="str">
        <f>$E$35</f>
        <v>Sprache wählen</v>
      </c>
      <c r="G1" s="764"/>
      <c r="H1" s="764"/>
      <c r="I1" s="104"/>
      <c r="J1" s="106" t="s">
        <v>147</v>
      </c>
      <c r="K1" s="173" t="str">
        <f>_xlfn.UNICHAR(8592)</f>
        <v>←</v>
      </c>
      <c r="L1" s="172" t="str">
        <f>$E$73</f>
        <v>Hier klicken und Sprache wählen</v>
      </c>
    </row>
    <row r="2" spans="2:12" ht="11.25" customHeight="1" thickBot="1" x14ac:dyDescent="0.25">
      <c r="F2" s="905"/>
      <c r="G2" s="905"/>
      <c r="I2" s="69"/>
      <c r="J2" s="70"/>
    </row>
    <row r="3" spans="2:12" ht="13.5" thickTop="1" x14ac:dyDescent="0.2">
      <c r="B3" s="71" t="s">
        <v>112</v>
      </c>
      <c r="C3" s="72">
        <f>IF(AND($J$1&lt;&gt;B4,$J$1&lt;&gt;B5),1,0)</f>
        <v>0</v>
      </c>
      <c r="D3" s="906"/>
      <c r="E3" s="908"/>
      <c r="F3" s="909" t="s">
        <v>112</v>
      </c>
      <c r="G3" s="911" t="s">
        <v>147</v>
      </c>
      <c r="H3" s="903" t="s">
        <v>111</v>
      </c>
      <c r="I3" s="73"/>
    </row>
    <row r="4" spans="2:12" ht="13.5" thickBot="1" x14ac:dyDescent="0.25">
      <c r="B4" s="71" t="s">
        <v>147</v>
      </c>
      <c r="C4" s="72">
        <f>IF($J$1=B4,1,0)</f>
        <v>1</v>
      </c>
      <c r="D4" s="907"/>
      <c r="E4" s="908"/>
      <c r="F4" s="910"/>
      <c r="G4" s="912"/>
      <c r="H4" s="904"/>
      <c r="I4" s="74"/>
      <c r="J4" s="75"/>
    </row>
    <row r="5" spans="2:12" ht="29.25" thickTop="1" x14ac:dyDescent="0.45">
      <c r="B5" s="71" t="s">
        <v>111</v>
      </c>
      <c r="C5" s="72">
        <f>IF($J$1=B5,1,0)</f>
        <v>0</v>
      </c>
      <c r="E5" s="71"/>
      <c r="F5" s="79" t="str">
        <f>$E$36</f>
        <v>Überschriften</v>
      </c>
      <c r="G5" s="80"/>
      <c r="H5" s="81"/>
      <c r="I5" s="74"/>
      <c r="J5" s="75"/>
    </row>
    <row r="6" spans="2:12" x14ac:dyDescent="0.2">
      <c r="E6" s="71" t="str">
        <f>IF($C$3,F6,IF($C$4,G6,IF($H6&lt;&gt;"",$H6,$F6)))</f>
        <v>Tie Break Vorrunde</v>
      </c>
      <c r="F6" s="78" t="s">
        <v>211</v>
      </c>
      <c r="G6" s="76" t="s">
        <v>210</v>
      </c>
      <c r="H6" s="99"/>
    </row>
    <row r="7" spans="2:12" x14ac:dyDescent="0.2">
      <c r="E7" s="71" t="str">
        <f t="shared" ref="E7:E104" si="0">IF($C$3,F7,IF($C$4,G7,IF($H7&lt;&gt;"",$H7,$F7)))</f>
        <v>Direkte Vergleiche</v>
      </c>
      <c r="F7" s="78" t="s">
        <v>113</v>
      </c>
      <c r="G7" s="76" t="s">
        <v>12</v>
      </c>
      <c r="H7" s="77"/>
    </row>
    <row r="8" spans="2:12" x14ac:dyDescent="0.2">
      <c r="E8" s="71" t="str">
        <f t="shared" si="0"/>
        <v>Dein Datum</v>
      </c>
      <c r="F8" s="97" t="s">
        <v>142</v>
      </c>
      <c r="G8" s="96" t="s">
        <v>141</v>
      </c>
      <c r="H8" s="77"/>
    </row>
    <row r="9" spans="2:12" ht="15" customHeight="1" x14ac:dyDescent="0.45">
      <c r="E9" s="71" t="str">
        <f t="shared" si="0"/>
        <v>Nr.</v>
      </c>
      <c r="F9" s="94" t="s">
        <v>115</v>
      </c>
      <c r="G9" s="93" t="s">
        <v>0</v>
      </c>
      <c r="H9" s="77"/>
      <c r="I9" s="85"/>
    </row>
    <row r="10" spans="2:12" ht="15" customHeight="1" x14ac:dyDescent="0.45">
      <c r="E10" s="71" t="str">
        <f t="shared" si="0"/>
        <v>Teilnehmer bzw. Mannschaft</v>
      </c>
      <c r="F10" s="94" t="s">
        <v>116</v>
      </c>
      <c r="G10" s="93" t="s">
        <v>21</v>
      </c>
      <c r="H10" s="77"/>
      <c r="I10" s="85"/>
    </row>
    <row r="11" spans="2:12" ht="15" customHeight="1" x14ac:dyDescent="0.45">
      <c r="E11" s="71" t="str">
        <f t="shared" si="0"/>
        <v>Ergebnisse</v>
      </c>
      <c r="F11" s="94" t="s">
        <v>117</v>
      </c>
      <c r="G11" s="93" t="s">
        <v>22</v>
      </c>
      <c r="H11" s="77"/>
      <c r="I11" s="85"/>
    </row>
    <row r="12" spans="2:12" ht="15" customHeight="1" x14ac:dyDescent="0.45">
      <c r="E12" s="71" t="str">
        <f t="shared" si="0"/>
        <v>Tabelle</v>
      </c>
      <c r="F12" s="94" t="s">
        <v>118</v>
      </c>
      <c r="G12" s="93" t="s">
        <v>13</v>
      </c>
      <c r="H12" s="77"/>
      <c r="I12" s="85"/>
    </row>
    <row r="13" spans="2:12" ht="15" customHeight="1" x14ac:dyDescent="0.45">
      <c r="E13" s="71" t="str">
        <f t="shared" si="0"/>
        <v>Tabelle (Kopie)</v>
      </c>
      <c r="F13" s="94" t="s">
        <v>119</v>
      </c>
      <c r="G13" s="93" t="s">
        <v>52</v>
      </c>
      <c r="H13" s="77"/>
      <c r="I13" s="85"/>
    </row>
    <row r="14" spans="2:12" ht="15" customHeight="1" x14ac:dyDescent="0.45">
      <c r="E14" s="71" t="str">
        <f t="shared" si="0"/>
        <v>Spielpaarung</v>
      </c>
      <c r="F14" s="94" t="s">
        <v>122</v>
      </c>
      <c r="G14" s="93" t="s">
        <v>1</v>
      </c>
      <c r="H14" s="77"/>
      <c r="I14" s="85"/>
    </row>
    <row r="15" spans="2:12" ht="15" customHeight="1" x14ac:dyDescent="0.45">
      <c r="E15" s="71" t="str">
        <f t="shared" si="0"/>
        <v>Ergebnis</v>
      </c>
      <c r="F15" s="94" t="s">
        <v>123</v>
      </c>
      <c r="G15" s="93" t="s">
        <v>2</v>
      </c>
      <c r="H15" s="77"/>
      <c r="I15" s="85"/>
    </row>
    <row r="16" spans="2:12" ht="15" customHeight="1" x14ac:dyDescent="0.45">
      <c r="E16" s="71" t="str">
        <f t="shared" si="0"/>
        <v>Gruppe</v>
      </c>
      <c r="F16" s="94" t="s">
        <v>190</v>
      </c>
      <c r="G16" s="93" t="s">
        <v>189</v>
      </c>
      <c r="H16" s="77"/>
      <c r="I16" s="85"/>
    </row>
    <row r="17" spans="5:13" ht="15" customHeight="1" x14ac:dyDescent="0.45">
      <c r="E17" s="71" t="str">
        <f t="shared" si="0"/>
        <v>Grp</v>
      </c>
      <c r="F17" s="94" t="s">
        <v>191</v>
      </c>
      <c r="G17" s="93" t="s">
        <v>191</v>
      </c>
      <c r="H17" s="77"/>
      <c r="I17" s="85"/>
    </row>
    <row r="18" spans="5:13" ht="15" customHeight="1" x14ac:dyDescent="0.45">
      <c r="E18" s="71" t="str">
        <f t="shared" si="0"/>
        <v>Vorrunde</v>
      </c>
      <c r="F18" s="94" t="s">
        <v>206</v>
      </c>
      <c r="G18" s="93" t="s">
        <v>204</v>
      </c>
      <c r="H18" s="77"/>
      <c r="I18" s="85"/>
    </row>
    <row r="19" spans="5:13" ht="15" customHeight="1" x14ac:dyDescent="0.45">
      <c r="E19" s="71" t="str">
        <f t="shared" si="0"/>
        <v>Endrunde</v>
      </c>
      <c r="F19" s="94" t="s">
        <v>207</v>
      </c>
      <c r="G19" s="93" t="s">
        <v>205</v>
      </c>
      <c r="H19" s="77"/>
      <c r="I19" s="85"/>
    </row>
    <row r="20" spans="5:13" ht="15" x14ac:dyDescent="0.25">
      <c r="E20" s="71" t="str">
        <f t="shared" si="0"/>
        <v>Zusätzl. Pause (min)</v>
      </c>
      <c r="F20" s="97" t="s">
        <v>220</v>
      </c>
      <c r="G20" s="96" t="s">
        <v>219</v>
      </c>
      <c r="H20" s="77"/>
      <c r="I20" s="86"/>
      <c r="J20" s="86"/>
      <c r="K20" s="86"/>
      <c r="L20" s="86"/>
      <c r="M20" s="86"/>
    </row>
    <row r="21" spans="5:13" ht="15" x14ac:dyDescent="0.25">
      <c r="E21" s="71" t="str">
        <f t="shared" si="0"/>
        <v>SP</v>
      </c>
      <c r="F21" s="97" t="s">
        <v>102</v>
      </c>
      <c r="G21" s="96" t="s">
        <v>124</v>
      </c>
      <c r="H21" s="77"/>
      <c r="I21" s="86"/>
      <c r="J21" s="86"/>
      <c r="K21" s="86"/>
      <c r="L21" s="86"/>
      <c r="M21" s="86"/>
    </row>
    <row r="22" spans="5:13" ht="15" x14ac:dyDescent="0.25">
      <c r="E22" s="71" t="str">
        <f t="shared" si="0"/>
        <v>G</v>
      </c>
      <c r="F22" s="97" t="s">
        <v>103</v>
      </c>
      <c r="G22" s="96" t="s">
        <v>125</v>
      </c>
      <c r="H22" s="77"/>
      <c r="I22" s="86"/>
      <c r="J22" s="86"/>
      <c r="K22" s="86"/>
      <c r="L22" s="86"/>
      <c r="M22" s="86"/>
    </row>
    <row r="23" spans="5:13" ht="15" x14ac:dyDescent="0.25">
      <c r="E23" s="71" t="str">
        <f t="shared" si="0"/>
        <v>U</v>
      </c>
      <c r="F23" s="97" t="s">
        <v>104</v>
      </c>
      <c r="G23" s="96" t="s">
        <v>126</v>
      </c>
      <c r="H23" s="77"/>
      <c r="I23" s="86"/>
      <c r="J23" s="86"/>
      <c r="K23" s="86"/>
      <c r="L23" s="86"/>
      <c r="M23" s="86"/>
    </row>
    <row r="24" spans="5:13" ht="15" x14ac:dyDescent="0.25">
      <c r="E24" s="71" t="str">
        <f t="shared" si="0"/>
        <v>V</v>
      </c>
      <c r="F24" s="97" t="s">
        <v>105</v>
      </c>
      <c r="G24" s="96" t="s">
        <v>127</v>
      </c>
      <c r="H24" s="77"/>
      <c r="I24" s="86"/>
      <c r="J24" s="86"/>
      <c r="K24" s="86"/>
      <c r="L24" s="86"/>
      <c r="M24" s="86"/>
    </row>
    <row r="25" spans="5:13" ht="15" x14ac:dyDescent="0.25">
      <c r="E25" s="71" t="str">
        <f t="shared" si="0"/>
        <v>Sätze</v>
      </c>
      <c r="F25" s="97" t="s">
        <v>380</v>
      </c>
      <c r="G25" s="96" t="s">
        <v>381</v>
      </c>
      <c r="H25" s="77"/>
      <c r="I25" s="86"/>
      <c r="J25" s="86"/>
      <c r="K25" s="86"/>
      <c r="L25" s="86"/>
      <c r="M25" s="86"/>
    </row>
    <row r="26" spans="5:13" ht="15" x14ac:dyDescent="0.25">
      <c r="E26" s="71" t="str">
        <f t="shared" si="0"/>
        <v>Diff.</v>
      </c>
      <c r="F26" s="97" t="s">
        <v>108</v>
      </c>
      <c r="G26" s="96" t="s">
        <v>3</v>
      </c>
      <c r="H26" s="77"/>
      <c r="I26" s="86"/>
      <c r="J26" s="86"/>
      <c r="K26" s="86"/>
      <c r="L26" s="86"/>
      <c r="M26" s="86"/>
    </row>
    <row r="27" spans="5:13" ht="15" x14ac:dyDescent="0.25">
      <c r="E27" s="71" t="str">
        <f t="shared" si="0"/>
        <v>Pkt</v>
      </c>
      <c r="F27" s="97" t="s">
        <v>109</v>
      </c>
      <c r="G27" s="96" t="s">
        <v>128</v>
      </c>
      <c r="H27" s="77"/>
      <c r="I27" s="86"/>
      <c r="J27" s="86"/>
      <c r="K27" s="86"/>
      <c r="L27" s="86"/>
      <c r="M27" s="86"/>
    </row>
    <row r="28" spans="5:13" ht="15" x14ac:dyDescent="0.25">
      <c r="E28" s="71" t="str">
        <f t="shared" si="0"/>
        <v>erz. Tore</v>
      </c>
      <c r="F28" s="97" t="s">
        <v>106</v>
      </c>
      <c r="G28" s="96" t="s">
        <v>151</v>
      </c>
      <c r="H28" s="77"/>
      <c r="I28" s="86"/>
      <c r="J28" s="86"/>
      <c r="K28" s="86"/>
      <c r="L28" s="86"/>
      <c r="M28" s="86"/>
    </row>
    <row r="29" spans="5:13" x14ac:dyDescent="0.2">
      <c r="E29" s="71" t="str">
        <f t="shared" si="0"/>
        <v>Turnierende:</v>
      </c>
      <c r="F29" s="97" t="s">
        <v>222</v>
      </c>
      <c r="G29" s="96" t="s">
        <v>221</v>
      </c>
      <c r="H29" s="77"/>
    </row>
    <row r="30" spans="5:13" x14ac:dyDescent="0.2">
      <c r="E30" s="71" t="str">
        <f t="shared" si="0"/>
        <v>Teilnehmer und Ablaufplan</v>
      </c>
      <c r="F30" s="97" t="s">
        <v>129</v>
      </c>
      <c r="G30" s="96" t="s">
        <v>19</v>
      </c>
      <c r="H30" s="77"/>
    </row>
    <row r="31" spans="5:13" x14ac:dyDescent="0.2">
      <c r="E31" s="71" t="str">
        <f t="shared" si="0"/>
        <v>Teilnehmer</v>
      </c>
      <c r="F31" s="98" t="s">
        <v>130</v>
      </c>
      <c r="G31" s="96" t="s">
        <v>20</v>
      </c>
      <c r="H31" s="77"/>
    </row>
    <row r="32" spans="5:13" x14ac:dyDescent="0.2">
      <c r="E32" s="71" t="str">
        <f t="shared" si="0"/>
        <v>Ablaufplan</v>
      </c>
      <c r="F32" s="98" t="s">
        <v>131</v>
      </c>
      <c r="G32" s="96" t="s">
        <v>23</v>
      </c>
      <c r="H32" s="77"/>
    </row>
    <row r="33" spans="5:8" x14ac:dyDescent="0.2">
      <c r="E33" s="71" t="str">
        <f t="shared" si="0"/>
        <v>Spiel-Nr.</v>
      </c>
      <c r="F33" s="98" t="s">
        <v>132</v>
      </c>
      <c r="G33" s="96" t="s">
        <v>51</v>
      </c>
      <c r="H33" s="77"/>
    </row>
    <row r="34" spans="5:8" x14ac:dyDescent="0.2">
      <c r="E34" s="71" t="str">
        <f t="shared" si="0"/>
        <v>Paarungen</v>
      </c>
      <c r="F34" s="98" t="s">
        <v>135</v>
      </c>
      <c r="G34" s="96" t="s">
        <v>53</v>
      </c>
      <c r="H34" s="77"/>
    </row>
    <row r="35" spans="5:8" x14ac:dyDescent="0.2">
      <c r="E35" s="71" t="str">
        <f t="shared" si="0"/>
        <v>Sprache wählen</v>
      </c>
      <c r="F35" s="97" t="s">
        <v>110</v>
      </c>
      <c r="G35" s="96" t="s">
        <v>140</v>
      </c>
      <c r="H35" s="77"/>
    </row>
    <row r="36" spans="5:8" x14ac:dyDescent="0.2">
      <c r="E36" s="71" t="str">
        <f t="shared" si="0"/>
        <v>Überschriften</v>
      </c>
      <c r="F36" s="97" t="s">
        <v>114</v>
      </c>
      <c r="G36" s="96" t="s">
        <v>137</v>
      </c>
      <c r="H36" s="77"/>
    </row>
    <row r="37" spans="5:8" x14ac:dyDescent="0.2">
      <c r="E37" s="71" t="str">
        <f t="shared" si="0"/>
        <v>Meldungen</v>
      </c>
      <c r="F37" s="97" t="s">
        <v>138</v>
      </c>
      <c r="G37" s="96" t="s">
        <v>139</v>
      </c>
      <c r="H37" s="77"/>
    </row>
    <row r="38" spans="5:8" x14ac:dyDescent="0.2">
      <c r="E38" s="71" t="str">
        <f t="shared" si="0"/>
        <v>Deine Überschriften</v>
      </c>
      <c r="F38" s="97" t="s">
        <v>145</v>
      </c>
      <c r="G38" s="96" t="s">
        <v>144</v>
      </c>
      <c r="H38" s="77"/>
    </row>
    <row r="39" spans="5:8" x14ac:dyDescent="0.2">
      <c r="E39" s="71" t="str">
        <f t="shared" si="0"/>
        <v>Beginn</v>
      </c>
      <c r="F39" s="97" t="s">
        <v>300</v>
      </c>
      <c r="G39" s="96" t="s">
        <v>301</v>
      </c>
      <c r="H39" s="77"/>
    </row>
    <row r="40" spans="5:8" x14ac:dyDescent="0.2">
      <c r="E40" s="71" t="str">
        <f t="shared" si="0"/>
        <v>Ende der Vorrunde:</v>
      </c>
      <c r="F40" s="97" t="s">
        <v>223</v>
      </c>
      <c r="G40" s="96" t="s">
        <v>224</v>
      </c>
      <c r="H40" s="77"/>
    </row>
    <row r="41" spans="5:8" x14ac:dyDescent="0.2">
      <c r="E41" s="71" t="str">
        <f t="shared" si="0"/>
        <v>Spielzeiten</v>
      </c>
      <c r="F41" s="97" t="s">
        <v>168</v>
      </c>
      <c r="G41" s="96" t="s">
        <v>167</v>
      </c>
      <c r="H41" s="77"/>
    </row>
    <row r="42" spans="5:8" x14ac:dyDescent="0.2">
      <c r="E42" s="71" t="str">
        <f t="shared" si="0"/>
        <v>Spielzeit pro Spiel:</v>
      </c>
      <c r="F42" s="97" t="s">
        <v>225</v>
      </c>
      <c r="G42" s="96" t="s">
        <v>226</v>
      </c>
      <c r="H42" s="77"/>
    </row>
    <row r="43" spans="5:8" x14ac:dyDescent="0.2">
      <c r="E43" s="71" t="str">
        <f t="shared" si="0"/>
        <v>Wechselzeit:</v>
      </c>
      <c r="F43" s="97" t="s">
        <v>227</v>
      </c>
      <c r="G43" s="96" t="s">
        <v>228</v>
      </c>
      <c r="H43" s="77"/>
    </row>
    <row r="44" spans="5:8" x14ac:dyDescent="0.2">
      <c r="E44" s="71" t="str">
        <f t="shared" si="0"/>
        <v>Anzahl der Spielfelder:</v>
      </c>
      <c r="F44" s="97" t="s">
        <v>298</v>
      </c>
      <c r="G44" s="96" t="s">
        <v>297</v>
      </c>
      <c r="H44" s="77"/>
    </row>
    <row r="45" spans="5:8" x14ac:dyDescent="0.2">
      <c r="E45" s="71" t="str">
        <f t="shared" si="0"/>
        <v>Uhr</v>
      </c>
      <c r="F45" s="97" t="s">
        <v>160</v>
      </c>
      <c r="G45" s="96" t="s">
        <v>159</v>
      </c>
      <c r="H45" s="77"/>
    </row>
    <row r="46" spans="5:8" x14ac:dyDescent="0.2">
      <c r="E46" s="71" t="str">
        <f t="shared" si="0"/>
        <v>Spiel gegen</v>
      </c>
      <c r="F46" s="97" t="s">
        <v>164</v>
      </c>
      <c r="G46" s="96" t="s">
        <v>163</v>
      </c>
      <c r="H46" s="77"/>
    </row>
    <row r="47" spans="5:8" x14ac:dyDescent="0.2">
      <c r="E47" s="71" t="str">
        <f t="shared" si="0"/>
        <v>Anmerkung</v>
      </c>
      <c r="F47" s="97" t="s">
        <v>165</v>
      </c>
      <c r="G47" s="96" t="s">
        <v>166</v>
      </c>
      <c r="H47" s="77"/>
    </row>
    <row r="48" spans="5:8" x14ac:dyDescent="0.2">
      <c r="E48" s="71" t="str">
        <f t="shared" si="0"/>
        <v>Feld</v>
      </c>
      <c r="F48" s="97" t="s">
        <v>229</v>
      </c>
      <c r="G48" s="96" t="s">
        <v>299</v>
      </c>
      <c r="H48" s="77"/>
    </row>
    <row r="49" spans="5:8" x14ac:dyDescent="0.2">
      <c r="E49" s="71" t="str">
        <f t="shared" si="0"/>
        <v>Tie-Break</v>
      </c>
      <c r="F49" s="78" t="s">
        <v>340</v>
      </c>
      <c r="G49" s="76" t="s">
        <v>339</v>
      </c>
      <c r="H49" s="77"/>
    </row>
    <row r="50" spans="5:8" x14ac:dyDescent="0.2">
      <c r="E50" s="71" t="str">
        <f t="shared" si="0"/>
        <v>Spielpaarungen</v>
      </c>
      <c r="F50" s="94" t="s">
        <v>174</v>
      </c>
      <c r="G50" s="93" t="s">
        <v>175</v>
      </c>
      <c r="H50" s="238"/>
    </row>
    <row r="51" spans="5:8" x14ac:dyDescent="0.2">
      <c r="E51" s="71" t="str">
        <f t="shared" si="0"/>
        <v>Einstellungen</v>
      </c>
      <c r="F51" s="94" t="s">
        <v>177</v>
      </c>
      <c r="G51" s="93" t="s">
        <v>176</v>
      </c>
      <c r="H51" s="238"/>
    </row>
    <row r="52" spans="5:8" x14ac:dyDescent="0.2">
      <c r="E52" s="71" t="str">
        <f t="shared" si="0"/>
        <v>Anzahl der Punkte für einen Sieg:</v>
      </c>
      <c r="F52" s="94" t="s">
        <v>179</v>
      </c>
      <c r="G52" s="93" t="s">
        <v>178</v>
      </c>
      <c r="H52" s="238"/>
    </row>
    <row r="53" spans="5:8" x14ac:dyDescent="0.2">
      <c r="E53" s="71" t="str">
        <f t="shared" si="0"/>
        <v>Halbfinale</v>
      </c>
      <c r="F53" s="94" t="s">
        <v>243</v>
      </c>
      <c r="G53" s="93" t="s">
        <v>240</v>
      </c>
      <c r="H53" s="238"/>
    </row>
    <row r="54" spans="5:8" x14ac:dyDescent="0.2">
      <c r="E54" s="71" t="str">
        <f t="shared" si="0"/>
        <v>Endspiele</v>
      </c>
      <c r="F54" s="94" t="s">
        <v>242</v>
      </c>
      <c r="G54" s="93" t="s">
        <v>241</v>
      </c>
      <c r="H54" s="238"/>
    </row>
    <row r="55" spans="5:8" x14ac:dyDescent="0.2">
      <c r="E55" s="71" t="str">
        <f t="shared" si="0"/>
        <v xml:space="preserve">Spiele um die Plätze </v>
      </c>
      <c r="F55" s="94" t="s">
        <v>245</v>
      </c>
      <c r="G55" s="93" t="s">
        <v>244</v>
      </c>
      <c r="H55" s="238"/>
    </row>
    <row r="56" spans="5:8" x14ac:dyDescent="0.2">
      <c r="E56" s="71" t="str">
        <f t="shared" si="0"/>
        <v>Vorrunde Gruppe</v>
      </c>
      <c r="F56" s="94" t="s">
        <v>249</v>
      </c>
      <c r="G56" s="93" t="s">
        <v>248</v>
      </c>
      <c r="H56" s="238"/>
    </row>
    <row r="57" spans="5:8" x14ac:dyDescent="0.2">
      <c r="E57" s="71" t="str">
        <f t="shared" si="0"/>
        <v>Gruppenerste und -zweite</v>
      </c>
      <c r="F57" s="94" t="s">
        <v>307</v>
      </c>
      <c r="G57" s="93" t="s">
        <v>308</v>
      </c>
      <c r="H57" s="238"/>
    </row>
    <row r="58" spans="5:8" x14ac:dyDescent="0.2">
      <c r="E58" s="71" t="str">
        <f t="shared" si="0"/>
        <v>Gruppendritte und -vierte</v>
      </c>
      <c r="F58" s="94" t="s">
        <v>309</v>
      </c>
      <c r="G58" s="93" t="s">
        <v>310</v>
      </c>
      <c r="H58" s="238"/>
    </row>
    <row r="59" spans="5:8" x14ac:dyDescent="0.2">
      <c r="E59" s="71" t="str">
        <f t="shared" si="0"/>
        <v>Gruppenfünfte und -sechste</v>
      </c>
      <c r="F59" s="94" t="s">
        <v>311</v>
      </c>
      <c r="G59" s="93" t="s">
        <v>312</v>
      </c>
      <c r="H59" s="238"/>
    </row>
    <row r="60" spans="5:8" x14ac:dyDescent="0.2">
      <c r="E60" s="71" t="str">
        <f t="shared" si="0"/>
        <v>Bälle</v>
      </c>
      <c r="F60" s="94" t="s">
        <v>330</v>
      </c>
      <c r="G60" s="93" t="s">
        <v>331</v>
      </c>
      <c r="H60" s="238"/>
    </row>
    <row r="61" spans="5:8" x14ac:dyDescent="0.2">
      <c r="E61" s="71" t="str">
        <f t="shared" si="0"/>
        <v>1. Satz</v>
      </c>
      <c r="F61" s="94" t="s">
        <v>326</v>
      </c>
      <c r="G61" s="93" t="s">
        <v>327</v>
      </c>
      <c r="H61" s="238"/>
    </row>
    <row r="62" spans="5:8" x14ac:dyDescent="0.2">
      <c r="E62" s="71" t="str">
        <f t="shared" si="0"/>
        <v>2. Satz</v>
      </c>
      <c r="F62" s="94" t="s">
        <v>328</v>
      </c>
      <c r="G62" s="93" t="s">
        <v>329</v>
      </c>
      <c r="H62" s="238"/>
    </row>
    <row r="63" spans="5:8" x14ac:dyDescent="0.2">
      <c r="E63" s="71" t="str">
        <f t="shared" si="0"/>
        <v>3. Satz</v>
      </c>
      <c r="F63" s="94" t="s">
        <v>332</v>
      </c>
      <c r="G63" s="93" t="s">
        <v>333</v>
      </c>
      <c r="H63" s="238"/>
    </row>
    <row r="64" spans="5:8" x14ac:dyDescent="0.2">
      <c r="E64" s="71" t="str">
        <f t="shared" si="0"/>
        <v>Tie Break Endrunde 4</v>
      </c>
      <c r="F64" s="94" t="s">
        <v>344</v>
      </c>
      <c r="G64" s="93" t="s">
        <v>345</v>
      </c>
      <c r="H64" s="238"/>
    </row>
    <row r="65" spans="5:8" x14ac:dyDescent="0.2">
      <c r="E65" s="71" t="str">
        <f t="shared" si="0"/>
        <v>Team-Kürzel</v>
      </c>
      <c r="F65" s="94" t="s">
        <v>346</v>
      </c>
      <c r="G65" s="93" t="s">
        <v>347</v>
      </c>
      <c r="H65" s="238"/>
    </row>
    <row r="66" spans="5:8" x14ac:dyDescent="0.2">
      <c r="E66" s="71" t="str">
        <f t="shared" si="0"/>
        <v>z.B.  A2 - A4</v>
      </c>
      <c r="F66" s="94" t="s">
        <v>348</v>
      </c>
      <c r="G66" s="93" t="s">
        <v>349</v>
      </c>
      <c r="H66" s="238"/>
    </row>
    <row r="67" spans="5:8" x14ac:dyDescent="0.2">
      <c r="E67" s="71" t="str">
        <f t="shared" si="0"/>
        <v>Quot.</v>
      </c>
      <c r="F67" s="78" t="s">
        <v>363</v>
      </c>
      <c r="G67" s="76" t="s">
        <v>363</v>
      </c>
      <c r="H67" s="238"/>
    </row>
    <row r="68" spans="5:8" ht="28.5" x14ac:dyDescent="0.45">
      <c r="E68" s="71"/>
      <c r="F68" s="82" t="str">
        <f>$E$37</f>
        <v>Meldungen</v>
      </c>
      <c r="G68" s="83"/>
      <c r="H68" s="84"/>
    </row>
    <row r="69" spans="5:8" ht="79.5" customHeight="1" x14ac:dyDescent="0.2">
      <c r="E69" s="71" t="str">
        <f t="shared" si="0"/>
        <v>Sind zwei oder mehr Mannschaften nicht unterscheidbar und wird eine Entscheidung z.B. durch Elfmeterschießen oder Los getroffen, genügt es, für die bevorzugte Mannschaft einen Bonuspunkt einzutragen.</v>
      </c>
      <c r="F69" s="88" t="s">
        <v>233</v>
      </c>
      <c r="G69" s="89" t="s">
        <v>232</v>
      </c>
      <c r="H69" s="90"/>
    </row>
    <row r="70" spans="5:8" ht="51.75" customHeight="1" x14ac:dyDescent="0.2">
      <c r="E70" s="71" t="str">
        <f t="shared" si="0"/>
        <v>Doppelte Spielpaarungen und Spiele gegen sich selbst
führen in der Gesamttabelle zu falschen Werten!</v>
      </c>
      <c r="F70" s="95" t="s">
        <v>152</v>
      </c>
      <c r="G70" s="138" t="s">
        <v>55</v>
      </c>
      <c r="H70" s="90"/>
    </row>
    <row r="71" spans="5:8" ht="51.75" customHeight="1" x14ac:dyDescent="0.2">
      <c r="E71" s="71" t="str">
        <f t="shared" si="0"/>
        <v>Änderung der Spielpaarungen nur auf dem Blatt 'Planung'!   Hier nur die Ergebnisse eintragen!</v>
      </c>
      <c r="F71" s="95" t="s">
        <v>121</v>
      </c>
      <c r="G71" s="89" t="s">
        <v>120</v>
      </c>
      <c r="H71" s="90"/>
    </row>
    <row r="72" spans="5:8" ht="16.5" customHeight="1" x14ac:dyDescent="0.2">
      <c r="E72" s="71" t="str">
        <f t="shared" si="0"/>
        <v>Kann gelöscht werden   →</v>
      </c>
      <c r="F72" s="101" t="s">
        <v>146</v>
      </c>
      <c r="G72" s="100" t="s">
        <v>143</v>
      </c>
      <c r="H72" s="91"/>
    </row>
    <row r="73" spans="5:8" ht="20.25" customHeight="1" x14ac:dyDescent="0.2">
      <c r="E73" s="71" t="str">
        <f t="shared" si="0"/>
        <v>Hier klicken und Sprache wählen</v>
      </c>
      <c r="F73" s="107" t="s">
        <v>149</v>
      </c>
      <c r="G73" s="105" t="s">
        <v>148</v>
      </c>
      <c r="H73" s="92"/>
    </row>
    <row r="74" spans="5:8" ht="32.25" customHeight="1" x14ac:dyDescent="0.2">
      <c r="E74" s="71" t="str">
        <f t="shared" si="0"/>
        <v>Doppelte Namen führen zu
falschen Tabellenwerten</v>
      </c>
      <c r="F74" s="164" t="s">
        <v>157</v>
      </c>
      <c r="G74" s="163" t="s">
        <v>54</v>
      </c>
      <c r="H74" s="92"/>
    </row>
    <row r="75" spans="5:8" ht="51.75" customHeight="1" x14ac:dyDescent="0.2">
      <c r="E75" s="71" t="str">
        <f t="shared" si="0"/>
        <v>Rote Schrift bedeutet, dass die Rangfolge auch mit dem direkten Vergleich nicht geklärt ist. Ein Entscheidungsspiel oder Los muss hier entscheiden.</v>
      </c>
      <c r="F75" s="253" t="s">
        <v>352</v>
      </c>
      <c r="G75" s="254" t="s">
        <v>353</v>
      </c>
      <c r="H75" s="91"/>
    </row>
    <row r="76" spans="5:8" ht="17.25" customHeight="1" x14ac:dyDescent="0.2">
      <c r="E76" s="71" t="str">
        <f t="shared" si="0"/>
        <v>Zeitkonflikt</v>
      </c>
      <c r="F76" s="255" t="s">
        <v>162</v>
      </c>
      <c r="G76" s="256" t="s">
        <v>161</v>
      </c>
      <c r="H76" s="257"/>
    </row>
    <row r="77" spans="5:8" ht="16.5" customHeight="1" x14ac:dyDescent="0.2">
      <c r="E77" s="71" t="str">
        <f t="shared" si="0"/>
        <v>:</v>
      </c>
      <c r="F77" s="258" t="s">
        <v>4</v>
      </c>
      <c r="G77" s="274" t="s">
        <v>218</v>
      </c>
      <c r="H77" s="257"/>
    </row>
    <row r="78" spans="5:8" ht="33" customHeight="1" x14ac:dyDescent="0.2">
      <c r="E78" s="71" t="str">
        <f t="shared" si="0"/>
        <v>Direkte Vergleiche bei Gleichstand in Punkten, Tordifferenz und erzielten Toren (FIFA-Modus)</v>
      </c>
      <c r="F78" s="263" t="s">
        <v>186</v>
      </c>
      <c r="G78" s="264" t="s">
        <v>183</v>
      </c>
      <c r="H78" s="260"/>
    </row>
    <row r="79" spans="5:8" ht="32.25" customHeight="1" x14ac:dyDescent="0.2">
      <c r="E79" s="71" t="str">
        <f t="shared" si="0"/>
        <v>Direkte Vergleiche bei Gleichstand in Punkten (UEFA-Modus)</v>
      </c>
      <c r="F79" s="263" t="s">
        <v>184</v>
      </c>
      <c r="G79" s="264" t="s">
        <v>185</v>
      </c>
      <c r="H79" s="260"/>
    </row>
    <row r="80" spans="5:8" ht="18" customHeight="1" x14ac:dyDescent="0.2">
      <c r="E80" s="71" t="str">
        <f t="shared" si="0"/>
        <v>Balldifferenz oder Ballquotient</v>
      </c>
      <c r="F80" s="266" t="s">
        <v>355</v>
      </c>
      <c r="G80" s="267" t="s">
        <v>356</v>
      </c>
      <c r="H80" s="268"/>
    </row>
    <row r="81" spans="5:8" ht="18" customHeight="1" x14ac:dyDescent="0.2">
      <c r="E81" s="71" t="str">
        <f t="shared" si="0"/>
        <v>Balldifferenz</v>
      </c>
      <c r="F81" s="266" t="s">
        <v>357</v>
      </c>
      <c r="G81" s="267" t="s">
        <v>358</v>
      </c>
      <c r="H81" s="268"/>
    </row>
    <row r="82" spans="5:8" ht="20.25" customHeight="1" x14ac:dyDescent="0.2">
      <c r="E82" s="71" t="str">
        <f t="shared" si="0"/>
        <v>Ballquotient</v>
      </c>
      <c r="F82" s="266" t="s">
        <v>359</v>
      </c>
      <c r="G82" s="267" t="s">
        <v>360</v>
      </c>
      <c r="H82" s="268"/>
    </row>
    <row r="83" spans="5:8" ht="18" customHeight="1" x14ac:dyDescent="0.2">
      <c r="E83" s="71" t="str">
        <f t="shared" si="0"/>
        <v>Abkürzungen der Mannschaftsnamen:</v>
      </c>
      <c r="F83" s="266" t="s">
        <v>269</v>
      </c>
      <c r="G83" s="267" t="s">
        <v>270</v>
      </c>
      <c r="H83" s="268"/>
    </row>
    <row r="84" spans="5:8" ht="17.25" customHeight="1" x14ac:dyDescent="0.2">
      <c r="E84" s="71" t="str">
        <f t="shared" si="0"/>
        <v>Buchstaben</v>
      </c>
      <c r="F84" s="266" t="s">
        <v>188</v>
      </c>
      <c r="G84" s="267" t="s">
        <v>187</v>
      </c>
      <c r="H84" s="268"/>
    </row>
    <row r="85" spans="5:8" ht="18" customHeight="1" x14ac:dyDescent="0.2">
      <c r="E85" s="71" t="str">
        <f t="shared" si="0"/>
        <v>Rang</v>
      </c>
      <c r="F85" s="266" t="s">
        <v>231</v>
      </c>
      <c r="G85" s="267" t="s">
        <v>230</v>
      </c>
      <c r="H85" s="268"/>
    </row>
    <row r="86" spans="5:8" ht="16.5" customHeight="1" x14ac:dyDescent="0.2">
      <c r="E86" s="71" t="str">
        <f t="shared" si="0"/>
        <v>3. Platz</v>
      </c>
      <c r="F86" s="266" t="s">
        <v>239</v>
      </c>
      <c r="G86" s="267" t="s">
        <v>236</v>
      </c>
      <c r="H86" s="268"/>
    </row>
    <row r="87" spans="5:8" ht="17.25" customHeight="1" x14ac:dyDescent="0.2">
      <c r="E87" s="71" t="str">
        <f t="shared" si="0"/>
        <v>Finale</v>
      </c>
      <c r="F87" s="266" t="s">
        <v>238</v>
      </c>
      <c r="G87" s="267" t="s">
        <v>237</v>
      </c>
      <c r="H87" s="268"/>
    </row>
    <row r="88" spans="5:8" ht="30.75" customHeight="1" x14ac:dyDescent="0.2">
      <c r="E88" s="71" t="str">
        <f t="shared" si="0"/>
        <v xml:space="preserve">Wegen zeitlicher Konflikte kann nur auf maximal </v>
      </c>
      <c r="F88" s="263" t="s">
        <v>266</v>
      </c>
      <c r="G88" s="264" t="s">
        <v>267</v>
      </c>
      <c r="H88" s="268"/>
    </row>
    <row r="89" spans="5:8" ht="17.25" customHeight="1" x14ac:dyDescent="0.2">
      <c r="E89" s="71" t="str">
        <f t="shared" si="0"/>
        <v xml:space="preserve"> Spielplätzen gleichzeitig gespielt werden.</v>
      </c>
      <c r="F89" s="263" t="s">
        <v>277</v>
      </c>
      <c r="G89" s="264" t="s">
        <v>268</v>
      </c>
      <c r="H89" s="268"/>
    </row>
    <row r="90" spans="5:8" ht="17.25" customHeight="1" x14ac:dyDescent="0.2">
      <c r="E90" s="71" t="str">
        <f t="shared" si="0"/>
        <v>Turnierende (Endrunde 1):</v>
      </c>
      <c r="F90" s="266" t="s">
        <v>271</v>
      </c>
      <c r="G90" s="267" t="s">
        <v>272</v>
      </c>
      <c r="H90" s="268"/>
    </row>
    <row r="91" spans="5:8" ht="17.25" customHeight="1" x14ac:dyDescent="0.2">
      <c r="E91" s="71" t="str">
        <f t="shared" si="0"/>
        <v>Turnierende (Endrunde 2):</v>
      </c>
      <c r="F91" s="266" t="s">
        <v>273</v>
      </c>
      <c r="G91" s="267" t="s">
        <v>274</v>
      </c>
      <c r="H91" s="268"/>
    </row>
    <row r="92" spans="5:8" ht="17.25" customHeight="1" x14ac:dyDescent="0.2">
      <c r="E92" s="71" t="str">
        <f t="shared" si="0"/>
        <v>Turnierende (Endrunde 3):</v>
      </c>
      <c r="F92" s="266" t="s">
        <v>302</v>
      </c>
      <c r="G92" s="267" t="s">
        <v>303</v>
      </c>
      <c r="H92" s="268"/>
    </row>
    <row r="93" spans="5:8" ht="17.25" customHeight="1" x14ac:dyDescent="0.2">
      <c r="E93" s="71" t="str">
        <f t="shared" si="0"/>
        <v>Turnierende (Endrunde 4):</v>
      </c>
      <c r="F93" s="266" t="s">
        <v>323</v>
      </c>
      <c r="G93" s="267" t="s">
        <v>324</v>
      </c>
      <c r="H93" s="268"/>
    </row>
    <row r="94" spans="5:8" ht="17.25" customHeight="1" x14ac:dyDescent="0.2">
      <c r="E94" s="71">
        <f t="shared" si="0"/>
        <v>0</v>
      </c>
      <c r="F94" s="266"/>
      <c r="G94" s="267"/>
      <c r="H94" s="268"/>
    </row>
    <row r="95" spans="5:8" ht="17.25" customHeight="1" x14ac:dyDescent="0.2">
      <c r="E95" s="71" t="str">
        <f t="shared" si="0"/>
        <v xml:space="preserve">ZEITKONFLIKT für Team </v>
      </c>
      <c r="F95" s="266" t="s">
        <v>282</v>
      </c>
      <c r="G95" s="267" t="s">
        <v>283</v>
      </c>
      <c r="H95" s="268"/>
    </row>
    <row r="96" spans="5:8" ht="17.25" customHeight="1" x14ac:dyDescent="0.2">
      <c r="E96" s="71" t="str">
        <f t="shared" si="0"/>
        <v xml:space="preserve">in den Spielen </v>
      </c>
      <c r="F96" s="266" t="s">
        <v>284</v>
      </c>
      <c r="G96" s="267" t="s">
        <v>285</v>
      </c>
      <c r="H96" s="268"/>
    </row>
    <row r="97" spans="5:9" ht="17.25" customHeight="1" x14ac:dyDescent="0.2">
      <c r="E97" s="71" t="str">
        <f t="shared" si="0"/>
        <v xml:space="preserve"> und </v>
      </c>
      <c r="F97" s="266" t="s">
        <v>286</v>
      </c>
      <c r="G97" s="267" t="s">
        <v>287</v>
      </c>
      <c r="H97" s="268"/>
    </row>
    <row r="98" spans="5:9" ht="31.5" customHeight="1" x14ac:dyDescent="0.2">
      <c r="E98" s="71" t="str">
        <f t="shared" si="0"/>
        <v>ZEITKONFLIKT
Zu viele Spielplätze!</v>
      </c>
      <c r="F98" s="266" t="s">
        <v>275</v>
      </c>
      <c r="G98" s="267" t="s">
        <v>276</v>
      </c>
      <c r="H98" s="268"/>
    </row>
    <row r="99" spans="5:9" ht="17.25" customHeight="1" x14ac:dyDescent="0.2">
      <c r="E99" s="71" t="str">
        <f t="shared" si="0"/>
        <v>Sieger</v>
      </c>
      <c r="F99" s="266" t="s">
        <v>350</v>
      </c>
      <c r="G99" s="267" t="s">
        <v>351</v>
      </c>
      <c r="H99" s="268"/>
    </row>
    <row r="100" spans="5:9" ht="17.25" customHeight="1" x14ac:dyDescent="0.2">
      <c r="E100" s="71" t="str">
        <f t="shared" si="0"/>
        <v>Anzeige in den Kreuztabellen der Vorrunde:</v>
      </c>
      <c r="F100" s="266" t="s">
        <v>365</v>
      </c>
      <c r="G100" s="267" t="s">
        <v>366</v>
      </c>
      <c r="H100" s="268"/>
    </row>
    <row r="101" spans="5:9" ht="17.25" customHeight="1" x14ac:dyDescent="0.2">
      <c r="E101" s="71" t="str">
        <f t="shared" si="0"/>
        <v>Ballpunkte</v>
      </c>
      <c r="F101" s="266" t="s">
        <v>367</v>
      </c>
      <c r="G101" s="267" t="s">
        <v>368</v>
      </c>
      <c r="H101" s="268"/>
    </row>
    <row r="102" spans="5:9" ht="17.25" customHeight="1" x14ac:dyDescent="0.2">
      <c r="E102" s="71" t="str">
        <f t="shared" si="0"/>
        <v>Satzpunkte</v>
      </c>
      <c r="F102" s="266" t="s">
        <v>369</v>
      </c>
      <c r="G102" s="267" t="s">
        <v>370</v>
      </c>
      <c r="H102" s="268"/>
    </row>
    <row r="103" spans="5:9" ht="17.25" customHeight="1" x14ac:dyDescent="0.2">
      <c r="E103" s="71">
        <f t="shared" si="0"/>
        <v>0</v>
      </c>
      <c r="F103" s="266"/>
      <c r="G103" s="267"/>
      <c r="H103" s="268"/>
    </row>
    <row r="104" spans="5:9" ht="18.75" customHeight="1" thickBot="1" x14ac:dyDescent="0.25">
      <c r="E104" s="71">
        <f t="shared" si="0"/>
        <v>0</v>
      </c>
      <c r="F104" s="261"/>
      <c r="G104" s="259"/>
      <c r="H104" s="262"/>
    </row>
    <row r="105" spans="5:9" ht="13.5" thickTop="1" x14ac:dyDescent="0.2"/>
    <row r="106" spans="5:9" x14ac:dyDescent="0.2"/>
    <row r="107" spans="5:9" x14ac:dyDescent="0.2"/>
    <row r="108" spans="5:9" x14ac:dyDescent="0.2"/>
    <row r="109" spans="5:9" hidden="1" x14ac:dyDescent="0.2">
      <c r="I109" s="102"/>
    </row>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H20"/>
  <sheetViews>
    <sheetView showGridLines="0" showRowColHeaders="0" topLeftCell="A2" workbookViewId="0">
      <selection activeCell="B7" sqref="B7"/>
    </sheetView>
  </sheetViews>
  <sheetFormatPr baseColWidth="10" defaultColWidth="0" defaultRowHeight="12.75" zeroHeight="1" x14ac:dyDescent="0.2"/>
  <cols>
    <col min="1" max="1" width="11.42578125" style="269" customWidth="1"/>
    <col min="2" max="2" width="37.140625" customWidth="1"/>
    <col min="3" max="3" width="7.28515625" customWidth="1"/>
    <col min="4" max="4" width="15" customWidth="1"/>
    <col min="5" max="5" width="11.42578125" customWidth="1"/>
    <col min="6" max="7" width="11.42578125" hidden="1" customWidth="1"/>
    <col min="8" max="8" width="12.85546875" hidden="1" customWidth="1"/>
    <col min="9" max="16384" width="11.42578125" hidden="1"/>
  </cols>
  <sheetData>
    <row r="1" spans="1:8" ht="26.25" x14ac:dyDescent="0.4">
      <c r="B1" s="240" t="str">
        <f>Sprache!$E$51</f>
        <v>Einstellungen</v>
      </c>
    </row>
    <row r="2" spans="1:8" x14ac:dyDescent="0.2"/>
    <row r="3" spans="1:8" x14ac:dyDescent="0.2"/>
    <row r="4" spans="1:8" x14ac:dyDescent="0.2"/>
    <row r="5" spans="1:8" x14ac:dyDescent="0.2">
      <c r="A5" s="273" t="s">
        <v>6</v>
      </c>
      <c r="B5" s="272" t="str">
        <f>Sprache!E80</f>
        <v>Balldifferenz oder Ballquotient</v>
      </c>
      <c r="C5" s="265"/>
    </row>
    <row r="6" spans="1:8" x14ac:dyDescent="0.2">
      <c r="B6" s="265"/>
      <c r="C6" s="265"/>
      <c r="F6" s="189" t="s">
        <v>362</v>
      </c>
      <c r="G6" s="189" t="s">
        <v>361</v>
      </c>
      <c r="H6" s="189" t="s">
        <v>364</v>
      </c>
    </row>
    <row r="7" spans="1:8" ht="21.75" customHeight="1" x14ac:dyDescent="0.2">
      <c r="B7" s="270" t="s">
        <v>358</v>
      </c>
      <c r="C7" s="265"/>
      <c r="F7" s="1">
        <v>499</v>
      </c>
      <c r="G7" s="2" t="b">
        <f>(Einstellungen!$B$7=Sprache!$E$81)</f>
        <v>1</v>
      </c>
      <c r="H7" s="728">
        <v>3</v>
      </c>
    </row>
    <row r="8" spans="1:8" x14ac:dyDescent="0.2"/>
    <row r="9" spans="1:8" x14ac:dyDescent="0.2"/>
    <row r="10" spans="1:8" x14ac:dyDescent="0.2"/>
    <row r="11" spans="1:8" x14ac:dyDescent="0.2">
      <c r="A11" s="273" t="s">
        <v>7</v>
      </c>
      <c r="B11" s="271" t="str">
        <f>Sprache!$E$83</f>
        <v>Abkürzungen der Mannschaftsnamen:</v>
      </c>
      <c r="C11" s="241">
        <v>7</v>
      </c>
      <c r="D11" t="str">
        <f>" "&amp;Sprache!$E$84</f>
        <v xml:space="preserve"> Buchstaben</v>
      </c>
    </row>
    <row r="12" spans="1:8" x14ac:dyDescent="0.2"/>
    <row r="13" spans="1:8" x14ac:dyDescent="0.2"/>
    <row r="14" spans="1:8" x14ac:dyDescent="0.2"/>
    <row r="15" spans="1:8" x14ac:dyDescent="0.2">
      <c r="A15" s="273" t="s">
        <v>8</v>
      </c>
      <c r="B15" s="271" t="str">
        <f>Sprache!$E$100</f>
        <v>Anzeige in den Kreuztabellen der Vorrunde:</v>
      </c>
    </row>
    <row r="16" spans="1:8" x14ac:dyDescent="0.2">
      <c r="G16" s="731" t="s">
        <v>371</v>
      </c>
    </row>
    <row r="17" spans="2:7" ht="21.75" customHeight="1" x14ac:dyDescent="0.2">
      <c r="B17" s="270" t="s">
        <v>368</v>
      </c>
      <c r="G17" s="730">
        <f>IF(Einstellungen!$B$17=Sprache!$E$101,3,10)</f>
        <v>3</v>
      </c>
    </row>
    <row r="18" spans="2:7" x14ac:dyDescent="0.2"/>
    <row r="19" spans="2:7" x14ac:dyDescent="0.2"/>
    <row r="20" spans="2:7" x14ac:dyDescent="0.2"/>
  </sheetData>
  <sheetProtection sheet="1" selectLockedCells="1"/>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00244CF-378A-41D6-977C-30F67A3A961B}">
          <x14:formula1>
            <xm:f>Sprache!$E$81:$E$82</xm:f>
          </x14:formula1>
          <xm:sqref>B7</xm:sqref>
        </x14:dataValidation>
        <x14:dataValidation type="list" allowBlank="1" showInputMessage="1" showErrorMessage="1" xr:uid="{479507A5-81DD-4E9C-BE3A-555C5FCA2A6C}">
          <x14:formula1>
            <xm:f>Sprache!$E$101:$E$102</xm:f>
          </x14:formula1>
          <xm:sqref>B17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43E7-B268-47FE-BEEA-52DCE3BC93F1}">
  <dimension ref="A1:W106"/>
  <sheetViews>
    <sheetView showGridLines="0" showRowColHeaders="0" workbookViewId="0"/>
  </sheetViews>
  <sheetFormatPr baseColWidth="10" defaultColWidth="0" defaultRowHeight="12.75" zeroHeight="1" x14ac:dyDescent="0.2"/>
  <cols>
    <col min="1" max="11" width="11.42578125" customWidth="1"/>
    <col min="12" max="12" width="5.85546875" customWidth="1"/>
    <col min="13" max="23" width="11.42578125" customWidth="1"/>
    <col min="24" max="16384" width="11.42578125" hidden="1"/>
  </cols>
  <sheetData>
    <row r="1" spans="1:13" x14ac:dyDescent="0.2">
      <c r="A1" s="71"/>
    </row>
    <row r="2" spans="1:13" x14ac:dyDescent="0.2">
      <c r="B2" s="103" t="s">
        <v>133</v>
      </c>
      <c r="M2" s="103" t="s">
        <v>134</v>
      </c>
    </row>
    <row r="3" spans="1:13" x14ac:dyDescent="0.2"/>
    <row r="4" spans="1:13" x14ac:dyDescent="0.2"/>
    <row r="5" spans="1:13" x14ac:dyDescent="0.2"/>
    <row r="6" spans="1:13" x14ac:dyDescent="0.2"/>
    <row r="7" spans="1:13" x14ac:dyDescent="0.2"/>
    <row r="8" spans="1:13" x14ac:dyDescent="0.2"/>
    <row r="9" spans="1:13" x14ac:dyDescent="0.2"/>
    <row r="10" spans="1:13" x14ac:dyDescent="0.2"/>
    <row r="11" spans="1:13" x14ac:dyDescent="0.2"/>
    <row r="12" spans="1:13" x14ac:dyDescent="0.2"/>
    <row r="13" spans="1:13" x14ac:dyDescent="0.2"/>
    <row r="14" spans="1:13" x14ac:dyDescent="0.2"/>
    <row r="15" spans="1:13" x14ac:dyDescent="0.2"/>
    <row r="16" spans="1:13"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spans="2:3" x14ac:dyDescent="0.2"/>
    <row r="82" spans="2:3" x14ac:dyDescent="0.2"/>
    <row r="83" spans="2:3" x14ac:dyDescent="0.2"/>
    <row r="84" spans="2:3" x14ac:dyDescent="0.2"/>
    <row r="85" spans="2:3" x14ac:dyDescent="0.2"/>
    <row r="86" spans="2:3" x14ac:dyDescent="0.2"/>
    <row r="87" spans="2:3" x14ac:dyDescent="0.2"/>
    <row r="88" spans="2:3" x14ac:dyDescent="0.2">
      <c r="B88" s="447"/>
      <c r="C88" s="447"/>
    </row>
    <row r="89" spans="2:3" x14ac:dyDescent="0.2">
      <c r="B89" s="448"/>
      <c r="C89" s="450"/>
    </row>
    <row r="90" spans="2:3" x14ac:dyDescent="0.2">
      <c r="B90" s="448"/>
      <c r="C90" s="450"/>
    </row>
    <row r="91" spans="2:3" x14ac:dyDescent="0.2">
      <c r="B91" s="448"/>
      <c r="C91" s="450"/>
    </row>
    <row r="92" spans="2:3" x14ac:dyDescent="0.2">
      <c r="B92" s="448"/>
      <c r="C92" s="450"/>
    </row>
    <row r="93" spans="2:3" x14ac:dyDescent="0.2">
      <c r="B93" s="448"/>
      <c r="C93" s="450"/>
    </row>
    <row r="94" spans="2:3" x14ac:dyDescent="0.2">
      <c r="B94" s="448"/>
      <c r="C94" s="450"/>
    </row>
    <row r="95" spans="2:3" x14ac:dyDescent="0.2">
      <c r="B95" s="448"/>
      <c r="C95" s="450"/>
    </row>
    <row r="96" spans="2:3" x14ac:dyDescent="0.2">
      <c r="B96" s="448"/>
      <c r="C96" s="450"/>
    </row>
    <row r="97" spans="2:20" x14ac:dyDescent="0.2">
      <c r="B97" s="448"/>
      <c r="C97" s="450"/>
    </row>
    <row r="98" spans="2:20" x14ac:dyDescent="0.2">
      <c r="B98" s="449"/>
      <c r="C98" s="449"/>
    </row>
    <row r="99" spans="2:20" x14ac:dyDescent="0.2">
      <c r="B99" s="447"/>
      <c r="C99" s="447"/>
      <c r="D99" s="447"/>
      <c r="E99" s="447"/>
      <c r="F99" s="447"/>
      <c r="G99" s="447"/>
      <c r="H99" s="447"/>
    </row>
    <row r="100" spans="2:20" x14ac:dyDescent="0.2">
      <c r="D100" s="913"/>
      <c r="E100" s="914"/>
      <c r="F100" s="914"/>
      <c r="G100" s="914"/>
      <c r="H100" s="914"/>
      <c r="I100" s="915"/>
      <c r="O100" s="913"/>
      <c r="P100" s="914"/>
      <c r="Q100" s="914"/>
      <c r="R100" s="914"/>
      <c r="S100" s="914"/>
      <c r="T100" s="915"/>
    </row>
    <row r="101" spans="2:20" x14ac:dyDescent="0.2">
      <c r="D101" s="916" t="s">
        <v>136</v>
      </c>
      <c r="E101" s="917"/>
      <c r="F101" s="917"/>
      <c r="G101" s="917"/>
      <c r="H101" s="917"/>
      <c r="I101" s="918"/>
      <c r="O101" s="916" t="s">
        <v>57</v>
      </c>
      <c r="P101" s="917"/>
      <c r="Q101" s="917"/>
      <c r="R101" s="917"/>
      <c r="S101" s="917"/>
      <c r="T101" s="918"/>
    </row>
    <row r="102" spans="2:20" x14ac:dyDescent="0.2">
      <c r="D102" s="919" t="s">
        <v>56</v>
      </c>
      <c r="E102" s="920"/>
      <c r="F102" s="920"/>
      <c r="G102" s="920"/>
      <c r="H102" s="920"/>
      <c r="I102" s="921"/>
      <c r="O102" s="919" t="s">
        <v>56</v>
      </c>
      <c r="P102" s="920"/>
      <c r="Q102" s="920"/>
      <c r="R102" s="920"/>
      <c r="S102" s="920"/>
      <c r="T102" s="921"/>
    </row>
    <row r="103" spans="2:20" x14ac:dyDescent="0.2">
      <c r="D103" s="922"/>
      <c r="E103" s="923"/>
      <c r="F103" s="923"/>
      <c r="G103" s="923"/>
      <c r="H103" s="923"/>
      <c r="I103" s="924"/>
      <c r="O103" s="922"/>
      <c r="P103" s="923"/>
      <c r="Q103" s="923"/>
      <c r="R103" s="923"/>
      <c r="S103" s="923"/>
      <c r="T103" s="924"/>
    </row>
    <row r="104" spans="2:20" x14ac:dyDescent="0.2"/>
    <row r="105" spans="2:20" x14ac:dyDescent="0.2"/>
    <row r="106" spans="2:20" x14ac:dyDescent="0.2"/>
  </sheetData>
  <sheetProtection sheet="1" selectLockedCells="1"/>
  <mergeCells count="8">
    <mergeCell ref="D100:I100"/>
    <mergeCell ref="D101:I101"/>
    <mergeCell ref="D102:I102"/>
    <mergeCell ref="D103:I103"/>
    <mergeCell ref="O100:T100"/>
    <mergeCell ref="O101:T101"/>
    <mergeCell ref="O102:T102"/>
    <mergeCell ref="O103:T103"/>
  </mergeCells>
  <hyperlinks>
    <hyperlink ref="O102" r:id="rId1" xr:uid="{1894EF0F-8820-4282-9C88-BB1689CEEEE1}"/>
    <hyperlink ref="D102" r:id="rId2" xr:uid="{45E865A1-33AF-4597-AC24-0425812DEE03}"/>
  </hyperlinks>
  <pageMargins left="0.7" right="0.7" top="0.78740157499999996" bottom="0.78740157499999996" header="0.3" footer="0.3"/>
  <pageSetup paperSize="9" orientation="portrait" horizontalDpi="4294967293" verticalDpi="0"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8" width="7.140625" style="9" customWidth="1"/>
    <col min="9"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5" s="2" customFormat="1" x14ac:dyDescent="0.2"/>
    <row r="2" spans="1:45" s="2" customFormat="1" x14ac:dyDescent="0.2">
      <c r="B2" s="12"/>
      <c r="C2" s="12"/>
      <c r="D2" s="12"/>
      <c r="E2" s="12"/>
      <c r="F2" s="1"/>
      <c r="G2" s="1"/>
      <c r="H2" s="1"/>
      <c r="I2" s="1"/>
      <c r="J2" s="1" t="s">
        <v>336</v>
      </c>
      <c r="K2" s="1"/>
      <c r="L2" s="1"/>
      <c r="M2" s="1"/>
      <c r="N2" s="12"/>
      <c r="O2" s="1"/>
      <c r="P2" s="1"/>
      <c r="Q2" s="1"/>
      <c r="W2" s="2" t="s">
        <v>150</v>
      </c>
    </row>
    <row r="3" spans="1:45" s="2" customFormat="1" ht="13.5" customHeight="1" thickBot="1" x14ac:dyDescent="0.25">
      <c r="B3" s="1"/>
      <c r="C3" s="12"/>
      <c r="D3" s="12"/>
      <c r="E3" s="12"/>
      <c r="F3" s="12"/>
      <c r="G3" s="67" t="s">
        <v>106</v>
      </c>
      <c r="H3" s="67" t="s">
        <v>107</v>
      </c>
      <c r="I3" s="595" t="s">
        <v>108</v>
      </c>
      <c r="J3" s="595" t="s">
        <v>109</v>
      </c>
      <c r="K3" s="595" t="s">
        <v>102</v>
      </c>
      <c r="L3" s="26" t="s">
        <v>103</v>
      </c>
      <c r="M3" s="26" t="s">
        <v>104</v>
      </c>
      <c r="N3" s="26" t="s">
        <v>105</v>
      </c>
      <c r="O3" s="108">
        <f t="shared" ref="O3:V3" ca="1" si="0">IF(9-COUNTIF(O$17:O$25,"")&gt;1,O$16,99999)</f>
        <v>99999</v>
      </c>
      <c r="P3" s="109">
        <f t="shared" ca="1" si="0"/>
        <v>99999</v>
      </c>
      <c r="Q3" s="109">
        <f t="shared" ca="1" si="0"/>
        <v>99999</v>
      </c>
      <c r="R3" s="109">
        <f t="shared" ca="1" si="0"/>
        <v>99999</v>
      </c>
      <c r="S3" s="109">
        <f t="shared" ca="1" si="0"/>
        <v>99999</v>
      </c>
      <c r="T3" s="109">
        <f t="shared" ca="1" si="0"/>
        <v>99999</v>
      </c>
      <c r="U3" s="109">
        <f t="shared" ca="1" si="0"/>
        <v>99999</v>
      </c>
      <c r="V3" s="109">
        <f t="shared" ca="1" si="0"/>
        <v>99999</v>
      </c>
      <c r="W3" s="926">
        <f ca="1">IF($O$4&lt;10,$O$4,0)</f>
        <v>0</v>
      </c>
      <c r="X3" s="927"/>
      <c r="Y3" s="927"/>
      <c r="Z3" s="927"/>
      <c r="AA3" s="927"/>
      <c r="AB3" s="926">
        <f ca="1">IF($P$4&lt;10,$P$4,0)</f>
        <v>0</v>
      </c>
      <c r="AC3" s="927"/>
      <c r="AD3" s="927"/>
      <c r="AE3" s="927"/>
      <c r="AF3" s="927"/>
      <c r="AG3" s="926">
        <f ca="1">IF($Q$4&lt;10,$Q$4,0)</f>
        <v>0</v>
      </c>
      <c r="AH3" s="927"/>
      <c r="AI3" s="927"/>
      <c r="AJ3" s="927"/>
      <c r="AK3" s="927"/>
      <c r="AL3" s="926">
        <f ca="1">IF($R$4&lt;10,$R$4,0)</f>
        <v>0</v>
      </c>
      <c r="AM3" s="927"/>
      <c r="AN3" s="927"/>
      <c r="AO3" s="927"/>
      <c r="AP3" s="927"/>
      <c r="AR3" s="26" t="s">
        <v>378</v>
      </c>
      <c r="AS3" s="26" t="s">
        <v>379</v>
      </c>
    </row>
    <row r="4" spans="1:45" s="2" customFormat="1" ht="12.75" thickTop="1" x14ac:dyDescent="0.2">
      <c r="A4" s="239"/>
      <c r="B4" s="1">
        <v>1</v>
      </c>
      <c r="C4" s="20">
        <f t="shared" ref="C4:C12" ca="1" si="1">RANK(D4,$D$4:$D$12,1)</f>
        <v>3</v>
      </c>
      <c r="D4" s="12">
        <f t="shared" ref="D4:D12" ca="1" si="2">E4+ROW()/1000+(F4="")*10</f>
        <v>3.004</v>
      </c>
      <c r="E4" s="252">
        <f t="shared" ref="E4:E12" ca="1" si="3">IF($AI$15,RANK(AH17,AH$17:AH$25,1),RANK(X17,X$17:X$25,1))</f>
        <v>3</v>
      </c>
      <c r="F4" s="732" t="str">
        <f>$Q64</f>
        <v>1. FC Riedwald</v>
      </c>
      <c r="G4" s="1">
        <f t="shared" ref="G4:G12" ca="1" si="4">SUMIFS($X$64:$X$135,$V$64:$V$135,$F4)+SUMIFS($Y$64:$Y$135,$W$64:$W$135,$F4)+SUMIFS($AG$64:$AG$135,$V$64:$V$135,$F4)+SUMIFS($AH$64:$AH$135,$W$64:$W$135,$F4)</f>
        <v>177</v>
      </c>
      <c r="H4" s="1">
        <f t="shared" ref="H4:H12" ca="1" si="5">SUMIFS($Y$64:$Y$135,$V$64:$V$135,$F4)+SUMIFS($X$64:$X$135,$W$64:$W$135,$F4)+SUMIFS($AH$64:$AH$135,$V$64:$V$135,$F4)+SUMIFS($AG$64:$AG$135,$W$64:$W$135,$F4)</f>
        <v>176</v>
      </c>
      <c r="I4" s="12">
        <f ca="1">IF(Einstellungen!$G$7,G4-H4,IF(H4=0,IF(G4=0,0,Einstellungen!$F$7),G4/H4))</f>
        <v>1</v>
      </c>
      <c r="J4" s="1">
        <f t="shared" ref="J4:J7" ca="1" si="6">SUMPRODUCT(($V$64:$V$135=F4)*$AE$64:$AE$135*$AA$64:$AA$135)+SUMPRODUCT(($W$64:$W$135=F4)*$AF$64:$AF$135*$AA$64:$AA$135)</f>
        <v>4</v>
      </c>
      <c r="K4" s="1">
        <f t="shared" ref="K4:K12" ca="1" si="7">SUMPRODUCT(($V$64:$V$135=F4)*$AA$64:$AA$135)+SUMPRODUCT(($W$64:$W$135=F4)*$AA$64:$AA$135)</f>
        <v>4</v>
      </c>
      <c r="L4" s="1">
        <f t="shared" ref="L4:L12" ca="1" si="8">K4-M4-N4</f>
        <v>1</v>
      </c>
      <c r="M4" s="1">
        <f t="shared" ref="M4:M12" ca="1" si="9">SUMPRODUCT(($V$64:$W$135=F4)*($AE$64:$AE$135=$AF$64:$AF$135)*$AA$64:$AA$135)</f>
        <v>2</v>
      </c>
      <c r="N4" s="1">
        <f t="shared" ref="N4:N12" ca="1" si="10">SUMPRODUCT(($V$64:$V$135=F4)*($AE$64:$AE$135&lt;$AF$64:$AF$135)*$AA$64:$AA$135)+SUMPRODUCT(($W$64:$W$135=F4)*($AE$64:$AE$135&gt;$AF$64:$AF$135)*$AA$64:$AA$135)</f>
        <v>1</v>
      </c>
      <c r="O4" s="117">
        <f ca="1">SMALL($O$3:$V$3,1)</f>
        <v>99999</v>
      </c>
      <c r="P4" s="117">
        <f ca="1">SMALL($O$3:$V$3,2)</f>
        <v>99999</v>
      </c>
      <c r="Q4" s="117">
        <f ca="1">SMALL($O$3:$V$3,3)</f>
        <v>99999</v>
      </c>
      <c r="R4" s="117">
        <f ca="1">SMALL($O$3:$V$3,4)</f>
        <v>99999</v>
      </c>
      <c r="V4" s="1"/>
      <c r="W4" s="578" t="str">
        <f t="shared" ref="W4:W12" ca="1" si="11">IFERROR(INDEX($O$17:$V$25,ROW(A1),$W$3),"")</f>
        <v/>
      </c>
      <c r="X4" s="579" t="str">
        <f t="shared" ref="X4:X12" ca="1" si="12">INDEX($W$4:$W$12,MATCH(ROW(A1),$AA$4:$AA$12,0))</f>
        <v/>
      </c>
      <c r="Y4" s="580">
        <f t="shared" ref="Y4:Y12" ca="1" si="13">IF($W4="",99999,VLOOKUP($W4,$C$17:$Z$25,24,0))</f>
        <v>99999</v>
      </c>
      <c r="Z4" s="581">
        <f t="shared" ref="Z4:Z12" ca="1" si="14">RANK(Y4,Y$4:Y$12,1)+INDEX($E$4:$E$12,MATCH(W4,$F$4:$F$12,0))/100+ROW()/10000</f>
        <v>1.0604</v>
      </c>
      <c r="AA4" s="582">
        <f t="shared" ref="AA4:AA12" ca="1" si="15">RANK($Z4,$Z$4:$Z$12,1)</f>
        <v>1</v>
      </c>
      <c r="AB4" s="583" t="str">
        <f t="shared" ref="AB4:AB12" ca="1" si="16">IFERROR(INDEX($O$17:$V$25,ROW(A1),$AB$3),"")</f>
        <v/>
      </c>
      <c r="AC4" s="584" t="str">
        <f t="shared" ref="AC4:AC12" ca="1" si="17">INDEX($AB$4:$AB$12,MATCH(ROW(A1),$AF$4:$AF$12,0))</f>
        <v/>
      </c>
      <c r="AD4" s="585">
        <f t="shared" ref="AD4:AD12" ca="1" si="18">IF($AB4="",99999,VLOOKUP($AB4,$C$17:$Z$25,24,0))</f>
        <v>99999</v>
      </c>
      <c r="AE4" s="581">
        <f t="shared" ref="AE4:AE12" ca="1" si="19">RANK(AD4,AD$4:AD$12,1)+INDEX($E$4:$E$12,MATCH(AB4,$F$4:$F$12,0))/100+ROW()/10000</f>
        <v>1.0604</v>
      </c>
      <c r="AF4" s="581">
        <f t="shared" ref="AF4:AF12" ca="1" si="20">RANK($AE4,$AE$4:$AE$12,1)</f>
        <v>1</v>
      </c>
      <c r="AG4" s="583" t="str">
        <f t="shared" ref="AG4:AG12" ca="1" si="21">IFERROR(INDEX($O$17:$V$25,ROW(C1),$AG$3),"")</f>
        <v/>
      </c>
      <c r="AH4" s="584" t="str">
        <f t="shared" ref="AH4:AH12" ca="1" si="22">INDEX($AG$4:$AG$12,MATCH(ROW(A1),$AK$4:$AK$12,0))</f>
        <v/>
      </c>
      <c r="AI4" s="585">
        <f t="shared" ref="AI4:AI12" ca="1" si="23">IF($AG4="",99999,VLOOKUP($AG4,$C$17:$Z$25,24,0))</f>
        <v>99999</v>
      </c>
      <c r="AJ4" s="581">
        <f t="shared" ref="AJ4:AJ12" ca="1" si="24">RANK(AI4,AI$4:AI$12,1)+INDEX($E$4:$E$12,MATCH(AG4,$F$4:$F$12,0))/100+ROW()/10000</f>
        <v>1.0604</v>
      </c>
      <c r="AK4" s="586">
        <f t="shared" ref="AK4:AK12" ca="1" si="25">RANK($AJ4,$AJ$4:$AJ$12,1)</f>
        <v>1</v>
      </c>
      <c r="AL4" s="584" t="str">
        <f t="shared" ref="AL4:AL12" ca="1" si="26">IFERROR(INDEX($O$17:$V$25,ROW(E1),$AL$3),"")</f>
        <v/>
      </c>
      <c r="AM4" s="584" t="str">
        <f t="shared" ref="AM4:AM12" ca="1" si="27">INDEX($AL$4:$AL$12,MATCH(ROW(A1),$AP$4:$AP$12,0))</f>
        <v/>
      </c>
      <c r="AN4" s="585">
        <f t="shared" ref="AN4:AN12" ca="1" si="28">IF($AL4="",99999,VLOOKUP($AL4,$C$17:$Z$25,24,0))</f>
        <v>99999</v>
      </c>
      <c r="AO4" s="581">
        <f t="shared" ref="AO4:AO12" ca="1" si="29">RANK(AN4,AN$4:AN$12,1)+INDEX($E$4:$E$12,MATCH(AL4,$F$4:$F$12,0))/100+ROW()/10000</f>
        <v>1.0604</v>
      </c>
      <c r="AP4" s="586">
        <f t="shared" ref="AP4:AP12" ca="1" si="30">RANK($AO4,$AO$4:$AO$12,1)</f>
        <v>1</v>
      </c>
      <c r="AR4" s="1">
        <f ca="1">IF(Einstellungen!$G$7,$I4,ROUND($I4,Einstellungen!$H$7))</f>
        <v>1</v>
      </c>
      <c r="AS4" s="1">
        <f ca="1">SUMPRODUCT(($W$64:$W$135=F4)*$AE$64:$AE$135*$AA$64:$AA$135)+SUMPRODUCT(($V$64:$V$135=F4)*$AF$64:$AF$135*$AA$64:$AA$135)</f>
        <v>4</v>
      </c>
    </row>
    <row r="5" spans="1:45" s="2" customFormat="1" x14ac:dyDescent="0.2">
      <c r="A5" s="239"/>
      <c r="B5" s="1">
        <v>2</v>
      </c>
      <c r="C5" s="21">
        <f t="shared" ca="1" si="1"/>
        <v>4</v>
      </c>
      <c r="D5" s="12">
        <f t="shared" ca="1" si="2"/>
        <v>4.0049999999999999</v>
      </c>
      <c r="E5" s="252">
        <f t="shared" ca="1" si="3"/>
        <v>4</v>
      </c>
      <c r="F5" s="732" t="str">
        <f t="shared" ref="F5:F12" si="31">$Q65</f>
        <v>FC Barcelona</v>
      </c>
      <c r="G5" s="1">
        <f t="shared" ca="1" si="4"/>
        <v>164</v>
      </c>
      <c r="H5" s="1">
        <f t="shared" ca="1" si="5"/>
        <v>181</v>
      </c>
      <c r="I5" s="12">
        <f ca="1">IF(Einstellungen!$G$7,G5-H5,IF(H5=0,IF(G5=0,0,Einstellungen!$F$7),G5/H5))</f>
        <v>-17</v>
      </c>
      <c r="J5" s="1">
        <f t="shared" ca="1" si="6"/>
        <v>3</v>
      </c>
      <c r="K5" s="1">
        <f t="shared" ca="1" si="7"/>
        <v>4</v>
      </c>
      <c r="L5" s="1">
        <f t="shared" ca="1" si="8"/>
        <v>1</v>
      </c>
      <c r="M5" s="1">
        <f t="shared" ca="1" si="9"/>
        <v>1</v>
      </c>
      <c r="N5" s="1">
        <f t="shared" ca="1" si="10"/>
        <v>2</v>
      </c>
      <c r="O5" s="23"/>
      <c r="P5" s="24"/>
      <c r="V5" s="1"/>
      <c r="W5" s="583" t="str">
        <f t="shared" ca="1" si="11"/>
        <v/>
      </c>
      <c r="X5" s="584" t="str">
        <f t="shared" ca="1" si="12"/>
        <v/>
      </c>
      <c r="Y5" s="581">
        <f t="shared" ca="1" si="13"/>
        <v>99999</v>
      </c>
      <c r="Z5" s="581">
        <f t="shared" ca="1" si="14"/>
        <v>1.0605</v>
      </c>
      <c r="AA5" s="586">
        <f t="shared" ca="1" si="15"/>
        <v>2</v>
      </c>
      <c r="AB5" s="583" t="str">
        <f t="shared" ca="1" si="16"/>
        <v/>
      </c>
      <c r="AC5" s="584" t="str">
        <f t="shared" ca="1" si="17"/>
        <v/>
      </c>
      <c r="AD5" s="585">
        <f t="shared" ca="1" si="18"/>
        <v>99999</v>
      </c>
      <c r="AE5" s="581">
        <f t="shared" ca="1" si="19"/>
        <v>1.0605</v>
      </c>
      <c r="AF5" s="581">
        <f t="shared" ca="1" si="20"/>
        <v>2</v>
      </c>
      <c r="AG5" s="583" t="str">
        <f t="shared" ca="1" si="21"/>
        <v/>
      </c>
      <c r="AH5" s="584" t="str">
        <f t="shared" ca="1" si="22"/>
        <v/>
      </c>
      <c r="AI5" s="585">
        <f t="shared" ca="1" si="23"/>
        <v>99999</v>
      </c>
      <c r="AJ5" s="581">
        <f t="shared" ca="1" si="24"/>
        <v>1.0605</v>
      </c>
      <c r="AK5" s="586">
        <f t="shared" ca="1" si="25"/>
        <v>2</v>
      </c>
      <c r="AL5" s="584" t="str">
        <f t="shared" ca="1" si="26"/>
        <v/>
      </c>
      <c r="AM5" s="584" t="str">
        <f t="shared" ca="1" si="27"/>
        <v/>
      </c>
      <c r="AN5" s="585">
        <f t="shared" ca="1" si="28"/>
        <v>99999</v>
      </c>
      <c r="AO5" s="581">
        <f t="shared" ca="1" si="29"/>
        <v>1.0605</v>
      </c>
      <c r="AP5" s="586">
        <f t="shared" ca="1" si="30"/>
        <v>2</v>
      </c>
      <c r="AR5" s="1">
        <f ca="1">IF(Einstellungen!$G$7,$I5,ROUND($I5,Einstellungen!$H$7))</f>
        <v>-17</v>
      </c>
      <c r="AS5" s="1">
        <f t="shared" ref="AS5:AS12" ca="1" si="32">SUMPRODUCT(($W$64:$W$135=F5)*$AE$64:$AE$135*$AA$64:$AA$135)+SUMPRODUCT(($V$64:$V$135=F5)*$AF$64:$AF$135*$AA$64:$AA$135)</f>
        <v>5</v>
      </c>
    </row>
    <row r="6" spans="1:45" s="2" customFormat="1" x14ac:dyDescent="0.2">
      <c r="A6" s="239"/>
      <c r="B6" s="1">
        <v>3</v>
      </c>
      <c r="C6" s="21">
        <f t="shared" ca="1" si="1"/>
        <v>2</v>
      </c>
      <c r="D6" s="12">
        <f t="shared" ca="1" si="2"/>
        <v>2.0059999999999998</v>
      </c>
      <c r="E6" s="252">
        <f t="shared" ca="1" si="3"/>
        <v>2</v>
      </c>
      <c r="F6" s="732" t="str">
        <f t="shared" si="31"/>
        <v>Eintracht Frankfurt</v>
      </c>
      <c r="G6" s="1">
        <f t="shared" ca="1" si="4"/>
        <v>191</v>
      </c>
      <c r="H6" s="1">
        <f t="shared" ca="1" si="5"/>
        <v>175</v>
      </c>
      <c r="I6" s="12">
        <f ca="1">IF(Einstellungen!$G$7,G6-H6,IF(H6=0,IF(G6=0,0,Einstellungen!$F$7),G6/H6))</f>
        <v>16</v>
      </c>
      <c r="J6" s="1">
        <f t="shared" ca="1" si="6"/>
        <v>5</v>
      </c>
      <c r="K6" s="1">
        <f t="shared" ca="1" si="7"/>
        <v>4</v>
      </c>
      <c r="L6" s="1">
        <f t="shared" ca="1" si="8"/>
        <v>1</v>
      </c>
      <c r="M6" s="1">
        <f t="shared" ca="1" si="9"/>
        <v>3</v>
      </c>
      <c r="N6" s="1">
        <f t="shared" ca="1" si="10"/>
        <v>0</v>
      </c>
      <c r="O6" s="23"/>
      <c r="P6" s="24"/>
      <c r="V6" s="1"/>
      <c r="W6" s="583" t="str">
        <f t="shared" ca="1" si="11"/>
        <v/>
      </c>
      <c r="X6" s="584" t="str">
        <f t="shared" ca="1" si="12"/>
        <v/>
      </c>
      <c r="Y6" s="581">
        <f t="shared" ca="1" si="13"/>
        <v>99999</v>
      </c>
      <c r="Z6" s="581">
        <f t="shared" ca="1" si="14"/>
        <v>1.0606</v>
      </c>
      <c r="AA6" s="586">
        <f t="shared" ca="1" si="15"/>
        <v>3</v>
      </c>
      <c r="AB6" s="583" t="str">
        <f t="shared" ca="1" si="16"/>
        <v/>
      </c>
      <c r="AC6" s="584" t="str">
        <f t="shared" ca="1" si="17"/>
        <v/>
      </c>
      <c r="AD6" s="585">
        <f t="shared" ca="1" si="18"/>
        <v>99999</v>
      </c>
      <c r="AE6" s="581">
        <f t="shared" ca="1" si="19"/>
        <v>1.0606</v>
      </c>
      <c r="AF6" s="581">
        <f t="shared" ca="1" si="20"/>
        <v>3</v>
      </c>
      <c r="AG6" s="583" t="str">
        <f t="shared" ca="1" si="21"/>
        <v/>
      </c>
      <c r="AH6" s="584" t="str">
        <f t="shared" ca="1" si="22"/>
        <v/>
      </c>
      <c r="AI6" s="585">
        <f t="shared" ca="1" si="23"/>
        <v>99999</v>
      </c>
      <c r="AJ6" s="581">
        <f t="shared" ca="1" si="24"/>
        <v>1.0606</v>
      </c>
      <c r="AK6" s="586">
        <f t="shared" ca="1" si="25"/>
        <v>3</v>
      </c>
      <c r="AL6" s="584" t="str">
        <f t="shared" ca="1" si="26"/>
        <v/>
      </c>
      <c r="AM6" s="584" t="str">
        <f t="shared" ca="1" si="27"/>
        <v/>
      </c>
      <c r="AN6" s="585">
        <f t="shared" ca="1" si="28"/>
        <v>99999</v>
      </c>
      <c r="AO6" s="581">
        <f t="shared" ca="1" si="29"/>
        <v>1.0606</v>
      </c>
      <c r="AP6" s="586">
        <f t="shared" ca="1" si="30"/>
        <v>3</v>
      </c>
      <c r="AR6" s="1">
        <f ca="1">IF(Einstellungen!$G$7,$I6,ROUND($I6,Einstellungen!$H$7))</f>
        <v>16</v>
      </c>
      <c r="AS6" s="1">
        <f t="shared" ca="1" si="32"/>
        <v>3</v>
      </c>
    </row>
    <row r="7" spans="1:45" s="2" customFormat="1" x14ac:dyDescent="0.2">
      <c r="A7" s="239"/>
      <c r="B7" s="1">
        <v>4</v>
      </c>
      <c r="C7" s="21">
        <f t="shared" ca="1" si="1"/>
        <v>1</v>
      </c>
      <c r="D7" s="12">
        <f t="shared" ca="1" si="2"/>
        <v>1.0069999999999999</v>
      </c>
      <c r="E7" s="252">
        <f t="shared" ca="1" si="3"/>
        <v>1</v>
      </c>
      <c r="F7" s="732" t="str">
        <f t="shared" si="31"/>
        <v>Maibach 1822 eV</v>
      </c>
      <c r="G7" s="1">
        <f t="shared" ca="1" si="4"/>
        <v>183</v>
      </c>
      <c r="H7" s="1">
        <f t="shared" ca="1" si="5"/>
        <v>159</v>
      </c>
      <c r="I7" s="12">
        <f ca="1">IF(Einstellungen!$G$7,G7-H7,IF(H7=0,IF(G7=0,0,Einstellungen!$F$7),G7/H7))</f>
        <v>24</v>
      </c>
      <c r="J7" s="1">
        <f t="shared" ca="1" si="6"/>
        <v>5</v>
      </c>
      <c r="K7" s="1">
        <f t="shared" ca="1" si="7"/>
        <v>4</v>
      </c>
      <c r="L7" s="1">
        <f t="shared" ca="1" si="8"/>
        <v>2</v>
      </c>
      <c r="M7" s="1">
        <f t="shared" ca="1" si="9"/>
        <v>1</v>
      </c>
      <c r="N7" s="1">
        <f t="shared" ca="1" si="10"/>
        <v>1</v>
      </c>
      <c r="O7" s="23"/>
      <c r="P7" s="24"/>
      <c r="V7" s="1"/>
      <c r="W7" s="583" t="str">
        <f t="shared" ca="1" si="11"/>
        <v/>
      </c>
      <c r="X7" s="584" t="str">
        <f t="shared" ca="1" si="12"/>
        <v/>
      </c>
      <c r="Y7" s="581">
        <f t="shared" ca="1" si="13"/>
        <v>99999</v>
      </c>
      <c r="Z7" s="581">
        <f t="shared" ca="1" si="14"/>
        <v>1.0607</v>
      </c>
      <c r="AA7" s="586">
        <f t="shared" ca="1" si="15"/>
        <v>4</v>
      </c>
      <c r="AB7" s="583" t="str">
        <f t="shared" ca="1" si="16"/>
        <v/>
      </c>
      <c r="AC7" s="584" t="str">
        <f t="shared" ca="1" si="17"/>
        <v/>
      </c>
      <c r="AD7" s="585">
        <f t="shared" ca="1" si="18"/>
        <v>99999</v>
      </c>
      <c r="AE7" s="581">
        <f t="shared" ca="1" si="19"/>
        <v>1.0607</v>
      </c>
      <c r="AF7" s="581">
        <f t="shared" ca="1" si="20"/>
        <v>4</v>
      </c>
      <c r="AG7" s="583" t="str">
        <f t="shared" ca="1" si="21"/>
        <v/>
      </c>
      <c r="AH7" s="584" t="str">
        <f t="shared" ca="1" si="22"/>
        <v/>
      </c>
      <c r="AI7" s="585">
        <f t="shared" ca="1" si="23"/>
        <v>99999</v>
      </c>
      <c r="AJ7" s="581">
        <f t="shared" ca="1" si="24"/>
        <v>1.0607</v>
      </c>
      <c r="AK7" s="586">
        <f t="shared" ca="1" si="25"/>
        <v>4</v>
      </c>
      <c r="AL7" s="584" t="str">
        <f t="shared" ca="1" si="26"/>
        <v/>
      </c>
      <c r="AM7" s="584" t="str">
        <f t="shared" ca="1" si="27"/>
        <v/>
      </c>
      <c r="AN7" s="585">
        <f t="shared" ca="1" si="28"/>
        <v>99999</v>
      </c>
      <c r="AO7" s="581">
        <f t="shared" ca="1" si="29"/>
        <v>1.0607</v>
      </c>
      <c r="AP7" s="586">
        <f t="shared" ca="1" si="30"/>
        <v>4</v>
      </c>
      <c r="AR7" s="1">
        <f ca="1">IF(Einstellungen!$G$7,$I7,ROUND($I7,Einstellungen!$H$7))</f>
        <v>24</v>
      </c>
      <c r="AS7" s="1">
        <f t="shared" ca="1" si="32"/>
        <v>3</v>
      </c>
    </row>
    <row r="8" spans="1:45" s="2" customFormat="1" x14ac:dyDescent="0.2">
      <c r="A8" s="239"/>
      <c r="B8" s="1">
        <v>5</v>
      </c>
      <c r="C8" s="21">
        <f t="shared" ca="1" si="1"/>
        <v>5</v>
      </c>
      <c r="D8" s="12">
        <f t="shared" ca="1" si="2"/>
        <v>5.008</v>
      </c>
      <c r="E8" s="252">
        <f t="shared" ca="1" si="3"/>
        <v>5</v>
      </c>
      <c r="F8" s="732" t="str">
        <f t="shared" si="31"/>
        <v>VFB Essenheim</v>
      </c>
      <c r="G8" s="1">
        <f t="shared" ca="1" si="4"/>
        <v>167</v>
      </c>
      <c r="H8" s="1">
        <f t="shared" ca="1" si="5"/>
        <v>191</v>
      </c>
      <c r="I8" s="12">
        <f ca="1">IF(Einstellungen!$G$7,G8-H8,IF(H8=0,IF(G8=0,0,Einstellungen!$F$7),G8/H8))</f>
        <v>-24</v>
      </c>
      <c r="J8" s="1">
        <f ca="1">SUMPRODUCT(($V$64:$V$135=F8)*$AE$64:$AE$135*$AA$64:$AA$135)+SUMPRODUCT(($W$64:$W$135=F8)*$AF$64:$AF$135*$AA$64:$AA$135)</f>
        <v>3</v>
      </c>
      <c r="K8" s="1">
        <f t="shared" ca="1" si="7"/>
        <v>4</v>
      </c>
      <c r="L8" s="1">
        <f t="shared" ca="1" si="8"/>
        <v>1</v>
      </c>
      <c r="M8" s="1">
        <f t="shared" ca="1" si="9"/>
        <v>1</v>
      </c>
      <c r="N8" s="1">
        <f t="shared" ca="1" si="10"/>
        <v>2</v>
      </c>
      <c r="P8" s="24"/>
      <c r="W8" s="583" t="str">
        <f t="shared" ca="1" si="11"/>
        <v/>
      </c>
      <c r="X8" s="584" t="str">
        <f t="shared" ca="1" si="12"/>
        <v/>
      </c>
      <c r="Y8" s="581">
        <f t="shared" ca="1" si="13"/>
        <v>99999</v>
      </c>
      <c r="Z8" s="581">
        <f t="shared" ca="1" si="14"/>
        <v>1.0608</v>
      </c>
      <c r="AA8" s="586">
        <f t="shared" ca="1" si="15"/>
        <v>5</v>
      </c>
      <c r="AB8" s="583" t="str">
        <f t="shared" ca="1" si="16"/>
        <v/>
      </c>
      <c r="AC8" s="584" t="str">
        <f t="shared" ca="1" si="17"/>
        <v/>
      </c>
      <c r="AD8" s="585">
        <f t="shared" ca="1" si="18"/>
        <v>99999</v>
      </c>
      <c r="AE8" s="581">
        <f t="shared" ca="1" si="19"/>
        <v>1.0608</v>
      </c>
      <c r="AF8" s="581">
        <f t="shared" ca="1" si="20"/>
        <v>5</v>
      </c>
      <c r="AG8" s="583" t="str">
        <f t="shared" ca="1" si="21"/>
        <v/>
      </c>
      <c r="AH8" s="584" t="str">
        <f t="shared" ca="1" si="22"/>
        <v/>
      </c>
      <c r="AI8" s="585">
        <f t="shared" ca="1" si="23"/>
        <v>99999</v>
      </c>
      <c r="AJ8" s="581">
        <f t="shared" ca="1" si="24"/>
        <v>1.0608</v>
      </c>
      <c r="AK8" s="586">
        <f t="shared" ca="1" si="25"/>
        <v>5</v>
      </c>
      <c r="AL8" s="584" t="str">
        <f t="shared" ca="1" si="26"/>
        <v/>
      </c>
      <c r="AM8" s="584" t="str">
        <f t="shared" ca="1" si="27"/>
        <v/>
      </c>
      <c r="AN8" s="585">
        <f t="shared" ca="1" si="28"/>
        <v>99999</v>
      </c>
      <c r="AO8" s="581">
        <f t="shared" ca="1" si="29"/>
        <v>1.0608</v>
      </c>
      <c r="AP8" s="586">
        <f t="shared" ca="1" si="30"/>
        <v>5</v>
      </c>
      <c r="AR8" s="1">
        <f ca="1">IF(Einstellungen!$G$7,$I8,ROUND($I8,Einstellungen!$H$7))</f>
        <v>-24</v>
      </c>
      <c r="AS8" s="1">
        <f t="shared" ca="1" si="32"/>
        <v>5</v>
      </c>
    </row>
    <row r="9" spans="1:45" s="2" customFormat="1" x14ac:dyDescent="0.2">
      <c r="A9" s="239"/>
      <c r="B9" s="1">
        <v>6</v>
      </c>
      <c r="C9" s="21">
        <f t="shared" ca="1" si="1"/>
        <v>6</v>
      </c>
      <c r="D9" s="12">
        <f t="shared" ca="1" si="2"/>
        <v>16.009</v>
      </c>
      <c r="E9" s="252">
        <f t="shared" ca="1" si="3"/>
        <v>6</v>
      </c>
      <c r="F9" s="732" t="str">
        <f t="shared" si="31"/>
        <v/>
      </c>
      <c r="G9" s="1">
        <f t="shared" ca="1" si="4"/>
        <v>0</v>
      </c>
      <c r="H9" s="1">
        <f t="shared" ca="1" si="5"/>
        <v>0</v>
      </c>
      <c r="I9" s="12">
        <f ca="1">IF(Einstellungen!$G$7,G9-H9,IF(H9=0,IF(G9=0,0,Einstellungen!$F$7),G9/H9))</f>
        <v>0</v>
      </c>
      <c r="J9" s="1">
        <f t="shared" ref="J9:J12" ca="1" si="33">SUMPRODUCT(($V$64:$V$135=F9)*$AE$64:$AE$135*$AA$64:$AA$135)+SUMPRODUCT(($W$64:$W$135=F9)*$AF$64:$AF$135*$AA$64:$AA$135)</f>
        <v>0</v>
      </c>
      <c r="K9" s="1">
        <f t="shared" ca="1" si="7"/>
        <v>0</v>
      </c>
      <c r="L9" s="1">
        <f t="shared" ca="1" si="8"/>
        <v>0</v>
      </c>
      <c r="M9" s="1">
        <f t="shared" ca="1" si="9"/>
        <v>0</v>
      </c>
      <c r="N9" s="1">
        <f t="shared" ca="1" si="10"/>
        <v>0</v>
      </c>
      <c r="P9" s="24"/>
      <c r="W9" s="583" t="str">
        <f t="shared" ca="1" si="11"/>
        <v/>
      </c>
      <c r="X9" s="584" t="str">
        <f t="shared" ca="1" si="12"/>
        <v/>
      </c>
      <c r="Y9" s="581">
        <f t="shared" ca="1" si="13"/>
        <v>99999</v>
      </c>
      <c r="Z9" s="581">
        <f t="shared" ca="1" si="14"/>
        <v>1.0609</v>
      </c>
      <c r="AA9" s="586">
        <f t="shared" ca="1" si="15"/>
        <v>6</v>
      </c>
      <c r="AB9" s="583" t="str">
        <f t="shared" ca="1" si="16"/>
        <v/>
      </c>
      <c r="AC9" s="584" t="str">
        <f t="shared" ca="1" si="17"/>
        <v/>
      </c>
      <c r="AD9" s="585">
        <f t="shared" ca="1" si="18"/>
        <v>99999</v>
      </c>
      <c r="AE9" s="581">
        <f t="shared" ca="1" si="19"/>
        <v>1.0609</v>
      </c>
      <c r="AF9" s="581">
        <f t="shared" ca="1" si="20"/>
        <v>6</v>
      </c>
      <c r="AG9" s="583" t="str">
        <f t="shared" ca="1" si="21"/>
        <v/>
      </c>
      <c r="AH9" s="584" t="str">
        <f t="shared" ca="1" si="22"/>
        <v/>
      </c>
      <c r="AI9" s="585">
        <f t="shared" ca="1" si="23"/>
        <v>99999</v>
      </c>
      <c r="AJ9" s="581">
        <f t="shared" ca="1" si="24"/>
        <v>1.0609</v>
      </c>
      <c r="AK9" s="586">
        <f t="shared" ca="1" si="25"/>
        <v>6</v>
      </c>
      <c r="AL9" s="584" t="str">
        <f t="shared" ca="1" si="26"/>
        <v/>
      </c>
      <c r="AM9" s="584" t="str">
        <f t="shared" ca="1" si="27"/>
        <v/>
      </c>
      <c r="AN9" s="585">
        <f t="shared" ca="1" si="28"/>
        <v>99999</v>
      </c>
      <c r="AO9" s="581">
        <f t="shared" ca="1" si="29"/>
        <v>1.0609</v>
      </c>
      <c r="AP9" s="586">
        <f t="shared" ca="1" si="30"/>
        <v>6</v>
      </c>
      <c r="AR9" s="1">
        <f ca="1">IF(Einstellungen!$G$7,$I9,ROUND($I9,Einstellungen!$H$7))</f>
        <v>0</v>
      </c>
      <c r="AS9" s="1">
        <f t="shared" ca="1" si="32"/>
        <v>0</v>
      </c>
    </row>
    <row r="10" spans="1:45" s="2" customFormat="1" x14ac:dyDescent="0.2">
      <c r="A10" s="239"/>
      <c r="B10" s="1">
        <v>7</v>
      </c>
      <c r="C10" s="21">
        <f t="shared" ca="1" si="1"/>
        <v>7</v>
      </c>
      <c r="D10" s="12">
        <f t="shared" ca="1" si="2"/>
        <v>16.009999999999998</v>
      </c>
      <c r="E10" s="252">
        <f t="shared" ca="1" si="3"/>
        <v>6</v>
      </c>
      <c r="F10" s="732" t="str">
        <f t="shared" si="31"/>
        <v/>
      </c>
      <c r="G10" s="1">
        <f t="shared" ca="1" si="4"/>
        <v>0</v>
      </c>
      <c r="H10" s="1">
        <f t="shared" ca="1" si="5"/>
        <v>0</v>
      </c>
      <c r="I10" s="12">
        <f ca="1">IF(Einstellungen!$G$7,G10-H10,IF(H10=0,IF(G10=0,0,Einstellungen!$F$7),G10/H10))</f>
        <v>0</v>
      </c>
      <c r="J10" s="1">
        <f t="shared" ca="1" si="33"/>
        <v>0</v>
      </c>
      <c r="K10" s="1">
        <f t="shared" ca="1" si="7"/>
        <v>0</v>
      </c>
      <c r="L10" s="1">
        <f t="shared" ca="1" si="8"/>
        <v>0</v>
      </c>
      <c r="M10" s="1">
        <f t="shared" ca="1" si="9"/>
        <v>0</v>
      </c>
      <c r="N10" s="1">
        <f t="shared" ca="1" si="10"/>
        <v>0</v>
      </c>
      <c r="P10" s="24"/>
      <c r="W10" s="583" t="str">
        <f t="shared" ca="1" si="11"/>
        <v/>
      </c>
      <c r="X10" s="584" t="str">
        <f t="shared" ca="1" si="12"/>
        <v/>
      </c>
      <c r="Y10" s="581">
        <f t="shared" ca="1" si="13"/>
        <v>99999</v>
      </c>
      <c r="Z10" s="581">
        <f t="shared" ca="1" si="14"/>
        <v>1.0609999999999999</v>
      </c>
      <c r="AA10" s="586">
        <f t="shared" ca="1" si="15"/>
        <v>7</v>
      </c>
      <c r="AB10" s="583" t="str">
        <f t="shared" ca="1" si="16"/>
        <v/>
      </c>
      <c r="AC10" s="584" t="str">
        <f t="shared" ca="1" si="17"/>
        <v/>
      </c>
      <c r="AD10" s="585">
        <f t="shared" ca="1" si="18"/>
        <v>99999</v>
      </c>
      <c r="AE10" s="581">
        <f t="shared" ca="1" si="19"/>
        <v>1.0609999999999999</v>
      </c>
      <c r="AF10" s="581">
        <f t="shared" ca="1" si="20"/>
        <v>7</v>
      </c>
      <c r="AG10" s="583" t="str">
        <f t="shared" ca="1" si="21"/>
        <v/>
      </c>
      <c r="AH10" s="584" t="str">
        <f t="shared" ca="1" si="22"/>
        <v/>
      </c>
      <c r="AI10" s="585">
        <f t="shared" ca="1" si="23"/>
        <v>99999</v>
      </c>
      <c r="AJ10" s="581">
        <f t="shared" ca="1" si="24"/>
        <v>1.0609999999999999</v>
      </c>
      <c r="AK10" s="586">
        <f t="shared" ca="1" si="25"/>
        <v>7</v>
      </c>
      <c r="AL10" s="584" t="str">
        <f t="shared" ca="1" si="26"/>
        <v/>
      </c>
      <c r="AM10" s="584" t="str">
        <f t="shared" ca="1" si="27"/>
        <v/>
      </c>
      <c r="AN10" s="585">
        <f t="shared" ca="1" si="28"/>
        <v>99999</v>
      </c>
      <c r="AO10" s="581">
        <f t="shared" ca="1" si="29"/>
        <v>1.0609999999999999</v>
      </c>
      <c r="AP10" s="586">
        <f t="shared" ca="1" si="30"/>
        <v>7</v>
      </c>
      <c r="AR10" s="1">
        <f ca="1">IF(Einstellungen!$G$7,$I10,ROUND($I10,Einstellungen!$H$7))</f>
        <v>0</v>
      </c>
      <c r="AS10" s="1">
        <f t="shared" ca="1" si="32"/>
        <v>0</v>
      </c>
    </row>
    <row r="11" spans="1:45" s="2" customFormat="1" x14ac:dyDescent="0.2">
      <c r="A11" s="239"/>
      <c r="B11" s="1">
        <v>8</v>
      </c>
      <c r="C11" s="21">
        <f t="shared" ca="1" si="1"/>
        <v>8</v>
      </c>
      <c r="D11" s="12">
        <f t="shared" ca="1" si="2"/>
        <v>16.010999999999999</v>
      </c>
      <c r="E11" s="252">
        <f t="shared" ca="1" si="3"/>
        <v>6</v>
      </c>
      <c r="F11" s="732" t="str">
        <f t="shared" si="31"/>
        <v/>
      </c>
      <c r="G11" s="1">
        <f t="shared" ca="1" si="4"/>
        <v>0</v>
      </c>
      <c r="H11" s="1">
        <f t="shared" ca="1" si="5"/>
        <v>0</v>
      </c>
      <c r="I11" s="12">
        <f ca="1">IF(Einstellungen!$G$7,G11-H11,IF(H11=0,IF(G11=0,0,Einstellungen!$F$7),G11/H11))</f>
        <v>0</v>
      </c>
      <c r="J11" s="1">
        <f t="shared" ca="1" si="33"/>
        <v>0</v>
      </c>
      <c r="K11" s="1">
        <f t="shared" ca="1" si="7"/>
        <v>0</v>
      </c>
      <c r="L11" s="1">
        <f t="shared" ca="1" si="8"/>
        <v>0</v>
      </c>
      <c r="M11" s="1">
        <f t="shared" ca="1" si="9"/>
        <v>0</v>
      </c>
      <c r="N11" s="1">
        <f t="shared" ca="1" si="10"/>
        <v>0</v>
      </c>
      <c r="O11" s="12"/>
      <c r="P11" s="12"/>
      <c r="Q11" s="12"/>
      <c r="R11" s="12"/>
      <c r="S11" s="12"/>
      <c r="T11" s="12"/>
      <c r="U11" s="12"/>
      <c r="V11" s="12"/>
      <c r="W11" s="583" t="str">
        <f t="shared" ca="1" si="11"/>
        <v/>
      </c>
      <c r="X11" s="584" t="str">
        <f t="shared" ca="1" si="12"/>
        <v/>
      </c>
      <c r="Y11" s="581">
        <f t="shared" ca="1" si="13"/>
        <v>99999</v>
      </c>
      <c r="Z11" s="581">
        <f t="shared" ca="1" si="14"/>
        <v>1.0611000000000002</v>
      </c>
      <c r="AA11" s="586">
        <f t="shared" ca="1" si="15"/>
        <v>8</v>
      </c>
      <c r="AB11" s="583" t="str">
        <f t="shared" ca="1" si="16"/>
        <v/>
      </c>
      <c r="AC11" s="584" t="str">
        <f t="shared" ca="1" si="17"/>
        <v/>
      </c>
      <c r="AD11" s="585">
        <f t="shared" ca="1" si="18"/>
        <v>99999</v>
      </c>
      <c r="AE11" s="581">
        <f t="shared" ca="1" si="19"/>
        <v>1.0611000000000002</v>
      </c>
      <c r="AF11" s="581">
        <f t="shared" ca="1" si="20"/>
        <v>8</v>
      </c>
      <c r="AG11" s="583" t="str">
        <f t="shared" ca="1" si="21"/>
        <v/>
      </c>
      <c r="AH11" s="584" t="str">
        <f t="shared" ca="1" si="22"/>
        <v/>
      </c>
      <c r="AI11" s="585">
        <f t="shared" ca="1" si="23"/>
        <v>99999</v>
      </c>
      <c r="AJ11" s="581">
        <f t="shared" ca="1" si="24"/>
        <v>1.0611000000000002</v>
      </c>
      <c r="AK11" s="586">
        <f t="shared" ca="1" si="25"/>
        <v>8</v>
      </c>
      <c r="AL11" s="584" t="str">
        <f t="shared" ca="1" si="26"/>
        <v/>
      </c>
      <c r="AM11" s="584" t="str">
        <f t="shared" ca="1" si="27"/>
        <v/>
      </c>
      <c r="AN11" s="585">
        <f t="shared" ca="1" si="28"/>
        <v>99999</v>
      </c>
      <c r="AO11" s="581">
        <f t="shared" ca="1" si="29"/>
        <v>1.0611000000000002</v>
      </c>
      <c r="AP11" s="586">
        <f t="shared" ca="1" si="30"/>
        <v>8</v>
      </c>
      <c r="AR11" s="1">
        <f ca="1">IF(Einstellungen!$G$7,$I11,ROUND($I11,Einstellungen!$H$7))</f>
        <v>0</v>
      </c>
      <c r="AS11" s="1">
        <f t="shared" ca="1" si="32"/>
        <v>0</v>
      </c>
    </row>
    <row r="12" spans="1:45" s="2" customFormat="1" ht="12.75" thickBot="1" x14ac:dyDescent="0.25">
      <c r="A12" s="239"/>
      <c r="B12" s="1">
        <v>9</v>
      </c>
      <c r="C12" s="22">
        <f t="shared" ca="1" si="1"/>
        <v>9</v>
      </c>
      <c r="D12" s="12">
        <f t="shared" ca="1" si="2"/>
        <v>16.012</v>
      </c>
      <c r="E12" s="252">
        <f t="shared" ca="1" si="3"/>
        <v>6</v>
      </c>
      <c r="F12" s="732" t="str">
        <f t="shared" si="31"/>
        <v/>
      </c>
      <c r="G12" s="1">
        <f t="shared" ca="1" si="4"/>
        <v>0</v>
      </c>
      <c r="H12" s="1">
        <f t="shared" ca="1" si="5"/>
        <v>0</v>
      </c>
      <c r="I12" s="12">
        <f ca="1">IF(Einstellungen!$G$7,G12-H12,IF(H12=0,IF(G12=0,0,Einstellungen!$F$7),G12/H12))</f>
        <v>0</v>
      </c>
      <c r="J12" s="1">
        <f t="shared" ca="1" si="33"/>
        <v>0</v>
      </c>
      <c r="K12" s="27">
        <f t="shared" ca="1" si="7"/>
        <v>0</v>
      </c>
      <c r="L12" s="1">
        <f t="shared" ca="1" si="8"/>
        <v>0</v>
      </c>
      <c r="M12" s="1">
        <f t="shared" ca="1" si="9"/>
        <v>0</v>
      </c>
      <c r="N12" s="1">
        <f t="shared" ca="1" si="10"/>
        <v>0</v>
      </c>
      <c r="O12" s="1"/>
      <c r="P12" s="1"/>
      <c r="Q12" s="1"/>
      <c r="R12" s="1"/>
      <c r="S12" s="1"/>
      <c r="T12" s="1"/>
      <c r="U12" s="1"/>
      <c r="V12" s="1"/>
      <c r="W12" s="587" t="str">
        <f t="shared" ca="1" si="11"/>
        <v/>
      </c>
      <c r="X12" s="588" t="str">
        <f t="shared" ca="1" si="12"/>
        <v/>
      </c>
      <c r="Y12" s="589">
        <f t="shared" ca="1" si="13"/>
        <v>99999</v>
      </c>
      <c r="Z12" s="589">
        <f t="shared" ca="1" si="14"/>
        <v>1.0612000000000001</v>
      </c>
      <c r="AA12" s="590">
        <f t="shared" ca="1" si="15"/>
        <v>9</v>
      </c>
      <c r="AB12" s="587" t="str">
        <f t="shared" ca="1" si="16"/>
        <v/>
      </c>
      <c r="AC12" s="588" t="str">
        <f t="shared" ca="1" si="17"/>
        <v/>
      </c>
      <c r="AD12" s="591">
        <f t="shared" ca="1" si="18"/>
        <v>99999</v>
      </c>
      <c r="AE12" s="589">
        <f t="shared" ca="1" si="19"/>
        <v>1.0612000000000001</v>
      </c>
      <c r="AF12" s="589">
        <f t="shared" ca="1" si="20"/>
        <v>9</v>
      </c>
      <c r="AG12" s="587" t="str">
        <f t="shared" ca="1" si="21"/>
        <v/>
      </c>
      <c r="AH12" s="588" t="str">
        <f t="shared" ca="1" si="22"/>
        <v/>
      </c>
      <c r="AI12" s="591">
        <f t="shared" ca="1" si="23"/>
        <v>99999</v>
      </c>
      <c r="AJ12" s="589">
        <f t="shared" ca="1" si="24"/>
        <v>1.0612000000000001</v>
      </c>
      <c r="AK12" s="590">
        <f t="shared" ca="1" si="25"/>
        <v>9</v>
      </c>
      <c r="AL12" s="588" t="str">
        <f t="shared" ca="1" si="26"/>
        <v/>
      </c>
      <c r="AM12" s="588" t="str">
        <f t="shared" ca="1" si="27"/>
        <v/>
      </c>
      <c r="AN12" s="591">
        <f t="shared" ca="1" si="28"/>
        <v>99999</v>
      </c>
      <c r="AO12" s="589">
        <f t="shared" ca="1" si="29"/>
        <v>1.0612000000000001</v>
      </c>
      <c r="AP12" s="590">
        <f t="shared" ca="1" si="30"/>
        <v>9</v>
      </c>
      <c r="AR12" s="1">
        <f ca="1">IF(Einstellungen!$G$7,$I12,ROUND($I12,Einstellungen!$H$7))</f>
        <v>0</v>
      </c>
      <c r="AS12" s="1">
        <f t="shared" ca="1" si="32"/>
        <v>0</v>
      </c>
    </row>
    <row r="13" spans="1:45" s="2" customFormat="1" ht="12.75" thickTop="1" x14ac:dyDescent="0.2">
      <c r="B13" s="12">
        <f>$F$13*($F$13-1)</f>
        <v>20</v>
      </c>
      <c r="C13" s="12"/>
      <c r="D13" s="12"/>
      <c r="E13" s="12"/>
      <c r="F13" s="12">
        <f>9-COUNTBLANK($F$4:$F$12)</f>
        <v>5</v>
      </c>
      <c r="G13" s="12"/>
      <c r="H13" s="12"/>
      <c r="I13" s="12"/>
      <c r="J13" s="12"/>
      <c r="K13" s="26">
        <f ca="1">QUOTIENT(SUM(K4:K12),2)</f>
        <v>10</v>
      </c>
      <c r="L13" s="1"/>
      <c r="M13" s="1"/>
      <c r="N13" s="1"/>
      <c r="O13" s="1"/>
      <c r="P13" s="1"/>
      <c r="Q13" s="1"/>
      <c r="R13" s="1"/>
      <c r="S13" s="1"/>
      <c r="T13" s="1"/>
      <c r="U13" s="1"/>
      <c r="V13" s="1"/>
      <c r="Y13" s="1"/>
      <c r="Z13" s="1"/>
    </row>
    <row r="14" spans="1:45" s="2" customFormat="1" x14ac:dyDescent="0.2">
      <c r="B14" s="12">
        <f>MAX($B$13,Calc2!$B$13)/2*2</f>
        <v>20</v>
      </c>
      <c r="C14" s="3"/>
      <c r="D14" s="12" t="s">
        <v>338</v>
      </c>
      <c r="E14" s="3"/>
      <c r="F14" s="12">
        <f>MAX($F$13,Calc2!$F$13)</f>
        <v>5</v>
      </c>
      <c r="O14" s="1"/>
      <c r="P14" s="1"/>
      <c r="Q14" s="1"/>
      <c r="R14" s="1"/>
      <c r="S14" s="1"/>
      <c r="T14" s="1"/>
      <c r="U14" s="1"/>
      <c r="V14" s="1"/>
      <c r="W14" s="1"/>
      <c r="Y14" s="1"/>
      <c r="Z14" s="1"/>
    </row>
    <row r="15" spans="1:45" s="2" customFormat="1" x14ac:dyDescent="0.2">
      <c r="O15" s="11"/>
      <c r="AD15" s="928" t="s">
        <v>182</v>
      </c>
      <c r="AE15" s="929"/>
      <c r="AF15" s="929"/>
      <c r="AG15" s="929"/>
      <c r="AH15" s="930"/>
      <c r="AI15" s="2" t="b">
        <v>0</v>
      </c>
      <c r="AK15" s="239"/>
    </row>
    <row r="16" spans="1:45" s="2" customFormat="1" ht="15.75" thickBot="1" x14ac:dyDescent="0.25">
      <c r="B16" s="12" t="s">
        <v>5</v>
      </c>
      <c r="C16" s="595" t="s">
        <v>97</v>
      </c>
      <c r="D16" s="595" t="s">
        <v>102</v>
      </c>
      <c r="E16" s="595" t="s">
        <v>103</v>
      </c>
      <c r="F16" s="595" t="s">
        <v>104</v>
      </c>
      <c r="G16" s="595" t="s">
        <v>105</v>
      </c>
      <c r="H16" s="595" t="s">
        <v>106</v>
      </c>
      <c r="I16" s="595" t="s">
        <v>107</v>
      </c>
      <c r="J16" s="595" t="s">
        <v>108</v>
      </c>
      <c r="K16" s="595" t="s">
        <v>109</v>
      </c>
      <c r="L16" s="10" t="s">
        <v>337</v>
      </c>
      <c r="M16" s="67" t="s">
        <v>96</v>
      </c>
      <c r="N16" s="67" t="s">
        <v>14</v>
      </c>
      <c r="O16" s="29">
        <v>1</v>
      </c>
      <c r="P16" s="1">
        <v>2</v>
      </c>
      <c r="Q16" s="1">
        <v>3</v>
      </c>
      <c r="R16" s="1">
        <v>4</v>
      </c>
      <c r="S16" s="1">
        <v>5</v>
      </c>
      <c r="T16" s="1">
        <v>6</v>
      </c>
      <c r="U16" s="1">
        <v>7</v>
      </c>
      <c r="V16" s="1">
        <v>8</v>
      </c>
      <c r="W16" s="10" t="s">
        <v>98</v>
      </c>
      <c r="X16" s="189" t="s">
        <v>169</v>
      </c>
      <c r="Y16" s="10" t="s">
        <v>208</v>
      </c>
      <c r="Z16" s="189" t="s">
        <v>209</v>
      </c>
      <c r="AA16" s="1" t="s">
        <v>109</v>
      </c>
      <c r="AB16" s="1" t="s">
        <v>108</v>
      </c>
      <c r="AC16" s="1"/>
      <c r="AD16" s="247" t="s">
        <v>109</v>
      </c>
      <c r="AE16" s="251" t="s">
        <v>108</v>
      </c>
      <c r="AF16" s="1" t="s">
        <v>108</v>
      </c>
      <c r="AG16" s="1" t="s">
        <v>181</v>
      </c>
      <c r="AH16" s="189" t="s">
        <v>169</v>
      </c>
    </row>
    <row r="17" spans="2:80" s="2" customFormat="1" ht="12.75" thickTop="1" x14ac:dyDescent="0.2">
      <c r="C17" s="2" t="str">
        <f>$Q64</f>
        <v>1. FC Riedwald</v>
      </c>
      <c r="D17" s="1">
        <f t="shared" ref="D17:D25" ca="1" si="34">K4</f>
        <v>4</v>
      </c>
      <c r="E17" s="1">
        <f t="shared" ref="E17:E25" ca="1" si="35">L4</f>
        <v>1</v>
      </c>
      <c r="F17" s="1">
        <f t="shared" ref="F17:F25" ca="1" si="36">M4</f>
        <v>2</v>
      </c>
      <c r="G17" s="1">
        <f t="shared" ref="G17:G25" ca="1" si="37">N4</f>
        <v>1</v>
      </c>
      <c r="H17" s="1">
        <f t="shared" ref="H17:K25" ca="1" si="38">G4</f>
        <v>177</v>
      </c>
      <c r="I17" s="1">
        <f t="shared" ca="1" si="38"/>
        <v>176</v>
      </c>
      <c r="J17" s="12">
        <f t="shared" ca="1" si="38"/>
        <v>1</v>
      </c>
      <c r="K17" s="1">
        <f t="shared" ca="1" si="38"/>
        <v>4</v>
      </c>
      <c r="L17" s="28">
        <f t="shared" ref="L17:L25" ca="1" si="39">K17*$F$64+(J17+$H$65)*$F$65</f>
        <v>4501000</v>
      </c>
      <c r="M17" s="13">
        <f t="shared" ref="M17:M25" ca="1" si="40">IF($AI$15,COUNTIF($K$17:$K$25,K17),COUNTIF($L$17:$L$25,L17))</f>
        <v>1</v>
      </c>
      <c r="N17" s="13">
        <f t="array" aca="1" ref="N17" ca="1">IF($AI$15,SUM(($K$17:$K$25&gt;=K17)/COUNTIF($K$17:$K$25,$K$17:$K$25)),SUM(($L$17:$L$25&gt;=L17)/COUNTIF($L$17:$L$25,$L$17:$L$25)))</f>
        <v>3</v>
      </c>
      <c r="O17" s="51" t="str">
        <f t="shared" ref="O17:O25" ca="1" si="41">IF(AND(M17&gt;1,N17=1),C17,"")</f>
        <v/>
      </c>
      <c r="P17" s="52" t="str">
        <f t="shared" ref="P17:P25" ca="1" si="42">IF(AND(M17&gt;1,N17=2),C17,"")</f>
        <v/>
      </c>
      <c r="Q17" s="52" t="str">
        <f t="shared" ref="Q17:Q25" ca="1" si="43">IF(AND(M17&gt;1,N17=3),C17,"")</f>
        <v/>
      </c>
      <c r="R17" s="52" t="str">
        <f t="shared" ref="R17:R25" ca="1" si="44">IF(AND(M17&gt;1,N17=4),C17,"")</f>
        <v/>
      </c>
      <c r="S17" s="52" t="str">
        <f t="shared" ref="S17:S25" ca="1" si="45">IF(AND(M17&gt;1,N17=5),C17,"")</f>
        <v/>
      </c>
      <c r="T17" s="52" t="str">
        <f t="shared" ref="T17:T25" ca="1" si="46">IF(AND($M17&gt;1,$N17=6),$C17,"")</f>
        <v/>
      </c>
      <c r="U17" s="52" t="str">
        <f t="shared" ref="U17:U25" ca="1" si="47">IF(AND($M17&gt;1,$N17=7),$C17,"")</f>
        <v/>
      </c>
      <c r="V17" s="53" t="str">
        <f t="shared" ref="V17:V25" ca="1" si="48">IF(AND($M17&gt;1,$N17=8),$C17,"")</f>
        <v/>
      </c>
      <c r="W17" s="61">
        <f t="shared" ref="W17:W25" ca="1" si="49">AA17*$F$64+(AB17+$H$65)*$F$65</f>
        <v>500000</v>
      </c>
      <c r="X17" s="20">
        <f t="shared" ref="X17:X25" ca="1" si="50">RANK($L17,$L$17:$L$25)+RANK($W17,$W$17:$W$25)/100+(9-$Y17)/10000</f>
        <v>3.0108999999999999</v>
      </c>
      <c r="Y17" s="12">
        <f>Vorrunde!$AP12</f>
        <v>0</v>
      </c>
      <c r="Z17" s="1">
        <f t="shared" ref="Z17:Z25" ca="1" si="51">RANK($W17,$W$17:$W$25)+(9-$Y17)/10</f>
        <v>1.9</v>
      </c>
      <c r="AA17" s="1">
        <f t="shared" ref="AA17:AA25" ca="1" si="52">SUM(E30:BP30)</f>
        <v>0</v>
      </c>
      <c r="AB17" s="1">
        <f t="shared" ref="AB17:AB25" ca="1" si="53">SUM(E41:BP41)</f>
        <v>0</v>
      </c>
      <c r="AC17" s="1"/>
      <c r="AD17" s="246">
        <f t="shared" ref="AD17:AD25" ca="1" si="54">RANK($K17,$K$17:$K$25)</f>
        <v>3</v>
      </c>
      <c r="AE17" s="28">
        <f t="shared" ref="AE17:AE25" ca="1" si="55">(J17+$H$65)*$F$65</f>
        <v>501000</v>
      </c>
      <c r="AF17" s="1">
        <f t="shared" ref="AF17:AF25" ca="1" si="56">RANK($AE17,$AE$17:$AE$25)</f>
        <v>3</v>
      </c>
      <c r="AG17" s="1">
        <f t="shared" ref="AG17:AG25" ca="1" si="57">RANK($W17,$W$17:$W$25)</f>
        <v>1</v>
      </c>
      <c r="AH17" s="248">
        <f t="shared" ref="AH17:AH25" ca="1" si="58">AD17+AG17/100+AF17/10000+(10-Y17)/1000000</f>
        <v>3.01031</v>
      </c>
      <c r="AI17" s="1"/>
    </row>
    <row r="18" spans="2:80" s="2" customFormat="1" x14ac:dyDescent="0.2">
      <c r="C18" s="2" t="str">
        <f t="shared" ref="C18:C25" si="59">$Q65</f>
        <v>FC Barcelona</v>
      </c>
      <c r="D18" s="1">
        <f t="shared" ca="1" si="34"/>
        <v>4</v>
      </c>
      <c r="E18" s="1">
        <f t="shared" ca="1" si="35"/>
        <v>1</v>
      </c>
      <c r="F18" s="1">
        <f t="shared" ca="1" si="36"/>
        <v>1</v>
      </c>
      <c r="G18" s="1">
        <f t="shared" ca="1" si="37"/>
        <v>2</v>
      </c>
      <c r="H18" s="1">
        <f t="shared" ca="1" si="38"/>
        <v>164</v>
      </c>
      <c r="I18" s="1">
        <f t="shared" ca="1" si="38"/>
        <v>181</v>
      </c>
      <c r="J18" s="12">
        <f t="shared" ca="1" si="38"/>
        <v>-17</v>
      </c>
      <c r="K18" s="1">
        <f t="shared" ca="1" si="38"/>
        <v>3</v>
      </c>
      <c r="L18" s="28">
        <f t="shared" ca="1" si="39"/>
        <v>3483000</v>
      </c>
      <c r="M18" s="13">
        <f t="shared" ca="1" si="40"/>
        <v>1</v>
      </c>
      <c r="N18" s="13">
        <f t="array" aca="1" ref="N18" ca="1">IF($AI$15,SUM(($K$17:$K$25&gt;=K18)/COUNTIF($K$17:$K$25,$K$17:$K$25)),SUM(($L$17:$L$25&gt;=L18)/COUNTIF($L$17:$L$25,$L$17:$L$25)))</f>
        <v>4</v>
      </c>
      <c r="O18" s="5" t="str">
        <f t="shared" ca="1" si="41"/>
        <v/>
      </c>
      <c r="P18" s="3" t="str">
        <f t="shared" ca="1" si="42"/>
        <v/>
      </c>
      <c r="Q18" s="3" t="str">
        <f t="shared" ca="1" si="43"/>
        <v/>
      </c>
      <c r="R18" s="3" t="str">
        <f t="shared" ca="1" si="44"/>
        <v/>
      </c>
      <c r="S18" s="3" t="str">
        <f t="shared" ca="1" si="45"/>
        <v/>
      </c>
      <c r="T18" s="3" t="str">
        <f t="shared" ca="1" si="46"/>
        <v/>
      </c>
      <c r="U18" s="3" t="str">
        <f t="shared" ca="1" si="47"/>
        <v/>
      </c>
      <c r="V18" s="54" t="str">
        <f t="shared" ca="1" si="48"/>
        <v/>
      </c>
      <c r="W18" s="61">
        <f t="shared" ca="1" si="49"/>
        <v>500000</v>
      </c>
      <c r="X18" s="21">
        <f t="shared" ca="1" si="50"/>
        <v>4.0108999999999995</v>
      </c>
      <c r="Y18" s="12">
        <f>Vorrunde!$AP13</f>
        <v>0</v>
      </c>
      <c r="Z18" s="1">
        <f t="shared" ca="1" si="51"/>
        <v>1.9</v>
      </c>
      <c r="AA18" s="1">
        <f t="shared" ca="1" si="52"/>
        <v>0</v>
      </c>
      <c r="AB18" s="1">
        <f t="shared" ca="1" si="53"/>
        <v>0</v>
      </c>
      <c r="AC18" s="1"/>
      <c r="AD18" s="246">
        <f t="shared" ca="1" si="54"/>
        <v>4</v>
      </c>
      <c r="AE18" s="28">
        <f t="shared" ca="1" si="55"/>
        <v>483000</v>
      </c>
      <c r="AF18" s="1">
        <f t="shared" ca="1" si="56"/>
        <v>8</v>
      </c>
      <c r="AG18" s="1">
        <f t="shared" ca="1" si="57"/>
        <v>1</v>
      </c>
      <c r="AH18" s="249">
        <f t="shared" ca="1" si="58"/>
        <v>4.0108099999999993</v>
      </c>
      <c r="AI18" s="1"/>
    </row>
    <row r="19" spans="2:80" s="2" customFormat="1" x14ac:dyDescent="0.2">
      <c r="C19" s="2" t="str">
        <f t="shared" si="59"/>
        <v>Eintracht Frankfurt</v>
      </c>
      <c r="D19" s="1">
        <f t="shared" ca="1" si="34"/>
        <v>4</v>
      </c>
      <c r="E19" s="1">
        <f t="shared" ca="1" si="35"/>
        <v>1</v>
      </c>
      <c r="F19" s="1">
        <f t="shared" ca="1" si="36"/>
        <v>3</v>
      </c>
      <c r="G19" s="1">
        <f t="shared" ca="1" si="37"/>
        <v>0</v>
      </c>
      <c r="H19" s="1">
        <f t="shared" ca="1" si="38"/>
        <v>191</v>
      </c>
      <c r="I19" s="1">
        <f t="shared" ca="1" si="38"/>
        <v>175</v>
      </c>
      <c r="J19" s="12">
        <f t="shared" ca="1" si="38"/>
        <v>16</v>
      </c>
      <c r="K19" s="1">
        <f t="shared" ca="1" si="38"/>
        <v>5</v>
      </c>
      <c r="L19" s="28">
        <f t="shared" ca="1" si="39"/>
        <v>5516000</v>
      </c>
      <c r="M19" s="13">
        <f t="shared" ca="1" si="40"/>
        <v>1</v>
      </c>
      <c r="N19" s="13">
        <f t="array" aca="1" ref="N19" ca="1">IF($AI$15,SUM(($K$17:$K$25&gt;=K19)/COUNTIF($K$17:$K$25,$K$17:$K$25)),SUM(($L$17:$L$25&gt;=L19)/COUNTIF($L$17:$L$25,$L$17:$L$25)))</f>
        <v>2</v>
      </c>
      <c r="O19" s="5" t="str">
        <f t="shared" ca="1" si="41"/>
        <v/>
      </c>
      <c r="P19" s="3" t="str">
        <f t="shared" ca="1" si="42"/>
        <v/>
      </c>
      <c r="Q19" s="3" t="str">
        <f t="shared" ca="1" si="43"/>
        <v/>
      </c>
      <c r="R19" s="3" t="str">
        <f t="shared" ca="1" si="44"/>
        <v/>
      </c>
      <c r="S19" s="3" t="str">
        <f t="shared" ca="1" si="45"/>
        <v/>
      </c>
      <c r="T19" s="3" t="str">
        <f t="shared" ca="1" si="46"/>
        <v/>
      </c>
      <c r="U19" s="3" t="str">
        <f t="shared" ca="1" si="47"/>
        <v/>
      </c>
      <c r="V19" s="54" t="str">
        <f t="shared" ca="1" si="48"/>
        <v/>
      </c>
      <c r="W19" s="61">
        <f t="shared" ca="1" si="49"/>
        <v>500000</v>
      </c>
      <c r="X19" s="21">
        <f t="shared" ca="1" si="50"/>
        <v>2.0108999999999999</v>
      </c>
      <c r="Y19" s="12">
        <f>Vorrunde!$AP14</f>
        <v>0</v>
      </c>
      <c r="Z19" s="1">
        <f t="shared" ca="1" si="51"/>
        <v>1.9</v>
      </c>
      <c r="AA19" s="1">
        <f t="shared" ca="1" si="52"/>
        <v>0</v>
      </c>
      <c r="AB19" s="1">
        <f t="shared" ca="1" si="53"/>
        <v>0</v>
      </c>
      <c r="AC19" s="1"/>
      <c r="AD19" s="246">
        <f t="shared" ca="1" si="54"/>
        <v>1</v>
      </c>
      <c r="AE19" s="28">
        <f t="shared" ca="1" si="55"/>
        <v>516000</v>
      </c>
      <c r="AF19" s="1">
        <f t="shared" ca="1" si="56"/>
        <v>2</v>
      </c>
      <c r="AG19" s="1">
        <f t="shared" ca="1" si="57"/>
        <v>1</v>
      </c>
      <c r="AH19" s="249">
        <f t="shared" ca="1" si="58"/>
        <v>1.0102100000000001</v>
      </c>
      <c r="AI19" s="1"/>
    </row>
    <row r="20" spans="2:80" s="2" customFormat="1" x14ac:dyDescent="0.2">
      <c r="C20" s="2" t="str">
        <f t="shared" si="59"/>
        <v>Maibach 1822 eV</v>
      </c>
      <c r="D20" s="1">
        <f t="shared" ca="1" si="34"/>
        <v>4</v>
      </c>
      <c r="E20" s="1">
        <f t="shared" ca="1" si="35"/>
        <v>2</v>
      </c>
      <c r="F20" s="1">
        <f t="shared" ca="1" si="36"/>
        <v>1</v>
      </c>
      <c r="G20" s="1">
        <f t="shared" ca="1" si="37"/>
        <v>1</v>
      </c>
      <c r="H20" s="1">
        <f t="shared" ca="1" si="38"/>
        <v>183</v>
      </c>
      <c r="I20" s="1">
        <f t="shared" ca="1" si="38"/>
        <v>159</v>
      </c>
      <c r="J20" s="12">
        <f t="shared" ca="1" si="38"/>
        <v>24</v>
      </c>
      <c r="K20" s="1">
        <f t="shared" ca="1" si="38"/>
        <v>5</v>
      </c>
      <c r="L20" s="28">
        <f t="shared" ca="1" si="39"/>
        <v>5524000</v>
      </c>
      <c r="M20" s="13">
        <f t="shared" ca="1" si="40"/>
        <v>1</v>
      </c>
      <c r="N20" s="13">
        <f t="array" aca="1" ref="N20" ca="1">IF($AI$15,SUM(($K$17:$K$25&gt;=K20)/COUNTIF($K$17:$K$25,$K$17:$K$25)),SUM(($L$17:$L$25&gt;=L20)/COUNTIF($L$17:$L$25,$L$17:$L$25)))</f>
        <v>1</v>
      </c>
      <c r="O20" s="5" t="str">
        <f t="shared" ca="1" si="41"/>
        <v/>
      </c>
      <c r="P20" s="3" t="str">
        <f t="shared" ca="1" si="42"/>
        <v/>
      </c>
      <c r="Q20" s="3" t="str">
        <f t="shared" ca="1" si="43"/>
        <v/>
      </c>
      <c r="R20" s="3" t="str">
        <f t="shared" ca="1" si="44"/>
        <v/>
      </c>
      <c r="S20" s="3" t="str">
        <f t="shared" ca="1" si="45"/>
        <v/>
      </c>
      <c r="T20" s="3" t="str">
        <f t="shared" ca="1" si="46"/>
        <v/>
      </c>
      <c r="U20" s="3" t="str">
        <f t="shared" ca="1" si="47"/>
        <v/>
      </c>
      <c r="V20" s="54" t="str">
        <f t="shared" ca="1" si="48"/>
        <v/>
      </c>
      <c r="W20" s="61">
        <f t="shared" ca="1" si="49"/>
        <v>500000</v>
      </c>
      <c r="X20" s="21">
        <f t="shared" ca="1" si="50"/>
        <v>1.0108999999999999</v>
      </c>
      <c r="Y20" s="12">
        <f>Vorrunde!$AP15</f>
        <v>0</v>
      </c>
      <c r="Z20" s="1">
        <f t="shared" ca="1" si="51"/>
        <v>1.9</v>
      </c>
      <c r="AA20" s="1">
        <f t="shared" ca="1" si="52"/>
        <v>0</v>
      </c>
      <c r="AB20" s="1">
        <f t="shared" ca="1" si="53"/>
        <v>0</v>
      </c>
      <c r="AC20" s="1"/>
      <c r="AD20" s="246">
        <f t="shared" ca="1" si="54"/>
        <v>1</v>
      </c>
      <c r="AE20" s="28">
        <f t="shared" ca="1" si="55"/>
        <v>524000</v>
      </c>
      <c r="AF20" s="1">
        <f t="shared" ca="1" si="56"/>
        <v>1</v>
      </c>
      <c r="AG20" s="1">
        <f t="shared" ca="1" si="57"/>
        <v>1</v>
      </c>
      <c r="AH20" s="249">
        <f t="shared" ca="1" si="58"/>
        <v>1.0101100000000001</v>
      </c>
      <c r="AI20" s="1"/>
    </row>
    <row r="21" spans="2:80" s="2" customFormat="1" x14ac:dyDescent="0.2">
      <c r="C21" s="2" t="str">
        <f t="shared" si="59"/>
        <v>VFB Essenheim</v>
      </c>
      <c r="D21" s="1">
        <f t="shared" ca="1" si="34"/>
        <v>4</v>
      </c>
      <c r="E21" s="1">
        <f t="shared" ca="1" si="35"/>
        <v>1</v>
      </c>
      <c r="F21" s="1">
        <f t="shared" ca="1" si="36"/>
        <v>1</v>
      </c>
      <c r="G21" s="1">
        <f t="shared" ca="1" si="37"/>
        <v>2</v>
      </c>
      <c r="H21" s="1">
        <f t="shared" ca="1" si="38"/>
        <v>167</v>
      </c>
      <c r="I21" s="1">
        <f t="shared" ca="1" si="38"/>
        <v>191</v>
      </c>
      <c r="J21" s="12">
        <f t="shared" ca="1" si="38"/>
        <v>-24</v>
      </c>
      <c r="K21" s="1">
        <f t="shared" ca="1" si="38"/>
        <v>3</v>
      </c>
      <c r="L21" s="28">
        <f t="shared" ca="1" si="39"/>
        <v>3476000</v>
      </c>
      <c r="M21" s="13">
        <f t="shared" ca="1" si="40"/>
        <v>1</v>
      </c>
      <c r="N21" s="13">
        <f t="array" aca="1" ref="N21" ca="1">IF($AI$15,SUM(($K$17:$K$25&gt;=K21)/COUNTIF($K$17:$K$25,$K$17:$K$25)),SUM(($L$17:$L$25&gt;=L21)/COUNTIF($L$17:$L$25,$L$17:$L$25)))</f>
        <v>5</v>
      </c>
      <c r="O21" s="5" t="str">
        <f t="shared" ca="1" si="41"/>
        <v/>
      </c>
      <c r="P21" s="3" t="str">
        <f t="shared" ca="1" si="42"/>
        <v/>
      </c>
      <c r="Q21" s="3" t="str">
        <f t="shared" ca="1" si="43"/>
        <v/>
      </c>
      <c r="R21" s="3" t="str">
        <f t="shared" ca="1" si="44"/>
        <v/>
      </c>
      <c r="S21" s="3" t="str">
        <f t="shared" ca="1" si="45"/>
        <v/>
      </c>
      <c r="T21" s="3" t="str">
        <f t="shared" ca="1" si="46"/>
        <v/>
      </c>
      <c r="U21" s="3" t="str">
        <f t="shared" ca="1" si="47"/>
        <v/>
      </c>
      <c r="V21" s="54" t="str">
        <f t="shared" ca="1" si="48"/>
        <v/>
      </c>
      <c r="W21" s="61">
        <f t="shared" ca="1" si="49"/>
        <v>500000</v>
      </c>
      <c r="X21" s="21">
        <f t="shared" ca="1" si="50"/>
        <v>5.0108999999999995</v>
      </c>
      <c r="Y21" s="12">
        <f>Vorrunde!$AP16</f>
        <v>0</v>
      </c>
      <c r="Z21" s="1">
        <f t="shared" ca="1" si="51"/>
        <v>1.9</v>
      </c>
      <c r="AA21" s="1">
        <f t="shared" ca="1" si="52"/>
        <v>0</v>
      </c>
      <c r="AB21" s="1">
        <f t="shared" ca="1" si="53"/>
        <v>0</v>
      </c>
      <c r="AC21" s="1"/>
      <c r="AD21" s="246">
        <f t="shared" ca="1" si="54"/>
        <v>4</v>
      </c>
      <c r="AE21" s="28">
        <f t="shared" ca="1" si="55"/>
        <v>476000</v>
      </c>
      <c r="AF21" s="1">
        <f t="shared" ca="1" si="56"/>
        <v>9</v>
      </c>
      <c r="AG21" s="1">
        <f t="shared" ca="1" si="57"/>
        <v>1</v>
      </c>
      <c r="AH21" s="249">
        <f t="shared" ca="1" si="58"/>
        <v>4.0109099999999991</v>
      </c>
      <c r="AI21" s="1"/>
    </row>
    <row r="22" spans="2:80" s="2" customFormat="1" x14ac:dyDescent="0.2">
      <c r="C22" s="2" t="str">
        <f t="shared" si="59"/>
        <v/>
      </c>
      <c r="D22" s="1">
        <f t="shared" ca="1" si="34"/>
        <v>0</v>
      </c>
      <c r="E22" s="1">
        <f t="shared" ca="1" si="35"/>
        <v>0</v>
      </c>
      <c r="F22" s="1">
        <f t="shared" ca="1" si="36"/>
        <v>0</v>
      </c>
      <c r="G22" s="1">
        <f t="shared" ca="1" si="37"/>
        <v>0</v>
      </c>
      <c r="H22" s="1">
        <f t="shared" ca="1" si="38"/>
        <v>0</v>
      </c>
      <c r="I22" s="1">
        <f t="shared" ca="1" si="38"/>
        <v>0</v>
      </c>
      <c r="J22" s="12">
        <f t="shared" ca="1" si="38"/>
        <v>0</v>
      </c>
      <c r="K22" s="1">
        <f t="shared" ca="1" si="38"/>
        <v>0</v>
      </c>
      <c r="L22" s="28">
        <f t="shared" ca="1" si="39"/>
        <v>500000</v>
      </c>
      <c r="M22" s="13">
        <f t="shared" ca="1" si="40"/>
        <v>4</v>
      </c>
      <c r="N22" s="13">
        <f t="array" aca="1" ref="N22" ca="1">IF($AI$15,SUM(($K$17:$K$25&gt;=K22)/COUNTIF($K$17:$K$25,$K$17:$K$25)),SUM(($L$17:$L$25&gt;=L22)/COUNTIF($L$17:$L$25,$L$17:$L$25)))</f>
        <v>6</v>
      </c>
      <c r="O22" s="5" t="str">
        <f t="shared" ca="1" si="41"/>
        <v/>
      </c>
      <c r="P22" s="3" t="str">
        <f t="shared" ca="1" si="42"/>
        <v/>
      </c>
      <c r="Q22" s="3" t="str">
        <f t="shared" ca="1" si="43"/>
        <v/>
      </c>
      <c r="R22" s="3" t="str">
        <f t="shared" ca="1" si="44"/>
        <v/>
      </c>
      <c r="S22" s="3" t="str">
        <f t="shared" ca="1" si="45"/>
        <v/>
      </c>
      <c r="T22" s="3" t="str">
        <f t="shared" ca="1" si="46"/>
        <v/>
      </c>
      <c r="U22" s="3" t="str">
        <f t="shared" ca="1" si="47"/>
        <v/>
      </c>
      <c r="V22" s="54" t="str">
        <f t="shared" ca="1" si="48"/>
        <v/>
      </c>
      <c r="W22" s="61">
        <f t="shared" ca="1" si="49"/>
        <v>500000</v>
      </c>
      <c r="X22" s="21">
        <f t="shared" ca="1" si="50"/>
        <v>6.0108999999999995</v>
      </c>
      <c r="Y22" s="12">
        <f>Vorrunde!$AP17</f>
        <v>0</v>
      </c>
      <c r="Z22" s="1">
        <f t="shared" ca="1" si="51"/>
        <v>1.9</v>
      </c>
      <c r="AA22" s="1">
        <f t="shared" ca="1" si="52"/>
        <v>0</v>
      </c>
      <c r="AB22" s="1">
        <f t="shared" ca="1" si="53"/>
        <v>0</v>
      </c>
      <c r="AC22" s="1"/>
      <c r="AD22" s="246">
        <f t="shared" ca="1" si="54"/>
        <v>6</v>
      </c>
      <c r="AE22" s="28">
        <f t="shared" ca="1" si="55"/>
        <v>500000</v>
      </c>
      <c r="AF22" s="1">
        <f t="shared" ca="1" si="56"/>
        <v>4</v>
      </c>
      <c r="AG22" s="1">
        <f t="shared" ca="1" si="57"/>
        <v>1</v>
      </c>
      <c r="AH22" s="249">
        <f t="shared" ca="1" si="58"/>
        <v>6.0104099999999994</v>
      </c>
      <c r="AI22" s="1"/>
    </row>
    <row r="23" spans="2:80" s="2" customFormat="1" x14ac:dyDescent="0.2">
      <c r="C23" s="2" t="str">
        <f t="shared" si="59"/>
        <v/>
      </c>
      <c r="D23" s="1">
        <f t="shared" ca="1" si="34"/>
        <v>0</v>
      </c>
      <c r="E23" s="1">
        <f t="shared" ca="1" si="35"/>
        <v>0</v>
      </c>
      <c r="F23" s="1">
        <f t="shared" ca="1" si="36"/>
        <v>0</v>
      </c>
      <c r="G23" s="1">
        <f t="shared" ca="1" si="37"/>
        <v>0</v>
      </c>
      <c r="H23" s="1">
        <f t="shared" ca="1" si="38"/>
        <v>0</v>
      </c>
      <c r="I23" s="1">
        <f t="shared" ca="1" si="38"/>
        <v>0</v>
      </c>
      <c r="J23" s="12">
        <f t="shared" ca="1" si="38"/>
        <v>0</v>
      </c>
      <c r="K23" s="1">
        <f t="shared" ca="1" si="38"/>
        <v>0</v>
      </c>
      <c r="L23" s="28">
        <f t="shared" ca="1" si="39"/>
        <v>500000</v>
      </c>
      <c r="M23" s="13">
        <f t="shared" ca="1" si="40"/>
        <v>4</v>
      </c>
      <c r="N23" s="13">
        <f t="array" aca="1" ref="N23" ca="1">IF($AI$15,SUM(($K$17:$K$25&gt;=K23)/COUNTIF($K$17:$K$25,$K$17:$K$25)),SUM(($L$17:$L$25&gt;=L23)/COUNTIF($L$17:$L$25,$L$17:$L$25)))</f>
        <v>6</v>
      </c>
      <c r="O23" s="5" t="str">
        <f t="shared" ca="1" si="41"/>
        <v/>
      </c>
      <c r="P23" s="3" t="str">
        <f t="shared" ca="1" si="42"/>
        <v/>
      </c>
      <c r="Q23" s="3" t="str">
        <f t="shared" ca="1" si="43"/>
        <v/>
      </c>
      <c r="R23" s="3" t="str">
        <f t="shared" ca="1" si="44"/>
        <v/>
      </c>
      <c r="S23" s="3" t="str">
        <f t="shared" ca="1" si="45"/>
        <v/>
      </c>
      <c r="T23" s="3" t="str">
        <f t="shared" ca="1" si="46"/>
        <v/>
      </c>
      <c r="U23" s="3" t="str">
        <f t="shared" ca="1" si="47"/>
        <v/>
      </c>
      <c r="V23" s="54" t="str">
        <f t="shared" ca="1" si="48"/>
        <v/>
      </c>
      <c r="W23" s="61">
        <f t="shared" ca="1" si="49"/>
        <v>500000</v>
      </c>
      <c r="X23" s="21">
        <f t="shared" ca="1" si="50"/>
        <v>6.0108999999999995</v>
      </c>
      <c r="Y23" s="12">
        <v>0</v>
      </c>
      <c r="Z23" s="1">
        <f t="shared" ca="1" si="51"/>
        <v>1.9</v>
      </c>
      <c r="AA23" s="1">
        <f t="shared" ca="1" si="52"/>
        <v>0</v>
      </c>
      <c r="AB23" s="1">
        <f t="shared" ca="1" si="53"/>
        <v>0</v>
      </c>
      <c r="AC23" s="1"/>
      <c r="AD23" s="246">
        <f t="shared" ca="1" si="54"/>
        <v>6</v>
      </c>
      <c r="AE23" s="28">
        <f t="shared" ca="1" si="55"/>
        <v>500000</v>
      </c>
      <c r="AF23" s="1">
        <f t="shared" ca="1" si="56"/>
        <v>4</v>
      </c>
      <c r="AG23" s="1">
        <f t="shared" ca="1" si="57"/>
        <v>1</v>
      </c>
      <c r="AH23" s="249">
        <f t="shared" ca="1" si="58"/>
        <v>6.0104099999999994</v>
      </c>
      <c r="AI23" s="1"/>
    </row>
    <row r="24" spans="2:80" s="2" customFormat="1" x14ac:dyDescent="0.2">
      <c r="C24" s="2" t="str">
        <f t="shared" si="59"/>
        <v/>
      </c>
      <c r="D24" s="1">
        <f t="shared" ca="1" si="34"/>
        <v>0</v>
      </c>
      <c r="E24" s="1">
        <f t="shared" ca="1" si="35"/>
        <v>0</v>
      </c>
      <c r="F24" s="1">
        <f t="shared" ca="1" si="36"/>
        <v>0</v>
      </c>
      <c r="G24" s="1">
        <f t="shared" ca="1" si="37"/>
        <v>0</v>
      </c>
      <c r="H24" s="1">
        <f t="shared" ca="1" si="38"/>
        <v>0</v>
      </c>
      <c r="I24" s="1">
        <f t="shared" ca="1" si="38"/>
        <v>0</v>
      </c>
      <c r="J24" s="12">
        <f t="shared" ca="1" si="38"/>
        <v>0</v>
      </c>
      <c r="K24" s="1">
        <f t="shared" ca="1" si="38"/>
        <v>0</v>
      </c>
      <c r="L24" s="28">
        <f t="shared" ca="1" si="39"/>
        <v>500000</v>
      </c>
      <c r="M24" s="13">
        <f t="shared" ca="1" si="40"/>
        <v>4</v>
      </c>
      <c r="N24" s="13">
        <f t="array" aca="1" ref="N24" ca="1">IF($AI$15,SUM(($K$17:$K$25&gt;=K24)/COUNTIF($K$17:$K$25,$K$17:$K$25)),SUM(($L$17:$L$25&gt;=L24)/COUNTIF($L$17:$L$25,$L$17:$L$25)))</f>
        <v>6</v>
      </c>
      <c r="O24" s="5" t="str">
        <f t="shared" ca="1" si="41"/>
        <v/>
      </c>
      <c r="P24" s="3" t="str">
        <f t="shared" ca="1" si="42"/>
        <v/>
      </c>
      <c r="Q24" s="3" t="str">
        <f t="shared" ca="1" si="43"/>
        <v/>
      </c>
      <c r="R24" s="3" t="str">
        <f t="shared" ca="1" si="44"/>
        <v/>
      </c>
      <c r="S24" s="3" t="str">
        <f t="shared" ca="1" si="45"/>
        <v/>
      </c>
      <c r="T24" s="3" t="str">
        <f t="shared" ca="1" si="46"/>
        <v/>
      </c>
      <c r="U24" s="3" t="str">
        <f t="shared" ca="1" si="47"/>
        <v/>
      </c>
      <c r="V24" s="54" t="str">
        <f t="shared" ca="1" si="48"/>
        <v/>
      </c>
      <c r="W24" s="61">
        <f t="shared" ca="1" si="49"/>
        <v>500000</v>
      </c>
      <c r="X24" s="21">
        <f t="shared" ca="1" si="50"/>
        <v>6.0108999999999995</v>
      </c>
      <c r="Y24" s="12">
        <v>0</v>
      </c>
      <c r="Z24" s="1">
        <f t="shared" ca="1" si="51"/>
        <v>1.9</v>
      </c>
      <c r="AA24" s="1">
        <f t="shared" ca="1" si="52"/>
        <v>0</v>
      </c>
      <c r="AB24" s="1">
        <f t="shared" ca="1" si="53"/>
        <v>0</v>
      </c>
      <c r="AC24" s="1"/>
      <c r="AD24" s="246">
        <f t="shared" ca="1" si="54"/>
        <v>6</v>
      </c>
      <c r="AE24" s="28">
        <f t="shared" ca="1" si="55"/>
        <v>500000</v>
      </c>
      <c r="AF24" s="1">
        <f t="shared" ca="1" si="56"/>
        <v>4</v>
      </c>
      <c r="AG24" s="1">
        <f t="shared" ca="1" si="57"/>
        <v>1</v>
      </c>
      <c r="AH24" s="249">
        <f t="shared" ca="1" si="58"/>
        <v>6.0104099999999994</v>
      </c>
      <c r="AI24" s="1"/>
    </row>
    <row r="25" spans="2:80" s="2" customFormat="1" ht="12.75" thickBot="1" x14ac:dyDescent="0.25">
      <c r="C25" s="2" t="str">
        <f t="shared" si="59"/>
        <v/>
      </c>
      <c r="D25" s="1">
        <f t="shared" ca="1" si="34"/>
        <v>0</v>
      </c>
      <c r="E25" s="1">
        <f t="shared" ca="1" si="35"/>
        <v>0</v>
      </c>
      <c r="F25" s="1">
        <f t="shared" ca="1" si="36"/>
        <v>0</v>
      </c>
      <c r="G25" s="1">
        <f t="shared" ca="1" si="37"/>
        <v>0</v>
      </c>
      <c r="H25" s="1">
        <f t="shared" ca="1" si="38"/>
        <v>0</v>
      </c>
      <c r="I25" s="1">
        <f t="shared" ca="1" si="38"/>
        <v>0</v>
      </c>
      <c r="J25" s="12">
        <f t="shared" ca="1" si="38"/>
        <v>0</v>
      </c>
      <c r="K25" s="1">
        <f t="shared" ca="1" si="38"/>
        <v>0</v>
      </c>
      <c r="L25" s="28">
        <f t="shared" ca="1" si="39"/>
        <v>500000</v>
      </c>
      <c r="M25" s="13">
        <f t="shared" ca="1" si="40"/>
        <v>4</v>
      </c>
      <c r="N25" s="13">
        <f t="array" aca="1" ref="N25" ca="1">IF($AI$15,SUM(($K$17:$K$25&gt;=K25)/COUNTIF($K$17:$K$25,$K$17:$K$25)),SUM(($L$17:$L$25&gt;=L25)/COUNTIF($L$17:$L$25,$L$17:$L$25)))</f>
        <v>6</v>
      </c>
      <c r="O25" s="55" t="str">
        <f t="shared" ca="1" si="41"/>
        <v/>
      </c>
      <c r="P25" s="56" t="str">
        <f t="shared" ca="1" si="42"/>
        <v/>
      </c>
      <c r="Q25" s="56" t="str">
        <f t="shared" ca="1" si="43"/>
        <v/>
      </c>
      <c r="R25" s="56" t="str">
        <f t="shared" ca="1" si="44"/>
        <v/>
      </c>
      <c r="S25" s="56" t="str">
        <f t="shared" ca="1" si="45"/>
        <v/>
      </c>
      <c r="T25" s="56" t="str">
        <f t="shared" ca="1" si="46"/>
        <v/>
      </c>
      <c r="U25" s="56" t="str">
        <f t="shared" ca="1" si="47"/>
        <v/>
      </c>
      <c r="V25" s="57" t="str">
        <f t="shared" ca="1" si="48"/>
        <v/>
      </c>
      <c r="W25" s="61">
        <f t="shared" ca="1" si="49"/>
        <v>500000</v>
      </c>
      <c r="X25" s="22">
        <f t="shared" ca="1" si="50"/>
        <v>6.0108999999999995</v>
      </c>
      <c r="Y25" s="12">
        <v>0</v>
      </c>
      <c r="Z25" s="1">
        <f t="shared" ca="1" si="51"/>
        <v>1.9</v>
      </c>
      <c r="AA25" s="1">
        <f t="shared" ca="1" si="52"/>
        <v>0</v>
      </c>
      <c r="AB25" s="1">
        <f t="shared" ca="1" si="53"/>
        <v>0</v>
      </c>
      <c r="AC25" s="1"/>
      <c r="AD25" s="246">
        <f t="shared" ca="1" si="54"/>
        <v>6</v>
      </c>
      <c r="AE25" s="28">
        <f t="shared" ca="1" si="55"/>
        <v>500000</v>
      </c>
      <c r="AF25" s="1">
        <f t="shared" ca="1" si="56"/>
        <v>4</v>
      </c>
      <c r="AG25" s="1">
        <f t="shared" ca="1" si="57"/>
        <v>1</v>
      </c>
      <c r="AH25" s="250">
        <f t="shared" ca="1" si="58"/>
        <v>6.0104099999999994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937">
        <v>1</v>
      </c>
      <c r="F29" s="934"/>
      <c r="G29" s="934"/>
      <c r="H29" s="934"/>
      <c r="I29" s="934"/>
      <c r="J29" s="934"/>
      <c r="K29" s="934"/>
      <c r="L29" s="936"/>
      <c r="M29" s="933">
        <v>2</v>
      </c>
      <c r="N29" s="934"/>
      <c r="O29" s="934"/>
      <c r="P29" s="934"/>
      <c r="Q29" s="934"/>
      <c r="R29" s="934"/>
      <c r="S29" s="934"/>
      <c r="T29" s="936"/>
      <c r="U29" s="933">
        <v>3</v>
      </c>
      <c r="V29" s="934"/>
      <c r="W29" s="934"/>
      <c r="X29" s="934"/>
      <c r="Y29" s="934"/>
      <c r="Z29" s="934"/>
      <c r="AA29" s="934"/>
      <c r="AB29" s="936"/>
      <c r="AC29" s="933">
        <v>4</v>
      </c>
      <c r="AD29" s="934"/>
      <c r="AE29" s="934"/>
      <c r="AF29" s="934"/>
      <c r="AG29" s="934"/>
      <c r="AH29" s="934"/>
      <c r="AI29" s="934"/>
      <c r="AJ29" s="936"/>
      <c r="AK29" s="933">
        <v>5</v>
      </c>
      <c r="AL29" s="934"/>
      <c r="AM29" s="934"/>
      <c r="AN29" s="934"/>
      <c r="AO29" s="934"/>
      <c r="AP29" s="934"/>
      <c r="AQ29" s="934"/>
      <c r="AR29" s="936"/>
      <c r="AS29" s="933">
        <v>6</v>
      </c>
      <c r="AT29" s="934"/>
      <c r="AU29" s="934"/>
      <c r="AV29" s="934"/>
      <c r="AW29" s="934"/>
      <c r="AX29" s="934"/>
      <c r="AY29" s="934"/>
      <c r="AZ29" s="936"/>
      <c r="BA29" s="933">
        <v>7</v>
      </c>
      <c r="BB29" s="934"/>
      <c r="BC29" s="934"/>
      <c r="BD29" s="934"/>
      <c r="BE29" s="934"/>
      <c r="BF29" s="934"/>
      <c r="BG29" s="934"/>
      <c r="BH29" s="936"/>
      <c r="BI29" s="933">
        <v>8</v>
      </c>
      <c r="BJ29" s="934"/>
      <c r="BK29" s="934"/>
      <c r="BL29" s="934"/>
      <c r="BM29" s="934"/>
      <c r="BN29" s="934"/>
      <c r="BO29" s="934"/>
      <c r="BP29" s="935"/>
      <c r="BQ29" s="12"/>
      <c r="BR29" s="4" t="s">
        <v>94</v>
      </c>
      <c r="BS29" s="2" t="str">
        <f>$F$4</f>
        <v>1. FC Riedwald</v>
      </c>
      <c r="BT29" s="2" t="str">
        <f>$F$5</f>
        <v>FC Barcelona</v>
      </c>
      <c r="BU29" s="2" t="str">
        <f>$F$6</f>
        <v>Eintracht Frankfurt</v>
      </c>
      <c r="BV29" s="2" t="str">
        <f>$F$7</f>
        <v>Maibach 1822 eV</v>
      </c>
      <c r="BW29" s="2" t="str">
        <f>$F$8</f>
        <v>VFB Essenheim</v>
      </c>
      <c r="BX29" s="2" t="str">
        <f>$F$9</f>
        <v/>
      </c>
      <c r="BY29" s="2" t="str">
        <f>$F$10</f>
        <v/>
      </c>
      <c r="BZ29" s="2" t="str">
        <f>$F$11</f>
        <v/>
      </c>
      <c r="CA29" s="2" t="str">
        <f>$F$12</f>
        <v/>
      </c>
      <c r="CB29" s="50"/>
    </row>
    <row r="30" spans="2:80" s="2" customFormat="1" x14ac:dyDescent="0.2">
      <c r="C30" s="2" t="str">
        <f>$Q64</f>
        <v>1. FC Riedwald</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si="60">F4</f>
        <v>1. FC Riedwald</v>
      </c>
      <c r="BS30" s="6"/>
      <c r="BT30" s="7">
        <f t="shared" ref="BT30:CA30" ca="1" si="61">SUMIFS($X$64:$X$135,$V$64:$V$135,$BR30,$W$64:$W$135,BT$29)+SUMIFS($Y$64:$Y$135,$W$64:$W$135,$BR30,$V$64:$V$135,BT$29)+SUMIFS($AG$64:$AG$135,$V$64:$V$135,$BR30,$W$64:$W$135,BT$29)+SUMIFS($AH$64:$AH$135,$W$64:$W$135,$BR30,$V$64:$V$135,BT$29)</f>
        <v>50</v>
      </c>
      <c r="BU30" s="7">
        <f t="shared" ca="1" si="61"/>
        <v>42</v>
      </c>
      <c r="BV30" s="7">
        <f t="shared" ca="1" si="61"/>
        <v>41</v>
      </c>
      <c r="BW30" s="7">
        <f t="shared" ca="1" si="61"/>
        <v>44</v>
      </c>
      <c r="BX30" s="7">
        <f t="shared" ca="1" si="61"/>
        <v>0</v>
      </c>
      <c r="BY30" s="7">
        <f t="shared" ca="1" si="61"/>
        <v>0</v>
      </c>
      <c r="BZ30" s="7">
        <f t="shared" ca="1" si="61"/>
        <v>0</v>
      </c>
      <c r="CA30" s="7">
        <f t="shared" ca="1" si="61"/>
        <v>0</v>
      </c>
      <c r="CB30" s="3"/>
    </row>
    <row r="31" spans="2:80" s="2" customFormat="1" x14ac:dyDescent="0.2">
      <c r="C31" s="2" t="str">
        <f t="shared" ref="C31:C38" si="62">$Q65</f>
        <v>FC Barcelona</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si="60"/>
        <v>FC Barcelona</v>
      </c>
      <c r="BS31" s="8">
        <f t="shared" ref="BS31:BS38" ca="1" si="63">SUMIFS($X$64:$X$135,$V$64:$V$135,$BR31,$W$64:$W$135,BS$29)+SUMIFS($Y$64:$Y$135,$W$64:$W$135,$BR31,$V$64:$V$135,BS$29)+SUMIFS($AG$64:$AG$135,$V$64:$V$135,$BR31,$W$64:$W$135,BS$29)+SUMIFS($AH$64:$AH$135,$W$64:$W$135,$BR31,$V$64:$V$135,BS$29)</f>
        <v>37</v>
      </c>
      <c r="BT31" s="6"/>
      <c r="BU31" s="7">
        <f t="shared" ref="BU31:CA31" ca="1" si="64">SUMIFS($X$64:$X$135,$V$64:$V$135,$BR31,$W$64:$W$135,BU$29)+SUMIFS($Y$64:$Y$135,$W$64:$W$135,$BR31,$V$64:$V$135,BU$29)+SUMIFS($AG$64:$AG$135,$V$64:$V$135,$BR31,$W$64:$W$135,BU$29)+SUMIFS($AH$64:$AH$135,$W$64:$W$135,$BR31,$V$64:$V$135,BU$29)</f>
        <v>48</v>
      </c>
      <c r="BV31" s="7">
        <f t="shared" ca="1" si="64"/>
        <v>29</v>
      </c>
      <c r="BW31" s="7">
        <f t="shared" ca="1" si="64"/>
        <v>50</v>
      </c>
      <c r="BX31" s="7">
        <f t="shared" ca="1" si="64"/>
        <v>0</v>
      </c>
      <c r="BY31" s="7">
        <f t="shared" ca="1" si="64"/>
        <v>0</v>
      </c>
      <c r="BZ31" s="7">
        <f t="shared" ca="1" si="64"/>
        <v>0</v>
      </c>
      <c r="CA31" s="7">
        <f t="shared" ca="1" si="64"/>
        <v>0</v>
      </c>
      <c r="CB31" s="3"/>
    </row>
    <row r="32" spans="2:80" s="2" customFormat="1" x14ac:dyDescent="0.2">
      <c r="C32" s="2" t="str">
        <f t="shared" si="62"/>
        <v>Eintracht Frankfurt</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si="60"/>
        <v>Eintracht Frankfurt</v>
      </c>
      <c r="BS32" s="8">
        <f t="shared" ca="1" si="63"/>
        <v>46</v>
      </c>
      <c r="BT32" s="8">
        <f t="shared" ref="BT32:BT38" ca="1" si="65">SUMIFS($X$64:$X$135,$V$64:$V$135,$BR32,$W$64:$W$135,BT$29)+SUMIFS($Y$64:$Y$135,$W$64:$W$135,$BR32,$V$64:$V$135,BT$29)+SUMIFS($AG$64:$AG$135,$V$64:$V$135,$BR32,$W$64:$W$135,BT$29)+SUMIFS($AH$64:$AH$135,$W$64:$W$135,$BR32,$V$64:$V$135,BT$29)</f>
        <v>48</v>
      </c>
      <c r="BU32" s="6"/>
      <c r="BV32" s="7">
        <f t="shared" ref="BV32:CA32" ca="1" si="66">SUMIFS($X$64:$X$135,$V$64:$V$135,$BR32,$W$64:$W$135,BV$29)+SUMIFS($Y$64:$Y$135,$W$64:$W$135,$BR32,$V$64:$V$135,BV$29)+SUMIFS($AG$64:$AG$135,$V$64:$V$135,$BR32,$W$64:$W$135,BV$29)+SUMIFS($AH$64:$AH$135,$W$64:$W$135,$BR32,$V$64:$V$135,BV$29)</f>
        <v>50</v>
      </c>
      <c r="BW32" s="7">
        <f t="shared" ca="1" si="66"/>
        <v>47</v>
      </c>
      <c r="BX32" s="7">
        <f t="shared" ca="1" si="66"/>
        <v>0</v>
      </c>
      <c r="BY32" s="7">
        <f t="shared" ca="1" si="66"/>
        <v>0</v>
      </c>
      <c r="BZ32" s="7">
        <f t="shared" ca="1" si="66"/>
        <v>0</v>
      </c>
      <c r="CA32" s="7">
        <f t="shared" ca="1" si="66"/>
        <v>0</v>
      </c>
      <c r="CB32" s="3"/>
    </row>
    <row r="33" spans="2:80" s="2" customFormat="1" x14ac:dyDescent="0.2">
      <c r="C33" s="2" t="str">
        <f t="shared" si="62"/>
        <v>Maibach 1822 eV</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60"/>
        <v>Maibach 1822 eV</v>
      </c>
      <c r="BS33" s="8">
        <f t="shared" ca="1" si="63"/>
        <v>43</v>
      </c>
      <c r="BT33" s="8">
        <f t="shared" ca="1" si="65"/>
        <v>50</v>
      </c>
      <c r="BU33" s="8">
        <f t="shared" ref="BU33:BU38" ca="1" si="67">SUMIFS($X$64:$X$135,$V$64:$V$135,$BR33,$W$64:$W$135,BU$29)+SUMIFS($Y$64:$Y$135,$W$64:$W$135,$BR33,$V$64:$V$135,BU$29)+SUMIFS($AG$64:$AG$135,$V$64:$V$135,$BR33,$W$64:$W$135,BU$29)+SUMIFS($AH$64:$AH$135,$W$64:$W$135,$BR33,$V$64:$V$135,BU$29)</f>
        <v>40</v>
      </c>
      <c r="BV33" s="6"/>
      <c r="BW33" s="7">
        <f ca="1">SUMIFS($X$64:$X$135,$V$64:$V$135,$BR33,$W$64:$W$135,BW$29)+SUMIFS($Y$64:$Y$135,$W$64:$W$135,$BR33,$V$64:$V$135,BW$29)+SUMIFS($AG$64:$AG$135,$V$64:$V$135,$BR33,$W$64:$W$135,BW$29)+SUMIFS($AH$64:$AH$135,$W$64:$W$135,$BR33,$V$64:$V$135,BW$29)</f>
        <v>50</v>
      </c>
      <c r="BX33" s="7">
        <f ca="1">SUMIFS($X$64:$X$135,$V$64:$V$135,$BR33,$W$64:$W$135,BX$29)+SUMIFS($Y$64:$Y$135,$W$64:$W$135,$BR33,$V$64:$V$135,BX$29)+SUMIFS($AG$64:$AG$135,$V$64:$V$135,$BR33,$W$64:$W$135,BX$29)+SUMIFS($AH$64:$AH$135,$W$64:$W$135,$BR33,$V$64:$V$135,BX$29)</f>
        <v>0</v>
      </c>
      <c r="BY33" s="7">
        <f ca="1">SUMIFS($X$64:$X$135,$V$64:$V$135,$BR33,$W$64:$W$135,BY$29)+SUMIFS($Y$64:$Y$135,$W$64:$W$135,$BR33,$V$64:$V$135,BY$29)+SUMIFS($AG$64:$AG$135,$V$64:$V$135,$BR33,$W$64:$W$135,BY$29)+SUMIFS($AH$64:$AH$135,$W$64:$W$135,$BR33,$V$64:$V$135,BY$29)</f>
        <v>0</v>
      </c>
      <c r="BZ33" s="7">
        <f ca="1">SUMIFS($X$64:$X$135,$V$64:$V$135,$BR33,$W$64:$W$135,BZ$29)+SUMIFS($Y$64:$Y$135,$W$64:$W$135,$BR33,$V$64:$V$135,BZ$29)+SUMIFS($AG$64:$AG$135,$V$64:$V$135,$BR33,$W$64:$W$135,BZ$29)+SUMIFS($AH$64:$AH$135,$W$64:$W$135,$BR33,$V$64:$V$135,BZ$29)</f>
        <v>0</v>
      </c>
      <c r="CA33" s="7">
        <f ca="1">SUMIFS($X$64:$X$135,$V$64:$V$135,$BR33,$W$64:$W$135,CA$29)+SUMIFS($Y$64:$Y$135,$W$64:$W$135,$BR33,$V$64:$V$135,CA$29)+SUMIFS($AG$64:$AG$135,$V$64:$V$135,$BR33,$W$64:$W$135,CA$29)+SUMIFS($AH$64:$AH$135,$W$64:$W$135,$BR33,$V$64:$V$135,CA$29)</f>
        <v>0</v>
      </c>
      <c r="CB33" s="3"/>
    </row>
    <row r="34" spans="2:80" s="2" customFormat="1" x14ac:dyDescent="0.2">
      <c r="C34" s="2" t="str">
        <f t="shared" si="62"/>
        <v>VFB Essenheim</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60"/>
        <v>VFB Essenheim</v>
      </c>
      <c r="BS34" s="8">
        <f t="shared" ca="1" si="63"/>
        <v>50</v>
      </c>
      <c r="BT34" s="8">
        <f t="shared" ca="1" si="65"/>
        <v>33</v>
      </c>
      <c r="BU34" s="8">
        <f t="shared" ca="1" si="67"/>
        <v>45</v>
      </c>
      <c r="BV34" s="8">
        <f ca="1">SUMIFS($X$64:$X$135,$V$64:$V$135,$BR34,$W$64:$W$135,BV$29)+SUMIFS($Y$64:$Y$135,$W$64:$W$135,$BR34,$V$64:$V$135,BV$29)+SUMIFS($AG$64:$AG$135,$V$64:$V$135,$BR34,$W$64:$W$135,BV$29)+SUMIFS($AH$64:$AH$135,$W$64:$W$135,$BR34,$V$64:$V$135,BV$29)</f>
        <v>39</v>
      </c>
      <c r="BW34" s="6"/>
      <c r="BX34" s="7">
        <f ca="1">SUMIFS($X$64:$X$135,$V$64:$V$135,$BR34,$W$64:$W$135,BX$29)+SUMIFS($Y$64:$Y$135,$W$64:$W$135,$BR34,$V$64:$V$135,BX$29)+SUMIFS($AG$64:$AG$135,$V$64:$V$135,$BR34,$W$64:$W$135,BX$29)+SUMIFS($AH$64:$AH$135,$W$64:$W$135,$BR34,$V$64:$V$135,BX$29)</f>
        <v>0</v>
      </c>
      <c r="BY34" s="7">
        <f ca="1">SUMIFS($X$64:$X$135,$V$64:$V$135,$BR34,$W$64:$W$135,BY$29)+SUMIFS($Y$64:$Y$135,$W$64:$W$135,$BR34,$V$64:$V$135,BY$29)+SUMIFS($AG$64:$AG$135,$V$64:$V$135,$BR34,$W$64:$W$135,BY$29)+SUMIFS($AH$64:$AH$135,$W$64:$W$135,$BR34,$V$64:$V$135,BY$29)</f>
        <v>0</v>
      </c>
      <c r="BZ34" s="7">
        <f ca="1">SUMIFS($X$64:$X$135,$V$64:$V$135,$BR34,$W$64:$W$135,BZ$29)+SUMIFS($Y$64:$Y$135,$W$64:$W$135,$BR34,$V$64:$V$135,BZ$29)+SUMIFS($AG$64:$AG$135,$V$64:$V$135,$BR34,$W$64:$W$135,BZ$29)+SUMIFS($AH$64:$AH$135,$W$64:$W$135,$BR34,$V$64:$V$135,BZ$29)</f>
        <v>0</v>
      </c>
      <c r="CA34" s="7">
        <f ca="1">SUMIFS($X$64:$X$135,$V$64:$V$135,$BR34,$W$64:$W$135,CA$29)+SUMIFS($Y$64:$Y$135,$W$64:$W$135,$BR34,$V$64:$V$135,CA$29)+SUMIFS($AG$64:$AG$135,$V$64:$V$135,$BR34,$W$64:$W$135,CA$29)+SUMIFS($AH$64:$AH$135,$W$64:$W$135,$BR34,$V$64:$V$135,CA$29)</f>
        <v>0</v>
      </c>
      <c r="CB34" s="3"/>
    </row>
    <row r="35" spans="2:80" s="2" customFormat="1" x14ac:dyDescent="0.2">
      <c r="C35" s="2" t="str">
        <f t="shared" si="62"/>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60"/>
        <v/>
      </c>
      <c r="BS35" s="8">
        <f t="shared" ca="1" si="63"/>
        <v>0</v>
      </c>
      <c r="BT35" s="8">
        <f t="shared" ca="1" si="65"/>
        <v>0</v>
      </c>
      <c r="BU35" s="8">
        <f t="shared" ca="1" si="67"/>
        <v>0</v>
      </c>
      <c r="BV35" s="8">
        <f ca="1">SUMIFS($X$64:$X$135,$V$64:$V$135,$BR35,$W$64:$W$135,BV$29)+SUMIFS($Y$64:$Y$135,$W$64:$W$135,$BR35,$V$64:$V$135,BV$29)+SUMIFS($AG$64:$AG$135,$V$64:$V$135,$BR35,$W$64:$W$135,BV$29)+SUMIFS($AH$64:$AH$135,$W$64:$W$135,$BR35,$V$64:$V$135,BV$29)</f>
        <v>0</v>
      </c>
      <c r="BW35" s="8">
        <f ca="1">SUMIFS($X$64:$X$135,$V$64:$V$135,$BR35,$W$64:$W$135,BW$29)+SUMIFS($Y$64:$Y$135,$W$64:$W$135,$BR35,$V$64:$V$135,BW$29)+SUMIFS($AG$64:$AG$135,$V$64:$V$135,$BR35,$W$64:$W$135,BW$29)+SUMIFS($AH$64:$AH$135,$W$64:$W$135,$BR35,$V$64:$V$135,BW$29)</f>
        <v>0</v>
      </c>
      <c r="BX35" s="6"/>
      <c r="BY35" s="7">
        <f ca="1">SUMIFS($X$64:$X$135,$V$64:$V$135,$BR35,$W$64:$W$135,BY$29)+SUMIFS($Y$64:$Y$135,$W$64:$W$135,$BR35,$V$64:$V$135,BY$29)+SUMIFS($AG$64:$AG$135,$V$64:$V$135,$BR35,$W$64:$W$135,BY$29)+SUMIFS($AH$64:$AH$135,$W$64:$W$135,$BR35,$V$64:$V$135,BY$29)</f>
        <v>0</v>
      </c>
      <c r="BZ35" s="7">
        <f ca="1">SUMIFS($X$64:$X$135,$V$64:$V$135,$BR35,$W$64:$W$135,BZ$29)+SUMIFS($Y$64:$Y$135,$W$64:$W$135,$BR35,$V$64:$V$135,BZ$29)+SUMIFS($AG$64:$AG$135,$V$64:$V$135,$BR35,$W$64:$W$135,BZ$29)+SUMIFS($AH$64:$AH$135,$W$64:$W$135,$BR35,$V$64:$V$135,BZ$29)</f>
        <v>0</v>
      </c>
      <c r="CA35" s="7">
        <f ca="1">SUMIFS($X$64:$X$135,$V$64:$V$135,$BR35,$W$64:$W$135,CA$29)+SUMIFS($Y$64:$Y$135,$W$64:$W$135,$BR35,$V$64:$V$135,CA$29)+SUMIFS($AG$64:$AG$135,$V$64:$V$135,$BR35,$W$64:$W$135,CA$29)+SUMIFS($AH$64:$AH$135,$W$64:$W$135,$BR35,$V$64:$V$135,CA$29)</f>
        <v>0</v>
      </c>
      <c r="CB35" s="3"/>
    </row>
    <row r="36" spans="2:80" s="2" customFormat="1" x14ac:dyDescent="0.2">
      <c r="C36" s="2" t="str">
        <f t="shared" si="62"/>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60"/>
        <v/>
      </c>
      <c r="BS36" s="8">
        <f t="shared" ca="1" si="63"/>
        <v>0</v>
      </c>
      <c r="BT36" s="8">
        <f t="shared" ca="1" si="65"/>
        <v>0</v>
      </c>
      <c r="BU36" s="8">
        <f t="shared" ca="1" si="67"/>
        <v>0</v>
      </c>
      <c r="BV36" s="8">
        <f ca="1">SUMIFS($X$64:$X$135,$V$64:$V$135,$BR36,$W$64:$W$135,BV$29)+SUMIFS($Y$64:$Y$135,$W$64:$W$135,$BR36,$V$64:$V$135,BV$29)+SUMIFS($AG$64:$AG$135,$V$64:$V$135,$BR36,$W$64:$W$135,BV$29)+SUMIFS($AH$64:$AH$135,$W$64:$W$135,$BR36,$V$64:$V$135,BV$29)</f>
        <v>0</v>
      </c>
      <c r="BW36" s="8">
        <f ca="1">SUMIFS($X$64:$X$135,$V$64:$V$135,$BR36,$W$64:$W$135,BW$29)+SUMIFS($Y$64:$Y$135,$W$64:$W$135,$BR36,$V$64:$V$135,BW$29)+SUMIFS($AG$64:$AG$135,$V$64:$V$135,$BR36,$W$64:$W$135,BW$29)+SUMIFS($AH$64:$AH$135,$W$64:$W$135,$BR36,$V$64:$V$135,BW$29)</f>
        <v>0</v>
      </c>
      <c r="BX36" s="8">
        <f ca="1">SUMIFS($X$64:$X$135,$V$64:$V$135,$BR36,$W$64:$W$135,BX$29)+SUMIFS($Y$64:$Y$135,$W$64:$W$135,$BR36,$V$64:$V$135,BX$29)+SUMIFS($AG$64:$AG$135,$V$64:$V$135,$BR36,$W$64:$W$135,BX$29)+SUMIFS($AH$64:$AH$135,$W$64:$W$135,$BR36,$V$64:$V$135,BX$29)</f>
        <v>0</v>
      </c>
      <c r="BY36" s="6"/>
      <c r="BZ36" s="7">
        <f ca="1">SUMIFS($X$64:$X$135,$V$64:$V$135,$BR36,$W$64:$W$135,BZ$29)+SUMIFS($Y$64:$Y$135,$W$64:$W$135,$BR36,$V$64:$V$135,BZ$29)+SUMIFS($AG$64:$AG$135,$V$64:$V$135,$BR36,$W$64:$W$135,BZ$29)+SUMIFS($AH$64:$AH$135,$W$64:$W$135,$BR36,$V$64:$V$135,BZ$29)</f>
        <v>0</v>
      </c>
      <c r="CA36" s="7">
        <f ca="1">SUMIFS($X$64:$X$135,$V$64:$V$135,$BR36,$W$64:$W$135,CA$29)+SUMIFS($Y$64:$Y$135,$W$64:$W$135,$BR36,$V$64:$V$135,CA$29)+SUMIFS($AG$64:$AG$135,$V$64:$V$135,$BR36,$W$64:$W$135,CA$29)+SUMIFS($AH$64:$AH$135,$W$64:$W$135,$BR36,$V$64:$V$135,CA$29)</f>
        <v>0</v>
      </c>
      <c r="CB36" s="3"/>
    </row>
    <row r="37" spans="2:80" s="2" customFormat="1" x14ac:dyDescent="0.2">
      <c r="C37" s="2" t="str">
        <f t="shared" si="62"/>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60"/>
        <v/>
      </c>
      <c r="BS37" s="8">
        <f t="shared" ca="1" si="63"/>
        <v>0</v>
      </c>
      <c r="BT37" s="8">
        <f t="shared" ca="1" si="65"/>
        <v>0</v>
      </c>
      <c r="BU37" s="8">
        <f t="shared" ca="1" si="67"/>
        <v>0</v>
      </c>
      <c r="BV37" s="8">
        <f ca="1">SUMIFS($X$64:$X$135,$V$64:$V$135,$BR37,$W$64:$W$135,BV$29)+SUMIFS($Y$64:$Y$135,$W$64:$W$135,$BR37,$V$64:$V$135,BV$29)+SUMIFS($AG$64:$AG$135,$V$64:$V$135,$BR37,$W$64:$W$135,BV$29)+SUMIFS($AH$64:$AH$135,$W$64:$W$135,$BR37,$V$64:$V$135,BV$29)</f>
        <v>0</v>
      </c>
      <c r="BW37" s="8">
        <f ca="1">SUMIFS($X$64:$X$135,$V$64:$V$135,$BR37,$W$64:$W$135,BW$29)+SUMIFS($Y$64:$Y$135,$W$64:$W$135,$BR37,$V$64:$V$135,BW$29)+SUMIFS($AG$64:$AG$135,$V$64:$V$135,$BR37,$W$64:$W$135,BW$29)+SUMIFS($AH$64:$AH$135,$W$64:$W$135,$BR37,$V$64:$V$135,BW$29)</f>
        <v>0</v>
      </c>
      <c r="BX37" s="8">
        <f ca="1">SUMIFS($X$64:$X$135,$V$64:$V$135,$BR37,$W$64:$W$135,BX$29)+SUMIFS($Y$64:$Y$135,$W$64:$W$135,$BR37,$V$64:$V$135,BX$29)+SUMIFS($AG$64:$AG$135,$V$64:$V$135,$BR37,$W$64:$W$135,BX$29)+SUMIFS($AH$64:$AH$135,$W$64:$W$135,$BR37,$V$64:$V$135,BX$29)</f>
        <v>0</v>
      </c>
      <c r="BY37" s="8">
        <f ca="1">SUMIFS($X$64:$X$135,$V$64:$V$135,$BR37,$W$64:$W$135,BY$29)+SUMIFS($Y$64:$Y$135,$W$64:$W$135,$BR37,$V$64:$V$135,BY$29)+SUMIFS($AG$64:$AG$135,$V$64:$V$135,$BR37,$W$64:$W$135,BY$29)+SUMIFS($AH$64:$AH$135,$W$64:$W$135,$BR37,$V$64:$V$135,BY$29)</f>
        <v>0</v>
      </c>
      <c r="BZ37" s="6"/>
      <c r="CA37" s="7">
        <f ca="1">SUMIFS($X$64:$X$135,$V$64:$V$135,$BR37,$W$64:$W$135,CA$29)+SUMIFS($Y$64:$Y$135,$W$64:$W$135,$BR37,$V$64:$V$135,CA$29)+SUMIFS($AG$64:$AG$135,$V$64:$V$135,$BR37,$W$64:$W$135,CA$29)+SUMIFS($AH$64:$AH$135,$W$64:$W$135,$BR37,$V$64:$V$135,CA$29)</f>
        <v>0</v>
      </c>
      <c r="CB37" s="3"/>
    </row>
    <row r="38" spans="2:80" s="2" customFormat="1" x14ac:dyDescent="0.2">
      <c r="C38" s="2" t="str">
        <f t="shared" si="62"/>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60"/>
        <v/>
      </c>
      <c r="BS38" s="8">
        <f t="shared" ca="1" si="63"/>
        <v>0</v>
      </c>
      <c r="BT38" s="8">
        <f t="shared" ca="1" si="65"/>
        <v>0</v>
      </c>
      <c r="BU38" s="8">
        <f t="shared" ca="1" si="67"/>
        <v>0</v>
      </c>
      <c r="BV38" s="8">
        <f ca="1">SUMIFS($X$64:$X$135,$V$64:$V$135,$BR38,$W$64:$W$135,BV$29)+SUMIFS($Y$64:$Y$135,$W$64:$W$135,$BR38,$V$64:$V$135,BV$29)+SUMIFS($AG$64:$AG$135,$V$64:$V$135,$BR38,$W$64:$W$135,BV$29)+SUMIFS($AH$64:$AH$135,$W$64:$W$135,$BR38,$V$64:$V$135,BV$29)</f>
        <v>0</v>
      </c>
      <c r="BW38" s="8">
        <f ca="1">SUMIFS($X$64:$X$135,$V$64:$V$135,$BR38,$W$64:$W$135,BW$29)+SUMIFS($Y$64:$Y$135,$W$64:$W$135,$BR38,$V$64:$V$135,BW$29)+SUMIFS($AG$64:$AG$135,$V$64:$V$135,$BR38,$W$64:$W$135,BW$29)+SUMIFS($AH$64:$AH$135,$W$64:$W$135,$BR38,$V$64:$V$135,BW$29)</f>
        <v>0</v>
      </c>
      <c r="BX38" s="8">
        <f ca="1">SUMIFS($X$64:$X$135,$V$64:$V$135,$BR38,$W$64:$W$135,BX$29)+SUMIFS($Y$64:$Y$135,$W$64:$W$135,$BR38,$V$64:$V$135,BX$29)+SUMIFS($AG$64:$AG$135,$V$64:$V$135,$BR38,$W$64:$W$135,BX$29)+SUMIFS($AH$64:$AH$135,$W$64:$W$135,$BR38,$V$64:$V$135,BX$29)</f>
        <v>0</v>
      </c>
      <c r="BY38" s="8">
        <f ca="1">SUMIFS($X$64:$X$135,$V$64:$V$135,$BR38,$W$64:$W$135,BY$29)+SUMIFS($Y$64:$Y$135,$W$64:$W$135,$BR38,$V$64:$V$135,BY$29)+SUMIFS($AG$64:$AG$135,$V$64:$V$135,$BR38,$W$64:$W$135,BY$29)+SUMIFS($AH$64:$AH$135,$W$64:$W$135,$BR38,$V$64:$V$135,BY$29)</f>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101</v>
      </c>
      <c r="BS40" s="2" t="str">
        <f>$F$4</f>
        <v>1. FC Riedwald</v>
      </c>
      <c r="BT40" s="2" t="str">
        <f>$F$5</f>
        <v>FC Barcelona</v>
      </c>
      <c r="BU40" s="2" t="str">
        <f>$F$6</f>
        <v>Eintracht Frankfurt</v>
      </c>
      <c r="BV40" s="2" t="str">
        <f>$F$7</f>
        <v>Maibach 1822 eV</v>
      </c>
      <c r="BW40" s="2" t="str">
        <f>$F$8</f>
        <v>VFB Essenheim</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si="68">F4</f>
        <v>1. FC Riedwald</v>
      </c>
      <c r="BS41" s="6"/>
      <c r="BT41" s="7">
        <f ca="1">BT30-BS31</f>
        <v>13</v>
      </c>
      <c r="BU41" s="7">
        <f ca="1">BU30-BS32</f>
        <v>-4</v>
      </c>
      <c r="BV41" s="7">
        <f ca="1">BV30-BS33</f>
        <v>-2</v>
      </c>
      <c r="BW41" s="7">
        <f ca="1">BW30-BS34</f>
        <v>-6</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si="68"/>
        <v>FC Barcelona</v>
      </c>
      <c r="BS42" s="8">
        <f ca="1">IF(BT41="","",-1*BT41)</f>
        <v>-13</v>
      </c>
      <c r="BT42" s="6"/>
      <c r="BU42" s="7">
        <f ca="1">BU31-BT32</f>
        <v>0</v>
      </c>
      <c r="BV42" s="7">
        <f ca="1">BV31-BT33</f>
        <v>-21</v>
      </c>
      <c r="BW42" s="7">
        <f ca="1">BW31-BT34</f>
        <v>17</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si="68"/>
        <v>Eintracht Frankfurt</v>
      </c>
      <c r="BS43" s="8">
        <f ca="1">IF(BU41="","",-1*BU41)</f>
        <v>4</v>
      </c>
      <c r="BT43" s="8">
        <f ca="1">IF(BU42="","",-1*BU42)</f>
        <v>0</v>
      </c>
      <c r="BU43" s="6"/>
      <c r="BV43" s="7">
        <f ca="1">BV32-BU33</f>
        <v>10</v>
      </c>
      <c r="BW43" s="7">
        <f ca="1">BW32-BU34</f>
        <v>2</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68"/>
        <v>Maibach 1822 eV</v>
      </c>
      <c r="BS44" s="8">
        <f ca="1">IF(BV41="","",-1*BV41)</f>
        <v>2</v>
      </c>
      <c r="BT44" s="8">
        <f ca="1">IF(BV42="","",-1*BV42)</f>
        <v>21</v>
      </c>
      <c r="BU44" s="8">
        <f ca="1">IF(BV43="","",-1*BV43)</f>
        <v>-10</v>
      </c>
      <c r="BV44" s="6"/>
      <c r="BW44" s="7">
        <f ca="1">BW33-BV34</f>
        <v>11</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68"/>
        <v>VFB Essenheim</v>
      </c>
      <c r="BS45" s="8">
        <f ca="1">IF(BW41="","",-1*BW41)</f>
        <v>6</v>
      </c>
      <c r="BT45" s="8">
        <f ca="1">IF(BW42="","",-1*BW42)</f>
        <v>-17</v>
      </c>
      <c r="BU45" s="8">
        <f ca="1">IF(BW43="","",-1*BW43)</f>
        <v>-2</v>
      </c>
      <c r="BV45" s="8">
        <f ca="1">IF(BW44="","",-1*BW44)</f>
        <v>-11</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6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6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6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68"/>
        <v/>
      </c>
      <c r="BS49" s="8">
        <f ca="1">IF(CA41="","",-1*CA41)</f>
        <v>0</v>
      </c>
      <c r="BT49" s="8">
        <f ca="1">IF(CA42="","",-1*CA42)</f>
        <v>0</v>
      </c>
      <c r="BU49" s="8">
        <f ca="1">IF(CA43="","",-1*CA43)</f>
        <v>0</v>
      </c>
      <c r="BV49" s="8">
        <f ca="1">IF(CA44="","",-1*CA44)</f>
        <v>0</v>
      </c>
      <c r="BW49" s="8">
        <f ca="1">IF(CA45="","",-1*CA45)</f>
        <v>0</v>
      </c>
      <c r="BX49" s="8">
        <f ca="1">IF(CA46="","",-1*CA46)</f>
        <v>0</v>
      </c>
      <c r="BY49" s="8">
        <f ca="1">IF(CA47="","",-1*CA47)</f>
        <v>0</v>
      </c>
      <c r="BZ49" s="8">
        <f ca="1">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$F$4</f>
        <v>1. FC Riedwald</v>
      </c>
      <c r="BT51" s="2" t="str">
        <f>$F$5</f>
        <v>FC Barcelona</v>
      </c>
      <c r="BU51" s="2" t="str">
        <f>$F$6</f>
        <v>Eintracht Frankfurt</v>
      </c>
      <c r="BV51" s="2" t="str">
        <f>$F$7</f>
        <v>Maibach 1822 eV</v>
      </c>
      <c r="BW51" s="2" t="str">
        <f>$F$8</f>
        <v>VFB Essenheim</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si="69">F4</f>
        <v>1. FC Riedwald</v>
      </c>
      <c r="BS52" s="6"/>
      <c r="BT52" s="7">
        <f t="shared" ref="BT52:CA52" ca="1" si="70">SUMIFS($AE$64:$AE$135,$V$64:$V$135,$BR52,$W$64:$W$135,BT$51)+SUMIFS($AF$64:$AF$135,$W$64:$W$135,$BR52,$V$64:$V$135,BT$51)</f>
        <v>2</v>
      </c>
      <c r="BU52" s="7">
        <f t="shared" ca="1" si="70"/>
        <v>1</v>
      </c>
      <c r="BV52" s="7">
        <f t="shared" ca="1" si="70"/>
        <v>1</v>
      </c>
      <c r="BW52" s="7">
        <f t="shared" ca="1" si="70"/>
        <v>0</v>
      </c>
      <c r="BX52" s="7">
        <f t="shared" ca="1" si="70"/>
        <v>0</v>
      </c>
      <c r="BY52" s="7">
        <f t="shared" ca="1" si="70"/>
        <v>0</v>
      </c>
      <c r="BZ52" s="7">
        <f t="shared" ca="1" si="70"/>
        <v>0</v>
      </c>
      <c r="CA52" s="7">
        <f t="shared" ca="1" si="70"/>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si="69"/>
        <v>FC Barcelona</v>
      </c>
      <c r="BS53" s="8">
        <f t="shared" ref="BS53:BS60" ca="1" si="71">SUMIFS($AE$64:$AE$135,$V$64:$V$135,$BR53,$W$64:$W$135,BS$51)+SUMIFS($AF$64:$AF$135,$W$64:$W$135,$BR53,$V$64:$V$135,BS$51)</f>
        <v>0</v>
      </c>
      <c r="BT53" s="6"/>
      <c r="BU53" s="7">
        <f t="shared" ref="BU53:CA53" ca="1" si="72">SUMIFS($AE$64:$AE$135,$V$64:$V$135,$BR53,$W$64:$W$135,BU$51)+SUMIFS($AF$64:$AF$135,$W$64:$W$135,$BR53,$V$64:$V$135,BU$51)</f>
        <v>1</v>
      </c>
      <c r="BV53" s="7">
        <f t="shared" ca="1" si="72"/>
        <v>0</v>
      </c>
      <c r="BW53" s="7">
        <f t="shared" ca="1" si="72"/>
        <v>2</v>
      </c>
      <c r="BX53" s="7">
        <f t="shared" ca="1" si="72"/>
        <v>0</v>
      </c>
      <c r="BY53" s="7">
        <f t="shared" ca="1" si="72"/>
        <v>0</v>
      </c>
      <c r="BZ53" s="7">
        <f t="shared" ca="1" si="72"/>
        <v>0</v>
      </c>
      <c r="CA53" s="7">
        <f t="shared" ca="1" si="72"/>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si="69"/>
        <v>Eintracht Frankfurt</v>
      </c>
      <c r="BS54" s="8">
        <f t="shared" ca="1" si="71"/>
        <v>1</v>
      </c>
      <c r="BT54" s="8">
        <f t="shared" ref="BT54:BT60" ca="1" si="73">SUMIFS($AE$64:$AE$135,$V$64:$V$135,$BR54,$W$64:$W$135,BT$51)+SUMIFS($AF$64:$AF$135,$W$64:$W$135,$BR54,$V$64:$V$135,BT$51)</f>
        <v>1</v>
      </c>
      <c r="BU54" s="6"/>
      <c r="BV54" s="7">
        <f t="shared" ref="BV54:CA54" ca="1" si="74">SUMIFS($AE$64:$AE$135,$V$64:$V$135,$BR54,$W$64:$W$135,BV$51)+SUMIFS($AF$64:$AF$135,$W$64:$W$135,$BR54,$V$64:$V$135,BV$51)</f>
        <v>2</v>
      </c>
      <c r="BW54" s="7">
        <f t="shared" ca="1" si="74"/>
        <v>1</v>
      </c>
      <c r="BX54" s="7">
        <f t="shared" ca="1" si="74"/>
        <v>0</v>
      </c>
      <c r="BY54" s="7">
        <f t="shared" ca="1" si="74"/>
        <v>0</v>
      </c>
      <c r="BZ54" s="7">
        <f t="shared" ca="1" si="74"/>
        <v>0</v>
      </c>
      <c r="CA54" s="7">
        <f t="shared" ca="1" si="74"/>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69"/>
        <v>Maibach 1822 eV</v>
      </c>
      <c r="BS55" s="8">
        <f t="shared" ca="1" si="71"/>
        <v>1</v>
      </c>
      <c r="BT55" s="8">
        <f t="shared" ca="1" si="73"/>
        <v>2</v>
      </c>
      <c r="BU55" s="8">
        <f t="shared" ref="BU55:BU60" ca="1" si="75">SUMIFS($AE$64:$AE$135,$V$64:$V$135,$BR55,$W$64:$W$135,BU$51)+SUMIFS($AF$64:$AF$135,$W$64:$W$135,$BR55,$V$64:$V$135,BU$51)</f>
        <v>0</v>
      </c>
      <c r="BV55" s="6"/>
      <c r="BW55" s="7">
        <f ca="1">SUMIFS($AE$64:$AE$135,$V$64:$V$135,$BR55,$W$64:$W$135,BW$51)+SUMIFS($AF$64:$AF$135,$W$64:$W$135,$BR55,$V$64:$V$135,BW$51)</f>
        <v>2</v>
      </c>
      <c r="BX55" s="7">
        <f ca="1">SUMIFS($AE$64:$AE$135,$V$64:$V$135,$BR55,$W$64:$W$135,BX$51)+SUMIFS($AF$64:$AF$135,$W$64:$W$135,$BR55,$V$64:$V$135,BX$51)</f>
        <v>0</v>
      </c>
      <c r="BY55" s="7">
        <f ca="1">SUMIFS($AE$64:$AE$135,$V$64:$V$135,$BR55,$W$64:$W$135,BY$51)+SUMIFS($AF$64:$AF$135,$W$64:$W$135,$BR55,$V$64:$V$135,BY$51)</f>
        <v>0</v>
      </c>
      <c r="BZ55" s="7">
        <f ca="1">SUMIFS($AE$64:$AE$135,$V$64:$V$135,$BR55,$W$64:$W$135,BZ$51)+SUMIFS($AF$64:$AF$135,$W$64:$W$135,$BR55,$V$64:$V$135,BZ$51)</f>
        <v>0</v>
      </c>
      <c r="CA55" s="7">
        <f ca="1">SUMIFS($AE$64:$AE$135,$V$64:$V$135,$BR55,$W$64:$W$135,CA$51)+SUMIFS($AF$64:$AF$135,$W$64:$W$135,$BR55,$V$64:$V$135,CA$51)</f>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69"/>
        <v>VFB Essenheim</v>
      </c>
      <c r="BS56" s="8">
        <f t="shared" ca="1" si="71"/>
        <v>2</v>
      </c>
      <c r="BT56" s="8">
        <f t="shared" ca="1" si="73"/>
        <v>0</v>
      </c>
      <c r="BU56" s="8">
        <f t="shared" ca="1" si="75"/>
        <v>1</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ca="1">SUMIFS($AE$64:$AE$135,$V$64:$V$135,$BR56,$W$64:$W$135,BZ$51)+SUMIFS($AF$64:$AF$135,$W$64:$W$135,$BR56,$V$64:$V$135,BZ$51)</f>
        <v>0</v>
      </c>
      <c r="CA56" s="7">
        <f ca="1">SUMIFS($AE$64:$AE$135,$V$64:$V$135,$BR56,$W$64:$W$135,CA$51)+SUMIFS($AF$64:$AF$135,$W$64:$W$135,$BR56,$V$64:$V$135,CA$51)</f>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69"/>
        <v/>
      </c>
      <c r="BS57" s="8">
        <f t="shared" ca="1" si="71"/>
        <v>0</v>
      </c>
      <c r="BT57" s="8">
        <f t="shared" ca="1" si="73"/>
        <v>0</v>
      </c>
      <c r="BU57" s="8">
        <f t="shared" ca="1" si="75"/>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ca="1">SUMIFS($AE$64:$AE$135,$V$64:$V$135,$BR57,$W$64:$W$135,BZ$51)+SUMIFS($AF$64:$AF$135,$W$64:$W$135,$BR57,$V$64:$V$135,BZ$51)</f>
        <v>0</v>
      </c>
      <c r="CA57" s="7">
        <f ca="1">SUMIFS($AE$64:$AE$135,$V$64:$V$135,$BR57,$W$64:$W$135,CA$51)+SUMIFS($AF$64:$AF$135,$W$64:$W$135,$BR57,$V$64:$V$135,CA$51)</f>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69"/>
        <v/>
      </c>
      <c r="BS58" s="8">
        <f t="shared" ca="1" si="71"/>
        <v>0</v>
      </c>
      <c r="BT58" s="8">
        <f t="shared" ca="1" si="73"/>
        <v>0</v>
      </c>
      <c r="BU58" s="8">
        <f t="shared" ca="1" si="75"/>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ca="1">SUMIFS($AE$64:$AE$135,$V$64:$V$135,$BR58,$W$64:$W$135,BZ$51)+SUMIFS($AF$64:$AF$135,$W$64:$W$135,$BR58,$V$64:$V$135,BZ$51)</f>
        <v>0</v>
      </c>
      <c r="CA58" s="7">
        <f ca="1">SUMIFS($AE$64:$AE$135,$V$64:$V$135,$BR58,$W$64:$W$135,CA$51)+SUMIFS($AF$64:$AF$135,$W$64:$W$135,$BR58,$V$64:$V$135,CA$51)</f>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69"/>
        <v/>
      </c>
      <c r="BS59" s="8">
        <f t="shared" ca="1" si="71"/>
        <v>0</v>
      </c>
      <c r="BT59" s="8">
        <f t="shared" ca="1" si="73"/>
        <v>0</v>
      </c>
      <c r="BU59" s="8">
        <f t="shared" ca="1" si="75"/>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69"/>
        <v/>
      </c>
      <c r="BS60" s="8">
        <f t="shared" ca="1" si="71"/>
        <v>0</v>
      </c>
      <c r="BT60" s="8">
        <f t="shared" ca="1" si="73"/>
        <v>0</v>
      </c>
      <c r="BU60" s="8">
        <f t="shared" ca="1" si="75"/>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89" t="s">
        <v>170</v>
      </c>
      <c r="X63" s="931" t="s">
        <v>326</v>
      </c>
      <c r="Y63" s="931"/>
      <c r="Z63" s="161" t="s">
        <v>155</v>
      </c>
      <c r="AA63" s="161" t="s">
        <v>15</v>
      </c>
      <c r="AB63" s="161" t="s">
        <v>153</v>
      </c>
      <c r="AC63" s="162" t="s">
        <v>156</v>
      </c>
      <c r="AD63" s="161" t="s">
        <v>154</v>
      </c>
      <c r="AE63" s="925" t="s">
        <v>334</v>
      </c>
      <c r="AF63" s="925"/>
      <c r="AG63" s="932" t="s">
        <v>328</v>
      </c>
      <c r="AH63" s="932"/>
      <c r="AI63" s="25" t="s">
        <v>335</v>
      </c>
      <c r="AJ63" s="3"/>
      <c r="AK63" s="3"/>
      <c r="AL63" s="3"/>
      <c r="AM63" s="3"/>
      <c r="AN63" s="3"/>
      <c r="AO63" s="3"/>
      <c r="AP63" s="3"/>
      <c r="AQ63" s="3"/>
      <c r="AR63" s="3"/>
    </row>
    <row r="64" spans="5:80" s="2" customFormat="1" ht="14.25" thickTop="1" thickBot="1" x14ac:dyDescent="0.25">
      <c r="F64" s="190">
        <v>1000000</v>
      </c>
      <c r="G64" s="191" t="s">
        <v>109</v>
      </c>
      <c r="P64" s="43" t="s">
        <v>6</v>
      </c>
      <c r="Q64" s="58" t="str">
        <f>IF(Planung!$C$7="","",Planung!$C$7)</f>
        <v>1. FC Riedwald</v>
      </c>
      <c r="U64" s="63" t="s">
        <v>6</v>
      </c>
      <c r="V64" s="38" t="str">
        <f ca="1">Planung!$L6</f>
        <v>VFB Essenheim</v>
      </c>
      <c r="W64" s="31" t="str">
        <f ca="1">Planung!$N6</f>
        <v>FC Barcelona</v>
      </c>
      <c r="X64" s="31">
        <f ca="1">IF($AA64=1,Vorrunde!$I12,"")</f>
        <v>13</v>
      </c>
      <c r="Y64" s="32">
        <f ca="1">IF($AA64=1,Vorrunde!$K12,"")</f>
        <v>25</v>
      </c>
      <c r="Z64" s="30" t="str">
        <f t="shared" ref="Z64:Z93" ca="1" si="76">V64&amp;W64</f>
        <v>VFB EssenheimFC Barcelona</v>
      </c>
      <c r="AA64" s="31">
        <f ca="1">IF(AND(Vorrunde!$I12&lt;&gt;"",Vorrunde!$K12&lt;&gt;"",Vorrunde!$I12&lt;&gt;Vorrunde!$K12,OR(AND(Vorrunde!$L12="",Vorrunde!$N12=""),AND(Vorrunde!$L12&lt;&gt;"",Vorrunde!$N12&lt;&gt;"",Vorrunde!$L12&lt;&gt;Vorrunde!$N12)),Vorrunde!$F12&lt;&gt;"",Vorrunde!$H12&lt;&gt;"",Vorrunde!$F12&lt;&gt;Vorrunde!$H12),1,0)</f>
        <v>1</v>
      </c>
      <c r="AB64" s="139" t="str">
        <f ca="1">IF(AA64&gt;0,(X64+AG64)&amp;Sprache!$E$77&amp;(Y64+AH64),"")</f>
        <v>33:50</v>
      </c>
      <c r="AD64" s="140"/>
      <c r="AE64" s="145">
        <f ca="1">IF($AA64=0,0,IF($X64&gt;$Y64,1,0)+IF($AG64&gt;$AH64,1,0))</f>
        <v>0</v>
      </c>
      <c r="AF64" s="140">
        <f ca="1">IF($AA64=0,0,IF($X64&lt;$Y64,1,0)+IF($AG64&lt;$AH64,1,0))</f>
        <v>2</v>
      </c>
      <c r="AG64" s="145">
        <f ca="1">IF($AA64=1,Vorrunde!$L12,"")</f>
        <v>20</v>
      </c>
      <c r="AH64" s="139">
        <f ca="1">IF($AA64=1,Vorrunde!$N12,"")</f>
        <v>25</v>
      </c>
      <c r="AI64" s="598" t="str">
        <f ca="1">IF(AA64&gt;0,AE64&amp;Sprache!$E$77&amp;AF64,"")</f>
        <v>0:2</v>
      </c>
      <c r="AJ64" s="3"/>
      <c r="AK64" s="3"/>
      <c r="AL64" s="3"/>
      <c r="AM64" s="3"/>
      <c r="AN64" s="3"/>
      <c r="AO64" s="3"/>
      <c r="AP64" s="3"/>
      <c r="AQ64" s="3"/>
      <c r="AR64" s="3"/>
    </row>
    <row r="65" spans="2:43" s="2" customFormat="1" ht="13.5" thickBot="1" x14ac:dyDescent="0.25">
      <c r="F65" s="192">
        <v>1000</v>
      </c>
      <c r="G65" s="193" t="s">
        <v>108</v>
      </c>
      <c r="H65" s="197">
        <v>500</v>
      </c>
      <c r="I65" s="196" t="s">
        <v>304</v>
      </c>
      <c r="P65" s="44" t="s">
        <v>7</v>
      </c>
      <c r="Q65" s="59" t="str">
        <f>IF(Planung!$C$9="","",Planung!$C$9)</f>
        <v>FC Barcelona</v>
      </c>
      <c r="U65" s="64" t="s">
        <v>7</v>
      </c>
      <c r="V65" s="39" t="str">
        <f ca="1">Planung!$L7</f>
        <v>FC Grönlingen</v>
      </c>
      <c r="W65" s="12" t="str">
        <f ca="1">Planung!$N7</f>
        <v>Inter Mailand</v>
      </c>
      <c r="X65" s="12">
        <f ca="1">IF($AA65=1,Vorrunde!$I13,"")</f>
        <v>25</v>
      </c>
      <c r="Y65" s="34">
        <f ca="1">IF($AA65=1,Vorrunde!$K13,"")</f>
        <v>20</v>
      </c>
      <c r="Z65" s="33" t="str">
        <f t="shared" ca="1" si="76"/>
        <v>FC GrönlingenInter Mailand</v>
      </c>
      <c r="AA65" s="12">
        <f ca="1">IF(AND(Vorrunde!$I13&lt;&gt;"",Vorrunde!$K13&lt;&gt;"",Vorrunde!$I13&lt;&gt;Vorrunde!$K13,Vorrunde!$L13&lt;&gt;"",Vorrunde!$N13&lt;&gt;"",Vorrunde!$L13&lt;&gt;Vorrunde!$N13,Vorrunde!$F13&lt;&gt;"",Vorrunde!$H13&lt;&gt;"",Vorrunde!$F13&lt;&gt;Vorrunde!$H13),1,0)</f>
        <v>1</v>
      </c>
      <c r="AB65" s="12" t="str">
        <f ca="1">IF(AA65&gt;0,(X65+AG65)&amp;Sprache!$E$77&amp;(Y65+AH65),"")</f>
        <v>48:45</v>
      </c>
      <c r="AD65" s="141"/>
      <c r="AE65" s="146">
        <f t="shared" ref="AE65:AE93" ca="1" si="77">IF($AA65=0,0,IF($X65&gt;$Y65,1,0)+IF($AG65&gt;$AH65,1,0))</f>
        <v>1</v>
      </c>
      <c r="AF65" s="141">
        <f t="shared" ref="AF65:AF93" ca="1" si="78">IF($AA65=0,0,IF($X65&lt;$Y65,1,0)+IF($AG65&lt;$AH65,1,0))</f>
        <v>1</v>
      </c>
      <c r="AG65" s="146">
        <f ca="1">IF($AA65=1,Vorrunde!$L13,"")</f>
        <v>23</v>
      </c>
      <c r="AH65" s="12">
        <f ca="1">IF($AA65=1,Vorrunde!$N13,"")</f>
        <v>25</v>
      </c>
      <c r="AI65" s="599" t="str">
        <f ca="1">IF(AA65&gt;0,AE65&amp;Sprache!$E$77&amp;AF65,"")</f>
        <v>1:1</v>
      </c>
      <c r="AJ65" s="12"/>
      <c r="AK65" s="12"/>
      <c r="AL65" s="12"/>
      <c r="AM65" s="12"/>
      <c r="AN65" s="12"/>
      <c r="AO65" s="12"/>
      <c r="AP65" s="12"/>
      <c r="AQ65" s="12"/>
    </row>
    <row r="66" spans="2:43" s="2" customFormat="1" ht="13.5" thickBot="1" x14ac:dyDescent="0.25">
      <c r="F66" s="194">
        <v>1</v>
      </c>
      <c r="G66" s="195" t="s">
        <v>106</v>
      </c>
      <c r="P66" s="44" t="s">
        <v>8</v>
      </c>
      <c r="Q66" s="59" t="str">
        <f>IF(Planung!$C$11="","",Planung!$C$11)</f>
        <v>Eintracht Frankfurt</v>
      </c>
      <c r="U66" s="64" t="s">
        <v>8</v>
      </c>
      <c r="V66" s="39" t="str">
        <f ca="1">Planung!$L8</f>
        <v>Eintracht Frankfurt</v>
      </c>
      <c r="W66" s="12" t="str">
        <f ca="1">Planung!$N8</f>
        <v>Maibach 1822 eV</v>
      </c>
      <c r="X66" s="12">
        <f ca="1">IF($AA66=1,Vorrunde!$I14,"")</f>
        <v>25</v>
      </c>
      <c r="Y66" s="34">
        <f ca="1">IF($AA66=1,Vorrunde!$K14,"")</f>
        <v>21</v>
      </c>
      <c r="Z66" s="33" t="str">
        <f t="shared" ca="1" si="76"/>
        <v>Eintracht FrankfurtMaibach 1822 eV</v>
      </c>
      <c r="AA66" s="12">
        <f ca="1">IF(AND(Vorrunde!$I14&lt;&gt;"",Vorrunde!$K14&lt;&gt;"",Vorrunde!$I14&lt;&gt;Vorrunde!$K14,Vorrunde!$L14&lt;&gt;"",Vorrunde!$N14&lt;&gt;"",Vorrunde!$L14&lt;&gt;Vorrunde!$N14,Vorrunde!$F14&lt;&gt;"",Vorrunde!$H14&lt;&gt;"",Vorrunde!$F14&lt;&gt;Vorrunde!$H14),1,0)</f>
        <v>1</v>
      </c>
      <c r="AB66" s="12" t="str">
        <f ca="1">IF(AA66&gt;0,(X66+AG66)&amp;Sprache!$E$77&amp;(Y66+AH66),"")</f>
        <v>50:40</v>
      </c>
      <c r="AD66" s="141"/>
      <c r="AE66" s="146">
        <f t="shared" ca="1" si="77"/>
        <v>2</v>
      </c>
      <c r="AF66" s="141">
        <f t="shared" ca="1" si="78"/>
        <v>0</v>
      </c>
      <c r="AG66" s="146">
        <f ca="1">IF($AA66=1,Vorrunde!$L14,"")</f>
        <v>25</v>
      </c>
      <c r="AH66" s="12">
        <f ca="1">IF($AA66=1,Vorrunde!$N14,"")</f>
        <v>19</v>
      </c>
      <c r="AI66" s="599" t="str">
        <f ca="1">IF(AA66&gt;0,AE66&amp;Sprache!$E$77&amp;AF66,"")</f>
        <v>2:0</v>
      </c>
      <c r="AJ66" s="3"/>
      <c r="AK66" s="12"/>
      <c r="AL66" s="12"/>
      <c r="AM66" s="12"/>
      <c r="AN66" s="12"/>
      <c r="AO66" s="12"/>
      <c r="AP66" s="12"/>
      <c r="AQ66" s="12"/>
    </row>
    <row r="67" spans="2:43" s="2" customFormat="1" x14ac:dyDescent="0.2">
      <c r="P67" s="44" t="s">
        <v>9</v>
      </c>
      <c r="Q67" s="59" t="str">
        <f>IF(Planung!$C$13="","",Planung!$C$13)</f>
        <v>Maibach 1822 eV</v>
      </c>
      <c r="U67" s="64" t="s">
        <v>9</v>
      </c>
      <c r="V67" s="39" t="str">
        <f ca="1">Planung!$L9</f>
        <v>SSV Wildbach</v>
      </c>
      <c r="W67" s="12" t="str">
        <f ca="1">Planung!$N9</f>
        <v>Manchester City</v>
      </c>
      <c r="X67" s="12">
        <f ca="1">IF($AA67=1,Vorrunde!$I15,"")</f>
        <v>25</v>
      </c>
      <c r="Y67" s="34">
        <f ca="1">IF($AA67=1,Vorrunde!$K15,"")</f>
        <v>22</v>
      </c>
      <c r="Z67" s="33" t="str">
        <f t="shared" ca="1" si="76"/>
        <v>SSV WildbachManchester City</v>
      </c>
      <c r="AA67" s="12">
        <f ca="1">IF(AND(Vorrunde!$I15&lt;&gt;"",Vorrunde!$K15&lt;&gt;"",Vorrunde!$I15&lt;&gt;Vorrunde!$K15,Vorrunde!$L15&lt;&gt;"",Vorrunde!$N15&lt;&gt;"",Vorrunde!$L15&lt;&gt;Vorrunde!$N15,Vorrunde!$F15&lt;&gt;"",Vorrunde!$H15&lt;&gt;"",Vorrunde!$F15&lt;&gt;Vorrunde!$H15),1,0)</f>
        <v>1</v>
      </c>
      <c r="AB67" s="12" t="str">
        <f ca="1">IF(AA67&gt;0,(X67+AG67)&amp;Sprache!$E$77&amp;(Y67+AH67),"")</f>
        <v>50:42</v>
      </c>
      <c r="AD67" s="141"/>
      <c r="AE67" s="146">
        <f t="shared" ca="1" si="77"/>
        <v>2</v>
      </c>
      <c r="AF67" s="141">
        <f t="shared" ca="1" si="78"/>
        <v>0</v>
      </c>
      <c r="AG67" s="146">
        <f ca="1">IF($AA67=1,Vorrunde!$L15,"")</f>
        <v>25</v>
      </c>
      <c r="AH67" s="12">
        <f ca="1">IF($AA67=1,Vorrunde!$N15,"")</f>
        <v>20</v>
      </c>
      <c r="AI67" s="599" t="str">
        <f ca="1">IF(AA67&gt;0,AE67&amp;Sprache!$E$77&amp;AF67,"")</f>
        <v>2:0</v>
      </c>
      <c r="AJ67" s="12"/>
      <c r="AK67" s="3"/>
      <c r="AL67" s="12"/>
      <c r="AM67" s="12"/>
      <c r="AN67" s="12"/>
      <c r="AO67" s="12"/>
      <c r="AP67" s="12"/>
      <c r="AQ67" s="12"/>
    </row>
    <row r="68" spans="2:43" s="2" customFormat="1" x14ac:dyDescent="0.2">
      <c r="P68" s="44" t="s">
        <v>10</v>
      </c>
      <c r="Q68" s="59" t="str">
        <f>IF(Planung!$C$15="","",Planung!$C$15)</f>
        <v>VFB Essenheim</v>
      </c>
      <c r="U68" s="64" t="s">
        <v>10</v>
      </c>
      <c r="V68" s="39" t="str">
        <f ca="1">Planung!$L10</f>
        <v>VFB Essenheim</v>
      </c>
      <c r="W68" s="12" t="str">
        <f ca="1">Planung!$N10</f>
        <v>1. FC Riedwald</v>
      </c>
      <c r="X68" s="12">
        <f ca="1">IF($AA68=1,Vorrunde!$I16,"")</f>
        <v>25</v>
      </c>
      <c r="Y68" s="34">
        <f ca="1">IF($AA68=1,Vorrunde!$K16,"")</f>
        <v>23</v>
      </c>
      <c r="Z68" s="33" t="str">
        <f t="shared" ca="1" si="76"/>
        <v>VFB Essenheim1. FC Riedwald</v>
      </c>
      <c r="AA68" s="12">
        <f ca="1">IF(AND(Vorrunde!$I16&lt;&gt;"",Vorrunde!$K16&lt;&gt;"",Vorrunde!$I16&lt;&gt;Vorrunde!$K16,Vorrunde!$L16&lt;&gt;"",Vorrunde!$N16&lt;&gt;"",Vorrunde!$L16&lt;&gt;Vorrunde!$N16,Vorrunde!$F16&lt;&gt;"",Vorrunde!$H16&lt;&gt;"",Vorrunde!$F16&lt;&gt;Vorrunde!$H16),1,0)</f>
        <v>1</v>
      </c>
      <c r="AB68" s="12" t="str">
        <f ca="1">IF(AA68&gt;0,(X68+AG68)&amp;Sprache!$E$77&amp;(Y68+AH68),"")</f>
        <v>50:44</v>
      </c>
      <c r="AD68" s="141"/>
      <c r="AE68" s="146">
        <f t="shared" ca="1" si="77"/>
        <v>2</v>
      </c>
      <c r="AF68" s="141">
        <f t="shared" ca="1" si="78"/>
        <v>0</v>
      </c>
      <c r="AG68" s="146">
        <f ca="1">IF($AA68=1,Vorrunde!$L16,"")</f>
        <v>25</v>
      </c>
      <c r="AH68" s="12">
        <f ca="1">IF($AA68=1,Vorrunde!$N16,"")</f>
        <v>21</v>
      </c>
      <c r="AI68" s="599" t="str">
        <f ca="1">IF(AA68&gt;0,AE68&amp;Sprache!$E$77&amp;AF68,"")</f>
        <v>2:0</v>
      </c>
      <c r="AJ68" s="12"/>
      <c r="AK68" s="12"/>
      <c r="AL68" s="3"/>
      <c r="AM68" s="12"/>
      <c r="AN68" s="12"/>
      <c r="AO68" s="12"/>
      <c r="AP68" s="12"/>
      <c r="AQ68" s="12"/>
    </row>
    <row r="69" spans="2:43" s="2" customFormat="1" x14ac:dyDescent="0.2">
      <c r="P69" s="44" t="s">
        <v>11</v>
      </c>
      <c r="Q69" s="59" t="str">
        <f>IF(Planung!$C$17="","",Planung!$C$17)</f>
        <v/>
      </c>
      <c r="U69" s="64" t="s">
        <v>11</v>
      </c>
      <c r="V69" s="39" t="str">
        <f ca="1">Planung!$L11</f>
        <v>FC Grönlingen</v>
      </c>
      <c r="W69" s="12" t="str">
        <f ca="1">Planung!$N11</f>
        <v>Mainz 05</v>
      </c>
      <c r="X69" s="12">
        <f ca="1">IF($AA69=1,Vorrunde!$I17,"")</f>
        <v>25</v>
      </c>
      <c r="Y69" s="34">
        <f ca="1">IF($AA69=1,Vorrunde!$K17,"")</f>
        <v>17</v>
      </c>
      <c r="Z69" s="33" t="str">
        <f t="shared" ca="1" si="76"/>
        <v>FC GrönlingenMainz 05</v>
      </c>
      <c r="AA69" s="12">
        <f ca="1">IF(AND(Vorrunde!$I17&lt;&gt;"",Vorrunde!$K17&lt;&gt;"",Vorrunde!$I17&lt;&gt;Vorrunde!$K17,Vorrunde!$L17&lt;&gt;"",Vorrunde!$N17&lt;&gt;"",Vorrunde!$L17&lt;&gt;Vorrunde!$N17,Vorrunde!$F17&lt;&gt;"",Vorrunde!$H17&lt;&gt;"",Vorrunde!$F17&lt;&gt;Vorrunde!$H17),1,0)</f>
        <v>1</v>
      </c>
      <c r="AB69" s="12" t="str">
        <f ca="1">IF(AA69&gt;0,(X69+AG69)&amp;Sprache!$E$77&amp;(Y69+AH69),"")</f>
        <v>50:39</v>
      </c>
      <c r="AD69" s="141"/>
      <c r="AE69" s="146">
        <f t="shared" ca="1" si="77"/>
        <v>2</v>
      </c>
      <c r="AF69" s="141">
        <f t="shared" ca="1" si="78"/>
        <v>0</v>
      </c>
      <c r="AG69" s="146">
        <f ca="1">IF($AA69=1,Vorrunde!$L17,"")</f>
        <v>25</v>
      </c>
      <c r="AH69" s="12">
        <f ca="1">IF($AA69=1,Vorrunde!$N17,"")</f>
        <v>22</v>
      </c>
      <c r="AI69" s="599" t="str">
        <f ca="1">IF(AA69&gt;0,AE69&amp;Sprache!$E$77&amp;AF69,"")</f>
        <v>2:0</v>
      </c>
      <c r="AJ69" s="12"/>
      <c r="AK69" s="12"/>
      <c r="AL69" s="12"/>
      <c r="AM69" s="3"/>
      <c r="AN69" s="12"/>
      <c r="AO69" s="12"/>
      <c r="AP69" s="12"/>
      <c r="AQ69" s="12"/>
    </row>
    <row r="70" spans="2:43" s="2" customFormat="1" x14ac:dyDescent="0.2">
      <c r="P70" s="44"/>
      <c r="Q70" s="59" t="str">
        <f>""</f>
        <v/>
      </c>
      <c r="U70" s="64" t="s">
        <v>16</v>
      </c>
      <c r="V70" s="39" t="str">
        <f ca="1">Planung!$L12</f>
        <v>FC Barcelona</v>
      </c>
      <c r="W70" s="12" t="str">
        <f ca="1">Planung!$N12</f>
        <v>Eintracht Frankfurt</v>
      </c>
      <c r="X70" s="12">
        <f ca="1">IF($AA70=1,Vorrunde!$I18,"")</f>
        <v>23</v>
      </c>
      <c r="Y70" s="34">
        <f ca="1">IF($AA70=1,Vorrunde!$K18,"")</f>
        <v>25</v>
      </c>
      <c r="Z70" s="33" t="str">
        <f t="shared" ca="1" si="76"/>
        <v>FC BarcelonaEintracht Frankfurt</v>
      </c>
      <c r="AA70" s="12">
        <f ca="1">IF(AND(Vorrunde!$I18&lt;&gt;"",Vorrunde!$K18&lt;&gt;"",Vorrunde!$I18&lt;&gt;Vorrunde!$K18,Vorrunde!$L18&lt;&gt;"",Vorrunde!$N18&lt;&gt;"",Vorrunde!$L18&lt;&gt;Vorrunde!$N18,Vorrunde!$F18&lt;&gt;"",Vorrunde!$H18&lt;&gt;"",Vorrunde!$F18&lt;&gt;Vorrunde!$H18),1,0)</f>
        <v>1</v>
      </c>
      <c r="AB70" s="12" t="str">
        <f ca="1">IF(AA70&gt;0,(X70+AG70)&amp;Sprache!$E$77&amp;(Y70+AH70),"")</f>
        <v>48:48</v>
      </c>
      <c r="AD70" s="141"/>
      <c r="AE70" s="146">
        <f t="shared" ca="1" si="77"/>
        <v>1</v>
      </c>
      <c r="AF70" s="141">
        <f t="shared" ca="1" si="78"/>
        <v>1</v>
      </c>
      <c r="AG70" s="146">
        <f ca="1">IF($AA70=1,Vorrunde!$L18,"")</f>
        <v>25</v>
      </c>
      <c r="AH70" s="12">
        <f ca="1">IF($AA70=1,Vorrunde!$N18,"")</f>
        <v>23</v>
      </c>
      <c r="AI70" s="599" t="str">
        <f ca="1">IF(AA70&gt;0,AE70&amp;Sprache!$E$77&amp;AF70,"")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4"/>
      <c r="Q71" s="59" t="str">
        <f>""</f>
        <v/>
      </c>
      <c r="U71" s="64" t="s">
        <v>17</v>
      </c>
      <c r="V71" s="39" t="str">
        <f ca="1">Planung!$L13</f>
        <v>Inter Mailand</v>
      </c>
      <c r="W71" s="12" t="str">
        <f ca="1">Planung!$N13</f>
        <v>SSV Wildbach</v>
      </c>
      <c r="X71" s="12">
        <f ca="1">IF($AA71=1,Vorrunde!$I19,"")</f>
        <v>19</v>
      </c>
      <c r="Y71" s="34">
        <f ca="1">IF($AA71=1,Vorrunde!$K19,"")</f>
        <v>25</v>
      </c>
      <c r="Z71" s="33" t="str">
        <f t="shared" ca="1" si="76"/>
        <v>Inter MailandSSV Wildbach</v>
      </c>
      <c r="AA71" s="12">
        <f ca="1">IF(AND(Vorrunde!$I19&lt;&gt;"",Vorrunde!$K19&lt;&gt;"",Vorrunde!$I19&lt;&gt;Vorrunde!$K19,Vorrunde!$L19&lt;&gt;"",Vorrunde!$N19&lt;&gt;"",Vorrunde!$L19&lt;&gt;Vorrunde!$N19,Vorrunde!$F19&lt;&gt;"",Vorrunde!$H19&lt;&gt;"",Vorrunde!$F19&lt;&gt;Vorrunde!$H19),1,0)</f>
        <v>1</v>
      </c>
      <c r="AB71" s="12" t="str">
        <f ca="1">IF(AA71&gt;0,(X71+AG71)&amp;Sprache!$E$77&amp;(Y71+AH71),"")</f>
        <v>44:37</v>
      </c>
      <c r="AD71" s="141"/>
      <c r="AE71" s="146">
        <f t="shared" ca="1" si="77"/>
        <v>1</v>
      </c>
      <c r="AF71" s="141">
        <f t="shared" ca="1" si="78"/>
        <v>1</v>
      </c>
      <c r="AG71" s="146">
        <f ca="1">IF($AA71=1,Vorrunde!$L19,"")</f>
        <v>25</v>
      </c>
      <c r="AH71" s="12">
        <f ca="1">IF($AA71=1,Vorrunde!$N19,"")</f>
        <v>12</v>
      </c>
      <c r="AI71" s="599" t="str">
        <f ca="1">IF(AA71&gt;0,AE71&amp;Sprache!$E$77&amp;AF71,"")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5"/>
      <c r="Q72" s="60" t="str">
        <f>""</f>
        <v/>
      </c>
      <c r="U72" s="64" t="s">
        <v>18</v>
      </c>
      <c r="V72" s="39" t="str">
        <f ca="1">Planung!$L14</f>
        <v>1. FC Riedwald</v>
      </c>
      <c r="W72" s="12" t="str">
        <f ca="1">Planung!$N14</f>
        <v>Maibach 1822 eV</v>
      </c>
      <c r="X72" s="12">
        <f ca="1">IF($AA72=1,Vorrunde!$I20,"")</f>
        <v>16</v>
      </c>
      <c r="Y72" s="34">
        <f ca="1">IF($AA72=1,Vorrunde!$K20,"")</f>
        <v>25</v>
      </c>
      <c r="Z72" s="33" t="str">
        <f t="shared" ca="1" si="76"/>
        <v>1. FC RiedwaldMaibach 1822 eV</v>
      </c>
      <c r="AA72" s="12">
        <f ca="1">IF(AND(Vorrunde!$I20&lt;&gt;"",Vorrunde!$K20&lt;&gt;"",Vorrunde!$I20&lt;&gt;Vorrunde!$K20,Vorrunde!$L20&lt;&gt;"",Vorrunde!$N20&lt;&gt;"",Vorrunde!$L20&lt;&gt;Vorrunde!$N20,Vorrunde!$F20&lt;&gt;"",Vorrunde!$H20&lt;&gt;"",Vorrunde!$F20&lt;&gt;Vorrunde!$H20),1,0)</f>
        <v>1</v>
      </c>
      <c r="AB72" s="12" t="str">
        <f ca="1">IF(AA72&gt;0,(X72+AG72)&amp;Sprache!$E$77&amp;(Y72+AH72),"")</f>
        <v>41:43</v>
      </c>
      <c r="AD72" s="141"/>
      <c r="AE72" s="146">
        <f t="shared" ca="1" si="77"/>
        <v>1</v>
      </c>
      <c r="AF72" s="141">
        <f t="shared" ca="1" si="78"/>
        <v>1</v>
      </c>
      <c r="AG72" s="146">
        <f ca="1">IF($AA72=1,Vorrunde!$L20,"")</f>
        <v>25</v>
      </c>
      <c r="AH72" s="12">
        <f ca="1">IF($AA72=1,Vorrunde!$N20,"")</f>
        <v>18</v>
      </c>
      <c r="AI72" s="599" t="str">
        <f ca="1">IF(AA72&gt;0,AE72&amp;Sprache!$E$77&amp;AF72,"")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4" t="s">
        <v>24</v>
      </c>
      <c r="V73" s="39" t="str">
        <f ca="1">Planung!$L15</f>
        <v>Mainz 05</v>
      </c>
      <c r="W73" s="12" t="str">
        <f ca="1">Planung!$N15</f>
        <v>Manchester City</v>
      </c>
      <c r="X73" s="12">
        <f ca="1">IF($AA73=1,Vorrunde!$I21,"")</f>
        <v>14</v>
      </c>
      <c r="Y73" s="34">
        <f ca="1">IF($AA73=1,Vorrunde!$K21,"")</f>
        <v>25</v>
      </c>
      <c r="Z73" s="33" t="str">
        <f t="shared" ca="1" si="76"/>
        <v>Mainz 05Manchester City</v>
      </c>
      <c r="AA73" s="12">
        <f ca="1">IF(AND(Vorrunde!$I21&lt;&gt;"",Vorrunde!$K21&lt;&gt;"",Vorrunde!$I21&lt;&gt;Vorrunde!$K21,Vorrunde!$L21&lt;&gt;"",Vorrunde!$N21&lt;&gt;"",Vorrunde!$L21&lt;&gt;Vorrunde!$N21,Vorrunde!$F21&lt;&gt;"",Vorrunde!$H21&lt;&gt;"",Vorrunde!$F21&lt;&gt;Vorrunde!$H21),1,0)</f>
        <v>1</v>
      </c>
      <c r="AB73" s="12" t="str">
        <f ca="1">IF(AA73&gt;0,(X73+AG73)&amp;Sprache!$E$77&amp;(Y73+AH73),"")</f>
        <v>39:44</v>
      </c>
      <c r="AD73" s="141"/>
      <c r="AE73" s="146">
        <f t="shared" ca="1" si="77"/>
        <v>1</v>
      </c>
      <c r="AF73" s="141">
        <f t="shared" ca="1" si="78"/>
        <v>1</v>
      </c>
      <c r="AG73" s="146">
        <f ca="1">IF($AA73=1,Vorrunde!$L21,"")</f>
        <v>25</v>
      </c>
      <c r="AH73" s="12">
        <f ca="1">IF($AA73=1,Vorrunde!$N21,"")</f>
        <v>19</v>
      </c>
      <c r="AI73" s="599" t="str">
        <f ca="1">IF(AA73&gt;0,AE73&amp;Sprache!$E$77&amp;AF73,"")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4" t="s">
        <v>25</v>
      </c>
      <c r="V74" s="39" t="str">
        <f ca="1">Planung!$L16</f>
        <v>Eintracht Frankfurt</v>
      </c>
      <c r="W74" s="12" t="str">
        <f ca="1">Planung!$N16</f>
        <v>VFB Essenheim</v>
      </c>
      <c r="X74" s="12">
        <f ca="1">IF($AA74=1,Vorrunde!$I22,"")</f>
        <v>22</v>
      </c>
      <c r="Y74" s="34">
        <f ca="1">IF($AA74=1,Vorrunde!$K22,"")</f>
        <v>25</v>
      </c>
      <c r="Z74" s="33" t="str">
        <f t="shared" ca="1" si="76"/>
        <v>Eintracht FrankfurtVFB Essenheim</v>
      </c>
      <c r="AA74" s="12">
        <f ca="1">IF(AND(Vorrunde!$I22&lt;&gt;"",Vorrunde!$K22&lt;&gt;"",Vorrunde!$I22&lt;&gt;Vorrunde!$K22,Vorrunde!$L22&lt;&gt;"",Vorrunde!$N22&lt;&gt;"",Vorrunde!$L22&lt;&gt;Vorrunde!$N22,Vorrunde!$F22&lt;&gt;"",Vorrunde!$H22&lt;&gt;"",Vorrunde!$F22&lt;&gt;Vorrunde!$H22),1,0)</f>
        <v>1</v>
      </c>
      <c r="AB74" s="12" t="str">
        <f ca="1">IF(AA74&gt;0,(X74+AG74)&amp;Sprache!$E$77&amp;(Y74+AH74),"")</f>
        <v>47:45</v>
      </c>
      <c r="AD74" s="141"/>
      <c r="AE74" s="146">
        <f t="shared" ca="1" si="77"/>
        <v>1</v>
      </c>
      <c r="AF74" s="141">
        <f t="shared" ca="1" si="78"/>
        <v>1</v>
      </c>
      <c r="AG74" s="146">
        <f ca="1">IF($AA74=1,Vorrunde!$L22,"")</f>
        <v>25</v>
      </c>
      <c r="AH74" s="12">
        <f ca="1">IF($AA74=1,Vorrunde!$N22,"")</f>
        <v>20</v>
      </c>
      <c r="AI74" s="599" t="str">
        <f ca="1">IF(AA74&gt;0,AE74&amp;Sprache!$E$77&amp;AF74,"")</f>
        <v>1:1</v>
      </c>
    </row>
    <row r="75" spans="2:43" s="2" customFormat="1" x14ac:dyDescent="0.2">
      <c r="B75" s="3"/>
      <c r="C75" s="3"/>
      <c r="D75" s="3"/>
      <c r="E75" s="3"/>
      <c r="F75" s="12"/>
      <c r="G75" s="12"/>
      <c r="H75" s="12"/>
      <c r="I75" s="12"/>
      <c r="J75" s="12"/>
      <c r="K75" s="12"/>
      <c r="L75" s="12"/>
      <c r="M75" s="12"/>
      <c r="U75" s="64" t="s">
        <v>26</v>
      </c>
      <c r="V75" s="39" t="str">
        <f ca="1">Planung!$L17</f>
        <v>SSV Wildbach</v>
      </c>
      <c r="W75" s="12" t="str">
        <f ca="1">Planung!$N17</f>
        <v>FC Grönlingen</v>
      </c>
      <c r="X75" s="12">
        <f ca="1">IF($AA75=1,Vorrunde!$I23,"")</f>
        <v>19</v>
      </c>
      <c r="Y75" s="34">
        <f ca="1">IF($AA75=1,Vorrunde!$K23,"")</f>
        <v>25</v>
      </c>
      <c r="Z75" s="33" t="str">
        <f t="shared" ca="1" si="76"/>
        <v>SSV WildbachFC Grönlingen</v>
      </c>
      <c r="AA75" s="12">
        <f ca="1">IF(AND(Vorrunde!$I23&lt;&gt;"",Vorrunde!$K23&lt;&gt;"",Vorrunde!$I23&lt;&gt;Vorrunde!$K23,Vorrunde!$L23&lt;&gt;"",Vorrunde!$N23&lt;&gt;"",Vorrunde!$L23&lt;&gt;Vorrunde!$N23,Vorrunde!$F23&lt;&gt;"",Vorrunde!$H23&lt;&gt;"",Vorrunde!$F23&lt;&gt;Vorrunde!$H23),1,0)</f>
        <v>1</v>
      </c>
      <c r="AB75" s="12" t="str">
        <f ca="1">IF(AA75&gt;0,(X75+AG75)&amp;Sprache!$E$77&amp;(Y75+AH75),"")</f>
        <v>44:44</v>
      </c>
      <c r="AD75" s="141"/>
      <c r="AE75" s="146">
        <f t="shared" ca="1" si="77"/>
        <v>1</v>
      </c>
      <c r="AF75" s="141">
        <f t="shared" ca="1" si="78"/>
        <v>1</v>
      </c>
      <c r="AG75" s="146">
        <f ca="1">IF($AA75=1,Vorrunde!$L23,"")</f>
        <v>25</v>
      </c>
      <c r="AH75" s="12">
        <f ca="1">IF($AA75=1,Vorrunde!$N23,"")</f>
        <v>19</v>
      </c>
      <c r="AI75" s="599" t="str">
        <f ca="1">IF(AA75&gt;0,AE75&amp;Sprache!$E$77&amp;AF75,"")</f>
        <v>1:1</v>
      </c>
    </row>
    <row r="76" spans="2:43" s="2" customFormat="1" x14ac:dyDescent="0.2">
      <c r="B76" s="3"/>
      <c r="C76" s="3"/>
      <c r="D76" s="3"/>
      <c r="E76" s="3"/>
      <c r="F76" s="12"/>
      <c r="G76" s="12"/>
      <c r="H76" s="12"/>
      <c r="I76" s="12"/>
      <c r="J76" s="12"/>
      <c r="K76" s="12"/>
      <c r="L76" s="12"/>
      <c r="M76" s="12"/>
      <c r="U76" s="64" t="s">
        <v>27</v>
      </c>
      <c r="V76" s="39" t="str">
        <f ca="1">Planung!$L18</f>
        <v>FC Barcelona</v>
      </c>
      <c r="W76" s="12" t="str">
        <f ca="1">Planung!$N18</f>
        <v>Maibach 1822 eV</v>
      </c>
      <c r="X76" s="12">
        <f ca="1">IF($AA76=1,Vorrunde!$I24,"")</f>
        <v>17</v>
      </c>
      <c r="Y76" s="34">
        <f ca="1">IF($AA76=1,Vorrunde!$K24,"")</f>
        <v>25</v>
      </c>
      <c r="Z76" s="33" t="str">
        <f t="shared" ca="1" si="76"/>
        <v>FC BarcelonaMaibach 1822 eV</v>
      </c>
      <c r="AA76" s="12">
        <f ca="1">IF(AND(Vorrunde!$I24&lt;&gt;"",Vorrunde!$K24&lt;&gt;"",Vorrunde!$I24&lt;&gt;Vorrunde!$K24,Vorrunde!$L24&lt;&gt;"",Vorrunde!$N24&lt;&gt;"",Vorrunde!$L24&lt;&gt;Vorrunde!$N24,Vorrunde!$F24&lt;&gt;"",Vorrunde!$H24&lt;&gt;"",Vorrunde!$F24&lt;&gt;Vorrunde!$H24),1,0)</f>
        <v>1</v>
      </c>
      <c r="AB76" s="12" t="str">
        <f ca="1">IF(AA76&gt;0,(X76+AG76)&amp;Sprache!$E$77&amp;(Y76+AH76),"")</f>
        <v>29:50</v>
      </c>
      <c r="AD76" s="141"/>
      <c r="AE76" s="146">
        <f t="shared" ca="1" si="77"/>
        <v>0</v>
      </c>
      <c r="AF76" s="141">
        <f t="shared" ca="1" si="78"/>
        <v>2</v>
      </c>
      <c r="AG76" s="146">
        <f ca="1">IF($AA76=1,Vorrunde!$L24,"")</f>
        <v>12</v>
      </c>
      <c r="AH76" s="12">
        <f ca="1">IF($AA76=1,Vorrunde!$N24,"")</f>
        <v>25</v>
      </c>
      <c r="AI76" s="599" t="str">
        <f ca="1">IF(AA76&gt;0,AE76&amp;Sprache!$E$77&amp;AF76,"")</f>
        <v>0:2</v>
      </c>
    </row>
    <row r="77" spans="2:43" s="2" customFormat="1" x14ac:dyDescent="0.2">
      <c r="B77" s="3"/>
      <c r="C77" s="3"/>
      <c r="D77" s="3"/>
      <c r="E77" s="3"/>
      <c r="F77" s="12"/>
      <c r="G77" s="12"/>
      <c r="H77" s="12"/>
      <c r="I77" s="12"/>
      <c r="J77" s="12"/>
      <c r="K77" s="12"/>
      <c r="L77" s="12"/>
      <c r="M77" s="12"/>
      <c r="U77" s="64" t="s">
        <v>28</v>
      </c>
      <c r="V77" s="39" t="str">
        <f ca="1">Planung!$L19</f>
        <v>Inter Mailand</v>
      </c>
      <c r="W77" s="12" t="str">
        <f ca="1">Planung!$N19</f>
        <v>Manchester City</v>
      </c>
      <c r="X77" s="12">
        <f ca="1">IF($AA77=1,Vorrunde!$I25,"")</f>
        <v>14</v>
      </c>
      <c r="Y77" s="34">
        <f ca="1">IF($AA77=1,Vorrunde!$K25,"")</f>
        <v>25</v>
      </c>
      <c r="Z77" s="33" t="str">
        <f t="shared" ca="1" si="76"/>
        <v>Inter MailandManchester City</v>
      </c>
      <c r="AA77" s="12">
        <f ca="1">IF(AND(Vorrunde!$I25&lt;&gt;"",Vorrunde!$K25&lt;&gt;"",Vorrunde!$I25&lt;&gt;Vorrunde!$K25,Vorrunde!$L25&lt;&gt;"",Vorrunde!$N25&lt;&gt;"",Vorrunde!$L25&lt;&gt;Vorrunde!$N25,Vorrunde!$F25&lt;&gt;"",Vorrunde!$H25&lt;&gt;"",Vorrunde!$F25&lt;&gt;Vorrunde!$H25),1,0)</f>
        <v>1</v>
      </c>
      <c r="AB77" s="12" t="str">
        <f ca="1">IF(AA77&gt;0,(X77+AG77)&amp;Sprache!$E$77&amp;(Y77+AH77),"")</f>
        <v>39:48</v>
      </c>
      <c r="AD77" s="141"/>
      <c r="AE77" s="146">
        <f t="shared" ca="1" si="77"/>
        <v>1</v>
      </c>
      <c r="AF77" s="141">
        <f t="shared" ca="1" si="78"/>
        <v>1</v>
      </c>
      <c r="AG77" s="146">
        <f ca="1">IF($AA77=1,Vorrunde!$L25,"")</f>
        <v>25</v>
      </c>
      <c r="AH77" s="12">
        <f ca="1">IF($AA77=1,Vorrunde!$N25,"")</f>
        <v>23</v>
      </c>
      <c r="AI77" s="599" t="str">
        <f ca="1">IF(AA77&gt;0,AE77&amp;Sprache!$E$77&amp;AF77,"")</f>
        <v>1:1</v>
      </c>
    </row>
    <row r="78" spans="2:43" s="2" customFormat="1" x14ac:dyDescent="0.2">
      <c r="B78" s="3"/>
      <c r="C78" s="3"/>
      <c r="D78" s="3"/>
      <c r="E78" s="3"/>
      <c r="F78" s="12"/>
      <c r="G78" s="12"/>
      <c r="H78" s="733"/>
      <c r="I78" s="12"/>
      <c r="J78" s="12"/>
      <c r="K78" s="12"/>
      <c r="L78" s="12"/>
      <c r="M78" s="12"/>
      <c r="U78" s="64" t="s">
        <v>29</v>
      </c>
      <c r="V78" s="39" t="str">
        <f ca="1">Planung!$L20</f>
        <v>Eintracht Frankfurt</v>
      </c>
      <c r="W78" s="12" t="str">
        <f ca="1">Planung!$N20</f>
        <v>1. FC Riedwald</v>
      </c>
      <c r="X78" s="12">
        <f ca="1">IF($AA78=1,Vorrunde!$I26,"")</f>
        <v>21</v>
      </c>
      <c r="Y78" s="34">
        <f ca="1">IF($AA78=1,Vorrunde!$K26,"")</f>
        <v>25</v>
      </c>
      <c r="Z78" s="33" t="str">
        <f t="shared" ca="1" si="76"/>
        <v>Eintracht Frankfurt1. FC Riedwald</v>
      </c>
      <c r="AA78" s="12">
        <f ca="1">IF(AND(Vorrunde!$I26&lt;&gt;"",Vorrunde!$K26&lt;&gt;"",Vorrunde!$I26&lt;&gt;Vorrunde!$K26,Vorrunde!$L26&lt;&gt;"",Vorrunde!$N26&lt;&gt;"",Vorrunde!$L26&lt;&gt;Vorrunde!$N26,Vorrunde!$F26&lt;&gt;"",Vorrunde!$H26&lt;&gt;"",Vorrunde!$F26&lt;&gt;Vorrunde!$H26),1,0)</f>
        <v>1</v>
      </c>
      <c r="AB78" s="12" t="str">
        <f ca="1">IF(AA78&gt;0,(X78+AG78)&amp;Sprache!$E$77&amp;(Y78+AH78),"")</f>
        <v>46:42</v>
      </c>
      <c r="AD78" s="141"/>
      <c r="AE78" s="146">
        <f t="shared" ca="1" si="77"/>
        <v>1</v>
      </c>
      <c r="AF78" s="141">
        <f t="shared" ca="1" si="78"/>
        <v>1</v>
      </c>
      <c r="AG78" s="146">
        <f ca="1">IF($AA78=1,Vorrunde!$L26,"")</f>
        <v>25</v>
      </c>
      <c r="AH78" s="12">
        <f ca="1">IF($AA78=1,Vorrunde!$N26,"")</f>
        <v>17</v>
      </c>
      <c r="AI78" s="599" t="str">
        <f ca="1">IF(AA78&gt;0,AE78&amp;Sprache!$E$77&amp;AF78,"")</f>
        <v>1:1</v>
      </c>
    </row>
    <row r="79" spans="2:43" s="2" customFormat="1" x14ac:dyDescent="0.2">
      <c r="B79" s="3"/>
      <c r="C79" s="3"/>
      <c r="D79" s="3"/>
      <c r="E79" s="3"/>
      <c r="F79" s="12"/>
      <c r="G79" s="12"/>
      <c r="H79" s="733"/>
      <c r="I79" s="12"/>
      <c r="J79" s="12"/>
      <c r="K79" s="12"/>
      <c r="L79" s="12"/>
      <c r="M79" s="12"/>
      <c r="U79" s="64" t="s">
        <v>30</v>
      </c>
      <c r="V79" s="39" t="str">
        <f ca="1">Planung!$L21</f>
        <v>SSV Wildbach</v>
      </c>
      <c r="W79" s="12" t="str">
        <f ca="1">Planung!$N21</f>
        <v>Mainz 05</v>
      </c>
      <c r="X79" s="12">
        <f ca="1">IF($AA79=1,Vorrunde!$I27,"")</f>
        <v>20</v>
      </c>
      <c r="Y79" s="34">
        <f ca="1">IF($AA79=1,Vorrunde!$K27,"")</f>
        <v>25</v>
      </c>
      <c r="Z79" s="33" t="str">
        <f t="shared" ca="1" si="76"/>
        <v>SSV WildbachMainz 05</v>
      </c>
      <c r="AA79" s="12">
        <f ca="1">IF(AND(Vorrunde!$I27&lt;&gt;"",Vorrunde!$K27&lt;&gt;"",Vorrunde!$I27&lt;&gt;Vorrunde!$K27,Vorrunde!$L27&lt;&gt;"",Vorrunde!$N27&lt;&gt;"",Vorrunde!$L27&lt;&gt;Vorrunde!$N27,Vorrunde!$F27&lt;&gt;"",Vorrunde!$H27&lt;&gt;"",Vorrunde!$F27&lt;&gt;Vorrunde!$H27),1,0)</f>
        <v>1</v>
      </c>
      <c r="AB79" s="12" t="str">
        <f ca="1">IF(AA79&gt;0,(X79+AG79)&amp;Sprache!$E$77&amp;(Y79+AH79),"")</f>
        <v>38:50</v>
      </c>
      <c r="AD79" s="141"/>
      <c r="AE79" s="146">
        <f t="shared" ca="1" si="77"/>
        <v>0</v>
      </c>
      <c r="AF79" s="141">
        <f t="shared" ca="1" si="78"/>
        <v>2</v>
      </c>
      <c r="AG79" s="146">
        <f ca="1">IF($AA79=1,Vorrunde!$L27,"")</f>
        <v>18</v>
      </c>
      <c r="AH79" s="12">
        <f ca="1">IF($AA79=1,Vorrunde!$N27,"")</f>
        <v>25</v>
      </c>
      <c r="AI79" s="599" t="str">
        <f ca="1">IF(AA79&gt;0,AE79&amp;Sprache!$E$77&amp;AF79,"")</f>
        <v>0:2</v>
      </c>
    </row>
    <row r="80" spans="2:43" s="2" customFormat="1" x14ac:dyDescent="0.2">
      <c r="B80" s="3"/>
      <c r="C80" s="3"/>
      <c r="D80" s="3"/>
      <c r="E80" s="3"/>
      <c r="F80" s="12"/>
      <c r="G80" s="12"/>
      <c r="H80" s="733"/>
      <c r="I80" s="12"/>
      <c r="J80" s="12"/>
      <c r="K80" s="12"/>
      <c r="L80" s="12"/>
      <c r="M80" s="12"/>
      <c r="U80" s="64" t="s">
        <v>31</v>
      </c>
      <c r="V80" s="39" t="str">
        <f ca="1">Planung!$L22</f>
        <v>Maibach 1822 eV</v>
      </c>
      <c r="W80" s="12" t="str">
        <f ca="1">Planung!$N22</f>
        <v>VFB Essenheim</v>
      </c>
      <c r="X80" s="12">
        <f ca="1">IF($AA80=1,Vorrunde!$I28,"")</f>
        <v>25</v>
      </c>
      <c r="Y80" s="34">
        <f ca="1">IF($AA80=1,Vorrunde!$K28,"")</f>
        <v>20</v>
      </c>
      <c r="Z80" s="33" t="str">
        <f t="shared" ca="1" si="76"/>
        <v>Maibach 1822 eVVFB Essenheim</v>
      </c>
      <c r="AA80" s="12">
        <f ca="1">IF(AND(Vorrunde!$I28&lt;&gt;"",Vorrunde!$K28&lt;&gt;"",Vorrunde!$I28&lt;&gt;Vorrunde!$K28,Vorrunde!$L28&lt;&gt;"",Vorrunde!$N28&lt;&gt;"",Vorrunde!$L28&lt;&gt;Vorrunde!$N28,Vorrunde!$F28&lt;&gt;"",Vorrunde!$H28&lt;&gt;"",Vorrunde!$F28&lt;&gt;Vorrunde!$H28),1,0)</f>
        <v>1</v>
      </c>
      <c r="AB80" s="12" t="str">
        <f ca="1">IF(AA80&gt;0,(X80+AG80)&amp;Sprache!$E$77&amp;(Y80+AH80),"")</f>
        <v>50:39</v>
      </c>
      <c r="AD80" s="141"/>
      <c r="AE80" s="146">
        <f t="shared" ca="1" si="77"/>
        <v>2</v>
      </c>
      <c r="AF80" s="141">
        <f t="shared" ca="1" si="78"/>
        <v>0</v>
      </c>
      <c r="AG80" s="146">
        <f ca="1">IF($AA80=1,Vorrunde!$L28,"")</f>
        <v>25</v>
      </c>
      <c r="AH80" s="12">
        <f ca="1">IF($AA80=1,Vorrunde!$N28,"")</f>
        <v>19</v>
      </c>
      <c r="AI80" s="599" t="str">
        <f ca="1">IF(AA80&gt;0,AE80&amp;Sprache!$E$77&amp;AF80,"")</f>
        <v>2:0</v>
      </c>
    </row>
    <row r="81" spans="2:35" s="2" customFormat="1" x14ac:dyDescent="0.2">
      <c r="B81" s="3"/>
      <c r="C81" s="3"/>
      <c r="D81" s="3"/>
      <c r="E81" s="3"/>
      <c r="F81" s="12"/>
      <c r="G81" s="12"/>
      <c r="H81" s="733"/>
      <c r="I81" s="12"/>
      <c r="J81" s="12"/>
      <c r="K81" s="12"/>
      <c r="L81" s="12"/>
      <c r="M81" s="12"/>
      <c r="U81" s="64" t="s">
        <v>32</v>
      </c>
      <c r="V81" s="39" t="str">
        <f ca="1">Planung!$L23</f>
        <v>Manchester City</v>
      </c>
      <c r="W81" s="12" t="str">
        <f ca="1">Planung!$N23</f>
        <v>FC Grönlingen</v>
      </c>
      <c r="X81" s="12">
        <f ca="1">IF($AA81=1,Vorrunde!$I29,"")</f>
        <v>25</v>
      </c>
      <c r="Y81" s="34">
        <f ca="1">IF($AA81=1,Vorrunde!$K29,"")</f>
        <v>12</v>
      </c>
      <c r="Z81" s="33" t="str">
        <f t="shared" ca="1" si="76"/>
        <v>Manchester CityFC Grönlingen</v>
      </c>
      <c r="AA81" s="12">
        <f ca="1">IF(AND(Vorrunde!$I29&lt;&gt;"",Vorrunde!$K29&lt;&gt;"",Vorrunde!$I29&lt;&gt;Vorrunde!$K29,Vorrunde!$L29&lt;&gt;"",Vorrunde!$N29&lt;&gt;"",Vorrunde!$L29&lt;&gt;Vorrunde!$N29,Vorrunde!$F29&lt;&gt;"",Vorrunde!$H29&lt;&gt;"",Vorrunde!$F29&lt;&gt;Vorrunde!$H29),1,0)</f>
        <v>1</v>
      </c>
      <c r="AB81" s="12" t="str">
        <f ca="1">IF(AA81&gt;0,(X81+AG81)&amp;Sprache!$E$77&amp;(Y81+AH81),"")</f>
        <v>50:32</v>
      </c>
      <c r="AD81" s="141"/>
      <c r="AE81" s="146">
        <f t="shared" ca="1" si="77"/>
        <v>2</v>
      </c>
      <c r="AF81" s="141">
        <f t="shared" ca="1" si="78"/>
        <v>0</v>
      </c>
      <c r="AG81" s="146">
        <f ca="1">IF($AA81=1,Vorrunde!$L29,"")</f>
        <v>25</v>
      </c>
      <c r="AH81" s="12">
        <f ca="1">IF($AA81=1,Vorrunde!$N29,"")</f>
        <v>20</v>
      </c>
      <c r="AI81" s="599" t="str">
        <f ca="1">IF(AA81&gt;0,AE81&amp;Sprache!$E$77&amp;AF81,"")</f>
        <v>2:0</v>
      </c>
    </row>
    <row r="82" spans="2:35" s="2" customFormat="1" x14ac:dyDescent="0.2">
      <c r="B82" s="3"/>
      <c r="C82" s="3"/>
      <c r="D82" s="3"/>
      <c r="E82" s="3"/>
      <c r="F82" s="12"/>
      <c r="G82" s="12"/>
      <c r="H82" s="733"/>
      <c r="I82" s="12"/>
      <c r="J82" s="12"/>
      <c r="K82" s="12"/>
      <c r="L82" s="12"/>
      <c r="M82" s="12"/>
      <c r="U82" s="64" t="s">
        <v>33</v>
      </c>
      <c r="V82" s="39" t="str">
        <f ca="1">Planung!$L24</f>
        <v>1. FC Riedwald</v>
      </c>
      <c r="W82" s="12" t="str">
        <f ca="1">Planung!$N24</f>
        <v>FC Barcelona</v>
      </c>
      <c r="X82" s="12">
        <f ca="1">IF($AA82=1,Vorrunde!$I30,"")</f>
        <v>25</v>
      </c>
      <c r="Y82" s="34">
        <f ca="1">IF($AA82=1,Vorrunde!$K30,"")</f>
        <v>16</v>
      </c>
      <c r="Z82" s="33" t="str">
        <f t="shared" ca="1" si="76"/>
        <v>1. FC RiedwaldFC Barcelona</v>
      </c>
      <c r="AA82" s="12">
        <f ca="1">IF(AND(Vorrunde!$I30&lt;&gt;"",Vorrunde!$K30&lt;&gt;"",Vorrunde!$I30&lt;&gt;Vorrunde!$K30,Vorrunde!$L30&lt;&gt;"",Vorrunde!$N30&lt;&gt;"",Vorrunde!$L30&lt;&gt;Vorrunde!$N30,Vorrunde!$F30&lt;&gt;"",Vorrunde!$H30&lt;&gt;"",Vorrunde!$F30&lt;&gt;Vorrunde!$H30),1,0)</f>
        <v>1</v>
      </c>
      <c r="AB82" s="12" t="str">
        <f ca="1">IF(AA82&gt;0,(X82+AG82)&amp;Sprache!$E$77&amp;(Y82+AH82),"")</f>
        <v>50:37</v>
      </c>
      <c r="AD82" s="141"/>
      <c r="AE82" s="146">
        <f t="shared" ca="1" si="77"/>
        <v>2</v>
      </c>
      <c r="AF82" s="141">
        <f t="shared" ca="1" si="78"/>
        <v>0</v>
      </c>
      <c r="AG82" s="146">
        <f ca="1">IF($AA82=1,Vorrunde!$L30,"")</f>
        <v>25</v>
      </c>
      <c r="AH82" s="12">
        <f ca="1">IF($AA82=1,Vorrunde!$N30,"")</f>
        <v>21</v>
      </c>
      <c r="AI82" s="599" t="str">
        <f ca="1">IF(AA82&gt;0,AE82&amp;Sprache!$E$77&amp;AF82,"")</f>
        <v>2:0</v>
      </c>
    </row>
    <row r="83" spans="2:35" s="2" customFormat="1" x14ac:dyDescent="0.2">
      <c r="B83" s="3"/>
      <c r="C83" s="3"/>
      <c r="D83" s="3"/>
      <c r="E83" s="3"/>
      <c r="F83" s="12"/>
      <c r="G83" s="12"/>
      <c r="H83" s="733"/>
      <c r="I83" s="12"/>
      <c r="J83" s="12"/>
      <c r="K83" s="12"/>
      <c r="L83" s="12"/>
      <c r="M83" s="12"/>
      <c r="U83" s="64" t="s">
        <v>34</v>
      </c>
      <c r="V83" s="39" t="str">
        <f ca="1">Planung!$L25</f>
        <v>Mainz 05</v>
      </c>
      <c r="W83" s="12" t="str">
        <f ca="1">Planung!$N25</f>
        <v>Inter Mailand</v>
      </c>
      <c r="X83" s="12">
        <f ca="1">IF($AA83=1,Vorrunde!$I31,"")</f>
        <v>25</v>
      </c>
      <c r="Y83" s="34">
        <f ca="1">IF($AA83=1,Vorrunde!$K31,"")</f>
        <v>2</v>
      </c>
      <c r="Z83" s="33" t="str">
        <f t="shared" ca="1" si="76"/>
        <v>Mainz 05Inter Mailand</v>
      </c>
      <c r="AA83" s="12">
        <f ca="1">IF(AND(Vorrunde!$I31&lt;&gt;"",Vorrunde!$K31&lt;&gt;"",Vorrunde!$I31&lt;&gt;Vorrunde!$K31,Vorrunde!$L31&lt;&gt;"",Vorrunde!$N31&lt;&gt;"",Vorrunde!$L31&lt;&gt;Vorrunde!$N31,Vorrunde!$F31&lt;&gt;"",Vorrunde!$H31&lt;&gt;"",Vorrunde!$F31&lt;&gt;Vorrunde!$H31),1,0)</f>
        <v>1</v>
      </c>
      <c r="AB83" s="12" t="str">
        <f ca="1">IF(AA83&gt;0,(X83+AG83)&amp;Sprache!$E$77&amp;(Y83+AH83),"")</f>
        <v>50:24</v>
      </c>
      <c r="AD83" s="141"/>
      <c r="AE83" s="146">
        <f t="shared" ca="1" si="77"/>
        <v>2</v>
      </c>
      <c r="AF83" s="141">
        <f t="shared" ca="1" si="78"/>
        <v>0</v>
      </c>
      <c r="AG83" s="146">
        <f ca="1">IF($AA83=1,Vorrunde!$L31,"")</f>
        <v>25</v>
      </c>
      <c r="AH83" s="12">
        <f ca="1">IF($AA83=1,Vorrunde!$N31,"")</f>
        <v>22</v>
      </c>
      <c r="AI83" s="599" t="str">
        <f ca="1">IF(AA83&gt;0,AE83&amp;Sprache!$E$77&amp;AF83,"")</f>
        <v>2:0</v>
      </c>
    </row>
    <row r="84" spans="2:35" s="2" customFormat="1" x14ac:dyDescent="0.2">
      <c r="B84" s="3"/>
      <c r="C84" s="3"/>
      <c r="D84" s="3"/>
      <c r="E84" s="3"/>
      <c r="F84" s="12"/>
      <c r="G84" s="12"/>
      <c r="H84" s="733"/>
      <c r="I84" s="12"/>
      <c r="J84" s="12"/>
      <c r="K84" s="12"/>
      <c r="L84" s="12"/>
      <c r="M84" s="12"/>
      <c r="U84" s="64" t="s">
        <v>35</v>
      </c>
      <c r="V84" s="39" t="str">
        <f ca="1">Planung!$L26</f>
        <v/>
      </c>
      <c r="W84" s="12" t="str">
        <f ca="1">Planung!$N26</f>
        <v/>
      </c>
      <c r="X84" s="12" t="str">
        <f ca="1">IF($AA84=1,Vorrunde!$I32,"")</f>
        <v/>
      </c>
      <c r="Y84" s="34" t="str">
        <f ca="1">IF($AA84=1,Vorrunde!$K32,"")</f>
        <v/>
      </c>
      <c r="Z84" s="33" t="str">
        <f t="shared" ca="1" si="76"/>
        <v/>
      </c>
      <c r="AA84" s="12">
        <f ca="1">IF(AND(Vorrunde!$I32&lt;&gt;"",Vorrunde!$K32&lt;&gt;"",Vorrunde!$I32&lt;&gt;Vorrunde!$K32,Vorrunde!$L32&lt;&gt;"",Vorrunde!$N32&lt;&gt;"",Vorrunde!$L32&lt;&gt;Vorrunde!$N32,Vorrunde!$F32&lt;&gt;"",Vorrunde!$H32&lt;&gt;"",Vorrunde!$F32&lt;&gt;Vorrunde!$H32),1,0)</f>
        <v>0</v>
      </c>
      <c r="AB84" s="12" t="str">
        <f ca="1">IF(AA84&gt;0,(X84+AG84)&amp;Sprache!$E$77&amp;(Y84+AH84),"")</f>
        <v/>
      </c>
      <c r="AD84" s="141"/>
      <c r="AE84" s="146">
        <f t="shared" ca="1" si="77"/>
        <v>0</v>
      </c>
      <c r="AF84" s="141">
        <f t="shared" ca="1" si="78"/>
        <v>0</v>
      </c>
      <c r="AG84" s="146" t="str">
        <f ca="1">IF($AA84=1,Vorrunde!$L32,"")</f>
        <v/>
      </c>
      <c r="AH84" s="12" t="str">
        <f ca="1">IF($AA84=1,Vorrunde!$N32,"")</f>
        <v/>
      </c>
      <c r="AI84" s="599" t="str">
        <f ca="1">IF(AA84&gt;0,AE84&amp;Sprache!$E$77&amp;AF84,"")</f>
        <v/>
      </c>
    </row>
    <row r="85" spans="2:35" s="2" customFormat="1" x14ac:dyDescent="0.2">
      <c r="B85" s="3"/>
      <c r="C85" s="3"/>
      <c r="D85" s="3"/>
      <c r="E85" s="3"/>
      <c r="F85" s="12"/>
      <c r="G85" s="12"/>
      <c r="H85" s="12"/>
      <c r="I85" s="12"/>
      <c r="J85" s="12"/>
      <c r="K85" s="12"/>
      <c r="L85" s="12"/>
      <c r="M85" s="12"/>
      <c r="U85" s="64" t="s">
        <v>36</v>
      </c>
      <c r="V85" s="39" t="str">
        <f ca="1">Planung!$L27</f>
        <v/>
      </c>
      <c r="W85" s="12" t="str">
        <f ca="1">Planung!$N27</f>
        <v/>
      </c>
      <c r="X85" s="12" t="str">
        <f ca="1">IF($AA85=1,Vorrunde!$I33,"")</f>
        <v/>
      </c>
      <c r="Y85" s="34" t="str">
        <f ca="1">IF($AA85=1,Vorrunde!$K33,"")</f>
        <v/>
      </c>
      <c r="Z85" s="33" t="str">
        <f t="shared" ca="1" si="76"/>
        <v/>
      </c>
      <c r="AA85" s="12">
        <f ca="1">IF(AND(Vorrunde!$I33&lt;&gt;"",Vorrunde!$K33&lt;&gt;"",Vorrunde!$I33&lt;&gt;Vorrunde!$K33,Vorrunde!$L33&lt;&gt;"",Vorrunde!$N33&lt;&gt;"",Vorrunde!$L33&lt;&gt;Vorrunde!$N33,Vorrunde!$F33&lt;&gt;"",Vorrunde!$H33&lt;&gt;"",Vorrunde!$F33&lt;&gt;Vorrunde!$H33),1,0)</f>
        <v>0</v>
      </c>
      <c r="AB85" s="12" t="str">
        <f ca="1">IF(AA85&gt;0,(X85+AG85)&amp;Sprache!$E$77&amp;(Y85+AH85),"")</f>
        <v/>
      </c>
      <c r="AD85" s="141"/>
      <c r="AE85" s="146">
        <f t="shared" ca="1" si="77"/>
        <v>0</v>
      </c>
      <c r="AF85" s="141">
        <f t="shared" ca="1" si="78"/>
        <v>0</v>
      </c>
      <c r="AG85" s="146" t="str">
        <f ca="1">IF($AA85=1,Vorrunde!$L33,"")</f>
        <v/>
      </c>
      <c r="AH85" s="12" t="str">
        <f ca="1">IF($AA85=1,Vorrunde!$N33,"")</f>
        <v/>
      </c>
      <c r="AI85" s="599" t="str">
        <f ca="1">IF(AA85&gt;0,AE85&amp;Sprache!$E$77&amp;AF85,"")</f>
        <v/>
      </c>
    </row>
    <row r="86" spans="2:35" s="2" customFormat="1" x14ac:dyDescent="0.2">
      <c r="B86" s="3"/>
      <c r="C86" s="3"/>
      <c r="D86" s="3"/>
      <c r="E86" s="3"/>
      <c r="F86" s="12"/>
      <c r="G86" s="12"/>
      <c r="H86" s="12"/>
      <c r="I86" s="12"/>
      <c r="J86" s="12"/>
      <c r="K86" s="12"/>
      <c r="L86" s="12"/>
      <c r="M86" s="12"/>
      <c r="Q86" s="239"/>
      <c r="U86" s="64" t="s">
        <v>37</v>
      </c>
      <c r="V86" s="39" t="str">
        <f ca="1">Planung!$L28</f>
        <v/>
      </c>
      <c r="W86" s="12" t="str">
        <f ca="1">Planung!$N28</f>
        <v/>
      </c>
      <c r="X86" s="12" t="str">
        <f ca="1">IF($AA86=1,Vorrunde!$I34,"")</f>
        <v/>
      </c>
      <c r="Y86" s="34" t="str">
        <f ca="1">IF($AA86=1,Vorrunde!$K34,"")</f>
        <v/>
      </c>
      <c r="Z86" s="33" t="str">
        <f t="shared" ca="1" si="76"/>
        <v/>
      </c>
      <c r="AA86" s="12">
        <f ca="1">IF(AND(Vorrunde!$I34&lt;&gt;"",Vorrunde!$K34&lt;&gt;"",Vorrunde!$I34&lt;&gt;Vorrunde!$K34,Vorrunde!$L34&lt;&gt;"",Vorrunde!$N34&lt;&gt;"",Vorrunde!$L34&lt;&gt;Vorrunde!$N34,Vorrunde!$F34&lt;&gt;"",Vorrunde!$H34&lt;&gt;"",Vorrunde!$F34&lt;&gt;Vorrunde!$H34),1,0)</f>
        <v>0</v>
      </c>
      <c r="AB86" s="12" t="str">
        <f ca="1">IF(AA86&gt;0,(X86+AG86)&amp;Sprache!$E$77&amp;(Y86+AH86),"")</f>
        <v/>
      </c>
      <c r="AD86" s="141"/>
      <c r="AE86" s="146">
        <f t="shared" ca="1" si="77"/>
        <v>0</v>
      </c>
      <c r="AF86" s="141">
        <f t="shared" ca="1" si="78"/>
        <v>0</v>
      </c>
      <c r="AG86" s="146" t="str">
        <f ca="1">IF($AA86=1,Vorrunde!$L34,"")</f>
        <v/>
      </c>
      <c r="AH86" s="12" t="str">
        <f ca="1">IF($AA86=1,Vorrunde!$N34,"")</f>
        <v/>
      </c>
      <c r="AI86" s="599" t="str">
        <f ca="1">IF(AA86&gt;0,AE86&amp;Sprache!$E$77&amp;AF86,"")</f>
        <v/>
      </c>
    </row>
    <row r="87" spans="2:35" s="2" customFormat="1" x14ac:dyDescent="0.2">
      <c r="B87" s="3"/>
      <c r="C87" s="3"/>
      <c r="D87" s="3"/>
      <c r="E87" s="3"/>
      <c r="F87" s="12"/>
      <c r="G87" s="12"/>
      <c r="H87" s="12"/>
      <c r="I87" s="12"/>
      <c r="J87" s="12"/>
      <c r="K87" s="12"/>
      <c r="L87" s="12"/>
      <c r="M87" s="12"/>
      <c r="U87" s="64" t="s">
        <v>38</v>
      </c>
      <c r="V87" s="39" t="str">
        <f ca="1">Planung!$L29</f>
        <v/>
      </c>
      <c r="W87" s="12" t="str">
        <f ca="1">Planung!$N29</f>
        <v/>
      </c>
      <c r="X87" s="12" t="str">
        <f ca="1">IF($AA87=1,Vorrunde!$I35,"")</f>
        <v/>
      </c>
      <c r="Y87" s="34" t="str">
        <f ca="1">IF($AA87=1,Vorrunde!$K35,"")</f>
        <v/>
      </c>
      <c r="Z87" s="33" t="str">
        <f t="shared" ca="1" si="76"/>
        <v/>
      </c>
      <c r="AA87" s="12">
        <f ca="1">IF(AND(Vorrunde!$I35&lt;&gt;"",Vorrunde!$K35&lt;&gt;"",Vorrunde!$I35&lt;&gt;Vorrunde!$K35,Vorrunde!$L35&lt;&gt;"",Vorrunde!$N35&lt;&gt;"",Vorrunde!$L35&lt;&gt;Vorrunde!$N35,Vorrunde!$F35&lt;&gt;"",Vorrunde!$H35&lt;&gt;"",Vorrunde!$F35&lt;&gt;Vorrunde!$H35),1,0)</f>
        <v>0</v>
      </c>
      <c r="AB87" s="12" t="str">
        <f ca="1">IF(AA87&gt;0,(X87+AG87)&amp;Sprache!$E$77&amp;(Y87+AH87),"")</f>
        <v/>
      </c>
      <c r="AD87" s="141"/>
      <c r="AE87" s="146">
        <f t="shared" ca="1" si="77"/>
        <v>0</v>
      </c>
      <c r="AF87" s="141">
        <f t="shared" ca="1" si="78"/>
        <v>0</v>
      </c>
      <c r="AG87" s="146" t="str">
        <f ca="1">IF($AA87=1,Vorrunde!$L35,"")</f>
        <v/>
      </c>
      <c r="AH87" s="12" t="str">
        <f ca="1">IF($AA87=1,Vorrunde!$N35,"")</f>
        <v/>
      </c>
      <c r="AI87" s="599" t="str">
        <f ca="1">IF(AA87&gt;0,AE87&amp;Sprache!$E$77&amp;AF87,"")</f>
        <v/>
      </c>
    </row>
    <row r="88" spans="2:35" s="2" customFormat="1" x14ac:dyDescent="0.2">
      <c r="B88" s="3"/>
      <c r="C88" s="3"/>
      <c r="D88" s="3"/>
      <c r="E88" s="3"/>
      <c r="F88" s="12"/>
      <c r="G88" s="12"/>
      <c r="H88" s="12"/>
      <c r="I88" s="12"/>
      <c r="J88" s="12"/>
      <c r="K88" s="12"/>
      <c r="L88" s="12"/>
      <c r="M88" s="12"/>
      <c r="U88" s="64" t="s">
        <v>39</v>
      </c>
      <c r="V88" s="39" t="str">
        <f ca="1">Planung!$L30</f>
        <v/>
      </c>
      <c r="W88" s="12" t="str">
        <f ca="1">Planung!$N30</f>
        <v/>
      </c>
      <c r="X88" s="12" t="str">
        <f ca="1">IF($AA88=1,Vorrunde!$I36,"")</f>
        <v/>
      </c>
      <c r="Y88" s="34" t="str">
        <f ca="1">IF($AA88=1,Vorrunde!$K36,"")</f>
        <v/>
      </c>
      <c r="Z88" s="33" t="str">
        <f t="shared" ca="1" si="76"/>
        <v/>
      </c>
      <c r="AA88" s="12">
        <f ca="1">IF(AND(Vorrunde!$I36&lt;&gt;"",Vorrunde!$K36&lt;&gt;"",Vorrunde!$I36&lt;&gt;Vorrunde!$K36,Vorrunde!$L36&lt;&gt;"",Vorrunde!$N36&lt;&gt;"",Vorrunde!$L36&lt;&gt;Vorrunde!$N36,Vorrunde!$F36&lt;&gt;"",Vorrunde!$H36&lt;&gt;"",Vorrunde!$F36&lt;&gt;Vorrunde!$H36),1,0)</f>
        <v>0</v>
      </c>
      <c r="AB88" s="12" t="str">
        <f ca="1">IF(AA88&gt;0,(X88+AG88)&amp;Sprache!$E$77&amp;(Y88+AH88),"")</f>
        <v/>
      </c>
      <c r="AD88" s="141"/>
      <c r="AE88" s="146">
        <f t="shared" ca="1" si="77"/>
        <v>0</v>
      </c>
      <c r="AF88" s="141">
        <f t="shared" ca="1" si="78"/>
        <v>0</v>
      </c>
      <c r="AG88" s="146" t="str">
        <f ca="1">IF($AA88=1,Vorrunde!$L36,"")</f>
        <v/>
      </c>
      <c r="AH88" s="12" t="str">
        <f ca="1">IF($AA88=1,Vorrunde!$N36,"")</f>
        <v/>
      </c>
      <c r="AI88" s="599" t="str">
        <f ca="1">IF(AA88&gt;0,AE88&amp;Sprache!$E$77&amp;AF88,"")</f>
        <v/>
      </c>
    </row>
    <row r="89" spans="2:35" s="2" customFormat="1" x14ac:dyDescent="0.2">
      <c r="B89" s="3"/>
      <c r="C89" s="3"/>
      <c r="D89" s="3"/>
      <c r="E89" s="3"/>
      <c r="F89" s="12"/>
      <c r="G89" s="12"/>
      <c r="H89" s="12"/>
      <c r="I89" s="12"/>
      <c r="J89" s="12"/>
      <c r="K89" s="12"/>
      <c r="L89" s="12"/>
      <c r="M89" s="12"/>
      <c r="U89" s="64" t="s">
        <v>40</v>
      </c>
      <c r="V89" s="39" t="str">
        <f ca="1">Planung!$L31</f>
        <v/>
      </c>
      <c r="W89" s="12" t="str">
        <f ca="1">Planung!$N31</f>
        <v/>
      </c>
      <c r="X89" s="12" t="str">
        <f ca="1">IF($AA89=1,Vorrunde!$I37,"")</f>
        <v/>
      </c>
      <c r="Y89" s="34" t="str">
        <f ca="1">IF($AA89=1,Vorrunde!$K37,"")</f>
        <v/>
      </c>
      <c r="Z89" s="33" t="str">
        <f t="shared" ca="1" si="76"/>
        <v/>
      </c>
      <c r="AA89" s="12">
        <f ca="1">IF(AND(Vorrunde!$I37&lt;&gt;"",Vorrunde!$K37&lt;&gt;"",Vorrunde!$I37&lt;&gt;Vorrunde!$K37,Vorrunde!$L37&lt;&gt;"",Vorrunde!$N37&lt;&gt;"",Vorrunde!$L37&lt;&gt;Vorrunde!$N37,Vorrunde!$F37&lt;&gt;"",Vorrunde!$H37&lt;&gt;"",Vorrunde!$F37&lt;&gt;Vorrunde!$H37),1,0)</f>
        <v>0</v>
      </c>
      <c r="AB89" s="12" t="str">
        <f ca="1">IF(AA89&gt;0,(X89+AG89)&amp;Sprache!$E$77&amp;(Y89+AH89),"")</f>
        <v/>
      </c>
      <c r="AD89" s="141"/>
      <c r="AE89" s="146">
        <f t="shared" ca="1" si="77"/>
        <v>0</v>
      </c>
      <c r="AF89" s="141">
        <f t="shared" ca="1" si="78"/>
        <v>0</v>
      </c>
      <c r="AG89" s="146" t="str">
        <f ca="1">IF($AA89=1,Vorrunde!$L37,"")</f>
        <v/>
      </c>
      <c r="AH89" s="12" t="str">
        <f ca="1">IF($AA89=1,Vorrunde!$N37,"")</f>
        <v/>
      </c>
      <c r="AI89" s="599" t="str">
        <f ca="1">IF(AA89&gt;0,AE89&amp;Sprache!$E$77&amp;AF89,"")</f>
        <v/>
      </c>
    </row>
    <row r="90" spans="2:35" s="2" customFormat="1" x14ac:dyDescent="0.2">
      <c r="B90" s="3"/>
      <c r="C90" s="3"/>
      <c r="D90" s="3"/>
      <c r="E90" s="3"/>
      <c r="F90" s="12"/>
      <c r="G90" s="12"/>
      <c r="H90" s="12"/>
      <c r="I90" s="12"/>
      <c r="J90" s="12"/>
      <c r="K90" s="12"/>
      <c r="L90" s="12"/>
      <c r="M90" s="12"/>
      <c r="U90" s="64" t="s">
        <v>41</v>
      </c>
      <c r="V90" s="39" t="str">
        <f ca="1">Planung!$L32</f>
        <v/>
      </c>
      <c r="W90" s="12" t="str">
        <f ca="1">Planung!$N32</f>
        <v/>
      </c>
      <c r="X90" s="12" t="str">
        <f ca="1">IF($AA90=1,Vorrunde!$I38,"")</f>
        <v/>
      </c>
      <c r="Y90" s="34" t="str">
        <f ca="1">IF($AA90=1,Vorrunde!$K38,"")</f>
        <v/>
      </c>
      <c r="Z90" s="33" t="str">
        <f t="shared" ca="1" si="76"/>
        <v/>
      </c>
      <c r="AA90" s="12">
        <f ca="1">IF(AND(Vorrunde!$I38&lt;&gt;"",Vorrunde!$K38&lt;&gt;"",Vorrunde!$I38&lt;&gt;Vorrunde!$K38,Vorrunde!$L38&lt;&gt;"",Vorrunde!$N38&lt;&gt;"",Vorrunde!$L38&lt;&gt;Vorrunde!$N38,Vorrunde!$F38&lt;&gt;"",Vorrunde!$H38&lt;&gt;"",Vorrunde!$F38&lt;&gt;Vorrunde!$H38),1,0)</f>
        <v>0</v>
      </c>
      <c r="AB90" s="12" t="str">
        <f ca="1">IF(AA90&gt;0,(X90+AG90)&amp;Sprache!$E$77&amp;(Y90+AH90),"")</f>
        <v/>
      </c>
      <c r="AD90" s="141"/>
      <c r="AE90" s="146">
        <f t="shared" ca="1" si="77"/>
        <v>0</v>
      </c>
      <c r="AF90" s="141">
        <f t="shared" ca="1" si="78"/>
        <v>0</v>
      </c>
      <c r="AG90" s="146" t="str">
        <f ca="1">IF($AA90=1,Vorrunde!$L38,"")</f>
        <v/>
      </c>
      <c r="AH90" s="12" t="str">
        <f ca="1">IF($AA90=1,Vorrunde!$N38,"")</f>
        <v/>
      </c>
      <c r="AI90" s="599" t="str">
        <f ca="1">IF(AA90&gt;0,AE90&amp;Sprache!$E$77&amp;AF90,"")</f>
        <v/>
      </c>
    </row>
    <row r="91" spans="2:35" s="2" customFormat="1" x14ac:dyDescent="0.2">
      <c r="B91" s="3"/>
      <c r="C91" s="3"/>
      <c r="D91" s="3"/>
      <c r="E91" s="3"/>
      <c r="F91" s="12"/>
      <c r="G91" s="12"/>
      <c r="H91" s="12"/>
      <c r="I91" s="12"/>
      <c r="J91" s="12"/>
      <c r="K91" s="12"/>
      <c r="L91" s="12"/>
      <c r="M91" s="12"/>
      <c r="U91" s="64" t="s">
        <v>42</v>
      </c>
      <c r="V91" s="39" t="str">
        <f ca="1">Planung!$L33</f>
        <v/>
      </c>
      <c r="W91" s="12" t="str">
        <f ca="1">Planung!$N33</f>
        <v/>
      </c>
      <c r="X91" s="12" t="str">
        <f ca="1">IF($AA91=1,Vorrunde!$I39,"")</f>
        <v/>
      </c>
      <c r="Y91" s="34" t="str">
        <f ca="1">IF($AA91=1,Vorrunde!$K39,"")</f>
        <v/>
      </c>
      <c r="Z91" s="33" t="str">
        <f t="shared" ca="1" si="76"/>
        <v/>
      </c>
      <c r="AA91" s="12">
        <f ca="1">IF(AND(Vorrunde!$I39&lt;&gt;"",Vorrunde!$K39&lt;&gt;"",Vorrunde!$I39&lt;&gt;Vorrunde!$K39,Vorrunde!$L39&lt;&gt;"",Vorrunde!$N39&lt;&gt;"",Vorrunde!$L39&lt;&gt;Vorrunde!$N39,Vorrunde!$F39&lt;&gt;"",Vorrunde!$H39&lt;&gt;"",Vorrunde!$F39&lt;&gt;Vorrunde!$H39),1,0)</f>
        <v>0</v>
      </c>
      <c r="AB91" s="12" t="str">
        <f ca="1">IF(AA91&gt;0,(X91+AG91)&amp;Sprache!$E$77&amp;(Y91+AH91),"")</f>
        <v/>
      </c>
      <c r="AD91" s="141"/>
      <c r="AE91" s="146">
        <f t="shared" ca="1" si="77"/>
        <v>0</v>
      </c>
      <c r="AF91" s="141">
        <f t="shared" ca="1" si="78"/>
        <v>0</v>
      </c>
      <c r="AG91" s="146" t="str">
        <f ca="1">IF($AA91=1,Vorrunde!$L39,"")</f>
        <v/>
      </c>
      <c r="AH91" s="12" t="str">
        <f ca="1">IF($AA91=1,Vorrunde!$N39,"")</f>
        <v/>
      </c>
      <c r="AI91" s="599" t="str">
        <f ca="1">IF(AA91&gt;0,AE91&amp;Sprache!$E$77&amp;AF91,"")</f>
        <v/>
      </c>
    </row>
    <row r="92" spans="2:35" s="2" customFormat="1" x14ac:dyDescent="0.2">
      <c r="B92" s="3"/>
      <c r="C92" s="3"/>
      <c r="D92" s="3"/>
      <c r="E92" s="3"/>
      <c r="F92" s="12"/>
      <c r="G92" s="12"/>
      <c r="H92" s="12"/>
      <c r="I92" s="12"/>
      <c r="J92" s="12"/>
      <c r="K92" s="12"/>
      <c r="L92" s="12"/>
      <c r="M92" s="12"/>
      <c r="U92" s="64" t="s">
        <v>43</v>
      </c>
      <c r="V92" s="39" t="str">
        <f ca="1">Planung!$L34</f>
        <v/>
      </c>
      <c r="W92" s="12" t="str">
        <f ca="1">Planung!$N34</f>
        <v/>
      </c>
      <c r="X92" s="12" t="str">
        <f ca="1">IF($AA92=1,Vorrunde!$I40,"")</f>
        <v/>
      </c>
      <c r="Y92" s="34" t="str">
        <f ca="1">IF($AA92=1,Vorrunde!$K40,"")</f>
        <v/>
      </c>
      <c r="Z92" s="33" t="str">
        <f t="shared" ca="1" si="76"/>
        <v/>
      </c>
      <c r="AA92" s="12">
        <f ca="1">IF(AND(Vorrunde!$I40&lt;&gt;"",Vorrunde!$K40&lt;&gt;"",Vorrunde!$I40&lt;&gt;Vorrunde!$K40,Vorrunde!$L40&lt;&gt;"",Vorrunde!$N40&lt;&gt;"",Vorrunde!$L40&lt;&gt;Vorrunde!$N40,Vorrunde!$F40&lt;&gt;"",Vorrunde!$H40&lt;&gt;"",Vorrunde!$F40&lt;&gt;Vorrunde!$H40),1,0)</f>
        <v>0</v>
      </c>
      <c r="AB92" s="12" t="str">
        <f ca="1">IF(AA92&gt;0,(X92+AG92)&amp;Sprache!$E$77&amp;(Y92+AH92),"")</f>
        <v/>
      </c>
      <c r="AD92" s="141"/>
      <c r="AE92" s="146">
        <f t="shared" ca="1" si="77"/>
        <v>0</v>
      </c>
      <c r="AF92" s="141">
        <f t="shared" ca="1" si="78"/>
        <v>0</v>
      </c>
      <c r="AG92" s="146" t="str">
        <f ca="1">IF($AA92=1,Vorrunde!$L40,"")</f>
        <v/>
      </c>
      <c r="AH92" s="12" t="str">
        <f ca="1">IF($AA92=1,Vorrunde!$N40,"")</f>
        <v/>
      </c>
      <c r="AI92" s="599" t="str">
        <f ca="1">IF(AA92&gt;0,AE92&amp;Sprache!$E$77&amp;AF92,"")</f>
        <v/>
      </c>
    </row>
    <row r="93" spans="2:35" s="2" customFormat="1" ht="12.75" thickBot="1" x14ac:dyDescent="0.25">
      <c r="B93" s="3"/>
      <c r="C93" s="3"/>
      <c r="D93" s="3"/>
      <c r="E93" s="3"/>
      <c r="F93" s="12"/>
      <c r="G93" s="12"/>
      <c r="H93" s="12"/>
      <c r="I93" s="12"/>
      <c r="J93" s="12"/>
      <c r="K93" s="12"/>
      <c r="L93" s="12"/>
      <c r="M93" s="12"/>
      <c r="U93" s="64" t="s">
        <v>44</v>
      </c>
      <c r="V93" s="39" t="str">
        <f ca="1">Planung!$L35</f>
        <v/>
      </c>
      <c r="W93" s="12" t="str">
        <f ca="1">Planung!$N35</f>
        <v/>
      </c>
      <c r="X93" s="12" t="str">
        <f ca="1">IF($AA93=1,Vorrunde!$I41,"")</f>
        <v/>
      </c>
      <c r="Y93" s="34" t="str">
        <f ca="1">IF($AA93=1,Vorrunde!$K41,"")</f>
        <v/>
      </c>
      <c r="Z93" s="33" t="str">
        <f t="shared" ca="1" si="76"/>
        <v/>
      </c>
      <c r="AA93" s="12">
        <f ca="1">IF(AND(Vorrunde!$I41&lt;&gt;"",Vorrunde!$K41&lt;&gt;"",Vorrunde!$I41&lt;&gt;Vorrunde!$K41,Vorrunde!$L41&lt;&gt;"",Vorrunde!$N41&lt;&gt;"",Vorrunde!$L41&lt;&gt;Vorrunde!$N41,Vorrunde!$F41&lt;&gt;"",Vorrunde!$H41&lt;&gt;"",Vorrunde!$F41&lt;&gt;Vorrunde!$H41),1,0)</f>
        <v>0</v>
      </c>
      <c r="AB93" s="12" t="str">
        <f ca="1">IF(AA93&gt;0,(X93+AG93)&amp;Sprache!$E$77&amp;(Y93+AH93),"")</f>
        <v/>
      </c>
      <c r="AD93" s="141"/>
      <c r="AE93" s="146">
        <f t="shared" ca="1" si="77"/>
        <v>0</v>
      </c>
      <c r="AF93" s="141">
        <f t="shared" ca="1" si="78"/>
        <v>0</v>
      </c>
      <c r="AG93" s="316" t="str">
        <f ca="1">IF($AA93=1,Vorrunde!$L41,"")</f>
        <v/>
      </c>
      <c r="AH93" s="312" t="str">
        <f ca="1">IF($AA93=1,Vorrunde!$N41,"")</f>
        <v/>
      </c>
      <c r="AI93" s="600" t="str">
        <f ca="1">IF(AA93&gt;0,AE93&amp;Sprache!$E$77&amp;AF93,"")</f>
        <v/>
      </c>
    </row>
    <row r="94" spans="2:35" s="2" customFormat="1" ht="12.75" thickTop="1" x14ac:dyDescent="0.2">
      <c r="B94" s="3"/>
      <c r="C94" s="3"/>
      <c r="D94" s="3"/>
      <c r="E94" s="3"/>
      <c r="F94" s="12"/>
      <c r="G94" s="12"/>
      <c r="H94" s="12"/>
      <c r="I94" s="12"/>
      <c r="J94" s="12"/>
      <c r="K94" s="12"/>
      <c r="L94" s="12"/>
      <c r="M94" s="12"/>
      <c r="U94" s="317" t="s">
        <v>45</v>
      </c>
      <c r="V94" s="318" t="str">
        <f>""</f>
        <v/>
      </c>
      <c r="W94" s="319" t="str">
        <f>""</f>
        <v/>
      </c>
      <c r="X94" s="319" t="str">
        <f>""</f>
        <v/>
      </c>
      <c r="Y94" s="320" t="str">
        <f>""</f>
        <v/>
      </c>
      <c r="Z94" s="321" t="str">
        <f>""</f>
        <v/>
      </c>
      <c r="AA94" s="319">
        <v>0</v>
      </c>
      <c r="AB94" s="319" t="str">
        <f>""</f>
        <v/>
      </c>
      <c r="AC94" s="322"/>
      <c r="AD94" s="323"/>
      <c r="AE94" s="324"/>
      <c r="AF94" s="323"/>
      <c r="AG94" s="596" t="str">
        <f>""</f>
        <v/>
      </c>
      <c r="AH94" s="3" t="str">
        <f>""</f>
        <v/>
      </c>
      <c r="AI94" s="601"/>
    </row>
    <row r="95" spans="2:35" s="2" customFormat="1" x14ac:dyDescent="0.2">
      <c r="B95" s="3"/>
      <c r="C95" s="3"/>
      <c r="D95" s="3"/>
      <c r="E95" s="3"/>
      <c r="F95" s="12"/>
      <c r="G95" s="12"/>
      <c r="H95" s="12"/>
      <c r="I95" s="12"/>
      <c r="J95" s="12"/>
      <c r="K95" s="12"/>
      <c r="L95" s="12"/>
      <c r="M95" s="12"/>
      <c r="U95" s="64" t="s">
        <v>46</v>
      </c>
      <c r="V95" s="39" t="str">
        <f>""</f>
        <v/>
      </c>
      <c r="W95" s="12" t="str">
        <f>""</f>
        <v/>
      </c>
      <c r="X95" s="12" t="str">
        <f>""</f>
        <v/>
      </c>
      <c r="Y95" s="34" t="str">
        <f>""</f>
        <v/>
      </c>
      <c r="Z95" s="33" t="str">
        <f>""</f>
        <v/>
      </c>
      <c r="AA95" s="12">
        <v>0</v>
      </c>
      <c r="AB95" s="12" t="str">
        <f>""</f>
        <v/>
      </c>
      <c r="AD95" s="141"/>
      <c r="AE95" s="146"/>
      <c r="AF95" s="141"/>
      <c r="AG95" s="596" t="str">
        <f>""</f>
        <v/>
      </c>
      <c r="AH95" s="3" t="str">
        <f>""</f>
        <v/>
      </c>
      <c r="AI95" s="601"/>
    </row>
    <row r="96" spans="2:35" s="2" customFormat="1" x14ac:dyDescent="0.2">
      <c r="B96" s="3"/>
      <c r="C96" s="3"/>
      <c r="D96" s="3"/>
      <c r="E96" s="3"/>
      <c r="F96" s="12"/>
      <c r="G96" s="12"/>
      <c r="H96" s="12"/>
      <c r="I96" s="12"/>
      <c r="J96" s="12"/>
      <c r="K96" s="12"/>
      <c r="L96" s="12"/>
      <c r="M96" s="12"/>
      <c r="U96" s="64" t="s">
        <v>47</v>
      </c>
      <c r="V96" s="39" t="str">
        <f>""</f>
        <v/>
      </c>
      <c r="W96" s="12" t="str">
        <f>""</f>
        <v/>
      </c>
      <c r="X96" s="12" t="str">
        <f>""</f>
        <v/>
      </c>
      <c r="Y96" s="34" t="str">
        <f>""</f>
        <v/>
      </c>
      <c r="Z96" s="33" t="str">
        <f>""</f>
        <v/>
      </c>
      <c r="AA96" s="12">
        <v>0</v>
      </c>
      <c r="AB96" s="12" t="str">
        <f>""</f>
        <v/>
      </c>
      <c r="AD96" s="141"/>
      <c r="AE96" s="146"/>
      <c r="AF96" s="141"/>
      <c r="AG96" s="596" t="str">
        <f>""</f>
        <v/>
      </c>
      <c r="AH96" s="3" t="str">
        <f>""</f>
        <v/>
      </c>
      <c r="AI96" s="601"/>
    </row>
    <row r="97" spans="2:35" s="2" customFormat="1" x14ac:dyDescent="0.2">
      <c r="B97" s="3"/>
      <c r="C97" s="3"/>
      <c r="D97" s="3"/>
      <c r="E97" s="3"/>
      <c r="F97" s="12"/>
      <c r="G97" s="12"/>
      <c r="H97" s="12"/>
      <c r="I97" s="12"/>
      <c r="J97" s="12"/>
      <c r="K97" s="12"/>
      <c r="L97" s="12"/>
      <c r="M97" s="12"/>
      <c r="U97" s="64" t="s">
        <v>48</v>
      </c>
      <c r="V97" s="39" t="str">
        <f>""</f>
        <v/>
      </c>
      <c r="W97" s="12" t="str">
        <f>""</f>
        <v/>
      </c>
      <c r="X97" s="12" t="str">
        <f>""</f>
        <v/>
      </c>
      <c r="Y97" s="34" t="str">
        <f>""</f>
        <v/>
      </c>
      <c r="Z97" s="33" t="str">
        <f>""</f>
        <v/>
      </c>
      <c r="AA97" s="12">
        <v>0</v>
      </c>
      <c r="AB97" s="12" t="str">
        <f>""</f>
        <v/>
      </c>
      <c r="AD97" s="141"/>
      <c r="AE97" s="146"/>
      <c r="AF97" s="141"/>
      <c r="AG97" s="596" t="str">
        <f>""</f>
        <v/>
      </c>
      <c r="AH97" s="3" t="str">
        <f>""</f>
        <v/>
      </c>
      <c r="AI97" s="601"/>
    </row>
    <row r="98" spans="2:35" s="2" customFormat="1" x14ac:dyDescent="0.2">
      <c r="B98" s="3"/>
      <c r="C98" s="3"/>
      <c r="D98" s="3"/>
      <c r="E98" s="3"/>
      <c r="F98" s="12"/>
      <c r="G98" s="12"/>
      <c r="H98" s="12"/>
      <c r="I98" s="12"/>
      <c r="J98" s="12"/>
      <c r="K98" s="12"/>
      <c r="L98" s="12"/>
      <c r="M98" s="12"/>
      <c r="U98" s="64" t="s">
        <v>49</v>
      </c>
      <c r="V98" s="39" t="str">
        <f>""</f>
        <v/>
      </c>
      <c r="W98" s="12" t="str">
        <f>""</f>
        <v/>
      </c>
      <c r="X98" s="12" t="str">
        <f>""</f>
        <v/>
      </c>
      <c r="Y98" s="34" t="str">
        <f>""</f>
        <v/>
      </c>
      <c r="Z98" s="33" t="str">
        <f>""</f>
        <v/>
      </c>
      <c r="AA98" s="12">
        <v>0</v>
      </c>
      <c r="AB98" s="12" t="str">
        <f>""</f>
        <v/>
      </c>
      <c r="AD98" s="141"/>
      <c r="AE98" s="146"/>
      <c r="AF98" s="141"/>
      <c r="AG98" s="596" t="str">
        <f>""</f>
        <v/>
      </c>
      <c r="AH98" s="3" t="str">
        <f>""</f>
        <v/>
      </c>
      <c r="AI98" s="601"/>
    </row>
    <row r="99" spans="2:35" s="2" customFormat="1" x14ac:dyDescent="0.2">
      <c r="B99" s="3"/>
      <c r="C99" s="3"/>
      <c r="D99" s="3"/>
      <c r="E99" s="3"/>
      <c r="F99" s="12"/>
      <c r="G99" s="12"/>
      <c r="H99" s="12"/>
      <c r="I99" s="12"/>
      <c r="J99" s="12"/>
      <c r="K99" s="12"/>
      <c r="L99" s="12"/>
      <c r="M99" s="12"/>
      <c r="U99" s="64" t="s">
        <v>50</v>
      </c>
      <c r="V99" s="39" t="str">
        <f>""</f>
        <v/>
      </c>
      <c r="W99" s="12" t="str">
        <f>""</f>
        <v/>
      </c>
      <c r="X99" s="12" t="str">
        <f>""</f>
        <v/>
      </c>
      <c r="Y99" s="34" t="str">
        <f>""</f>
        <v/>
      </c>
      <c r="Z99" s="33" t="str">
        <f>""</f>
        <v/>
      </c>
      <c r="AA99" s="12">
        <v>0</v>
      </c>
      <c r="AB99" s="12" t="str">
        <f>""</f>
        <v/>
      </c>
      <c r="AD99" s="141"/>
      <c r="AE99" s="146"/>
      <c r="AF99" s="141"/>
      <c r="AG99" s="596" t="str">
        <f>""</f>
        <v/>
      </c>
      <c r="AH99" s="3" t="str">
        <f>""</f>
        <v/>
      </c>
      <c r="AI99" s="601"/>
    </row>
    <row r="100" spans="2:35" s="2" customFormat="1" x14ac:dyDescent="0.2">
      <c r="B100" s="3"/>
      <c r="C100" s="3"/>
      <c r="D100" s="3"/>
      <c r="E100" s="3"/>
      <c r="F100" s="12"/>
      <c r="G100" s="12"/>
      <c r="H100" s="12"/>
      <c r="I100" s="12"/>
      <c r="J100" s="12"/>
      <c r="K100" s="12"/>
      <c r="L100" s="12"/>
      <c r="M100" s="12"/>
      <c r="U100" s="64" t="s">
        <v>58</v>
      </c>
      <c r="V100" s="39" t="str">
        <f>""</f>
        <v/>
      </c>
      <c r="W100" s="12" t="str">
        <f>""</f>
        <v/>
      </c>
      <c r="X100" s="12" t="str">
        <f>""</f>
        <v/>
      </c>
      <c r="Y100" s="34" t="str">
        <f>""</f>
        <v/>
      </c>
      <c r="Z100" s="33" t="str">
        <f>""</f>
        <v/>
      </c>
      <c r="AA100" s="12">
        <v>0</v>
      </c>
      <c r="AB100" s="12" t="str">
        <f>""</f>
        <v/>
      </c>
      <c r="AD100" s="141"/>
      <c r="AE100" s="146"/>
      <c r="AF100" s="141"/>
      <c r="AG100" s="596" t="str">
        <f>""</f>
        <v/>
      </c>
      <c r="AH100" s="3" t="str">
        <f>""</f>
        <v/>
      </c>
      <c r="AI100" s="601"/>
    </row>
    <row r="101" spans="2:35" s="2" customFormat="1" x14ac:dyDescent="0.2">
      <c r="B101" s="3"/>
      <c r="C101" s="3"/>
      <c r="D101" s="3"/>
      <c r="E101" s="3"/>
      <c r="F101" s="12"/>
      <c r="G101" s="12"/>
      <c r="H101" s="12"/>
      <c r="I101" s="12"/>
      <c r="J101" s="12"/>
      <c r="K101" s="12"/>
      <c r="L101" s="12"/>
      <c r="M101" s="12"/>
      <c r="U101" s="64" t="s">
        <v>59</v>
      </c>
      <c r="V101" s="39" t="str">
        <f>""</f>
        <v/>
      </c>
      <c r="W101" s="12" t="str">
        <f>""</f>
        <v/>
      </c>
      <c r="X101" s="12" t="str">
        <f>""</f>
        <v/>
      </c>
      <c r="Y101" s="34" t="str">
        <f>""</f>
        <v/>
      </c>
      <c r="Z101" s="33" t="str">
        <f>""</f>
        <v/>
      </c>
      <c r="AA101" s="12">
        <v>0</v>
      </c>
      <c r="AB101" s="12" t="str">
        <f>""</f>
        <v/>
      </c>
      <c r="AD101" s="141"/>
      <c r="AE101" s="146"/>
      <c r="AF101" s="141"/>
      <c r="AG101" s="596" t="str">
        <f>""</f>
        <v/>
      </c>
      <c r="AH101" s="3" t="str">
        <f>""</f>
        <v/>
      </c>
      <c r="AI101" s="601"/>
    </row>
    <row r="102" spans="2:35" s="2" customFormat="1" x14ac:dyDescent="0.2">
      <c r="B102" s="3"/>
      <c r="C102" s="3"/>
      <c r="D102" s="3"/>
      <c r="E102" s="3"/>
      <c r="F102" s="12"/>
      <c r="G102" s="12"/>
      <c r="H102" s="12"/>
      <c r="I102" s="12"/>
      <c r="J102" s="12"/>
      <c r="K102" s="12"/>
      <c r="L102" s="12"/>
      <c r="M102" s="12"/>
      <c r="U102" s="64" t="s">
        <v>60</v>
      </c>
      <c r="V102" s="39" t="str">
        <f>""</f>
        <v/>
      </c>
      <c r="W102" s="12" t="str">
        <f>""</f>
        <v/>
      </c>
      <c r="X102" s="12" t="str">
        <f>""</f>
        <v/>
      </c>
      <c r="Y102" s="34" t="str">
        <f>""</f>
        <v/>
      </c>
      <c r="Z102" s="33" t="str">
        <f>""</f>
        <v/>
      </c>
      <c r="AA102" s="12">
        <v>0</v>
      </c>
      <c r="AB102" s="12" t="str">
        <f>""</f>
        <v/>
      </c>
      <c r="AD102" s="141"/>
      <c r="AE102" s="146"/>
      <c r="AF102" s="141"/>
      <c r="AG102" s="596" t="str">
        <f>""</f>
        <v/>
      </c>
      <c r="AH102" s="3" t="str">
        <f>""</f>
        <v/>
      </c>
      <c r="AI102" s="601"/>
    </row>
    <row r="103" spans="2:35" s="2" customFormat="1" x14ac:dyDescent="0.2">
      <c r="B103" s="3"/>
      <c r="C103" s="3"/>
      <c r="D103" s="3"/>
      <c r="E103" s="3"/>
      <c r="F103" s="12"/>
      <c r="G103" s="12"/>
      <c r="H103" s="12"/>
      <c r="I103" s="12"/>
      <c r="J103" s="12"/>
      <c r="K103" s="12"/>
      <c r="L103" s="12"/>
      <c r="M103" s="12"/>
      <c r="U103" s="64" t="s">
        <v>61</v>
      </c>
      <c r="V103" s="39" t="str">
        <f>""</f>
        <v/>
      </c>
      <c r="W103" s="12" t="str">
        <f>""</f>
        <v/>
      </c>
      <c r="X103" s="12" t="str">
        <f>""</f>
        <v/>
      </c>
      <c r="Y103" s="34" t="str">
        <f>""</f>
        <v/>
      </c>
      <c r="Z103" s="33" t="str">
        <f>""</f>
        <v/>
      </c>
      <c r="AA103" s="12">
        <v>0</v>
      </c>
      <c r="AB103" s="12" t="str">
        <f>""</f>
        <v/>
      </c>
      <c r="AD103" s="141"/>
      <c r="AE103" s="146"/>
      <c r="AF103" s="141"/>
      <c r="AG103" s="596" t="str">
        <f>""</f>
        <v/>
      </c>
      <c r="AH103" s="3" t="str">
        <f>""</f>
        <v/>
      </c>
      <c r="AI103" s="601"/>
    </row>
    <row r="104" spans="2:35" s="2" customFormat="1" x14ac:dyDescent="0.2">
      <c r="B104" s="3"/>
      <c r="C104" s="3"/>
      <c r="D104" s="3"/>
      <c r="E104" s="3"/>
      <c r="F104" s="12"/>
      <c r="G104" s="12"/>
      <c r="H104" s="12"/>
      <c r="I104" s="12"/>
      <c r="J104" s="12"/>
      <c r="K104" s="12"/>
      <c r="L104" s="12"/>
      <c r="M104" s="12"/>
      <c r="U104" s="64" t="s">
        <v>62</v>
      </c>
      <c r="V104" s="39" t="str">
        <f>""</f>
        <v/>
      </c>
      <c r="W104" s="12" t="str">
        <f>""</f>
        <v/>
      </c>
      <c r="X104" s="12" t="str">
        <f>""</f>
        <v/>
      </c>
      <c r="Y104" s="34" t="str">
        <f>""</f>
        <v/>
      </c>
      <c r="Z104" s="33" t="str">
        <f>""</f>
        <v/>
      </c>
      <c r="AA104" s="12">
        <v>0</v>
      </c>
      <c r="AB104" s="12" t="str">
        <f>""</f>
        <v/>
      </c>
      <c r="AD104" s="141"/>
      <c r="AE104" s="146"/>
      <c r="AF104" s="141"/>
      <c r="AG104" s="596" t="str">
        <f>""</f>
        <v/>
      </c>
      <c r="AH104" s="3" t="str">
        <f>""</f>
        <v/>
      </c>
      <c r="AI104" s="601"/>
    </row>
    <row r="105" spans="2:35" s="2" customFormat="1" x14ac:dyDescent="0.2">
      <c r="B105" s="3"/>
      <c r="C105" s="3"/>
      <c r="D105" s="3"/>
      <c r="E105" s="3"/>
      <c r="F105" s="12"/>
      <c r="G105" s="12"/>
      <c r="H105" s="12"/>
      <c r="I105" s="12"/>
      <c r="J105" s="12"/>
      <c r="K105" s="12"/>
      <c r="L105" s="12"/>
      <c r="M105" s="12"/>
      <c r="U105" s="64" t="s">
        <v>63</v>
      </c>
      <c r="V105" s="39" t="str">
        <f>""</f>
        <v/>
      </c>
      <c r="W105" s="12" t="str">
        <f>""</f>
        <v/>
      </c>
      <c r="X105" s="12" t="str">
        <f>""</f>
        <v/>
      </c>
      <c r="Y105" s="34" t="str">
        <f>""</f>
        <v/>
      </c>
      <c r="Z105" s="33" t="str">
        <f>""</f>
        <v/>
      </c>
      <c r="AA105" s="12">
        <v>0</v>
      </c>
      <c r="AB105" s="12" t="str">
        <f>""</f>
        <v/>
      </c>
      <c r="AD105" s="141"/>
      <c r="AE105" s="146"/>
      <c r="AF105" s="141"/>
      <c r="AG105" s="596" t="str">
        <f>""</f>
        <v/>
      </c>
      <c r="AH105" s="3" t="str">
        <f>""</f>
        <v/>
      </c>
      <c r="AI105" s="601"/>
    </row>
    <row r="106" spans="2:35" s="2" customFormat="1" x14ac:dyDescent="0.2">
      <c r="B106" s="3"/>
      <c r="C106" s="3"/>
      <c r="D106" s="3"/>
      <c r="E106" s="3"/>
      <c r="F106" s="12"/>
      <c r="G106" s="12"/>
      <c r="H106" s="12"/>
      <c r="I106" s="12"/>
      <c r="J106" s="12"/>
      <c r="K106" s="12"/>
      <c r="L106" s="12"/>
      <c r="M106" s="12"/>
      <c r="U106" s="64" t="s">
        <v>64</v>
      </c>
      <c r="V106" s="39" t="str">
        <f>""</f>
        <v/>
      </c>
      <c r="W106" s="12" t="str">
        <f>""</f>
        <v/>
      </c>
      <c r="X106" s="12" t="str">
        <f>""</f>
        <v/>
      </c>
      <c r="Y106" s="34" t="str">
        <f>""</f>
        <v/>
      </c>
      <c r="Z106" s="33" t="str">
        <f>""</f>
        <v/>
      </c>
      <c r="AA106" s="12">
        <v>0</v>
      </c>
      <c r="AB106" s="12" t="str">
        <f>""</f>
        <v/>
      </c>
      <c r="AD106" s="141"/>
      <c r="AE106" s="146"/>
      <c r="AF106" s="141"/>
      <c r="AG106" s="596" t="str">
        <f>""</f>
        <v/>
      </c>
      <c r="AH106" s="3" t="str">
        <f>""</f>
        <v/>
      </c>
      <c r="AI106" s="601"/>
    </row>
    <row r="107" spans="2:35" s="2" customFormat="1" x14ac:dyDescent="0.2">
      <c r="B107" s="3"/>
      <c r="C107" s="3"/>
      <c r="D107" s="3"/>
      <c r="E107" s="3"/>
      <c r="F107" s="12"/>
      <c r="G107" s="12"/>
      <c r="H107" s="12"/>
      <c r="I107" s="12"/>
      <c r="J107" s="12"/>
      <c r="K107" s="12"/>
      <c r="L107" s="12"/>
      <c r="M107" s="12"/>
      <c r="U107" s="64" t="s">
        <v>65</v>
      </c>
      <c r="V107" s="39" t="str">
        <f>""</f>
        <v/>
      </c>
      <c r="W107" s="12" t="str">
        <f>""</f>
        <v/>
      </c>
      <c r="X107" s="12" t="str">
        <f>""</f>
        <v/>
      </c>
      <c r="Y107" s="34" t="str">
        <f>""</f>
        <v/>
      </c>
      <c r="Z107" s="33" t="str">
        <f>""</f>
        <v/>
      </c>
      <c r="AA107" s="12">
        <v>0</v>
      </c>
      <c r="AB107" s="12" t="str">
        <f>""</f>
        <v/>
      </c>
      <c r="AD107" s="141"/>
      <c r="AE107" s="146"/>
      <c r="AF107" s="141"/>
      <c r="AG107" s="596" t="str">
        <f>""</f>
        <v/>
      </c>
      <c r="AH107" s="3" t="str">
        <f>""</f>
        <v/>
      </c>
      <c r="AI107" s="601"/>
    </row>
    <row r="108" spans="2:35" s="2" customFormat="1" x14ac:dyDescent="0.2">
      <c r="B108" s="3"/>
      <c r="C108" s="3"/>
      <c r="D108" s="3"/>
      <c r="E108" s="3"/>
      <c r="F108" s="12"/>
      <c r="G108" s="12"/>
      <c r="H108" s="12"/>
      <c r="I108" s="12"/>
      <c r="J108" s="12"/>
      <c r="K108" s="12"/>
      <c r="L108" s="12"/>
      <c r="M108" s="12"/>
      <c r="U108" s="64" t="s">
        <v>66</v>
      </c>
      <c r="V108" s="39" t="str">
        <f>""</f>
        <v/>
      </c>
      <c r="W108" s="12" t="str">
        <f>""</f>
        <v/>
      </c>
      <c r="X108" s="12" t="str">
        <f>""</f>
        <v/>
      </c>
      <c r="Y108" s="34" t="str">
        <f>""</f>
        <v/>
      </c>
      <c r="Z108" s="33" t="str">
        <f>""</f>
        <v/>
      </c>
      <c r="AA108" s="12">
        <v>0</v>
      </c>
      <c r="AB108" s="12" t="str">
        <f>""</f>
        <v/>
      </c>
      <c r="AD108" s="141"/>
      <c r="AE108" s="146"/>
      <c r="AF108" s="141"/>
      <c r="AG108" s="596" t="str">
        <f>""</f>
        <v/>
      </c>
      <c r="AH108" s="3" t="str">
        <f>""</f>
        <v/>
      </c>
      <c r="AI108" s="601"/>
    </row>
    <row r="109" spans="2:35" s="2" customFormat="1" x14ac:dyDescent="0.2">
      <c r="B109" s="3"/>
      <c r="C109" s="3"/>
      <c r="D109" s="3"/>
      <c r="E109" s="3"/>
      <c r="F109" s="12"/>
      <c r="G109" s="12"/>
      <c r="H109" s="12"/>
      <c r="I109" s="12"/>
      <c r="J109" s="12"/>
      <c r="K109" s="12"/>
      <c r="L109" s="12"/>
      <c r="M109" s="12"/>
      <c r="U109" s="64" t="s">
        <v>67</v>
      </c>
      <c r="V109" s="39" t="str">
        <f>""</f>
        <v/>
      </c>
      <c r="W109" s="12" t="str">
        <f>""</f>
        <v/>
      </c>
      <c r="X109" s="12" t="str">
        <f>""</f>
        <v/>
      </c>
      <c r="Y109" s="34" t="str">
        <f>""</f>
        <v/>
      </c>
      <c r="Z109" s="33" t="str">
        <f>""</f>
        <v/>
      </c>
      <c r="AA109" s="12">
        <v>0</v>
      </c>
      <c r="AB109" s="12" t="str">
        <f>""</f>
        <v/>
      </c>
      <c r="AD109" s="141"/>
      <c r="AE109" s="146"/>
      <c r="AF109" s="141"/>
      <c r="AG109" s="596" t="str">
        <f>""</f>
        <v/>
      </c>
      <c r="AH109" s="3" t="str">
        <f>""</f>
        <v/>
      </c>
      <c r="AI109" s="601"/>
    </row>
    <row r="110" spans="2:35" s="2" customFormat="1" x14ac:dyDescent="0.2">
      <c r="B110" s="3"/>
      <c r="C110" s="3"/>
      <c r="D110" s="3"/>
      <c r="E110" s="3"/>
      <c r="F110" s="12"/>
      <c r="G110" s="12"/>
      <c r="H110" s="12"/>
      <c r="I110" s="12"/>
      <c r="J110" s="12"/>
      <c r="K110" s="12"/>
      <c r="L110" s="12"/>
      <c r="M110" s="12"/>
      <c r="U110" s="64" t="s">
        <v>68</v>
      </c>
      <c r="V110" s="39" t="str">
        <f>""</f>
        <v/>
      </c>
      <c r="W110" s="12" t="str">
        <f>""</f>
        <v/>
      </c>
      <c r="X110" s="12" t="str">
        <f>""</f>
        <v/>
      </c>
      <c r="Y110" s="34" t="str">
        <f>""</f>
        <v/>
      </c>
      <c r="Z110" s="33" t="str">
        <f>""</f>
        <v/>
      </c>
      <c r="AA110" s="12">
        <v>0</v>
      </c>
      <c r="AB110" s="12" t="str">
        <f>""</f>
        <v/>
      </c>
      <c r="AD110" s="141"/>
      <c r="AE110" s="146"/>
      <c r="AF110" s="141"/>
      <c r="AG110" s="596" t="str">
        <f>""</f>
        <v/>
      </c>
      <c r="AH110" s="3" t="str">
        <f>""</f>
        <v/>
      </c>
      <c r="AI110" s="601"/>
    </row>
    <row r="111" spans="2:35" s="2" customFormat="1" x14ac:dyDescent="0.2">
      <c r="B111" s="3"/>
      <c r="C111" s="3"/>
      <c r="D111" s="3"/>
      <c r="E111" s="3"/>
      <c r="F111" s="12"/>
      <c r="G111" s="12"/>
      <c r="H111" s="12"/>
      <c r="I111" s="12"/>
      <c r="J111" s="12"/>
      <c r="K111" s="12"/>
      <c r="L111" s="12"/>
      <c r="M111" s="12"/>
      <c r="U111" s="64" t="s">
        <v>69</v>
      </c>
      <c r="V111" s="39" t="str">
        <f>""</f>
        <v/>
      </c>
      <c r="W111" s="12" t="str">
        <f>""</f>
        <v/>
      </c>
      <c r="X111" s="12" t="str">
        <f>""</f>
        <v/>
      </c>
      <c r="Y111" s="34" t="str">
        <f>""</f>
        <v/>
      </c>
      <c r="Z111" s="33" t="str">
        <f>""</f>
        <v/>
      </c>
      <c r="AA111" s="12">
        <v>0</v>
      </c>
      <c r="AB111" s="12" t="str">
        <f>""</f>
        <v/>
      </c>
      <c r="AD111" s="141"/>
      <c r="AE111" s="146"/>
      <c r="AF111" s="141"/>
      <c r="AG111" s="596" t="str">
        <f>""</f>
        <v/>
      </c>
      <c r="AH111" s="3" t="str">
        <f>""</f>
        <v/>
      </c>
      <c r="AI111" s="601"/>
    </row>
    <row r="112" spans="2:35" s="2" customFormat="1" x14ac:dyDescent="0.2">
      <c r="B112" s="3"/>
      <c r="C112" s="3"/>
      <c r="D112" s="3"/>
      <c r="E112" s="3"/>
      <c r="F112" s="12"/>
      <c r="G112" s="12"/>
      <c r="H112" s="12"/>
      <c r="I112" s="12"/>
      <c r="J112" s="12"/>
      <c r="K112" s="12"/>
      <c r="L112" s="12"/>
      <c r="M112" s="12"/>
      <c r="U112" s="64" t="s">
        <v>70</v>
      </c>
      <c r="V112" s="39" t="str">
        <f>""</f>
        <v/>
      </c>
      <c r="W112" s="12" t="str">
        <f>""</f>
        <v/>
      </c>
      <c r="X112" s="12" t="str">
        <f>""</f>
        <v/>
      </c>
      <c r="Y112" s="34" t="str">
        <f>""</f>
        <v/>
      </c>
      <c r="Z112" s="33" t="str">
        <f>""</f>
        <v/>
      </c>
      <c r="AA112" s="12">
        <v>0</v>
      </c>
      <c r="AB112" s="12" t="str">
        <f>""</f>
        <v/>
      </c>
      <c r="AD112" s="141"/>
      <c r="AE112" s="146"/>
      <c r="AF112" s="141"/>
      <c r="AG112" s="596" t="str">
        <f>""</f>
        <v/>
      </c>
      <c r="AH112" s="3" t="str">
        <f>""</f>
        <v/>
      </c>
      <c r="AI112" s="601"/>
    </row>
    <row r="113" spans="2:35" s="2" customFormat="1" x14ac:dyDescent="0.2">
      <c r="B113" s="3"/>
      <c r="C113" s="3"/>
      <c r="D113" s="3"/>
      <c r="E113" s="3"/>
      <c r="F113" s="12"/>
      <c r="G113" s="12"/>
      <c r="H113" s="12"/>
      <c r="I113" s="12"/>
      <c r="J113" s="12"/>
      <c r="K113" s="12"/>
      <c r="L113" s="12"/>
      <c r="M113" s="12"/>
      <c r="U113" s="64" t="s">
        <v>71</v>
      </c>
      <c r="V113" s="39" t="str">
        <f>""</f>
        <v/>
      </c>
      <c r="W113" s="12" t="str">
        <f>""</f>
        <v/>
      </c>
      <c r="X113" s="12" t="str">
        <f>""</f>
        <v/>
      </c>
      <c r="Y113" s="34" t="str">
        <f>""</f>
        <v/>
      </c>
      <c r="Z113" s="33" t="str">
        <f>""</f>
        <v/>
      </c>
      <c r="AA113" s="12">
        <v>0</v>
      </c>
      <c r="AB113" s="12" t="str">
        <f>""</f>
        <v/>
      </c>
      <c r="AD113" s="141"/>
      <c r="AE113" s="146"/>
      <c r="AF113" s="141"/>
      <c r="AG113" s="596" t="str">
        <f>""</f>
        <v/>
      </c>
      <c r="AH113" s="3" t="str">
        <f>""</f>
        <v/>
      </c>
      <c r="AI113" s="601"/>
    </row>
    <row r="114" spans="2:35" s="2" customFormat="1" x14ac:dyDescent="0.2">
      <c r="B114" s="3"/>
      <c r="C114" s="3"/>
      <c r="D114" s="3"/>
      <c r="E114" s="3"/>
      <c r="F114" s="12"/>
      <c r="G114" s="12"/>
      <c r="H114" s="12"/>
      <c r="I114" s="12"/>
      <c r="J114" s="12"/>
      <c r="K114" s="12"/>
      <c r="L114" s="12"/>
      <c r="M114" s="12"/>
      <c r="U114" s="64" t="s">
        <v>72</v>
      </c>
      <c r="V114" s="39" t="str">
        <f>""</f>
        <v/>
      </c>
      <c r="W114" s="12" t="str">
        <f>""</f>
        <v/>
      </c>
      <c r="X114" s="12" t="str">
        <f>""</f>
        <v/>
      </c>
      <c r="Y114" s="34" t="str">
        <f>""</f>
        <v/>
      </c>
      <c r="Z114" s="33" t="str">
        <f>""</f>
        <v/>
      </c>
      <c r="AA114" s="12">
        <v>0</v>
      </c>
      <c r="AB114" s="12" t="str">
        <f>""</f>
        <v/>
      </c>
      <c r="AD114" s="141"/>
      <c r="AE114" s="146"/>
      <c r="AF114" s="141"/>
      <c r="AG114" s="596" t="str">
        <f>""</f>
        <v/>
      </c>
      <c r="AH114" s="3" t="str">
        <f>""</f>
        <v/>
      </c>
      <c r="AI114" s="601"/>
    </row>
    <row r="115" spans="2:35" s="2" customFormat="1" x14ac:dyDescent="0.2">
      <c r="B115" s="3"/>
      <c r="C115" s="3"/>
      <c r="D115" s="3"/>
      <c r="E115" s="3"/>
      <c r="F115" s="12"/>
      <c r="G115" s="12"/>
      <c r="H115" s="12"/>
      <c r="I115" s="12"/>
      <c r="J115" s="12"/>
      <c r="K115" s="12"/>
      <c r="L115" s="12"/>
      <c r="M115" s="12"/>
      <c r="U115" s="64" t="s">
        <v>73</v>
      </c>
      <c r="V115" s="39" t="str">
        <f>""</f>
        <v/>
      </c>
      <c r="W115" s="12" t="str">
        <f>""</f>
        <v/>
      </c>
      <c r="X115" s="12" t="str">
        <f>""</f>
        <v/>
      </c>
      <c r="Y115" s="34" t="str">
        <f>""</f>
        <v/>
      </c>
      <c r="Z115" s="33" t="str">
        <f>""</f>
        <v/>
      </c>
      <c r="AA115" s="12">
        <v>0</v>
      </c>
      <c r="AB115" s="12" t="str">
        <f>""</f>
        <v/>
      </c>
      <c r="AD115" s="141"/>
      <c r="AE115" s="146"/>
      <c r="AF115" s="141"/>
      <c r="AG115" s="596" t="str">
        <f>""</f>
        <v/>
      </c>
      <c r="AH115" s="3" t="str">
        <f>""</f>
        <v/>
      </c>
      <c r="AI115" s="601"/>
    </row>
    <row r="116" spans="2:35" s="2" customFormat="1" x14ac:dyDescent="0.2">
      <c r="B116" s="3"/>
      <c r="C116" s="3"/>
      <c r="D116" s="3"/>
      <c r="E116" s="3"/>
      <c r="F116" s="12"/>
      <c r="G116" s="12"/>
      <c r="H116" s="12"/>
      <c r="I116" s="12"/>
      <c r="J116" s="12"/>
      <c r="K116" s="12"/>
      <c r="L116" s="12"/>
      <c r="M116" s="12"/>
      <c r="U116" s="64" t="s">
        <v>74</v>
      </c>
      <c r="V116" s="39" t="str">
        <f>""</f>
        <v/>
      </c>
      <c r="W116" s="12" t="str">
        <f>""</f>
        <v/>
      </c>
      <c r="X116" s="12" t="str">
        <f>""</f>
        <v/>
      </c>
      <c r="Y116" s="34" t="str">
        <f>""</f>
        <v/>
      </c>
      <c r="Z116" s="33" t="str">
        <f>""</f>
        <v/>
      </c>
      <c r="AA116" s="12">
        <v>0</v>
      </c>
      <c r="AB116" s="12" t="str">
        <f>""</f>
        <v/>
      </c>
      <c r="AD116" s="141"/>
      <c r="AE116" s="146"/>
      <c r="AF116" s="141"/>
      <c r="AG116" s="596" t="str">
        <f>""</f>
        <v/>
      </c>
      <c r="AH116" s="3" t="str">
        <f>""</f>
        <v/>
      </c>
      <c r="AI116" s="601"/>
    </row>
    <row r="117" spans="2:35" s="2" customFormat="1" x14ac:dyDescent="0.2">
      <c r="B117" s="3"/>
      <c r="C117" s="3"/>
      <c r="D117" s="3"/>
      <c r="E117" s="3"/>
      <c r="F117" s="12"/>
      <c r="G117" s="12"/>
      <c r="H117" s="12"/>
      <c r="I117" s="12"/>
      <c r="J117" s="12"/>
      <c r="K117" s="12"/>
      <c r="L117" s="12"/>
      <c r="M117" s="12"/>
      <c r="U117" s="64" t="s">
        <v>75</v>
      </c>
      <c r="V117" s="39" t="str">
        <f>""</f>
        <v/>
      </c>
      <c r="W117" s="12" t="str">
        <f>""</f>
        <v/>
      </c>
      <c r="X117" s="12" t="str">
        <f>""</f>
        <v/>
      </c>
      <c r="Y117" s="34" t="str">
        <f>""</f>
        <v/>
      </c>
      <c r="Z117" s="33" t="str">
        <f>""</f>
        <v/>
      </c>
      <c r="AA117" s="12">
        <v>0</v>
      </c>
      <c r="AB117" s="12" t="str">
        <f>""</f>
        <v/>
      </c>
      <c r="AD117" s="141"/>
      <c r="AE117" s="146"/>
      <c r="AF117" s="141"/>
      <c r="AG117" s="596" t="str">
        <f>""</f>
        <v/>
      </c>
      <c r="AH117" s="3" t="str">
        <f>""</f>
        <v/>
      </c>
      <c r="AI117" s="601"/>
    </row>
    <row r="118" spans="2:35" s="2" customFormat="1" x14ac:dyDescent="0.2">
      <c r="B118" s="3"/>
      <c r="C118" s="3"/>
      <c r="D118" s="3"/>
      <c r="E118" s="3"/>
      <c r="F118" s="12"/>
      <c r="G118" s="12"/>
      <c r="H118" s="12"/>
      <c r="I118" s="12"/>
      <c r="J118" s="12"/>
      <c r="K118" s="12"/>
      <c r="L118" s="12"/>
      <c r="M118" s="12"/>
      <c r="U118" s="64" t="s">
        <v>76</v>
      </c>
      <c r="V118" s="39" t="str">
        <f>""</f>
        <v/>
      </c>
      <c r="W118" s="12" t="str">
        <f>""</f>
        <v/>
      </c>
      <c r="X118" s="12" t="str">
        <f>""</f>
        <v/>
      </c>
      <c r="Y118" s="34" t="str">
        <f>""</f>
        <v/>
      </c>
      <c r="Z118" s="33" t="str">
        <f>""</f>
        <v/>
      </c>
      <c r="AA118" s="12">
        <v>0</v>
      </c>
      <c r="AB118" s="12" t="str">
        <f>""</f>
        <v/>
      </c>
      <c r="AD118" s="141"/>
      <c r="AE118" s="146"/>
      <c r="AF118" s="141"/>
      <c r="AG118" s="596" t="str">
        <f>""</f>
        <v/>
      </c>
      <c r="AH118" s="3" t="str">
        <f>""</f>
        <v/>
      </c>
      <c r="AI118" s="601"/>
    </row>
    <row r="119" spans="2:35" s="2" customFormat="1" x14ac:dyDescent="0.2">
      <c r="B119" s="3"/>
      <c r="C119" s="3"/>
      <c r="D119" s="3"/>
      <c r="E119" s="3"/>
      <c r="F119" s="12"/>
      <c r="G119" s="12"/>
      <c r="H119" s="12"/>
      <c r="I119" s="12"/>
      <c r="J119" s="12"/>
      <c r="K119" s="12"/>
      <c r="L119" s="12"/>
      <c r="M119" s="12"/>
      <c r="U119" s="64" t="s">
        <v>77</v>
      </c>
      <c r="V119" s="39" t="str">
        <f>""</f>
        <v/>
      </c>
      <c r="W119" s="12" t="str">
        <f>""</f>
        <v/>
      </c>
      <c r="X119" s="12" t="str">
        <f>""</f>
        <v/>
      </c>
      <c r="Y119" s="34" t="str">
        <f>""</f>
        <v/>
      </c>
      <c r="Z119" s="33" t="str">
        <f>""</f>
        <v/>
      </c>
      <c r="AA119" s="12">
        <v>0</v>
      </c>
      <c r="AB119" s="12" t="str">
        <f>""</f>
        <v/>
      </c>
      <c r="AD119" s="141"/>
      <c r="AE119" s="146"/>
      <c r="AF119" s="141"/>
      <c r="AG119" s="596" t="str">
        <f>""</f>
        <v/>
      </c>
      <c r="AH119" s="3" t="str">
        <f>""</f>
        <v/>
      </c>
      <c r="AI119" s="601"/>
    </row>
    <row r="120" spans="2:35" s="2" customFormat="1" x14ac:dyDescent="0.2">
      <c r="B120" s="3"/>
      <c r="C120" s="3"/>
      <c r="D120" s="3"/>
      <c r="E120" s="3"/>
      <c r="F120" s="12"/>
      <c r="G120" s="12"/>
      <c r="H120" s="12"/>
      <c r="I120" s="12"/>
      <c r="J120" s="12"/>
      <c r="K120" s="12"/>
      <c r="L120" s="12"/>
      <c r="M120" s="12"/>
      <c r="U120" s="64" t="s">
        <v>78</v>
      </c>
      <c r="V120" s="39" t="str">
        <f>""</f>
        <v/>
      </c>
      <c r="W120" s="12" t="str">
        <f>""</f>
        <v/>
      </c>
      <c r="X120" s="12" t="str">
        <f>""</f>
        <v/>
      </c>
      <c r="Y120" s="34" t="str">
        <f>""</f>
        <v/>
      </c>
      <c r="Z120" s="33" t="str">
        <f>""</f>
        <v/>
      </c>
      <c r="AA120" s="12">
        <v>0</v>
      </c>
      <c r="AB120" s="12" t="str">
        <f>""</f>
        <v/>
      </c>
      <c r="AD120" s="141"/>
      <c r="AE120" s="146"/>
      <c r="AF120" s="141"/>
      <c r="AG120" s="596" t="str">
        <f>""</f>
        <v/>
      </c>
      <c r="AH120" s="3" t="str">
        <f>""</f>
        <v/>
      </c>
      <c r="AI120" s="601"/>
    </row>
    <row r="121" spans="2:35" s="2" customFormat="1" x14ac:dyDescent="0.2">
      <c r="B121" s="3"/>
      <c r="C121" s="3"/>
      <c r="D121" s="3"/>
      <c r="E121" s="3"/>
      <c r="F121" s="12"/>
      <c r="G121" s="12"/>
      <c r="H121" s="12"/>
      <c r="I121" s="12"/>
      <c r="J121" s="12"/>
      <c r="K121" s="12"/>
      <c r="L121" s="12"/>
      <c r="M121" s="12"/>
      <c r="U121" s="64" t="s">
        <v>79</v>
      </c>
      <c r="V121" s="39" t="str">
        <f>""</f>
        <v/>
      </c>
      <c r="W121" s="12" t="str">
        <f>""</f>
        <v/>
      </c>
      <c r="X121" s="12" t="str">
        <f>""</f>
        <v/>
      </c>
      <c r="Y121" s="34" t="str">
        <f>""</f>
        <v/>
      </c>
      <c r="Z121" s="33" t="str">
        <f>""</f>
        <v/>
      </c>
      <c r="AA121" s="12">
        <v>0</v>
      </c>
      <c r="AB121" s="12" t="str">
        <f>""</f>
        <v/>
      </c>
      <c r="AD121" s="141"/>
      <c r="AE121" s="146"/>
      <c r="AF121" s="141"/>
      <c r="AG121" s="596" t="str">
        <f>""</f>
        <v/>
      </c>
      <c r="AH121" s="3" t="str">
        <f>""</f>
        <v/>
      </c>
      <c r="AI121" s="601"/>
    </row>
    <row r="122" spans="2:35" s="2" customFormat="1" x14ac:dyDescent="0.2">
      <c r="B122" s="3"/>
      <c r="C122" s="3"/>
      <c r="D122" s="3"/>
      <c r="E122" s="3"/>
      <c r="F122" s="12"/>
      <c r="G122" s="12"/>
      <c r="H122" s="12"/>
      <c r="I122" s="12"/>
      <c r="J122" s="12"/>
      <c r="K122" s="12"/>
      <c r="L122" s="12"/>
      <c r="M122" s="12"/>
      <c r="U122" s="64" t="s">
        <v>80</v>
      </c>
      <c r="V122" s="39" t="str">
        <f>""</f>
        <v/>
      </c>
      <c r="W122" s="12" t="str">
        <f>""</f>
        <v/>
      </c>
      <c r="X122" s="12" t="str">
        <f>""</f>
        <v/>
      </c>
      <c r="Y122" s="34" t="str">
        <f>""</f>
        <v/>
      </c>
      <c r="Z122" s="33" t="str">
        <f>""</f>
        <v/>
      </c>
      <c r="AA122" s="12">
        <v>0</v>
      </c>
      <c r="AB122" s="12" t="str">
        <f>""</f>
        <v/>
      </c>
      <c r="AD122" s="141"/>
      <c r="AE122" s="146"/>
      <c r="AF122" s="141"/>
      <c r="AG122" s="596" t="str">
        <f>""</f>
        <v/>
      </c>
      <c r="AH122" s="3" t="str">
        <f>""</f>
        <v/>
      </c>
      <c r="AI122" s="601"/>
    </row>
    <row r="123" spans="2:35" s="2" customFormat="1" x14ac:dyDescent="0.2">
      <c r="B123" s="3"/>
      <c r="C123" s="3"/>
      <c r="D123" s="3"/>
      <c r="E123" s="3"/>
      <c r="F123" s="12"/>
      <c r="G123" s="12"/>
      <c r="H123" s="12"/>
      <c r="I123" s="12"/>
      <c r="J123" s="12"/>
      <c r="K123" s="12"/>
      <c r="L123" s="12"/>
      <c r="M123" s="12"/>
      <c r="U123" s="64" t="s">
        <v>81</v>
      </c>
      <c r="V123" s="39" t="str">
        <f>""</f>
        <v/>
      </c>
      <c r="W123" s="12" t="str">
        <f>""</f>
        <v/>
      </c>
      <c r="X123" s="12" t="str">
        <f>""</f>
        <v/>
      </c>
      <c r="Y123" s="34" t="str">
        <f>""</f>
        <v/>
      </c>
      <c r="Z123" s="33" t="str">
        <f>""</f>
        <v/>
      </c>
      <c r="AA123" s="12">
        <v>0</v>
      </c>
      <c r="AB123" s="12" t="str">
        <f>""</f>
        <v/>
      </c>
      <c r="AD123" s="141"/>
      <c r="AE123" s="146"/>
      <c r="AF123" s="141"/>
      <c r="AG123" s="596" t="str">
        <f>""</f>
        <v/>
      </c>
      <c r="AH123" s="3" t="str">
        <f>""</f>
        <v/>
      </c>
      <c r="AI123" s="601"/>
    </row>
    <row r="124" spans="2:35" s="2" customFormat="1" x14ac:dyDescent="0.2">
      <c r="B124" s="3"/>
      <c r="C124" s="3"/>
      <c r="D124" s="3"/>
      <c r="E124" s="3"/>
      <c r="F124" s="12"/>
      <c r="G124" s="12"/>
      <c r="H124" s="12"/>
      <c r="I124" s="12"/>
      <c r="J124" s="12"/>
      <c r="K124" s="12"/>
      <c r="L124" s="12"/>
      <c r="M124" s="12"/>
      <c r="U124" s="64" t="s">
        <v>82</v>
      </c>
      <c r="V124" s="39" t="str">
        <f>""</f>
        <v/>
      </c>
      <c r="W124" s="12" t="str">
        <f>""</f>
        <v/>
      </c>
      <c r="X124" s="12" t="str">
        <f>""</f>
        <v/>
      </c>
      <c r="Y124" s="34" t="str">
        <f>""</f>
        <v/>
      </c>
      <c r="Z124" s="33" t="str">
        <f>""</f>
        <v/>
      </c>
      <c r="AA124" s="12">
        <v>0</v>
      </c>
      <c r="AB124" s="12" t="str">
        <f>""</f>
        <v/>
      </c>
      <c r="AD124" s="141"/>
      <c r="AE124" s="146"/>
      <c r="AF124" s="141"/>
      <c r="AG124" s="596" t="str">
        <f>""</f>
        <v/>
      </c>
      <c r="AH124" s="3" t="str">
        <f>""</f>
        <v/>
      </c>
      <c r="AI124" s="601"/>
    </row>
    <row r="125" spans="2:35" s="2" customFormat="1" x14ac:dyDescent="0.2">
      <c r="B125" s="3"/>
      <c r="C125" s="3"/>
      <c r="D125" s="3"/>
      <c r="E125" s="3"/>
      <c r="F125" s="12"/>
      <c r="G125" s="12"/>
      <c r="H125" s="12"/>
      <c r="I125" s="12"/>
      <c r="J125" s="12"/>
      <c r="K125" s="12"/>
      <c r="L125" s="12"/>
      <c r="M125" s="12"/>
      <c r="U125" s="64" t="s">
        <v>83</v>
      </c>
      <c r="V125" s="39" t="str">
        <f>""</f>
        <v/>
      </c>
      <c r="W125" s="12" t="str">
        <f>""</f>
        <v/>
      </c>
      <c r="X125" s="12" t="str">
        <f>""</f>
        <v/>
      </c>
      <c r="Y125" s="34" t="str">
        <f>""</f>
        <v/>
      </c>
      <c r="Z125" s="33" t="str">
        <f>""</f>
        <v/>
      </c>
      <c r="AA125" s="12">
        <v>0</v>
      </c>
      <c r="AB125" s="12" t="str">
        <f>""</f>
        <v/>
      </c>
      <c r="AD125" s="141"/>
      <c r="AE125" s="146"/>
      <c r="AF125" s="141"/>
      <c r="AG125" s="596" t="str">
        <f>""</f>
        <v/>
      </c>
      <c r="AH125" s="3" t="str">
        <f>""</f>
        <v/>
      </c>
      <c r="AI125" s="601"/>
    </row>
    <row r="126" spans="2:35" s="2" customFormat="1" x14ac:dyDescent="0.2">
      <c r="B126" s="3"/>
      <c r="C126" s="3"/>
      <c r="D126" s="3"/>
      <c r="E126" s="3"/>
      <c r="F126" s="12"/>
      <c r="G126" s="12"/>
      <c r="H126" s="12"/>
      <c r="I126" s="12"/>
      <c r="J126" s="12"/>
      <c r="K126" s="12"/>
      <c r="L126" s="12"/>
      <c r="M126" s="12"/>
      <c r="U126" s="64" t="s">
        <v>84</v>
      </c>
      <c r="V126" s="39" t="str">
        <f>""</f>
        <v/>
      </c>
      <c r="W126" s="12" t="str">
        <f>""</f>
        <v/>
      </c>
      <c r="X126" s="12" t="str">
        <f>""</f>
        <v/>
      </c>
      <c r="Y126" s="34" t="str">
        <f>""</f>
        <v/>
      </c>
      <c r="Z126" s="33" t="str">
        <f>""</f>
        <v/>
      </c>
      <c r="AA126" s="12">
        <v>0</v>
      </c>
      <c r="AB126" s="12" t="str">
        <f>""</f>
        <v/>
      </c>
      <c r="AD126" s="141"/>
      <c r="AE126" s="146"/>
      <c r="AF126" s="141"/>
      <c r="AG126" s="596" t="str">
        <f>""</f>
        <v/>
      </c>
      <c r="AH126" s="3" t="str">
        <f>""</f>
        <v/>
      </c>
      <c r="AI126" s="601"/>
    </row>
    <row r="127" spans="2:35" s="2" customFormat="1" x14ac:dyDescent="0.2">
      <c r="B127" s="3"/>
      <c r="C127" s="3"/>
      <c r="D127" s="3"/>
      <c r="E127" s="3"/>
      <c r="F127" s="12"/>
      <c r="G127" s="12"/>
      <c r="H127" s="12"/>
      <c r="I127" s="12"/>
      <c r="J127" s="12"/>
      <c r="K127" s="12"/>
      <c r="L127" s="12"/>
      <c r="M127" s="12"/>
      <c r="U127" s="64" t="s">
        <v>85</v>
      </c>
      <c r="V127" s="39" t="str">
        <f>""</f>
        <v/>
      </c>
      <c r="W127" s="12" t="str">
        <f>""</f>
        <v/>
      </c>
      <c r="X127" s="12" t="str">
        <f>""</f>
        <v/>
      </c>
      <c r="Y127" s="34" t="str">
        <f>""</f>
        <v/>
      </c>
      <c r="Z127" s="33" t="str">
        <f>""</f>
        <v/>
      </c>
      <c r="AA127" s="12">
        <v>0</v>
      </c>
      <c r="AB127" s="12" t="str">
        <f>""</f>
        <v/>
      </c>
      <c r="AD127" s="141"/>
      <c r="AE127" s="146"/>
      <c r="AF127" s="141"/>
      <c r="AG127" s="596" t="str">
        <f>""</f>
        <v/>
      </c>
      <c r="AH127" s="3" t="str">
        <f>""</f>
        <v/>
      </c>
      <c r="AI127" s="601"/>
    </row>
    <row r="128" spans="2:35" s="2" customFormat="1" x14ac:dyDescent="0.2">
      <c r="B128" s="3"/>
      <c r="C128" s="3"/>
      <c r="D128" s="3"/>
      <c r="E128" s="3"/>
      <c r="F128" s="12"/>
      <c r="G128" s="12"/>
      <c r="H128" s="12"/>
      <c r="I128" s="12"/>
      <c r="J128" s="12"/>
      <c r="K128" s="12"/>
      <c r="L128" s="12"/>
      <c r="M128" s="12"/>
      <c r="U128" s="64" t="s">
        <v>86</v>
      </c>
      <c r="V128" s="39" t="str">
        <f>""</f>
        <v/>
      </c>
      <c r="W128" s="12" t="str">
        <f>""</f>
        <v/>
      </c>
      <c r="X128" s="12" t="str">
        <f>""</f>
        <v/>
      </c>
      <c r="Y128" s="34" t="str">
        <f>""</f>
        <v/>
      </c>
      <c r="Z128" s="33" t="str">
        <f>""</f>
        <v/>
      </c>
      <c r="AA128" s="12">
        <v>0</v>
      </c>
      <c r="AB128" s="12" t="str">
        <f>""</f>
        <v/>
      </c>
      <c r="AD128" s="141"/>
      <c r="AE128" s="146"/>
      <c r="AF128" s="141"/>
      <c r="AG128" s="596" t="str">
        <f>""</f>
        <v/>
      </c>
      <c r="AH128" s="3" t="str">
        <f>""</f>
        <v/>
      </c>
      <c r="AI128" s="601"/>
    </row>
    <row r="129" spans="2:35" s="2" customFormat="1" x14ac:dyDescent="0.2">
      <c r="B129" s="3"/>
      <c r="C129" s="3"/>
      <c r="D129" s="3"/>
      <c r="E129" s="3"/>
      <c r="F129" s="12"/>
      <c r="G129" s="12"/>
      <c r="H129" s="12"/>
      <c r="I129" s="12"/>
      <c r="J129" s="12"/>
      <c r="K129" s="12"/>
      <c r="L129" s="12"/>
      <c r="M129" s="12"/>
      <c r="U129" s="64" t="s">
        <v>87</v>
      </c>
      <c r="V129" s="39" t="str">
        <f>""</f>
        <v/>
      </c>
      <c r="W129" s="12" t="str">
        <f>""</f>
        <v/>
      </c>
      <c r="X129" s="12" t="str">
        <f>""</f>
        <v/>
      </c>
      <c r="Y129" s="34" t="str">
        <f>""</f>
        <v/>
      </c>
      <c r="Z129" s="33" t="str">
        <f>""</f>
        <v/>
      </c>
      <c r="AA129" s="12">
        <v>0</v>
      </c>
      <c r="AB129" s="12" t="str">
        <f>""</f>
        <v/>
      </c>
      <c r="AD129" s="141"/>
      <c r="AE129" s="146"/>
      <c r="AF129" s="141"/>
      <c r="AG129" s="596" t="str">
        <f>""</f>
        <v/>
      </c>
      <c r="AH129" s="3" t="str">
        <f>""</f>
        <v/>
      </c>
      <c r="AI129" s="601"/>
    </row>
    <row r="130" spans="2:35" s="2" customFormat="1" x14ac:dyDescent="0.2">
      <c r="B130" s="3"/>
      <c r="C130" s="3"/>
      <c r="D130" s="3"/>
      <c r="E130" s="3"/>
      <c r="F130" s="12"/>
      <c r="G130" s="12"/>
      <c r="H130" s="12"/>
      <c r="I130" s="12"/>
      <c r="J130" s="12"/>
      <c r="K130" s="12"/>
      <c r="L130" s="12"/>
      <c r="M130" s="12"/>
      <c r="U130" s="64" t="s">
        <v>88</v>
      </c>
      <c r="V130" s="39" t="str">
        <f>""</f>
        <v/>
      </c>
      <c r="W130" s="12" t="str">
        <f>""</f>
        <v/>
      </c>
      <c r="X130" s="12" t="str">
        <f>""</f>
        <v/>
      </c>
      <c r="Y130" s="34" t="str">
        <f>""</f>
        <v/>
      </c>
      <c r="Z130" s="33" t="str">
        <f>""</f>
        <v/>
      </c>
      <c r="AA130" s="12">
        <v>0</v>
      </c>
      <c r="AB130" s="12" t="str">
        <f>""</f>
        <v/>
      </c>
      <c r="AD130" s="141"/>
      <c r="AE130" s="146"/>
      <c r="AF130" s="141"/>
      <c r="AG130" s="596" t="str">
        <f>""</f>
        <v/>
      </c>
      <c r="AH130" s="3" t="str">
        <f>""</f>
        <v/>
      </c>
      <c r="AI130" s="601"/>
    </row>
    <row r="131" spans="2:35" s="2" customFormat="1" x14ac:dyDescent="0.2">
      <c r="B131" s="3"/>
      <c r="C131" s="3"/>
      <c r="D131" s="3"/>
      <c r="E131" s="3"/>
      <c r="F131" s="12"/>
      <c r="G131" s="12"/>
      <c r="H131" s="12"/>
      <c r="I131" s="12"/>
      <c r="J131" s="12"/>
      <c r="K131" s="12"/>
      <c r="L131" s="12"/>
      <c r="M131" s="12"/>
      <c r="U131" s="64" t="s">
        <v>89</v>
      </c>
      <c r="V131" s="39" t="str">
        <f>""</f>
        <v/>
      </c>
      <c r="W131" s="12" t="str">
        <f>""</f>
        <v/>
      </c>
      <c r="X131" s="12" t="str">
        <f>""</f>
        <v/>
      </c>
      <c r="Y131" s="34" t="str">
        <f>""</f>
        <v/>
      </c>
      <c r="Z131" s="33" t="str">
        <f>""</f>
        <v/>
      </c>
      <c r="AA131" s="12">
        <v>0</v>
      </c>
      <c r="AB131" s="12" t="str">
        <f>""</f>
        <v/>
      </c>
      <c r="AD131" s="141"/>
      <c r="AE131" s="146"/>
      <c r="AF131" s="141"/>
      <c r="AG131" s="596" t="str">
        <f>""</f>
        <v/>
      </c>
      <c r="AH131" s="3" t="str">
        <f>""</f>
        <v/>
      </c>
      <c r="AI131" s="601"/>
    </row>
    <row r="132" spans="2:35" s="2" customFormat="1" x14ac:dyDescent="0.2">
      <c r="B132" s="3"/>
      <c r="C132" s="3"/>
      <c r="D132" s="3"/>
      <c r="E132" s="3"/>
      <c r="F132" s="12"/>
      <c r="G132" s="12"/>
      <c r="H132" s="12"/>
      <c r="I132" s="12"/>
      <c r="J132" s="12"/>
      <c r="K132" s="12"/>
      <c r="L132" s="12"/>
      <c r="M132" s="12"/>
      <c r="U132" s="64" t="s">
        <v>90</v>
      </c>
      <c r="V132" s="39" t="str">
        <f>""</f>
        <v/>
      </c>
      <c r="W132" s="12" t="str">
        <f>""</f>
        <v/>
      </c>
      <c r="X132" s="12" t="str">
        <f>""</f>
        <v/>
      </c>
      <c r="Y132" s="34" t="str">
        <f>""</f>
        <v/>
      </c>
      <c r="Z132" s="33" t="str">
        <f>""</f>
        <v/>
      </c>
      <c r="AA132" s="12">
        <v>0</v>
      </c>
      <c r="AB132" s="12" t="str">
        <f>""</f>
        <v/>
      </c>
      <c r="AD132" s="141"/>
      <c r="AE132" s="146"/>
      <c r="AF132" s="141"/>
      <c r="AG132" s="596" t="str">
        <f>""</f>
        <v/>
      </c>
      <c r="AH132" s="3" t="str">
        <f>""</f>
        <v/>
      </c>
      <c r="AI132" s="601"/>
    </row>
    <row r="133" spans="2:35" s="2" customFormat="1" x14ac:dyDescent="0.2">
      <c r="B133" s="3"/>
      <c r="C133" s="3"/>
      <c r="D133" s="3"/>
      <c r="E133" s="3"/>
      <c r="F133" s="12"/>
      <c r="G133" s="12"/>
      <c r="H133" s="12"/>
      <c r="I133" s="12"/>
      <c r="J133" s="12"/>
      <c r="K133" s="12"/>
      <c r="L133" s="12"/>
      <c r="M133" s="12"/>
      <c r="U133" s="64" t="s">
        <v>91</v>
      </c>
      <c r="V133" s="39" t="str">
        <f>""</f>
        <v/>
      </c>
      <c r="W133" s="12" t="str">
        <f>""</f>
        <v/>
      </c>
      <c r="X133" s="12" t="str">
        <f>""</f>
        <v/>
      </c>
      <c r="Y133" s="34" t="str">
        <f>""</f>
        <v/>
      </c>
      <c r="Z133" s="33" t="str">
        <f>""</f>
        <v/>
      </c>
      <c r="AA133" s="12">
        <v>0</v>
      </c>
      <c r="AB133" s="12" t="str">
        <f>""</f>
        <v/>
      </c>
      <c r="AD133" s="141"/>
      <c r="AE133" s="146"/>
      <c r="AF133" s="141"/>
      <c r="AG133" s="596" t="str">
        <f>""</f>
        <v/>
      </c>
      <c r="AH133" s="3" t="str">
        <f>""</f>
        <v/>
      </c>
      <c r="AI133" s="601"/>
    </row>
    <row r="134" spans="2:35" s="2" customFormat="1" x14ac:dyDescent="0.2">
      <c r="B134" s="3"/>
      <c r="C134" s="3"/>
      <c r="D134" s="3"/>
      <c r="E134" s="3"/>
      <c r="F134" s="12"/>
      <c r="G134" s="12"/>
      <c r="H134" s="12"/>
      <c r="I134" s="12"/>
      <c r="J134" s="12"/>
      <c r="K134" s="12"/>
      <c r="L134" s="12"/>
      <c r="M134" s="12"/>
      <c r="U134" s="64" t="s">
        <v>92</v>
      </c>
      <c r="V134" s="39" t="str">
        <f>""</f>
        <v/>
      </c>
      <c r="W134" s="12" t="str">
        <f>""</f>
        <v/>
      </c>
      <c r="X134" s="12" t="str">
        <f>""</f>
        <v/>
      </c>
      <c r="Y134" s="34" t="str">
        <f>""</f>
        <v/>
      </c>
      <c r="Z134" s="33" t="str">
        <f>""</f>
        <v/>
      </c>
      <c r="AA134" s="12">
        <v>0</v>
      </c>
      <c r="AB134" s="12" t="str">
        <f>""</f>
        <v/>
      </c>
      <c r="AD134" s="141"/>
      <c r="AE134" s="146"/>
      <c r="AF134" s="141"/>
      <c r="AG134" s="596" t="str">
        <f>""</f>
        <v/>
      </c>
      <c r="AH134" s="3" t="str">
        <f>""</f>
        <v/>
      </c>
      <c r="AI134" s="601"/>
    </row>
    <row r="135" spans="2:35" s="2" customFormat="1" ht="12.75" thickBot="1" x14ac:dyDescent="0.25">
      <c r="B135" s="3"/>
      <c r="C135" s="3"/>
      <c r="D135" s="3"/>
      <c r="E135" s="3"/>
      <c r="F135" s="12"/>
      <c r="G135" s="12"/>
      <c r="H135" s="12"/>
      <c r="I135" s="12"/>
      <c r="J135" s="12"/>
      <c r="K135" s="12"/>
      <c r="L135" s="12"/>
      <c r="M135" s="12"/>
      <c r="U135" s="65" t="s">
        <v>93</v>
      </c>
      <c r="V135" s="40" t="str">
        <f>""</f>
        <v/>
      </c>
      <c r="W135" s="36" t="str">
        <f>""</f>
        <v/>
      </c>
      <c r="X135" s="36" t="str">
        <f>""</f>
        <v/>
      </c>
      <c r="Y135" s="37" t="str">
        <f>""</f>
        <v/>
      </c>
      <c r="Z135" s="33" t="str">
        <f>""</f>
        <v/>
      </c>
      <c r="AA135" s="36">
        <v>0</v>
      </c>
      <c r="AB135" s="142" t="str">
        <f>""</f>
        <v/>
      </c>
      <c r="AC135" s="144"/>
      <c r="AD135" s="143"/>
      <c r="AE135" s="147"/>
      <c r="AF135" s="143"/>
      <c r="AG135" s="597" t="str">
        <f>""</f>
        <v/>
      </c>
      <c r="AH135" s="144" t="str">
        <f>""</f>
        <v/>
      </c>
      <c r="AI135" s="602"/>
    </row>
    <row r="136" spans="2:35" s="2" customFormat="1" ht="12.75" thickTop="1" x14ac:dyDescent="0.2">
      <c r="B136" s="3"/>
      <c r="C136" s="3"/>
      <c r="D136" s="3"/>
      <c r="E136" s="3"/>
      <c r="F136" s="12"/>
      <c r="G136" s="12"/>
      <c r="H136" s="12"/>
      <c r="I136" s="12"/>
      <c r="J136" s="12"/>
      <c r="K136" s="12"/>
      <c r="L136" s="12"/>
      <c r="M136" s="12"/>
      <c r="Y136" s="63" t="s">
        <v>6</v>
      </c>
      <c r="Z136" s="30" t="str">
        <f t="shared" ref="Z136:Z165" ca="1" si="79">W64&amp;V64</f>
        <v>FC BarcelonaVFB Essenheim</v>
      </c>
      <c r="AA136" s="31">
        <f t="shared" ref="AA136:AA165" ca="1" si="80">AA64</f>
        <v>1</v>
      </c>
      <c r="AB136" s="12" t="str">
        <f ca="1">IF(AA136&gt;0,(Y64+AH64)&amp;Sprache!$E$77&amp;(X64+AG64),"")</f>
        <v>50:33</v>
      </c>
      <c r="AD136" s="141"/>
      <c r="AE136" s="604"/>
      <c r="AF136" s="605"/>
      <c r="AG136" s="605"/>
      <c r="AH136" s="605"/>
      <c r="AI136" s="140" t="str">
        <f ca="1">IF(AA64&gt;0,AF64&amp;Sprache!$E$77&amp;AE64,"")</f>
        <v>2:0</v>
      </c>
    </row>
    <row r="137" spans="2:35" x14ac:dyDescent="0.2">
      <c r="Y137" s="64" t="s">
        <v>7</v>
      </c>
      <c r="Z137" s="33" t="str">
        <f t="shared" ca="1" si="79"/>
        <v>Inter MailandFC Grönlingen</v>
      </c>
      <c r="AA137" s="12">
        <f t="shared" ca="1" si="80"/>
        <v>1</v>
      </c>
      <c r="AB137" s="12" t="str">
        <f ca="1">IF(AA137&gt;0,(Y65+AH65)&amp;Sprache!$E$77&amp;(X65+AG65),"")</f>
        <v>45:48</v>
      </c>
      <c r="AC137" s="2"/>
      <c r="AD137" s="141"/>
      <c r="AE137" s="606"/>
      <c r="AF137" s="607"/>
      <c r="AG137" s="607"/>
      <c r="AH137" s="607"/>
      <c r="AI137" s="615" t="str">
        <f ca="1">IF(AA65&gt;0,AF65&amp;Sprache!$E$77&amp;AE65,"")</f>
        <v>1:1</v>
      </c>
    </row>
    <row r="138" spans="2:35" x14ac:dyDescent="0.2">
      <c r="Y138" s="64" t="s">
        <v>8</v>
      </c>
      <c r="Z138" s="33" t="str">
        <f t="shared" ca="1" si="79"/>
        <v>Maibach 1822 eVEintracht Frankfurt</v>
      </c>
      <c r="AA138" s="12">
        <f t="shared" ca="1" si="80"/>
        <v>1</v>
      </c>
      <c r="AB138" s="12" t="str">
        <f ca="1">IF(AA138&gt;0,(Y66+AH66)&amp;Sprache!$E$77&amp;(X66+AG66),"")</f>
        <v>40:50</v>
      </c>
      <c r="AC138" s="2"/>
      <c r="AD138" s="141"/>
      <c r="AE138" s="606"/>
      <c r="AF138" s="607"/>
      <c r="AG138" s="607"/>
      <c r="AH138" s="607"/>
      <c r="AI138" s="615" t="str">
        <f ca="1">IF(AA66&gt;0,AF66&amp;Sprache!$E$77&amp;AE66,"")</f>
        <v>0:2</v>
      </c>
    </row>
    <row r="139" spans="2:35" x14ac:dyDescent="0.2">
      <c r="Y139" s="64" t="s">
        <v>9</v>
      </c>
      <c r="Z139" s="33" t="str">
        <f t="shared" ca="1" si="79"/>
        <v>Manchester CitySSV Wildbach</v>
      </c>
      <c r="AA139" s="12">
        <f t="shared" ca="1" si="80"/>
        <v>1</v>
      </c>
      <c r="AB139" s="12" t="str">
        <f ca="1">IF(AA139&gt;0,(Y67+AH67)&amp;Sprache!$E$77&amp;(X67+AG67),"")</f>
        <v>42:50</v>
      </c>
      <c r="AC139" s="2"/>
      <c r="AD139" s="141"/>
      <c r="AE139" s="606"/>
      <c r="AF139" s="607"/>
      <c r="AG139" s="607"/>
      <c r="AH139" s="607"/>
      <c r="AI139" s="615" t="str">
        <f ca="1">IF(AA67&gt;0,AF67&amp;Sprache!$E$77&amp;AE67,"")</f>
        <v>0:2</v>
      </c>
    </row>
    <row r="140" spans="2:35" x14ac:dyDescent="0.2">
      <c r="Y140" s="64" t="s">
        <v>10</v>
      </c>
      <c r="Z140" s="33" t="str">
        <f t="shared" ca="1" si="79"/>
        <v>1. FC RiedwaldVFB Essenheim</v>
      </c>
      <c r="AA140" s="12">
        <f t="shared" ca="1" si="80"/>
        <v>1</v>
      </c>
      <c r="AB140" s="12" t="str">
        <f ca="1">IF(AA140&gt;0,(Y68+AH68)&amp;Sprache!$E$77&amp;(X68+AG68),"")</f>
        <v>44:50</v>
      </c>
      <c r="AC140" s="2"/>
      <c r="AD140" s="141"/>
      <c r="AE140" s="606"/>
      <c r="AF140" s="607"/>
      <c r="AG140" s="607"/>
      <c r="AH140" s="607"/>
      <c r="AI140" s="615" t="str">
        <f ca="1">IF(AA68&gt;0,AF68&amp;Sprache!$E$77&amp;AE68,"")</f>
        <v>0:2</v>
      </c>
    </row>
    <row r="141" spans="2:35" x14ac:dyDescent="0.2">
      <c r="Y141" s="64" t="s">
        <v>11</v>
      </c>
      <c r="Z141" s="33" t="str">
        <f t="shared" ca="1" si="79"/>
        <v>Mainz 05FC Grönlingen</v>
      </c>
      <c r="AA141" s="12">
        <f t="shared" ca="1" si="80"/>
        <v>1</v>
      </c>
      <c r="AB141" s="12" t="str">
        <f ca="1">IF(AA141&gt;0,(Y69+AH69)&amp;Sprache!$E$77&amp;(X69+AG69),"")</f>
        <v>39:50</v>
      </c>
      <c r="AC141" s="2"/>
      <c r="AD141" s="141"/>
      <c r="AE141" s="606"/>
      <c r="AF141" s="607"/>
      <c r="AG141" s="607"/>
      <c r="AH141" s="607"/>
      <c r="AI141" s="615" t="str">
        <f ca="1">IF(AA69&gt;0,AF69&amp;Sprache!$E$77&amp;AE69,"")</f>
        <v>0:2</v>
      </c>
    </row>
    <row r="142" spans="2:35" x14ac:dyDescent="0.2">
      <c r="Y142" s="64" t="s">
        <v>16</v>
      </c>
      <c r="Z142" s="33" t="str">
        <f t="shared" ca="1" si="79"/>
        <v>Eintracht FrankfurtFC Barcelona</v>
      </c>
      <c r="AA142" s="12">
        <f t="shared" ca="1" si="80"/>
        <v>1</v>
      </c>
      <c r="AB142" s="12" t="str">
        <f ca="1">IF(AA142&gt;0,(Y70+AH70)&amp;Sprache!$E$77&amp;(X70+AG70),"")</f>
        <v>48:48</v>
      </c>
      <c r="AC142" s="2"/>
      <c r="AD142" s="141"/>
      <c r="AE142" s="606"/>
      <c r="AF142" s="607"/>
      <c r="AG142" s="607"/>
      <c r="AH142" s="607"/>
      <c r="AI142" s="615" t="str">
        <f ca="1">IF(AA70&gt;0,AF70&amp;Sprache!$E$77&amp;AE70,"")</f>
        <v>1:1</v>
      </c>
    </row>
    <row r="143" spans="2:35" x14ac:dyDescent="0.2">
      <c r="Y143" s="64" t="s">
        <v>17</v>
      </c>
      <c r="Z143" s="33" t="str">
        <f t="shared" ca="1" si="79"/>
        <v>SSV WildbachInter Mailand</v>
      </c>
      <c r="AA143" s="12">
        <f t="shared" ca="1" si="80"/>
        <v>1</v>
      </c>
      <c r="AB143" s="12" t="str">
        <f ca="1">IF(AA143&gt;0,(Y71+AH71)&amp;Sprache!$E$77&amp;(X71+AG71),"")</f>
        <v>37:44</v>
      </c>
      <c r="AC143" s="2"/>
      <c r="AD143" s="141"/>
      <c r="AE143" s="606"/>
      <c r="AF143" s="607"/>
      <c r="AG143" s="607"/>
      <c r="AH143" s="607"/>
      <c r="AI143" s="615" t="str">
        <f ca="1">IF(AA71&gt;0,AF71&amp;Sprache!$E$77&amp;AE71,"")</f>
        <v>1:1</v>
      </c>
    </row>
    <row r="144" spans="2:35" x14ac:dyDescent="0.2">
      <c r="Y144" s="64" t="s">
        <v>18</v>
      </c>
      <c r="Z144" s="33" t="str">
        <f t="shared" ca="1" si="79"/>
        <v>Maibach 1822 eV1. FC Riedwald</v>
      </c>
      <c r="AA144" s="12">
        <f t="shared" ca="1" si="80"/>
        <v>1</v>
      </c>
      <c r="AB144" s="12" t="str">
        <f ca="1">IF(AA144&gt;0,(Y72+AH72)&amp;Sprache!$E$77&amp;(X72+AG72),"")</f>
        <v>43:41</v>
      </c>
      <c r="AC144" s="2"/>
      <c r="AD144" s="141"/>
      <c r="AE144" s="606"/>
      <c r="AF144" s="607"/>
      <c r="AG144" s="607"/>
      <c r="AH144" s="607"/>
      <c r="AI144" s="615" t="str">
        <f ca="1">IF(AA72&gt;0,AF72&amp;Sprache!$E$77&amp;AE72,"")</f>
        <v>1:1</v>
      </c>
    </row>
    <row r="145" spans="25:35" x14ac:dyDescent="0.2">
      <c r="Y145" s="64" t="s">
        <v>24</v>
      </c>
      <c r="Z145" s="33" t="str">
        <f t="shared" ca="1" si="79"/>
        <v>Manchester CityMainz 05</v>
      </c>
      <c r="AA145" s="12">
        <f t="shared" ca="1" si="80"/>
        <v>1</v>
      </c>
      <c r="AB145" s="12" t="str">
        <f ca="1">IF(AA145&gt;0,(Y73+AH73)&amp;Sprache!$E$77&amp;(X73+AG73),"")</f>
        <v>44:39</v>
      </c>
      <c r="AC145" s="2"/>
      <c r="AD145" s="141"/>
      <c r="AE145" s="606"/>
      <c r="AF145" s="607"/>
      <c r="AG145" s="607"/>
      <c r="AH145" s="607"/>
      <c r="AI145" s="615" t="str">
        <f ca="1">IF(AA73&gt;0,AF73&amp;Sprache!$E$77&amp;AE73,"")</f>
        <v>1:1</v>
      </c>
    </row>
    <row r="146" spans="25:35" x14ac:dyDescent="0.2">
      <c r="Y146" s="64" t="s">
        <v>25</v>
      </c>
      <c r="Z146" s="33" t="str">
        <f t="shared" ca="1" si="79"/>
        <v>VFB EssenheimEintracht Frankfurt</v>
      </c>
      <c r="AA146" s="12">
        <f t="shared" ca="1" si="80"/>
        <v>1</v>
      </c>
      <c r="AB146" s="12" t="str">
        <f ca="1">IF(AA146&gt;0,(Y74+AH74)&amp;Sprache!$E$77&amp;(X74+AG74),"")</f>
        <v>45:47</v>
      </c>
      <c r="AC146" s="2"/>
      <c r="AD146" s="141"/>
      <c r="AE146" s="606"/>
      <c r="AF146" s="607"/>
      <c r="AG146" s="607"/>
      <c r="AH146" s="607"/>
      <c r="AI146" s="615" t="str">
        <f ca="1">IF(AA74&gt;0,AF74&amp;Sprache!$E$77&amp;AE74,"")</f>
        <v>1:1</v>
      </c>
    </row>
    <row r="147" spans="25:35" x14ac:dyDescent="0.2">
      <c r="Y147" s="64" t="s">
        <v>26</v>
      </c>
      <c r="Z147" s="33" t="str">
        <f t="shared" ca="1" si="79"/>
        <v>FC GrönlingenSSV Wildbach</v>
      </c>
      <c r="AA147" s="12">
        <f t="shared" ca="1" si="80"/>
        <v>1</v>
      </c>
      <c r="AB147" s="12" t="str">
        <f ca="1">IF(AA147&gt;0,(Y75+AH75)&amp;Sprache!$E$77&amp;(X75+AG75),"")</f>
        <v>44:44</v>
      </c>
      <c r="AC147" s="2"/>
      <c r="AD147" s="141"/>
      <c r="AE147" s="606"/>
      <c r="AF147" s="607"/>
      <c r="AG147" s="607"/>
      <c r="AH147" s="607"/>
      <c r="AI147" s="615" t="str">
        <f ca="1">IF(AA75&gt;0,AF75&amp;Sprache!$E$77&amp;AE75,"")</f>
        <v>1:1</v>
      </c>
    </row>
    <row r="148" spans="25:35" x14ac:dyDescent="0.2">
      <c r="Y148" s="64" t="s">
        <v>27</v>
      </c>
      <c r="Z148" s="33" t="str">
        <f t="shared" ca="1" si="79"/>
        <v>Maibach 1822 eVFC Barcelona</v>
      </c>
      <c r="AA148" s="12">
        <f t="shared" ca="1" si="80"/>
        <v>1</v>
      </c>
      <c r="AB148" s="12" t="str">
        <f ca="1">IF(AA148&gt;0,(Y76+AH76)&amp;Sprache!$E$77&amp;(X76+AG76),"")</f>
        <v>50:29</v>
      </c>
      <c r="AC148" s="2"/>
      <c r="AD148" s="141"/>
      <c r="AE148" s="606"/>
      <c r="AF148" s="607"/>
      <c r="AG148" s="607"/>
      <c r="AH148" s="607"/>
      <c r="AI148" s="615" t="str">
        <f ca="1">IF(AA76&gt;0,AF76&amp;Sprache!$E$77&amp;AE76,"")</f>
        <v>2:0</v>
      </c>
    </row>
    <row r="149" spans="25:35" x14ac:dyDescent="0.2">
      <c r="Y149" s="64" t="s">
        <v>28</v>
      </c>
      <c r="Z149" s="33" t="str">
        <f t="shared" ca="1" si="79"/>
        <v>Manchester CityInter Mailand</v>
      </c>
      <c r="AA149" s="12">
        <f t="shared" ca="1" si="80"/>
        <v>1</v>
      </c>
      <c r="AB149" s="12" t="str">
        <f ca="1">IF(AA149&gt;0,(Y77+AH77)&amp;Sprache!$E$77&amp;(X77+AG77),"")</f>
        <v>48:39</v>
      </c>
      <c r="AC149" s="2"/>
      <c r="AD149" s="141"/>
      <c r="AE149" s="606"/>
      <c r="AF149" s="607"/>
      <c r="AG149" s="607"/>
      <c r="AH149" s="607"/>
      <c r="AI149" s="615" t="str">
        <f ca="1">IF(AA77&gt;0,AF77&amp;Sprache!$E$77&amp;AE77,"")</f>
        <v>1:1</v>
      </c>
    </row>
    <row r="150" spans="25:35" x14ac:dyDescent="0.2">
      <c r="Y150" s="64" t="s">
        <v>29</v>
      </c>
      <c r="Z150" s="33" t="str">
        <f t="shared" ca="1" si="79"/>
        <v>1. FC RiedwaldEintracht Frankfurt</v>
      </c>
      <c r="AA150" s="12">
        <f t="shared" ca="1" si="80"/>
        <v>1</v>
      </c>
      <c r="AB150" s="12" t="str">
        <f ca="1">IF(AA150&gt;0,(Y78+AH78)&amp;Sprache!$E$77&amp;(X78+AG78),"")</f>
        <v>42:46</v>
      </c>
      <c r="AC150" s="2"/>
      <c r="AD150" s="141"/>
      <c r="AE150" s="606"/>
      <c r="AF150" s="607"/>
      <c r="AG150" s="607"/>
      <c r="AH150" s="607"/>
      <c r="AI150" s="615" t="str">
        <f ca="1">IF(AA78&gt;0,AF78&amp;Sprache!$E$77&amp;AE78,"")</f>
        <v>1:1</v>
      </c>
    </row>
    <row r="151" spans="25:35" x14ac:dyDescent="0.2">
      <c r="Y151" s="64" t="s">
        <v>30</v>
      </c>
      <c r="Z151" s="33" t="str">
        <f t="shared" ca="1" si="79"/>
        <v>Mainz 05SSV Wildbach</v>
      </c>
      <c r="AA151" s="12">
        <f t="shared" ca="1" si="80"/>
        <v>1</v>
      </c>
      <c r="AB151" s="12" t="str">
        <f ca="1">IF(AA151&gt;0,(Y79+AH79)&amp;Sprache!$E$77&amp;(X79+AG79),"")</f>
        <v>50:38</v>
      </c>
      <c r="AC151" s="2"/>
      <c r="AD151" s="141"/>
      <c r="AE151" s="606"/>
      <c r="AF151" s="607"/>
      <c r="AG151" s="607"/>
      <c r="AH151" s="607"/>
      <c r="AI151" s="615" t="str">
        <f ca="1">IF(AA79&gt;0,AF79&amp;Sprache!$E$77&amp;AE79,"")</f>
        <v>2:0</v>
      </c>
    </row>
    <row r="152" spans="25:35" x14ac:dyDescent="0.2">
      <c r="Y152" s="64" t="s">
        <v>31</v>
      </c>
      <c r="Z152" s="33" t="str">
        <f t="shared" ca="1" si="79"/>
        <v>VFB EssenheimMaibach 1822 eV</v>
      </c>
      <c r="AA152" s="12">
        <f t="shared" ca="1" si="80"/>
        <v>1</v>
      </c>
      <c r="AB152" s="12" t="str">
        <f ca="1">IF(AA152&gt;0,(Y80+AH80)&amp;Sprache!$E$77&amp;(X80+AG80),"")</f>
        <v>39:50</v>
      </c>
      <c r="AC152" s="2"/>
      <c r="AD152" s="141"/>
      <c r="AE152" s="606"/>
      <c r="AF152" s="607"/>
      <c r="AG152" s="607"/>
      <c r="AH152" s="607"/>
      <c r="AI152" s="615" t="str">
        <f ca="1">IF(AA80&gt;0,AF80&amp;Sprache!$E$77&amp;AE80,"")</f>
        <v>0:2</v>
      </c>
    </row>
    <row r="153" spans="25:35" x14ac:dyDescent="0.2">
      <c r="Y153" s="64" t="s">
        <v>32</v>
      </c>
      <c r="Z153" s="33" t="str">
        <f t="shared" ca="1" si="79"/>
        <v>FC GrönlingenManchester City</v>
      </c>
      <c r="AA153" s="12">
        <f t="shared" ca="1" si="80"/>
        <v>1</v>
      </c>
      <c r="AB153" s="12" t="str">
        <f ca="1">IF(AA153&gt;0,(Y81+AH81)&amp;Sprache!$E$77&amp;(X81+AG81),"")</f>
        <v>32:50</v>
      </c>
      <c r="AC153" s="2"/>
      <c r="AD153" s="141"/>
      <c r="AE153" s="606"/>
      <c r="AF153" s="607"/>
      <c r="AG153" s="607"/>
      <c r="AH153" s="607"/>
      <c r="AI153" s="615" t="str">
        <f ca="1">IF(AA81&gt;0,AF81&amp;Sprache!$E$77&amp;AE81,"")</f>
        <v>0:2</v>
      </c>
    </row>
    <row r="154" spans="25:35" x14ac:dyDescent="0.2">
      <c r="Y154" s="64" t="s">
        <v>33</v>
      </c>
      <c r="Z154" s="33" t="str">
        <f t="shared" ca="1" si="79"/>
        <v>FC Barcelona1. FC Riedwald</v>
      </c>
      <c r="AA154" s="12">
        <f t="shared" ca="1" si="80"/>
        <v>1</v>
      </c>
      <c r="AB154" s="12" t="str">
        <f ca="1">IF(AA154&gt;0,(Y82+AH82)&amp;Sprache!$E$77&amp;(X82+AG82),"")</f>
        <v>37:50</v>
      </c>
      <c r="AC154" s="2"/>
      <c r="AD154" s="141"/>
      <c r="AE154" s="606"/>
      <c r="AF154" s="607"/>
      <c r="AG154" s="607"/>
      <c r="AH154" s="607"/>
      <c r="AI154" s="615" t="str">
        <f ca="1">IF(AA82&gt;0,AF82&amp;Sprache!$E$77&amp;AE82,"")</f>
        <v>0:2</v>
      </c>
    </row>
    <row r="155" spans="25:35" x14ac:dyDescent="0.2">
      <c r="Y155" s="64" t="s">
        <v>34</v>
      </c>
      <c r="Z155" s="33" t="str">
        <f t="shared" ca="1" si="79"/>
        <v>Inter MailandMainz 05</v>
      </c>
      <c r="AA155" s="12">
        <f t="shared" ca="1" si="80"/>
        <v>1</v>
      </c>
      <c r="AB155" s="12" t="str">
        <f ca="1">IF(AA155&gt;0,(Y83+AH83)&amp;Sprache!$E$77&amp;(X83+AG83),"")</f>
        <v>24:50</v>
      </c>
      <c r="AC155" s="2"/>
      <c r="AD155" s="141"/>
      <c r="AE155" s="606"/>
      <c r="AF155" s="607"/>
      <c r="AG155" s="607"/>
      <c r="AH155" s="607"/>
      <c r="AI155" s="615" t="str">
        <f ca="1">IF(AA83&gt;0,AF83&amp;Sprache!$E$77&amp;AE83,"")</f>
        <v>0:2</v>
      </c>
    </row>
    <row r="156" spans="25:35" x14ac:dyDescent="0.2">
      <c r="Y156" s="64" t="s">
        <v>35</v>
      </c>
      <c r="Z156" s="33" t="str">
        <f t="shared" ca="1" si="79"/>
        <v/>
      </c>
      <c r="AA156" s="12">
        <f t="shared" ca="1" si="80"/>
        <v>0</v>
      </c>
      <c r="AB156" s="12" t="str">
        <f ca="1">IF(AA156&gt;0,(Y84+AH84)&amp;Sprache!$E$77&amp;(X84+AG84),"")</f>
        <v/>
      </c>
      <c r="AC156" s="2"/>
      <c r="AD156" s="141"/>
      <c r="AE156" s="606"/>
      <c r="AF156" s="607"/>
      <c r="AG156" s="607"/>
      <c r="AH156" s="607"/>
      <c r="AI156" s="615" t="str">
        <f ca="1">IF(AA84&gt;0,AF84&amp;Sprache!$E$77&amp;AE84,"")</f>
        <v/>
      </c>
    </row>
    <row r="157" spans="25:35" x14ac:dyDescent="0.2">
      <c r="Y157" s="64" t="s">
        <v>36</v>
      </c>
      <c r="Z157" s="33" t="str">
        <f t="shared" ca="1" si="79"/>
        <v/>
      </c>
      <c r="AA157" s="12">
        <f t="shared" ca="1" si="80"/>
        <v>0</v>
      </c>
      <c r="AB157" s="12" t="str">
        <f ca="1">IF(AA157&gt;0,(Y85+AH85)&amp;Sprache!$E$77&amp;(X85+AG85),"")</f>
        <v/>
      </c>
      <c r="AC157" s="2"/>
      <c r="AD157" s="141"/>
      <c r="AE157" s="606"/>
      <c r="AF157" s="607"/>
      <c r="AG157" s="607"/>
      <c r="AH157" s="607"/>
      <c r="AI157" s="615" t="str">
        <f ca="1">IF(AA85&gt;0,AF85&amp;Sprache!$E$77&amp;AE85,"")</f>
        <v/>
      </c>
    </row>
    <row r="158" spans="25:35" x14ac:dyDescent="0.2">
      <c r="Y158" s="64" t="s">
        <v>37</v>
      </c>
      <c r="Z158" s="33" t="str">
        <f t="shared" ca="1" si="79"/>
        <v/>
      </c>
      <c r="AA158" s="12">
        <f t="shared" ca="1" si="80"/>
        <v>0</v>
      </c>
      <c r="AB158" s="12" t="str">
        <f ca="1">IF(AA158&gt;0,(Y86+AH86)&amp;Sprache!$E$77&amp;(X86+AG86),"")</f>
        <v/>
      </c>
      <c r="AC158" s="2"/>
      <c r="AD158" s="141"/>
      <c r="AE158" s="606"/>
      <c r="AF158" s="607"/>
      <c r="AG158" s="607"/>
      <c r="AH158" s="607"/>
      <c r="AI158" s="615" t="str">
        <f ca="1">IF(AA86&gt;0,AF86&amp;Sprache!$E$77&amp;AE86,"")</f>
        <v/>
      </c>
    </row>
    <row r="159" spans="25:35" x14ac:dyDescent="0.2">
      <c r="Y159" s="64" t="s">
        <v>38</v>
      </c>
      <c r="Z159" s="33" t="str">
        <f t="shared" ca="1" si="79"/>
        <v/>
      </c>
      <c r="AA159" s="12">
        <f t="shared" ca="1" si="80"/>
        <v>0</v>
      </c>
      <c r="AB159" s="12" t="str">
        <f ca="1">IF(AA159&gt;0,(Y87+AH87)&amp;Sprache!$E$77&amp;(X87+AG87),"")</f>
        <v/>
      </c>
      <c r="AC159" s="2"/>
      <c r="AD159" s="141"/>
      <c r="AE159" s="606"/>
      <c r="AF159" s="607"/>
      <c r="AG159" s="607"/>
      <c r="AH159" s="607"/>
      <c r="AI159" s="615" t="str">
        <f ca="1">IF(AA87&gt;0,AF87&amp;Sprache!$E$77&amp;AE87,"")</f>
        <v/>
      </c>
    </row>
    <row r="160" spans="25:35" x14ac:dyDescent="0.2">
      <c r="Y160" s="64" t="s">
        <v>39</v>
      </c>
      <c r="Z160" s="33" t="str">
        <f t="shared" ca="1" si="79"/>
        <v/>
      </c>
      <c r="AA160" s="12">
        <f t="shared" ca="1" si="80"/>
        <v>0</v>
      </c>
      <c r="AB160" s="12" t="str">
        <f ca="1">IF(AA160&gt;0,(Y88+AH88)&amp;Sprache!$E$77&amp;(X88+AG88),"")</f>
        <v/>
      </c>
      <c r="AC160" s="2"/>
      <c r="AD160" s="141"/>
      <c r="AE160" s="606"/>
      <c r="AF160" s="607"/>
      <c r="AG160" s="607"/>
      <c r="AH160" s="607"/>
      <c r="AI160" s="615" t="str">
        <f ca="1">IF(AA88&gt;0,AF88&amp;Sprache!$E$77&amp;AE88,"")</f>
        <v/>
      </c>
    </row>
    <row r="161" spans="25:35" x14ac:dyDescent="0.2">
      <c r="Y161" s="64" t="s">
        <v>40</v>
      </c>
      <c r="Z161" s="33" t="str">
        <f t="shared" ca="1" si="79"/>
        <v/>
      </c>
      <c r="AA161" s="12">
        <f t="shared" ca="1" si="80"/>
        <v>0</v>
      </c>
      <c r="AB161" s="12" t="str">
        <f ca="1">IF(AA161&gt;0,(Y89+AH89)&amp;Sprache!$E$77&amp;(X89+AG89),"")</f>
        <v/>
      </c>
      <c r="AC161" s="2"/>
      <c r="AD161" s="141"/>
      <c r="AE161" s="606"/>
      <c r="AF161" s="607"/>
      <c r="AG161" s="607"/>
      <c r="AH161" s="607"/>
      <c r="AI161" s="615" t="str">
        <f ca="1">IF(AA89&gt;0,AF89&amp;Sprache!$E$77&amp;AE89,"")</f>
        <v/>
      </c>
    </row>
    <row r="162" spans="25:35" x14ac:dyDescent="0.2">
      <c r="Y162" s="64" t="s">
        <v>41</v>
      </c>
      <c r="Z162" s="33" t="str">
        <f t="shared" ca="1" si="79"/>
        <v/>
      </c>
      <c r="AA162" s="12">
        <f t="shared" ca="1" si="80"/>
        <v>0</v>
      </c>
      <c r="AB162" s="12" t="str">
        <f ca="1">IF(AA162&gt;0,(Y90+AH90)&amp;Sprache!$E$77&amp;(X90+AG90),"")</f>
        <v/>
      </c>
      <c r="AC162" s="2"/>
      <c r="AD162" s="141"/>
      <c r="AE162" s="606"/>
      <c r="AF162" s="607"/>
      <c r="AG162" s="607"/>
      <c r="AH162" s="607"/>
      <c r="AI162" s="615" t="str">
        <f ca="1">IF(AA90&gt;0,AF90&amp;Sprache!$E$77&amp;AE90,"")</f>
        <v/>
      </c>
    </row>
    <row r="163" spans="25:35" x14ac:dyDescent="0.2">
      <c r="Y163" s="64" t="s">
        <v>42</v>
      </c>
      <c r="Z163" s="33" t="str">
        <f t="shared" ca="1" si="79"/>
        <v/>
      </c>
      <c r="AA163" s="12">
        <f t="shared" ca="1" si="80"/>
        <v>0</v>
      </c>
      <c r="AB163" s="12" t="str">
        <f ca="1">IF(AA163&gt;0,(Y91+AH91)&amp;Sprache!$E$77&amp;(X91+AG91),"")</f>
        <v/>
      </c>
      <c r="AC163" s="2"/>
      <c r="AD163" s="141"/>
      <c r="AE163" s="606"/>
      <c r="AF163" s="607"/>
      <c r="AG163" s="607"/>
      <c r="AH163" s="607"/>
      <c r="AI163" s="615" t="str">
        <f ca="1">IF(AA91&gt;0,AF91&amp;Sprache!$E$77&amp;AE91,"")</f>
        <v/>
      </c>
    </row>
    <row r="164" spans="25:35" x14ac:dyDescent="0.2">
      <c r="Y164" s="64" t="s">
        <v>43</v>
      </c>
      <c r="Z164" s="33" t="str">
        <f t="shared" ca="1" si="79"/>
        <v/>
      </c>
      <c r="AA164" s="12">
        <f t="shared" ca="1" si="80"/>
        <v>0</v>
      </c>
      <c r="AB164" s="12" t="str">
        <f ca="1">IF(AA164&gt;0,(Y92+AH92)&amp;Sprache!$E$77&amp;(X92+AG92),"")</f>
        <v/>
      </c>
      <c r="AC164" s="2"/>
      <c r="AD164" s="141"/>
      <c r="AE164" s="606"/>
      <c r="AF164" s="607"/>
      <c r="AG164" s="607"/>
      <c r="AH164" s="607"/>
      <c r="AI164" s="615" t="str">
        <f ca="1">IF(AA92&gt;0,AF92&amp;Sprache!$E$77&amp;AE92,"")</f>
        <v/>
      </c>
    </row>
    <row r="165" spans="25:35" ht="12.75" thickBot="1" x14ac:dyDescent="0.25">
      <c r="Y165" s="311" t="s">
        <v>44</v>
      </c>
      <c r="Z165" s="313" t="str">
        <f t="shared" ca="1" si="79"/>
        <v/>
      </c>
      <c r="AA165" s="312">
        <f t="shared" ca="1" si="80"/>
        <v>0</v>
      </c>
      <c r="AB165" s="312" t="str">
        <f ca="1">IF(AA165&gt;0,(Y93+AH93)&amp;Sprache!$E$77&amp;(X93+AG93),"")</f>
        <v/>
      </c>
      <c r="AC165" s="314"/>
      <c r="AD165" s="315"/>
      <c r="AE165" s="609"/>
      <c r="AF165" s="603"/>
      <c r="AG165" s="603"/>
      <c r="AH165" s="603"/>
      <c r="AI165" s="616" t="str">
        <f ca="1">IF(AA93&gt;0,AF93&amp;Sprache!$E$77&amp;AE93,"")</f>
        <v/>
      </c>
    </row>
    <row r="166" spans="25:35" ht="12.75" thickTop="1" x14ac:dyDescent="0.2">
      <c r="Y166" s="64" t="s">
        <v>45</v>
      </c>
      <c r="Z166" s="33" t="str">
        <f>""</f>
        <v/>
      </c>
      <c r="AA166" s="12">
        <v>0</v>
      </c>
      <c r="AB166" s="12" t="str">
        <f>""</f>
        <v/>
      </c>
      <c r="AC166" s="2"/>
      <c r="AD166" s="141"/>
      <c r="AE166" s="606"/>
      <c r="AF166" s="607"/>
      <c r="AG166" s="607"/>
      <c r="AH166" s="607"/>
      <c r="AI166" s="608"/>
    </row>
    <row r="167" spans="25:35" x14ac:dyDescent="0.2">
      <c r="Y167" s="64" t="s">
        <v>46</v>
      </c>
      <c r="Z167" s="33" t="str">
        <f>""</f>
        <v/>
      </c>
      <c r="AA167" s="12">
        <v>0</v>
      </c>
      <c r="AB167" s="12" t="str">
        <f>""</f>
        <v/>
      </c>
      <c r="AC167" s="2"/>
      <c r="AD167" s="141"/>
      <c r="AE167" s="606"/>
      <c r="AF167" s="607"/>
      <c r="AG167" s="607"/>
      <c r="AH167" s="607"/>
      <c r="AI167" s="608"/>
    </row>
    <row r="168" spans="25:35" x14ac:dyDescent="0.2">
      <c r="Y168" s="64" t="s">
        <v>47</v>
      </c>
      <c r="Z168" s="33" t="str">
        <f>""</f>
        <v/>
      </c>
      <c r="AA168" s="12">
        <v>0</v>
      </c>
      <c r="AB168" s="12" t="str">
        <f>""</f>
        <v/>
      </c>
      <c r="AC168" s="2"/>
      <c r="AD168" s="141"/>
      <c r="AE168" s="606"/>
      <c r="AF168" s="607"/>
      <c r="AG168" s="607"/>
      <c r="AH168" s="607"/>
      <c r="AI168" s="608"/>
    </row>
    <row r="169" spans="25:35" x14ac:dyDescent="0.2">
      <c r="Y169" s="64" t="s">
        <v>48</v>
      </c>
      <c r="Z169" s="33" t="str">
        <f>""</f>
        <v/>
      </c>
      <c r="AA169" s="12">
        <v>0</v>
      </c>
      <c r="AB169" s="12" t="str">
        <f>""</f>
        <v/>
      </c>
      <c r="AC169" s="2"/>
      <c r="AD169" s="141"/>
      <c r="AE169" s="606"/>
      <c r="AF169" s="607"/>
      <c r="AG169" s="607"/>
      <c r="AH169" s="607"/>
      <c r="AI169" s="608"/>
    </row>
    <row r="170" spans="25:35" x14ac:dyDescent="0.2">
      <c r="Y170" s="64" t="s">
        <v>49</v>
      </c>
      <c r="Z170" s="33" t="str">
        <f>""</f>
        <v/>
      </c>
      <c r="AA170" s="12">
        <v>0</v>
      </c>
      <c r="AB170" s="12" t="str">
        <f>""</f>
        <v/>
      </c>
      <c r="AC170" s="2"/>
      <c r="AD170" s="141"/>
      <c r="AE170" s="606"/>
      <c r="AF170" s="607"/>
      <c r="AG170" s="607"/>
      <c r="AH170" s="607"/>
      <c r="AI170" s="608"/>
    </row>
    <row r="171" spans="25:35" x14ac:dyDescent="0.2">
      <c r="Y171" s="64" t="s">
        <v>50</v>
      </c>
      <c r="Z171" s="33" t="str">
        <f>""</f>
        <v/>
      </c>
      <c r="AA171" s="12">
        <v>0</v>
      </c>
      <c r="AB171" s="12" t="str">
        <f>""</f>
        <v/>
      </c>
      <c r="AC171" s="2"/>
      <c r="AD171" s="141"/>
      <c r="AE171" s="606"/>
      <c r="AF171" s="607"/>
      <c r="AG171" s="607"/>
      <c r="AH171" s="607"/>
      <c r="AI171" s="608"/>
    </row>
    <row r="172" spans="25:35" x14ac:dyDescent="0.2">
      <c r="Y172" s="64" t="s">
        <v>58</v>
      </c>
      <c r="Z172" s="33" t="str">
        <f>""</f>
        <v/>
      </c>
      <c r="AA172" s="12">
        <v>0</v>
      </c>
      <c r="AB172" s="12" t="str">
        <f>""</f>
        <v/>
      </c>
      <c r="AC172" s="2"/>
      <c r="AD172" s="141"/>
      <c r="AE172" s="606"/>
      <c r="AF172" s="607"/>
      <c r="AG172" s="607"/>
      <c r="AH172" s="607"/>
      <c r="AI172" s="608"/>
    </row>
    <row r="173" spans="25:35" x14ac:dyDescent="0.2">
      <c r="Y173" s="64" t="s">
        <v>59</v>
      </c>
      <c r="Z173" s="33" t="str">
        <f>""</f>
        <v/>
      </c>
      <c r="AA173" s="12">
        <v>0</v>
      </c>
      <c r="AB173" s="12" t="str">
        <f>""</f>
        <v/>
      </c>
      <c r="AC173" s="2"/>
      <c r="AD173" s="141"/>
      <c r="AE173" s="606"/>
      <c r="AF173" s="607"/>
      <c r="AG173" s="607"/>
      <c r="AH173" s="607"/>
      <c r="AI173" s="608"/>
    </row>
    <row r="174" spans="25:35" x14ac:dyDescent="0.2">
      <c r="Y174" s="64" t="s">
        <v>60</v>
      </c>
      <c r="Z174" s="33" t="str">
        <f>""</f>
        <v/>
      </c>
      <c r="AA174" s="12">
        <v>0</v>
      </c>
      <c r="AB174" s="12" t="str">
        <f>""</f>
        <v/>
      </c>
      <c r="AC174" s="2"/>
      <c r="AD174" s="141"/>
      <c r="AE174" s="606"/>
      <c r="AF174" s="607"/>
      <c r="AG174" s="607"/>
      <c r="AH174" s="607"/>
      <c r="AI174" s="608"/>
    </row>
    <row r="175" spans="25:35" x14ac:dyDescent="0.2">
      <c r="Y175" s="64" t="s">
        <v>61</v>
      </c>
      <c r="Z175" s="33" t="str">
        <f>""</f>
        <v/>
      </c>
      <c r="AA175" s="12">
        <v>0</v>
      </c>
      <c r="AB175" s="12" t="str">
        <f>""</f>
        <v/>
      </c>
      <c r="AC175" s="2"/>
      <c r="AD175" s="141"/>
      <c r="AE175" s="606"/>
      <c r="AF175" s="607"/>
      <c r="AG175" s="607"/>
      <c r="AH175" s="607"/>
      <c r="AI175" s="608"/>
    </row>
    <row r="176" spans="25:35" x14ac:dyDescent="0.2">
      <c r="Y176" s="64" t="s">
        <v>62</v>
      </c>
      <c r="Z176" s="33" t="str">
        <f>""</f>
        <v/>
      </c>
      <c r="AA176" s="12">
        <v>0</v>
      </c>
      <c r="AB176" s="12" t="str">
        <f>""</f>
        <v/>
      </c>
      <c r="AC176" s="2"/>
      <c r="AD176" s="141"/>
      <c r="AE176" s="606"/>
      <c r="AF176" s="607"/>
      <c r="AG176" s="607"/>
      <c r="AH176" s="607"/>
      <c r="AI176" s="608"/>
    </row>
    <row r="177" spans="25:35" x14ac:dyDescent="0.2">
      <c r="Y177" s="64" t="s">
        <v>63</v>
      </c>
      <c r="Z177" s="33" t="str">
        <f>""</f>
        <v/>
      </c>
      <c r="AA177" s="12">
        <v>0</v>
      </c>
      <c r="AB177" s="12" t="str">
        <f>""</f>
        <v/>
      </c>
      <c r="AC177" s="2"/>
      <c r="AD177" s="141"/>
      <c r="AE177" s="606"/>
      <c r="AF177" s="607"/>
      <c r="AG177" s="607"/>
      <c r="AH177" s="607"/>
      <c r="AI177" s="608"/>
    </row>
    <row r="178" spans="25:35" x14ac:dyDescent="0.2">
      <c r="Y178" s="64" t="s">
        <v>64</v>
      </c>
      <c r="Z178" s="33" t="str">
        <f>""</f>
        <v/>
      </c>
      <c r="AA178" s="12">
        <v>0</v>
      </c>
      <c r="AB178" s="12" t="str">
        <f>""</f>
        <v/>
      </c>
      <c r="AC178" s="2"/>
      <c r="AD178" s="141"/>
      <c r="AE178" s="606"/>
      <c r="AF178" s="607"/>
      <c r="AG178" s="607"/>
      <c r="AH178" s="607"/>
      <c r="AI178" s="608"/>
    </row>
    <row r="179" spans="25:35" x14ac:dyDescent="0.2">
      <c r="Y179" s="64" t="s">
        <v>65</v>
      </c>
      <c r="Z179" s="33" t="str">
        <f>""</f>
        <v/>
      </c>
      <c r="AA179" s="12">
        <v>0</v>
      </c>
      <c r="AB179" s="12" t="str">
        <f>""</f>
        <v/>
      </c>
      <c r="AC179" s="2"/>
      <c r="AD179" s="141"/>
      <c r="AE179" s="606"/>
      <c r="AF179" s="607"/>
      <c r="AG179" s="607"/>
      <c r="AH179" s="607"/>
      <c r="AI179" s="608"/>
    </row>
    <row r="180" spans="25:35" x14ac:dyDescent="0.2">
      <c r="Y180" s="64" t="s">
        <v>66</v>
      </c>
      <c r="Z180" s="33" t="str">
        <f>""</f>
        <v/>
      </c>
      <c r="AA180" s="12">
        <v>0</v>
      </c>
      <c r="AB180" s="12" t="str">
        <f>""</f>
        <v/>
      </c>
      <c r="AC180" s="2"/>
      <c r="AD180" s="141"/>
      <c r="AE180" s="606"/>
      <c r="AF180" s="607"/>
      <c r="AG180" s="607"/>
      <c r="AH180" s="607"/>
      <c r="AI180" s="608"/>
    </row>
    <row r="181" spans="25:35" x14ac:dyDescent="0.2">
      <c r="Y181" s="64" t="s">
        <v>67</v>
      </c>
      <c r="Z181" s="33" t="str">
        <f>""</f>
        <v/>
      </c>
      <c r="AA181" s="12">
        <v>0</v>
      </c>
      <c r="AB181" s="12" t="str">
        <f>""</f>
        <v/>
      </c>
      <c r="AC181" s="2"/>
      <c r="AD181" s="141"/>
      <c r="AE181" s="606"/>
      <c r="AF181" s="607"/>
      <c r="AG181" s="607"/>
      <c r="AH181" s="607"/>
      <c r="AI181" s="608"/>
    </row>
    <row r="182" spans="25:35" x14ac:dyDescent="0.2">
      <c r="Y182" s="64" t="s">
        <v>68</v>
      </c>
      <c r="Z182" s="33" t="str">
        <f>""</f>
        <v/>
      </c>
      <c r="AA182" s="12">
        <v>0</v>
      </c>
      <c r="AB182" s="12" t="str">
        <f>""</f>
        <v/>
      </c>
      <c r="AC182" s="2"/>
      <c r="AD182" s="141"/>
      <c r="AE182" s="606"/>
      <c r="AF182" s="607"/>
      <c r="AG182" s="607"/>
      <c r="AH182" s="607"/>
      <c r="AI182" s="608"/>
    </row>
    <row r="183" spans="25:35" x14ac:dyDescent="0.2">
      <c r="Y183" s="64" t="s">
        <v>69</v>
      </c>
      <c r="Z183" s="33" t="str">
        <f>""</f>
        <v/>
      </c>
      <c r="AA183" s="12">
        <v>0</v>
      </c>
      <c r="AB183" s="12" t="str">
        <f>""</f>
        <v/>
      </c>
      <c r="AC183" s="2"/>
      <c r="AD183" s="141"/>
      <c r="AE183" s="606"/>
      <c r="AF183" s="607"/>
      <c r="AG183" s="607"/>
      <c r="AH183" s="607"/>
      <c r="AI183" s="608"/>
    </row>
    <row r="184" spans="25:35" x14ac:dyDescent="0.2">
      <c r="Y184" s="64" t="s">
        <v>70</v>
      </c>
      <c r="Z184" s="33" t="str">
        <f>""</f>
        <v/>
      </c>
      <c r="AA184" s="12">
        <v>0</v>
      </c>
      <c r="AB184" s="12" t="str">
        <f>""</f>
        <v/>
      </c>
      <c r="AC184" s="2"/>
      <c r="AD184" s="141"/>
      <c r="AE184" s="606"/>
      <c r="AF184" s="607"/>
      <c r="AG184" s="607"/>
      <c r="AH184" s="607"/>
      <c r="AI184" s="608"/>
    </row>
    <row r="185" spans="25:35" x14ac:dyDescent="0.2">
      <c r="Y185" s="64" t="s">
        <v>71</v>
      </c>
      <c r="Z185" s="33" t="str">
        <f>""</f>
        <v/>
      </c>
      <c r="AA185" s="12">
        <v>0</v>
      </c>
      <c r="AB185" s="12" t="str">
        <f>""</f>
        <v/>
      </c>
      <c r="AC185" s="2"/>
      <c r="AD185" s="141"/>
      <c r="AE185" s="606"/>
      <c r="AF185" s="607"/>
      <c r="AG185" s="607"/>
      <c r="AH185" s="607"/>
      <c r="AI185" s="608"/>
    </row>
    <row r="186" spans="25:35" x14ac:dyDescent="0.2">
      <c r="Y186" s="64" t="s">
        <v>72</v>
      </c>
      <c r="Z186" s="33" t="str">
        <f>""</f>
        <v/>
      </c>
      <c r="AA186" s="12">
        <v>0</v>
      </c>
      <c r="AB186" s="12" t="str">
        <f>""</f>
        <v/>
      </c>
      <c r="AC186" s="2"/>
      <c r="AD186" s="141"/>
      <c r="AE186" s="606"/>
      <c r="AF186" s="607"/>
      <c r="AG186" s="607"/>
      <c r="AH186" s="607"/>
      <c r="AI186" s="608"/>
    </row>
    <row r="187" spans="25:35" x14ac:dyDescent="0.2">
      <c r="Y187" s="64" t="s">
        <v>73</v>
      </c>
      <c r="Z187" s="33" t="str">
        <f>""</f>
        <v/>
      </c>
      <c r="AA187" s="12">
        <v>0</v>
      </c>
      <c r="AB187" s="12" t="str">
        <f>""</f>
        <v/>
      </c>
      <c r="AC187" s="2"/>
      <c r="AD187" s="141"/>
      <c r="AE187" s="606"/>
      <c r="AF187" s="607"/>
      <c r="AG187" s="607"/>
      <c r="AH187" s="607"/>
      <c r="AI187" s="608"/>
    </row>
    <row r="188" spans="25:35" x14ac:dyDescent="0.2">
      <c r="Y188" s="64" t="s">
        <v>74</v>
      </c>
      <c r="Z188" s="33" t="str">
        <f>""</f>
        <v/>
      </c>
      <c r="AA188" s="12">
        <v>0</v>
      </c>
      <c r="AB188" s="12" t="str">
        <f>""</f>
        <v/>
      </c>
      <c r="AC188" s="2"/>
      <c r="AD188" s="141"/>
      <c r="AE188" s="606"/>
      <c r="AF188" s="607"/>
      <c r="AG188" s="607"/>
      <c r="AH188" s="607"/>
      <c r="AI188" s="608"/>
    </row>
    <row r="189" spans="25:35" x14ac:dyDescent="0.2">
      <c r="Y189" s="64" t="s">
        <v>75</v>
      </c>
      <c r="Z189" s="33" t="str">
        <f>""</f>
        <v/>
      </c>
      <c r="AA189" s="12">
        <v>0</v>
      </c>
      <c r="AB189" s="12" t="str">
        <f>""</f>
        <v/>
      </c>
      <c r="AC189" s="2"/>
      <c r="AD189" s="141"/>
      <c r="AE189" s="606"/>
      <c r="AF189" s="607"/>
      <c r="AG189" s="607"/>
      <c r="AH189" s="607"/>
      <c r="AI189" s="608"/>
    </row>
    <row r="190" spans="25:35" x14ac:dyDescent="0.2">
      <c r="Y190" s="64" t="s">
        <v>76</v>
      </c>
      <c r="Z190" s="33" t="str">
        <f>""</f>
        <v/>
      </c>
      <c r="AA190" s="12">
        <v>0</v>
      </c>
      <c r="AB190" s="12" t="str">
        <f>""</f>
        <v/>
      </c>
      <c r="AC190" s="2"/>
      <c r="AD190" s="141"/>
      <c r="AE190" s="606"/>
      <c r="AF190" s="607"/>
      <c r="AG190" s="607"/>
      <c r="AH190" s="607"/>
      <c r="AI190" s="608"/>
    </row>
    <row r="191" spans="25:35" x14ac:dyDescent="0.2">
      <c r="Y191" s="64" t="s">
        <v>77</v>
      </c>
      <c r="Z191" s="33" t="str">
        <f>""</f>
        <v/>
      </c>
      <c r="AA191" s="12">
        <v>0</v>
      </c>
      <c r="AB191" s="12" t="str">
        <f>""</f>
        <v/>
      </c>
      <c r="AC191" s="2"/>
      <c r="AD191" s="141"/>
      <c r="AE191" s="606"/>
      <c r="AF191" s="607"/>
      <c r="AG191" s="607"/>
      <c r="AH191" s="607"/>
      <c r="AI191" s="608"/>
    </row>
    <row r="192" spans="25:35" x14ac:dyDescent="0.2">
      <c r="Y192" s="64" t="s">
        <v>78</v>
      </c>
      <c r="Z192" s="33" t="str">
        <f>""</f>
        <v/>
      </c>
      <c r="AA192" s="12">
        <v>0</v>
      </c>
      <c r="AB192" s="12" t="str">
        <f>""</f>
        <v/>
      </c>
      <c r="AC192" s="2"/>
      <c r="AD192" s="141"/>
      <c r="AE192" s="606"/>
      <c r="AF192" s="607"/>
      <c r="AG192" s="607"/>
      <c r="AH192" s="607"/>
      <c r="AI192" s="608"/>
    </row>
    <row r="193" spans="25:35" x14ac:dyDescent="0.2">
      <c r="Y193" s="64" t="s">
        <v>79</v>
      </c>
      <c r="Z193" s="33" t="str">
        <f>""</f>
        <v/>
      </c>
      <c r="AA193" s="12">
        <v>0</v>
      </c>
      <c r="AB193" s="12" t="str">
        <f>""</f>
        <v/>
      </c>
      <c r="AC193" s="2"/>
      <c r="AD193" s="141"/>
      <c r="AE193" s="606"/>
      <c r="AF193" s="607"/>
      <c r="AG193" s="607"/>
      <c r="AH193" s="607"/>
      <c r="AI193" s="608"/>
    </row>
    <row r="194" spans="25:35" x14ac:dyDescent="0.2">
      <c r="Y194" s="64" t="s">
        <v>80</v>
      </c>
      <c r="Z194" s="33" t="str">
        <f>""</f>
        <v/>
      </c>
      <c r="AA194" s="12">
        <v>0</v>
      </c>
      <c r="AB194" s="12" t="str">
        <f>""</f>
        <v/>
      </c>
      <c r="AC194" s="2"/>
      <c r="AD194" s="141"/>
      <c r="AE194" s="606"/>
      <c r="AF194" s="607"/>
      <c r="AG194" s="607"/>
      <c r="AH194" s="607"/>
      <c r="AI194" s="608"/>
    </row>
    <row r="195" spans="25:35" x14ac:dyDescent="0.2">
      <c r="Y195" s="64" t="s">
        <v>81</v>
      </c>
      <c r="Z195" s="33" t="str">
        <f>""</f>
        <v/>
      </c>
      <c r="AA195" s="12">
        <v>0</v>
      </c>
      <c r="AB195" s="12" t="str">
        <f>""</f>
        <v/>
      </c>
      <c r="AC195" s="2"/>
      <c r="AD195" s="141"/>
      <c r="AE195" s="606"/>
      <c r="AF195" s="607"/>
      <c r="AG195" s="607"/>
      <c r="AH195" s="607"/>
      <c r="AI195" s="608"/>
    </row>
    <row r="196" spans="25:35" x14ac:dyDescent="0.2">
      <c r="Y196" s="64" t="s">
        <v>82</v>
      </c>
      <c r="Z196" s="33" t="str">
        <f>""</f>
        <v/>
      </c>
      <c r="AA196" s="12">
        <v>0</v>
      </c>
      <c r="AB196" s="12" t="str">
        <f>""</f>
        <v/>
      </c>
      <c r="AC196" s="2"/>
      <c r="AD196" s="141"/>
      <c r="AE196" s="606"/>
      <c r="AF196" s="607"/>
      <c r="AG196" s="607"/>
      <c r="AH196" s="607"/>
      <c r="AI196" s="608"/>
    </row>
    <row r="197" spans="25:35" x14ac:dyDescent="0.2">
      <c r="Y197" s="64" t="s">
        <v>83</v>
      </c>
      <c r="Z197" s="33" t="str">
        <f>""</f>
        <v/>
      </c>
      <c r="AA197" s="12">
        <v>0</v>
      </c>
      <c r="AB197" s="12" t="str">
        <f>""</f>
        <v/>
      </c>
      <c r="AC197" s="2"/>
      <c r="AD197" s="141"/>
      <c r="AE197" s="606"/>
      <c r="AF197" s="607"/>
      <c r="AG197" s="607"/>
      <c r="AH197" s="607"/>
      <c r="AI197" s="608"/>
    </row>
    <row r="198" spans="25:35" x14ac:dyDescent="0.2">
      <c r="Y198" s="64" t="s">
        <v>84</v>
      </c>
      <c r="Z198" s="33" t="str">
        <f>""</f>
        <v/>
      </c>
      <c r="AA198" s="12">
        <v>0</v>
      </c>
      <c r="AB198" s="12" t="str">
        <f>""</f>
        <v/>
      </c>
      <c r="AC198" s="2"/>
      <c r="AD198" s="141"/>
      <c r="AE198" s="606"/>
      <c r="AF198" s="607"/>
      <c r="AG198" s="607"/>
      <c r="AH198" s="607"/>
      <c r="AI198" s="608"/>
    </row>
    <row r="199" spans="25:35" x14ac:dyDescent="0.2">
      <c r="Y199" s="64" t="s">
        <v>85</v>
      </c>
      <c r="Z199" s="33" t="str">
        <f>""</f>
        <v/>
      </c>
      <c r="AA199" s="12">
        <v>0</v>
      </c>
      <c r="AB199" s="12" t="str">
        <f>""</f>
        <v/>
      </c>
      <c r="AC199" s="2"/>
      <c r="AD199" s="141"/>
      <c r="AE199" s="606"/>
      <c r="AF199" s="607"/>
      <c r="AG199" s="607"/>
      <c r="AH199" s="607"/>
      <c r="AI199" s="608"/>
    </row>
    <row r="200" spans="25:35" x14ac:dyDescent="0.2">
      <c r="Y200" s="64" t="s">
        <v>86</v>
      </c>
      <c r="Z200" s="33" t="str">
        <f>""</f>
        <v/>
      </c>
      <c r="AA200" s="12">
        <v>0</v>
      </c>
      <c r="AB200" s="12" t="str">
        <f>""</f>
        <v/>
      </c>
      <c r="AC200" s="2"/>
      <c r="AD200" s="141"/>
      <c r="AE200" s="606"/>
      <c r="AF200" s="607"/>
      <c r="AG200" s="607"/>
      <c r="AH200" s="607"/>
      <c r="AI200" s="608"/>
    </row>
    <row r="201" spans="25:35" x14ac:dyDescent="0.2">
      <c r="Y201" s="64" t="s">
        <v>87</v>
      </c>
      <c r="Z201" s="33" t="str">
        <f>""</f>
        <v/>
      </c>
      <c r="AA201" s="12">
        <v>0</v>
      </c>
      <c r="AB201" s="12" t="str">
        <f>""</f>
        <v/>
      </c>
      <c r="AC201" s="2"/>
      <c r="AD201" s="141"/>
      <c r="AE201" s="606"/>
      <c r="AF201" s="607"/>
      <c r="AG201" s="607"/>
      <c r="AH201" s="607"/>
      <c r="AI201" s="608"/>
    </row>
    <row r="202" spans="25:35" x14ac:dyDescent="0.2">
      <c r="Y202" s="64" t="s">
        <v>88</v>
      </c>
      <c r="Z202" s="33" t="str">
        <f>""</f>
        <v/>
      </c>
      <c r="AA202" s="12">
        <v>0</v>
      </c>
      <c r="AB202" s="12" t="str">
        <f>""</f>
        <v/>
      </c>
      <c r="AC202" s="2"/>
      <c r="AD202" s="141"/>
      <c r="AE202" s="606"/>
      <c r="AF202" s="607"/>
      <c r="AG202" s="607"/>
      <c r="AH202" s="607"/>
      <c r="AI202" s="608"/>
    </row>
    <row r="203" spans="25:35" x14ac:dyDescent="0.2">
      <c r="Y203" s="64" t="s">
        <v>89</v>
      </c>
      <c r="Z203" s="33" t="str">
        <f>""</f>
        <v/>
      </c>
      <c r="AA203" s="12">
        <v>0</v>
      </c>
      <c r="AB203" s="12" t="str">
        <f>""</f>
        <v/>
      </c>
      <c r="AC203" s="2"/>
      <c r="AD203" s="141"/>
      <c r="AE203" s="606"/>
      <c r="AF203" s="607"/>
      <c r="AG203" s="607"/>
      <c r="AH203" s="607"/>
      <c r="AI203" s="608"/>
    </row>
    <row r="204" spans="25:35" x14ac:dyDescent="0.2">
      <c r="Y204" s="64" t="s">
        <v>90</v>
      </c>
      <c r="Z204" s="33" t="str">
        <f>""</f>
        <v/>
      </c>
      <c r="AA204" s="12">
        <v>0</v>
      </c>
      <c r="AB204" s="12" t="str">
        <f>""</f>
        <v/>
      </c>
      <c r="AC204" s="2"/>
      <c r="AD204" s="141"/>
      <c r="AE204" s="606"/>
      <c r="AF204" s="607"/>
      <c r="AG204" s="607"/>
      <c r="AH204" s="607"/>
      <c r="AI204" s="608"/>
    </row>
    <row r="205" spans="25:35" x14ac:dyDescent="0.2">
      <c r="Y205" s="64" t="s">
        <v>91</v>
      </c>
      <c r="Z205" s="33" t="str">
        <f>""</f>
        <v/>
      </c>
      <c r="AA205" s="12">
        <v>0</v>
      </c>
      <c r="AB205" s="12" t="str">
        <f>""</f>
        <v/>
      </c>
      <c r="AC205" s="2"/>
      <c r="AD205" s="141"/>
      <c r="AE205" s="606"/>
      <c r="AF205" s="607"/>
      <c r="AG205" s="607"/>
      <c r="AH205" s="607"/>
      <c r="AI205" s="608"/>
    </row>
    <row r="206" spans="25:35" x14ac:dyDescent="0.2">
      <c r="Y206" s="64" t="s">
        <v>92</v>
      </c>
      <c r="Z206" s="33" t="str">
        <f>""</f>
        <v/>
      </c>
      <c r="AA206" s="12">
        <v>0</v>
      </c>
      <c r="AB206" s="12" t="str">
        <f>""</f>
        <v/>
      </c>
      <c r="AC206" s="2"/>
      <c r="AD206" s="141"/>
      <c r="AE206" s="606"/>
      <c r="AF206" s="607"/>
      <c r="AG206" s="607"/>
      <c r="AH206" s="607"/>
      <c r="AI206" s="608"/>
    </row>
    <row r="207" spans="25:35" ht="12.75" thickBot="1" x14ac:dyDescent="0.25">
      <c r="Y207" s="65" t="s">
        <v>93</v>
      </c>
      <c r="Z207" s="35" t="str">
        <f>""</f>
        <v/>
      </c>
      <c r="AA207" s="36">
        <v>0</v>
      </c>
      <c r="AB207" s="142" t="str">
        <f>""</f>
        <v/>
      </c>
      <c r="AC207" s="144"/>
      <c r="AD207" s="143"/>
      <c r="AE207" s="610"/>
      <c r="AF207" s="611"/>
      <c r="AG207" s="611"/>
      <c r="AH207" s="611"/>
      <c r="AI207" s="612"/>
    </row>
    <row r="208" spans="25:35" ht="12.75" thickTop="1" x14ac:dyDescent="0.2"/>
  </sheetData>
  <mergeCells count="16">
    <mergeCell ref="BI29:BP29"/>
    <mergeCell ref="AS29:AZ29"/>
    <mergeCell ref="BA29:BH29"/>
    <mergeCell ref="E29:L29"/>
    <mergeCell ref="M29:T29"/>
    <mergeCell ref="U29:AB29"/>
    <mergeCell ref="AC29:AJ29"/>
    <mergeCell ref="AK29:AR29"/>
    <mergeCell ref="AE63:AF63"/>
    <mergeCell ref="W3:AA3"/>
    <mergeCell ref="AB3:AF3"/>
    <mergeCell ref="AG3:AK3"/>
    <mergeCell ref="AL3:AP3"/>
    <mergeCell ref="AD15:AH15"/>
    <mergeCell ref="X63:Y63"/>
    <mergeCell ref="AG63:AH63"/>
  </mergeCells>
  <phoneticPr fontId="3" type="noConversion"/>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5" s="2" customFormat="1" x14ac:dyDescent="0.2"/>
    <row r="2" spans="1:45" s="2" customFormat="1" x14ac:dyDescent="0.2">
      <c r="B2" s="12"/>
      <c r="C2" s="12"/>
      <c r="D2" s="12"/>
      <c r="E2" s="12"/>
      <c r="F2" s="1"/>
      <c r="G2" s="1"/>
      <c r="H2" s="1"/>
      <c r="I2" s="1"/>
      <c r="J2" s="1" t="s">
        <v>336</v>
      </c>
      <c r="K2" s="1"/>
      <c r="L2" s="1"/>
      <c r="M2" s="1"/>
      <c r="N2" s="12"/>
      <c r="O2" s="1"/>
      <c r="P2" s="1"/>
      <c r="Q2" s="1"/>
      <c r="W2" s="2" t="s">
        <v>150</v>
      </c>
    </row>
    <row r="3" spans="1:45" s="2" customFormat="1" ht="13.5" customHeight="1" thickBot="1" x14ac:dyDescent="0.25">
      <c r="B3" s="1"/>
      <c r="C3" s="12"/>
      <c r="D3" s="12"/>
      <c r="E3" s="12"/>
      <c r="F3" s="12"/>
      <c r="G3" s="67" t="s">
        <v>106</v>
      </c>
      <c r="H3" s="67" t="s">
        <v>107</v>
      </c>
      <c r="I3" s="729" t="s">
        <v>108</v>
      </c>
      <c r="J3" s="729" t="s">
        <v>109</v>
      </c>
      <c r="K3" s="729" t="s">
        <v>102</v>
      </c>
      <c r="L3" s="26" t="s">
        <v>103</v>
      </c>
      <c r="M3" s="26" t="s">
        <v>104</v>
      </c>
      <c r="N3" s="26" t="s">
        <v>105</v>
      </c>
      <c r="O3" s="108">
        <f t="shared" ref="O3:V3" ca="1" si="0">IF(9-COUNTIF(O$17:O$25,"")&gt;1,O$16,99999)</f>
        <v>99999</v>
      </c>
      <c r="P3" s="109">
        <f t="shared" ca="1" si="0"/>
        <v>99999</v>
      </c>
      <c r="Q3" s="109">
        <f t="shared" ca="1" si="0"/>
        <v>99999</v>
      </c>
      <c r="R3" s="109">
        <f t="shared" ca="1" si="0"/>
        <v>99999</v>
      </c>
      <c r="S3" s="109">
        <f t="shared" ca="1" si="0"/>
        <v>99999</v>
      </c>
      <c r="T3" s="109">
        <f t="shared" ca="1" si="0"/>
        <v>99999</v>
      </c>
      <c r="U3" s="109">
        <f t="shared" ca="1" si="0"/>
        <v>99999</v>
      </c>
      <c r="V3" s="109">
        <f t="shared" ca="1" si="0"/>
        <v>99999</v>
      </c>
      <c r="W3" s="926">
        <f ca="1">IF($O$4&lt;10,$O$4,0)</f>
        <v>0</v>
      </c>
      <c r="X3" s="927"/>
      <c r="Y3" s="927"/>
      <c r="Z3" s="927"/>
      <c r="AA3" s="927"/>
      <c r="AB3" s="926">
        <f ca="1">IF($P$4&lt;10,$P$4,0)</f>
        <v>0</v>
      </c>
      <c r="AC3" s="927"/>
      <c r="AD3" s="927"/>
      <c r="AE3" s="927"/>
      <c r="AF3" s="927"/>
      <c r="AG3" s="926">
        <f ca="1">IF($Q$4&lt;10,$Q$4,0)</f>
        <v>0</v>
      </c>
      <c r="AH3" s="927"/>
      <c r="AI3" s="927"/>
      <c r="AJ3" s="927"/>
      <c r="AK3" s="927"/>
      <c r="AL3" s="926">
        <f ca="1">IF($R$4&lt;10,$R$4,0)</f>
        <v>0</v>
      </c>
      <c r="AM3" s="927"/>
      <c r="AN3" s="927"/>
      <c r="AO3" s="927"/>
      <c r="AP3" s="927"/>
      <c r="AR3" s="26" t="s">
        <v>378</v>
      </c>
      <c r="AS3" s="26" t="s">
        <v>379</v>
      </c>
    </row>
    <row r="4" spans="1:45" s="2" customFormat="1" ht="12.75" thickTop="1" x14ac:dyDescent="0.2">
      <c r="A4" s="239"/>
      <c r="B4" s="1">
        <v>1</v>
      </c>
      <c r="C4" s="20">
        <f t="shared" ref="C4:C12" ca="1" si="1">RANK(D4,$D$4:$D$12,1)</f>
        <v>1</v>
      </c>
      <c r="D4" s="12">
        <f t="shared" ref="D4:D12" ca="1" si="2">E4+ROW()/1000+(F4="")*10</f>
        <v>1.004</v>
      </c>
      <c r="E4" s="252">
        <f t="shared" ref="E4:E12" ca="1" si="3">IF($AI$15,RANK(AH17,AH$17:AH$25,1),RANK(X17,X$17:X$25,1))</f>
        <v>1</v>
      </c>
      <c r="F4" s="1" t="str">
        <f>$Q64</f>
        <v>Mainz 05</v>
      </c>
      <c r="G4" s="1">
        <f t="shared" ref="G4:G12" ca="1" si="4">SUMIFS($X$64:$X$135,$V$64:$V$135,$F4)+SUMIFS($Y$64:$Y$135,$W$64:$W$135,$F4)+SUMIFS($AG$64:$AG$135,$V$64:$V$135,$F4)+SUMIFS($AH$64:$AH$135,$W$64:$W$135,$F4)</f>
        <v>178</v>
      </c>
      <c r="H4" s="1">
        <f t="shared" ref="H4:H12" ca="1" si="5">SUMIFS($Y$64:$Y$135,$V$64:$V$135,$F4)+SUMIFS($X$64:$X$135,$W$64:$W$135,$F4)+SUMIFS($AH$64:$AH$135,$V$64:$V$135,$F4)+SUMIFS($AG$64:$AG$135,$W$64:$W$135,$F4)</f>
        <v>156</v>
      </c>
      <c r="I4" s="12">
        <f ca="1">IF(Einstellungen!$G$7,G4-H4,IF(H4=0,IF(G4=0,0,Einstellungen!$F$7),G4/H4))</f>
        <v>22</v>
      </c>
      <c r="J4" s="1">
        <f t="shared" ref="J4:J7" ca="1" si="6">SUMPRODUCT(($V$64:$V$135=F4)*$AE$64:$AE$135*$AA$64:$AA$135)+SUMPRODUCT(($W$64:$W$135=F4)*$AF$64:$AF$135*$AA$64:$AA$135)</f>
        <v>5</v>
      </c>
      <c r="K4" s="1">
        <f t="shared" ref="K4:K12" ca="1" si="7">SUMPRODUCT(($V$64:$V$135=F4)*$AA$64:$AA$135)+SUMPRODUCT(($W$64:$W$135=F4)*$AA$64:$AA$135)</f>
        <v>4</v>
      </c>
      <c r="L4" s="1">
        <f t="shared" ref="L4:L12" ca="1" si="8">K4-M4-N4</f>
        <v>2</v>
      </c>
      <c r="M4" s="1">
        <f t="shared" ref="M4:M12" ca="1" si="9">SUMPRODUCT(($V$64:$W$135=F4)*($AE$64:$AE$135=$AF$64:$AF$135)*$AA$64:$AA$135)</f>
        <v>1</v>
      </c>
      <c r="N4" s="1">
        <f t="shared" ref="N4:N12" ca="1" si="10">SUMPRODUCT(($V$64:$V$135=F4)*($AE$64:$AE$135&lt;$AF$64:$AF$135)*$AA$64:$AA$135)+SUMPRODUCT(($W$64:$W$135=F4)*($AE$64:$AE$135&gt;$AF$64:$AF$135)*$AA$64:$AA$135)</f>
        <v>1</v>
      </c>
      <c r="O4" s="117">
        <f ca="1">SMALL($O$3:$V$3,1)</f>
        <v>99999</v>
      </c>
      <c r="P4" s="117">
        <f ca="1">SMALL($O$3:$V$3,2)</f>
        <v>99999</v>
      </c>
      <c r="Q4" s="117">
        <f ca="1">SMALL($O$3:$V$3,3)</f>
        <v>99999</v>
      </c>
      <c r="R4" s="117">
        <f ca="1">SMALL($O$3:$V$3,4)</f>
        <v>99999</v>
      </c>
      <c r="V4" s="1"/>
      <c r="W4" s="578" t="str">
        <f t="shared" ref="W4:W12" ca="1" si="11">IFERROR(INDEX($O$17:$V$25,ROW(A1),$W$3),"")</f>
        <v/>
      </c>
      <c r="X4" s="579" t="str">
        <f t="shared" ref="X4:X12" ca="1" si="12">INDEX($W$4:$W$12,MATCH(ROW(A1),$AA$4:$AA$12,0))</f>
        <v/>
      </c>
      <c r="Y4" s="580">
        <f t="shared" ref="Y4:Y12" ca="1" si="13">IF($W4="",99999,VLOOKUP($W4,$C$17:$Z$25,24,0))</f>
        <v>99999</v>
      </c>
      <c r="Z4" s="581">
        <f t="shared" ref="Z4:Z12" ca="1" si="14">RANK(Y4,Y$4:Y$12,1)+INDEX($E$4:$E$12,MATCH(W4,$F$4:$F$12,0))/100+ROW()/10000</f>
        <v>1.0604</v>
      </c>
      <c r="AA4" s="582">
        <f t="shared" ref="AA4:AA12" ca="1" si="15">RANK($Z4,$Z$4:$Z$12,1)</f>
        <v>1</v>
      </c>
      <c r="AB4" s="583" t="str">
        <f t="shared" ref="AB4:AB12" ca="1" si="16">IFERROR(INDEX($O$17:$V$25,ROW(A1),$AB$3),"")</f>
        <v/>
      </c>
      <c r="AC4" s="584" t="str">
        <f t="shared" ref="AC4:AC12" ca="1" si="17">INDEX($AB$4:$AB$12,MATCH(ROW(A1),$AF$4:$AF$12,0))</f>
        <v/>
      </c>
      <c r="AD4" s="585">
        <f t="shared" ref="AD4:AD12" ca="1" si="18">IF($AB4="",99999,VLOOKUP($AB4,$C$17:$Z$25,24,0))</f>
        <v>99999</v>
      </c>
      <c r="AE4" s="581">
        <f t="shared" ref="AE4:AE12" ca="1" si="19">RANK(AD4,AD$4:AD$12,1)+INDEX($E$4:$E$12,MATCH(AB4,$F$4:$F$12,0))/100+ROW()/10000</f>
        <v>1.0604</v>
      </c>
      <c r="AF4" s="581">
        <f t="shared" ref="AF4:AF12" ca="1" si="20">RANK($AE4,$AE$4:$AE$12,1)</f>
        <v>1</v>
      </c>
      <c r="AG4" s="583" t="str">
        <f t="shared" ref="AG4:AG12" ca="1" si="21">IFERROR(INDEX($O$17:$V$25,ROW(C1),$AG$3),"")</f>
        <v/>
      </c>
      <c r="AH4" s="584" t="str">
        <f t="shared" ref="AH4:AH12" ca="1" si="22">INDEX($AG$4:$AG$12,MATCH(ROW(A1),$AK$4:$AK$12,0))</f>
        <v/>
      </c>
      <c r="AI4" s="585">
        <f t="shared" ref="AI4:AI12" ca="1" si="23">IF($AG4="",99999,VLOOKUP($AG4,$C$17:$Z$25,24,0))</f>
        <v>99999</v>
      </c>
      <c r="AJ4" s="581">
        <f t="shared" ref="AJ4:AJ12" ca="1" si="24">RANK(AI4,AI$4:AI$12,1)+INDEX($E$4:$E$12,MATCH(AG4,$F$4:$F$12,0))/100+ROW()/10000</f>
        <v>1.0604</v>
      </c>
      <c r="AK4" s="586">
        <f t="shared" ref="AK4:AK12" ca="1" si="25">RANK($AJ4,$AJ$4:$AJ$12,1)</f>
        <v>1</v>
      </c>
      <c r="AL4" s="584" t="str">
        <f t="shared" ref="AL4:AL12" ca="1" si="26">IFERROR(INDEX($O$17:$V$25,ROW(E1),$AL$3),"")</f>
        <v/>
      </c>
      <c r="AM4" s="584" t="str">
        <f t="shared" ref="AM4:AM12" ca="1" si="27">INDEX($AL$4:$AL$12,MATCH(ROW(A1),$AP$4:$AP$12,0))</f>
        <v/>
      </c>
      <c r="AN4" s="585">
        <f t="shared" ref="AN4:AN12" ca="1" si="28">IF($AL4="",99999,VLOOKUP($AL4,$C$17:$Z$25,24,0))</f>
        <v>99999</v>
      </c>
      <c r="AO4" s="581">
        <f t="shared" ref="AO4:AO12" ca="1" si="29">RANK(AN4,AN$4:AN$12,1)+INDEX($E$4:$E$12,MATCH(AL4,$F$4:$F$12,0))/100+ROW()/10000</f>
        <v>1.0604</v>
      </c>
      <c r="AP4" s="586">
        <f t="shared" ref="AP4:AP12" ca="1" si="30">RANK($AO4,$AO$4:$AO$12,1)</f>
        <v>1</v>
      </c>
      <c r="AR4" s="1">
        <f ca="1">IF(Einstellungen!$G$7,$I4,ROUND($I4,Einstellungen!$H$7))</f>
        <v>22</v>
      </c>
      <c r="AS4" s="1">
        <f ca="1">SUMPRODUCT(($W$64:$W$135=F4)*$AE$64:$AE$135*$AA$64:$AA$135)+SUMPRODUCT(($V$64:$V$135=F4)*$AF$64:$AF$135*$AA$64:$AA$135)</f>
        <v>3</v>
      </c>
    </row>
    <row r="5" spans="1:45" s="2" customFormat="1" x14ac:dyDescent="0.2">
      <c r="A5" s="239"/>
      <c r="B5" s="1">
        <v>2</v>
      </c>
      <c r="C5" s="21">
        <f t="shared" ca="1" si="1"/>
        <v>5</v>
      </c>
      <c r="D5" s="12">
        <f t="shared" ca="1" si="2"/>
        <v>5.0049999999999999</v>
      </c>
      <c r="E5" s="252">
        <f t="shared" ca="1" si="3"/>
        <v>5</v>
      </c>
      <c r="F5" s="1" t="str">
        <f t="shared" ref="F5:F12" si="31">$Q65</f>
        <v>Inter Mailand</v>
      </c>
      <c r="G5" s="1">
        <f t="shared" ca="1" si="4"/>
        <v>152</v>
      </c>
      <c r="H5" s="1">
        <f t="shared" ca="1" si="5"/>
        <v>183</v>
      </c>
      <c r="I5" s="12">
        <f ca="1">IF(Einstellungen!$G$7,G5-H5,IF(H5=0,IF(G5=0,0,Einstellungen!$F$7),G5/H5))</f>
        <v>-31</v>
      </c>
      <c r="J5" s="1">
        <f t="shared" ca="1" si="6"/>
        <v>3</v>
      </c>
      <c r="K5" s="1">
        <f t="shared" ca="1" si="7"/>
        <v>4</v>
      </c>
      <c r="L5" s="1">
        <f t="shared" ca="1" si="8"/>
        <v>0</v>
      </c>
      <c r="M5" s="1">
        <f t="shared" ca="1" si="9"/>
        <v>3</v>
      </c>
      <c r="N5" s="1">
        <f t="shared" ca="1" si="10"/>
        <v>1</v>
      </c>
      <c r="O5" s="23"/>
      <c r="P5" s="24"/>
      <c r="V5" s="1"/>
      <c r="W5" s="583" t="str">
        <f t="shared" ca="1" si="11"/>
        <v/>
      </c>
      <c r="X5" s="584" t="str">
        <f t="shared" ca="1" si="12"/>
        <v/>
      </c>
      <c r="Y5" s="581">
        <f t="shared" ca="1" si="13"/>
        <v>99999</v>
      </c>
      <c r="Z5" s="581">
        <f t="shared" ca="1" si="14"/>
        <v>1.0605</v>
      </c>
      <c r="AA5" s="586">
        <f t="shared" ca="1" si="15"/>
        <v>2</v>
      </c>
      <c r="AB5" s="583" t="str">
        <f t="shared" ca="1" si="16"/>
        <v/>
      </c>
      <c r="AC5" s="584" t="str">
        <f t="shared" ca="1" si="17"/>
        <v/>
      </c>
      <c r="AD5" s="585">
        <f t="shared" ca="1" si="18"/>
        <v>99999</v>
      </c>
      <c r="AE5" s="581">
        <f t="shared" ca="1" si="19"/>
        <v>1.0605</v>
      </c>
      <c r="AF5" s="581">
        <f t="shared" ca="1" si="20"/>
        <v>2</v>
      </c>
      <c r="AG5" s="583" t="str">
        <f t="shared" ca="1" si="21"/>
        <v/>
      </c>
      <c r="AH5" s="584" t="str">
        <f t="shared" ca="1" si="22"/>
        <v/>
      </c>
      <c r="AI5" s="585">
        <f t="shared" ca="1" si="23"/>
        <v>99999</v>
      </c>
      <c r="AJ5" s="581">
        <f t="shared" ca="1" si="24"/>
        <v>1.0605</v>
      </c>
      <c r="AK5" s="586">
        <f t="shared" ca="1" si="25"/>
        <v>2</v>
      </c>
      <c r="AL5" s="584" t="str">
        <f t="shared" ca="1" si="26"/>
        <v/>
      </c>
      <c r="AM5" s="584" t="str">
        <f t="shared" ca="1" si="27"/>
        <v/>
      </c>
      <c r="AN5" s="585">
        <f t="shared" ca="1" si="28"/>
        <v>99999</v>
      </c>
      <c r="AO5" s="581">
        <f t="shared" ca="1" si="29"/>
        <v>1.0605</v>
      </c>
      <c r="AP5" s="586">
        <f t="shared" ca="1" si="30"/>
        <v>2</v>
      </c>
      <c r="AR5" s="1">
        <f ca="1">IF(Einstellungen!$G$7,$I5,ROUND($I5,Einstellungen!$H$7))</f>
        <v>-31</v>
      </c>
      <c r="AS5" s="1">
        <f t="shared" ref="AS5:AS12" ca="1" si="32">SUMPRODUCT(($W$64:$W$135=F5)*$AE$64:$AE$135*$AA$64:$AA$135)+SUMPRODUCT(($V$64:$V$135=F5)*$AF$64:$AF$135*$AA$64:$AA$135)</f>
        <v>5</v>
      </c>
    </row>
    <row r="6" spans="1:45" s="2" customFormat="1" x14ac:dyDescent="0.2">
      <c r="A6" s="239"/>
      <c r="B6" s="1">
        <v>3</v>
      </c>
      <c r="C6" s="21">
        <f t="shared" ca="1" si="1"/>
        <v>4</v>
      </c>
      <c r="D6" s="12">
        <f t="shared" ca="1" si="2"/>
        <v>4.0060000000000002</v>
      </c>
      <c r="E6" s="252">
        <f t="shared" ca="1" si="3"/>
        <v>4</v>
      </c>
      <c r="F6" s="1" t="str">
        <f t="shared" si="31"/>
        <v>SSV Wildbach</v>
      </c>
      <c r="G6" s="1">
        <f t="shared" ca="1" si="4"/>
        <v>169</v>
      </c>
      <c r="H6" s="1">
        <f t="shared" ca="1" si="5"/>
        <v>180</v>
      </c>
      <c r="I6" s="12">
        <f ca="1">IF(Einstellungen!$G$7,G6-H6,IF(H6=0,IF(G6=0,0,Einstellungen!$F$7),G6/H6))</f>
        <v>-11</v>
      </c>
      <c r="J6" s="1">
        <f t="shared" ca="1" si="6"/>
        <v>4</v>
      </c>
      <c r="K6" s="1">
        <f t="shared" ca="1" si="7"/>
        <v>4</v>
      </c>
      <c r="L6" s="1">
        <f t="shared" ca="1" si="8"/>
        <v>1</v>
      </c>
      <c r="M6" s="1">
        <f t="shared" ca="1" si="9"/>
        <v>2</v>
      </c>
      <c r="N6" s="1">
        <f t="shared" ca="1" si="10"/>
        <v>1</v>
      </c>
      <c r="O6" s="23"/>
      <c r="P6" s="24"/>
      <c r="V6" s="1"/>
      <c r="W6" s="583" t="str">
        <f t="shared" ca="1" si="11"/>
        <v/>
      </c>
      <c r="X6" s="584" t="str">
        <f t="shared" ca="1" si="12"/>
        <v/>
      </c>
      <c r="Y6" s="581">
        <f t="shared" ca="1" si="13"/>
        <v>99999</v>
      </c>
      <c r="Z6" s="581">
        <f t="shared" ca="1" si="14"/>
        <v>1.0606</v>
      </c>
      <c r="AA6" s="586">
        <f t="shared" ca="1" si="15"/>
        <v>3</v>
      </c>
      <c r="AB6" s="583" t="str">
        <f t="shared" ca="1" si="16"/>
        <v/>
      </c>
      <c r="AC6" s="584" t="str">
        <f t="shared" ca="1" si="17"/>
        <v/>
      </c>
      <c r="AD6" s="585">
        <f t="shared" ca="1" si="18"/>
        <v>99999</v>
      </c>
      <c r="AE6" s="581">
        <f t="shared" ca="1" si="19"/>
        <v>1.0606</v>
      </c>
      <c r="AF6" s="581">
        <f t="shared" ca="1" si="20"/>
        <v>3</v>
      </c>
      <c r="AG6" s="583" t="str">
        <f t="shared" ca="1" si="21"/>
        <v/>
      </c>
      <c r="AH6" s="584" t="str">
        <f t="shared" ca="1" si="22"/>
        <v/>
      </c>
      <c r="AI6" s="585">
        <f t="shared" ca="1" si="23"/>
        <v>99999</v>
      </c>
      <c r="AJ6" s="581">
        <f t="shared" ca="1" si="24"/>
        <v>1.0606</v>
      </c>
      <c r="AK6" s="586">
        <f t="shared" ca="1" si="25"/>
        <v>3</v>
      </c>
      <c r="AL6" s="584" t="str">
        <f t="shared" ca="1" si="26"/>
        <v/>
      </c>
      <c r="AM6" s="584" t="str">
        <f t="shared" ca="1" si="27"/>
        <v/>
      </c>
      <c r="AN6" s="585">
        <f t="shared" ca="1" si="28"/>
        <v>99999</v>
      </c>
      <c r="AO6" s="581">
        <f t="shared" ca="1" si="29"/>
        <v>1.0606</v>
      </c>
      <c r="AP6" s="586">
        <f t="shared" ca="1" si="30"/>
        <v>3</v>
      </c>
      <c r="AR6" s="1">
        <f ca="1">IF(Einstellungen!$G$7,$I6,ROUND($I6,Einstellungen!$H$7))</f>
        <v>-11</v>
      </c>
      <c r="AS6" s="1">
        <f t="shared" ca="1" si="32"/>
        <v>4</v>
      </c>
    </row>
    <row r="7" spans="1:45" s="2" customFormat="1" x14ac:dyDescent="0.2">
      <c r="A7" s="239"/>
      <c r="B7" s="1">
        <v>4</v>
      </c>
      <c r="C7" s="21">
        <f t="shared" ca="1" si="1"/>
        <v>2</v>
      </c>
      <c r="D7" s="12">
        <f t="shared" ca="1" si="2"/>
        <v>2.0070000000000001</v>
      </c>
      <c r="E7" s="252">
        <f t="shared" ca="1" si="3"/>
        <v>2</v>
      </c>
      <c r="F7" s="1" t="str">
        <f t="shared" si="31"/>
        <v>Manchester City</v>
      </c>
      <c r="G7" s="1">
        <f t="shared" ca="1" si="4"/>
        <v>184</v>
      </c>
      <c r="H7" s="1">
        <f t="shared" ca="1" si="5"/>
        <v>160</v>
      </c>
      <c r="I7" s="12">
        <f ca="1">IF(Einstellungen!$G$7,G7-H7,IF(H7=0,IF(G7=0,0,Einstellungen!$F$7),G7/H7))</f>
        <v>24</v>
      </c>
      <c r="J7" s="1">
        <f t="shared" ca="1" si="6"/>
        <v>4</v>
      </c>
      <c r="K7" s="1">
        <f t="shared" ca="1" si="7"/>
        <v>4</v>
      </c>
      <c r="L7" s="1">
        <f t="shared" ca="1" si="8"/>
        <v>1</v>
      </c>
      <c r="M7" s="1">
        <f t="shared" ca="1" si="9"/>
        <v>2</v>
      </c>
      <c r="N7" s="1">
        <f t="shared" ca="1" si="10"/>
        <v>1</v>
      </c>
      <c r="O7" s="23"/>
      <c r="P7" s="24"/>
      <c r="V7" s="1"/>
      <c r="W7" s="583" t="str">
        <f t="shared" ca="1" si="11"/>
        <v/>
      </c>
      <c r="X7" s="584" t="str">
        <f t="shared" ca="1" si="12"/>
        <v/>
      </c>
      <c r="Y7" s="581">
        <f t="shared" ca="1" si="13"/>
        <v>99999</v>
      </c>
      <c r="Z7" s="581">
        <f t="shared" ca="1" si="14"/>
        <v>1.0607</v>
      </c>
      <c r="AA7" s="586">
        <f t="shared" ca="1" si="15"/>
        <v>4</v>
      </c>
      <c r="AB7" s="583" t="str">
        <f t="shared" ca="1" si="16"/>
        <v/>
      </c>
      <c r="AC7" s="584" t="str">
        <f t="shared" ca="1" si="17"/>
        <v/>
      </c>
      <c r="AD7" s="585">
        <f t="shared" ca="1" si="18"/>
        <v>99999</v>
      </c>
      <c r="AE7" s="581">
        <f t="shared" ca="1" si="19"/>
        <v>1.0607</v>
      </c>
      <c r="AF7" s="581">
        <f t="shared" ca="1" si="20"/>
        <v>4</v>
      </c>
      <c r="AG7" s="583" t="str">
        <f t="shared" ca="1" si="21"/>
        <v/>
      </c>
      <c r="AH7" s="584" t="str">
        <f t="shared" ca="1" si="22"/>
        <v/>
      </c>
      <c r="AI7" s="585">
        <f t="shared" ca="1" si="23"/>
        <v>99999</v>
      </c>
      <c r="AJ7" s="581">
        <f t="shared" ca="1" si="24"/>
        <v>1.0607</v>
      </c>
      <c r="AK7" s="586">
        <f t="shared" ca="1" si="25"/>
        <v>4</v>
      </c>
      <c r="AL7" s="584" t="str">
        <f t="shared" ca="1" si="26"/>
        <v/>
      </c>
      <c r="AM7" s="584" t="str">
        <f t="shared" ca="1" si="27"/>
        <v/>
      </c>
      <c r="AN7" s="585">
        <f t="shared" ca="1" si="28"/>
        <v>99999</v>
      </c>
      <c r="AO7" s="581">
        <f t="shared" ca="1" si="29"/>
        <v>1.0607</v>
      </c>
      <c r="AP7" s="586">
        <f t="shared" ca="1" si="30"/>
        <v>4</v>
      </c>
      <c r="AR7" s="1">
        <f ca="1">IF(Einstellungen!$G$7,$I7,ROUND($I7,Einstellungen!$H$7))</f>
        <v>24</v>
      </c>
      <c r="AS7" s="1">
        <f t="shared" ca="1" si="32"/>
        <v>4</v>
      </c>
    </row>
    <row r="8" spans="1:45" s="2" customFormat="1" x14ac:dyDescent="0.2">
      <c r="A8" s="239"/>
      <c r="B8" s="1">
        <v>5</v>
      </c>
      <c r="C8" s="21">
        <f t="shared" ca="1" si="1"/>
        <v>3</v>
      </c>
      <c r="D8" s="12">
        <f t="shared" ca="1" si="2"/>
        <v>3.008</v>
      </c>
      <c r="E8" s="252">
        <f t="shared" ca="1" si="3"/>
        <v>3</v>
      </c>
      <c r="F8" s="1" t="str">
        <f t="shared" si="31"/>
        <v>FC Grönlingen</v>
      </c>
      <c r="G8" s="1">
        <f t="shared" ca="1" si="4"/>
        <v>174</v>
      </c>
      <c r="H8" s="1">
        <f t="shared" ca="1" si="5"/>
        <v>178</v>
      </c>
      <c r="I8" s="12">
        <f ca="1">IF(Einstellungen!$G$7,G8-H8,IF(H8=0,IF(G8=0,0,Einstellungen!$F$7),G8/H8))</f>
        <v>-4</v>
      </c>
      <c r="J8" s="1">
        <f ca="1">SUMPRODUCT(($V$64:$V$135=F8)*$AE$64:$AE$135*$AA$64:$AA$135)+SUMPRODUCT(($W$64:$W$135=F8)*$AF$64:$AF$135*$AA$64:$AA$135)</f>
        <v>4</v>
      </c>
      <c r="K8" s="1">
        <f t="shared" ca="1" si="7"/>
        <v>4</v>
      </c>
      <c r="L8" s="1">
        <f t="shared" ca="1" si="8"/>
        <v>1</v>
      </c>
      <c r="M8" s="1">
        <f t="shared" ca="1" si="9"/>
        <v>2</v>
      </c>
      <c r="N8" s="1">
        <f t="shared" ca="1" si="10"/>
        <v>1</v>
      </c>
      <c r="P8" s="24"/>
      <c r="W8" s="583" t="str">
        <f t="shared" ca="1" si="11"/>
        <v/>
      </c>
      <c r="X8" s="584" t="str">
        <f t="shared" ca="1" si="12"/>
        <v/>
      </c>
      <c r="Y8" s="581">
        <f t="shared" ca="1" si="13"/>
        <v>99999</v>
      </c>
      <c r="Z8" s="581">
        <f t="shared" ca="1" si="14"/>
        <v>1.0608</v>
      </c>
      <c r="AA8" s="586">
        <f t="shared" ca="1" si="15"/>
        <v>5</v>
      </c>
      <c r="AB8" s="583" t="str">
        <f t="shared" ca="1" si="16"/>
        <v/>
      </c>
      <c r="AC8" s="584" t="str">
        <f t="shared" ca="1" si="17"/>
        <v/>
      </c>
      <c r="AD8" s="585">
        <f t="shared" ca="1" si="18"/>
        <v>99999</v>
      </c>
      <c r="AE8" s="581">
        <f t="shared" ca="1" si="19"/>
        <v>1.0608</v>
      </c>
      <c r="AF8" s="581">
        <f t="shared" ca="1" si="20"/>
        <v>5</v>
      </c>
      <c r="AG8" s="583" t="str">
        <f t="shared" ca="1" si="21"/>
        <v/>
      </c>
      <c r="AH8" s="584" t="str">
        <f t="shared" ca="1" si="22"/>
        <v/>
      </c>
      <c r="AI8" s="585">
        <f t="shared" ca="1" si="23"/>
        <v>99999</v>
      </c>
      <c r="AJ8" s="581">
        <f t="shared" ca="1" si="24"/>
        <v>1.0608</v>
      </c>
      <c r="AK8" s="586">
        <f t="shared" ca="1" si="25"/>
        <v>5</v>
      </c>
      <c r="AL8" s="584" t="str">
        <f t="shared" ca="1" si="26"/>
        <v/>
      </c>
      <c r="AM8" s="584" t="str">
        <f t="shared" ca="1" si="27"/>
        <v/>
      </c>
      <c r="AN8" s="585">
        <f t="shared" ca="1" si="28"/>
        <v>99999</v>
      </c>
      <c r="AO8" s="581">
        <f t="shared" ca="1" si="29"/>
        <v>1.0608</v>
      </c>
      <c r="AP8" s="586">
        <f t="shared" ca="1" si="30"/>
        <v>5</v>
      </c>
      <c r="AR8" s="1">
        <f ca="1">IF(Einstellungen!$G$7,$I8,ROUND($I8,Einstellungen!$H$7))</f>
        <v>-4</v>
      </c>
      <c r="AS8" s="1">
        <f t="shared" ca="1" si="32"/>
        <v>4</v>
      </c>
    </row>
    <row r="9" spans="1:45" s="2" customFormat="1" x14ac:dyDescent="0.2">
      <c r="A9" s="239"/>
      <c r="B9" s="1">
        <v>6</v>
      </c>
      <c r="C9" s="21">
        <f t="shared" ca="1" si="1"/>
        <v>6</v>
      </c>
      <c r="D9" s="12">
        <f t="shared" ca="1" si="2"/>
        <v>16.009</v>
      </c>
      <c r="E9" s="252">
        <f t="shared" ca="1" si="3"/>
        <v>6</v>
      </c>
      <c r="F9" s="1" t="str">
        <f t="shared" si="31"/>
        <v/>
      </c>
      <c r="G9" s="1">
        <f t="shared" ca="1" si="4"/>
        <v>0</v>
      </c>
      <c r="H9" s="1">
        <f t="shared" ca="1" si="5"/>
        <v>0</v>
      </c>
      <c r="I9" s="12">
        <f ca="1">IF(Einstellungen!$G$7,G9-H9,IF(H9=0,IF(G9=0,0,Einstellungen!$F$7),G9/H9))</f>
        <v>0</v>
      </c>
      <c r="J9" s="1">
        <f t="shared" ref="J9:J12" ca="1" si="33">SUMPRODUCT(($V$64:$V$135=F9)*$AE$64:$AE$135*$AA$64:$AA$135)+SUMPRODUCT(($W$64:$W$135=F9)*$AF$64:$AF$135*$AA$64:$AA$135)</f>
        <v>0</v>
      </c>
      <c r="K9" s="1">
        <f t="shared" ca="1" si="7"/>
        <v>0</v>
      </c>
      <c r="L9" s="1">
        <f t="shared" ca="1" si="8"/>
        <v>0</v>
      </c>
      <c r="M9" s="1">
        <f t="shared" ca="1" si="9"/>
        <v>0</v>
      </c>
      <c r="N9" s="1">
        <f t="shared" ca="1" si="10"/>
        <v>0</v>
      </c>
      <c r="P9" s="24"/>
      <c r="W9" s="583" t="str">
        <f t="shared" ca="1" si="11"/>
        <v/>
      </c>
      <c r="X9" s="584" t="str">
        <f t="shared" ca="1" si="12"/>
        <v/>
      </c>
      <c r="Y9" s="581">
        <f t="shared" ca="1" si="13"/>
        <v>99999</v>
      </c>
      <c r="Z9" s="581">
        <f t="shared" ca="1" si="14"/>
        <v>1.0609</v>
      </c>
      <c r="AA9" s="586">
        <f t="shared" ca="1" si="15"/>
        <v>6</v>
      </c>
      <c r="AB9" s="583" t="str">
        <f t="shared" ca="1" si="16"/>
        <v/>
      </c>
      <c r="AC9" s="584" t="str">
        <f t="shared" ca="1" si="17"/>
        <v/>
      </c>
      <c r="AD9" s="585">
        <f t="shared" ca="1" si="18"/>
        <v>99999</v>
      </c>
      <c r="AE9" s="581">
        <f t="shared" ca="1" si="19"/>
        <v>1.0609</v>
      </c>
      <c r="AF9" s="581">
        <f t="shared" ca="1" si="20"/>
        <v>6</v>
      </c>
      <c r="AG9" s="583" t="str">
        <f t="shared" ca="1" si="21"/>
        <v/>
      </c>
      <c r="AH9" s="584" t="str">
        <f t="shared" ca="1" si="22"/>
        <v/>
      </c>
      <c r="AI9" s="585">
        <f t="shared" ca="1" si="23"/>
        <v>99999</v>
      </c>
      <c r="AJ9" s="581">
        <f t="shared" ca="1" si="24"/>
        <v>1.0609</v>
      </c>
      <c r="AK9" s="586">
        <f t="shared" ca="1" si="25"/>
        <v>6</v>
      </c>
      <c r="AL9" s="584" t="str">
        <f t="shared" ca="1" si="26"/>
        <v/>
      </c>
      <c r="AM9" s="584" t="str">
        <f t="shared" ca="1" si="27"/>
        <v/>
      </c>
      <c r="AN9" s="585">
        <f t="shared" ca="1" si="28"/>
        <v>99999</v>
      </c>
      <c r="AO9" s="581">
        <f t="shared" ca="1" si="29"/>
        <v>1.0609</v>
      </c>
      <c r="AP9" s="586">
        <f t="shared" ca="1" si="30"/>
        <v>6</v>
      </c>
      <c r="AR9" s="1">
        <f ca="1">IF(Einstellungen!$G$7,$I9,ROUND($I9,Einstellungen!$H$7))</f>
        <v>0</v>
      </c>
      <c r="AS9" s="1">
        <f t="shared" ca="1" si="32"/>
        <v>0</v>
      </c>
    </row>
    <row r="10" spans="1:45" s="2" customFormat="1" x14ac:dyDescent="0.2">
      <c r="A10" s="239"/>
      <c r="B10" s="1">
        <v>7</v>
      </c>
      <c r="C10" s="21">
        <f t="shared" ca="1" si="1"/>
        <v>7</v>
      </c>
      <c r="D10" s="12">
        <f t="shared" ca="1" si="2"/>
        <v>16.009999999999998</v>
      </c>
      <c r="E10" s="252">
        <f t="shared" ca="1" si="3"/>
        <v>6</v>
      </c>
      <c r="F10" s="1" t="str">
        <f t="shared" si="31"/>
        <v/>
      </c>
      <c r="G10" s="1">
        <f t="shared" ca="1" si="4"/>
        <v>0</v>
      </c>
      <c r="H10" s="1">
        <f t="shared" ca="1" si="5"/>
        <v>0</v>
      </c>
      <c r="I10" s="12">
        <f ca="1">IF(Einstellungen!$G$7,G10-H10,IF(H10=0,IF(G10=0,0,Einstellungen!$F$7),G10/H10))</f>
        <v>0</v>
      </c>
      <c r="J10" s="1">
        <f t="shared" ca="1" si="33"/>
        <v>0</v>
      </c>
      <c r="K10" s="1">
        <f t="shared" ca="1" si="7"/>
        <v>0</v>
      </c>
      <c r="L10" s="1">
        <f t="shared" ca="1" si="8"/>
        <v>0</v>
      </c>
      <c r="M10" s="1">
        <f t="shared" ca="1" si="9"/>
        <v>0</v>
      </c>
      <c r="N10" s="1">
        <f t="shared" ca="1" si="10"/>
        <v>0</v>
      </c>
      <c r="P10" s="24"/>
      <c r="W10" s="583" t="str">
        <f t="shared" ca="1" si="11"/>
        <v/>
      </c>
      <c r="X10" s="584" t="str">
        <f t="shared" ca="1" si="12"/>
        <v/>
      </c>
      <c r="Y10" s="581">
        <f t="shared" ca="1" si="13"/>
        <v>99999</v>
      </c>
      <c r="Z10" s="581">
        <f t="shared" ca="1" si="14"/>
        <v>1.0609999999999999</v>
      </c>
      <c r="AA10" s="586">
        <f t="shared" ca="1" si="15"/>
        <v>7</v>
      </c>
      <c r="AB10" s="583" t="str">
        <f t="shared" ca="1" si="16"/>
        <v/>
      </c>
      <c r="AC10" s="584" t="str">
        <f t="shared" ca="1" si="17"/>
        <v/>
      </c>
      <c r="AD10" s="585">
        <f t="shared" ca="1" si="18"/>
        <v>99999</v>
      </c>
      <c r="AE10" s="581">
        <f t="shared" ca="1" si="19"/>
        <v>1.0609999999999999</v>
      </c>
      <c r="AF10" s="581">
        <f t="shared" ca="1" si="20"/>
        <v>7</v>
      </c>
      <c r="AG10" s="583" t="str">
        <f t="shared" ca="1" si="21"/>
        <v/>
      </c>
      <c r="AH10" s="584" t="str">
        <f t="shared" ca="1" si="22"/>
        <v/>
      </c>
      <c r="AI10" s="585">
        <f t="shared" ca="1" si="23"/>
        <v>99999</v>
      </c>
      <c r="AJ10" s="581">
        <f t="shared" ca="1" si="24"/>
        <v>1.0609999999999999</v>
      </c>
      <c r="AK10" s="586">
        <f t="shared" ca="1" si="25"/>
        <v>7</v>
      </c>
      <c r="AL10" s="584" t="str">
        <f t="shared" ca="1" si="26"/>
        <v/>
      </c>
      <c r="AM10" s="584" t="str">
        <f t="shared" ca="1" si="27"/>
        <v/>
      </c>
      <c r="AN10" s="585">
        <f t="shared" ca="1" si="28"/>
        <v>99999</v>
      </c>
      <c r="AO10" s="581">
        <f t="shared" ca="1" si="29"/>
        <v>1.0609999999999999</v>
      </c>
      <c r="AP10" s="586">
        <f t="shared" ca="1" si="30"/>
        <v>7</v>
      </c>
      <c r="AR10" s="1">
        <f ca="1">IF(Einstellungen!$G$7,$I10,ROUND($I10,Einstellungen!$H$7))</f>
        <v>0</v>
      </c>
      <c r="AS10" s="1">
        <f t="shared" ca="1" si="32"/>
        <v>0</v>
      </c>
    </row>
    <row r="11" spans="1:45" s="2" customFormat="1" x14ac:dyDescent="0.2">
      <c r="A11" s="239"/>
      <c r="B11" s="1">
        <v>8</v>
      </c>
      <c r="C11" s="21">
        <f t="shared" ca="1" si="1"/>
        <v>8</v>
      </c>
      <c r="D11" s="12">
        <f t="shared" ca="1" si="2"/>
        <v>16.010999999999999</v>
      </c>
      <c r="E11" s="252">
        <f t="shared" ca="1" si="3"/>
        <v>6</v>
      </c>
      <c r="F11" s="1" t="str">
        <f t="shared" si="31"/>
        <v/>
      </c>
      <c r="G11" s="1">
        <f t="shared" ca="1" si="4"/>
        <v>0</v>
      </c>
      <c r="H11" s="1">
        <f t="shared" ca="1" si="5"/>
        <v>0</v>
      </c>
      <c r="I11" s="12">
        <f ca="1">IF(Einstellungen!$G$7,G11-H11,IF(H11=0,IF(G11=0,0,Einstellungen!$F$7),G11/H11))</f>
        <v>0</v>
      </c>
      <c r="J11" s="1">
        <f t="shared" ca="1" si="33"/>
        <v>0</v>
      </c>
      <c r="K11" s="1">
        <f t="shared" ca="1" si="7"/>
        <v>0</v>
      </c>
      <c r="L11" s="1">
        <f t="shared" ca="1" si="8"/>
        <v>0</v>
      </c>
      <c r="M11" s="1">
        <f t="shared" ca="1" si="9"/>
        <v>0</v>
      </c>
      <c r="N11" s="1">
        <f t="shared" ca="1" si="10"/>
        <v>0</v>
      </c>
      <c r="O11" s="12"/>
      <c r="P11" s="12"/>
      <c r="Q11" s="12"/>
      <c r="R11" s="12"/>
      <c r="S11" s="12"/>
      <c r="T11" s="12"/>
      <c r="U11" s="12"/>
      <c r="V11" s="12"/>
      <c r="W11" s="583" t="str">
        <f t="shared" ca="1" si="11"/>
        <v/>
      </c>
      <c r="X11" s="584" t="str">
        <f t="shared" ca="1" si="12"/>
        <v/>
      </c>
      <c r="Y11" s="581">
        <f t="shared" ca="1" si="13"/>
        <v>99999</v>
      </c>
      <c r="Z11" s="581">
        <f t="shared" ca="1" si="14"/>
        <v>1.0611000000000002</v>
      </c>
      <c r="AA11" s="586">
        <f t="shared" ca="1" si="15"/>
        <v>8</v>
      </c>
      <c r="AB11" s="583" t="str">
        <f t="shared" ca="1" si="16"/>
        <v/>
      </c>
      <c r="AC11" s="584" t="str">
        <f t="shared" ca="1" si="17"/>
        <v/>
      </c>
      <c r="AD11" s="585">
        <f t="shared" ca="1" si="18"/>
        <v>99999</v>
      </c>
      <c r="AE11" s="581">
        <f t="shared" ca="1" si="19"/>
        <v>1.0611000000000002</v>
      </c>
      <c r="AF11" s="581">
        <f t="shared" ca="1" si="20"/>
        <v>8</v>
      </c>
      <c r="AG11" s="583" t="str">
        <f t="shared" ca="1" si="21"/>
        <v/>
      </c>
      <c r="AH11" s="584" t="str">
        <f t="shared" ca="1" si="22"/>
        <v/>
      </c>
      <c r="AI11" s="585">
        <f t="shared" ca="1" si="23"/>
        <v>99999</v>
      </c>
      <c r="AJ11" s="581">
        <f t="shared" ca="1" si="24"/>
        <v>1.0611000000000002</v>
      </c>
      <c r="AK11" s="586">
        <f t="shared" ca="1" si="25"/>
        <v>8</v>
      </c>
      <c r="AL11" s="584" t="str">
        <f t="shared" ca="1" si="26"/>
        <v/>
      </c>
      <c r="AM11" s="584" t="str">
        <f t="shared" ca="1" si="27"/>
        <v/>
      </c>
      <c r="AN11" s="585">
        <f t="shared" ca="1" si="28"/>
        <v>99999</v>
      </c>
      <c r="AO11" s="581">
        <f t="shared" ca="1" si="29"/>
        <v>1.0611000000000002</v>
      </c>
      <c r="AP11" s="586">
        <f t="shared" ca="1" si="30"/>
        <v>8</v>
      </c>
      <c r="AR11" s="1">
        <f ca="1">IF(Einstellungen!$G$7,$I11,ROUND($I11,Einstellungen!$H$7))</f>
        <v>0</v>
      </c>
      <c r="AS11" s="1">
        <f t="shared" ca="1" si="32"/>
        <v>0</v>
      </c>
    </row>
    <row r="12" spans="1:45" s="2" customFormat="1" ht="12.75" thickBot="1" x14ac:dyDescent="0.25">
      <c r="A12" s="239"/>
      <c r="B12" s="1">
        <v>9</v>
      </c>
      <c r="C12" s="22">
        <f t="shared" ca="1" si="1"/>
        <v>9</v>
      </c>
      <c r="D12" s="12">
        <f t="shared" ca="1" si="2"/>
        <v>16.012</v>
      </c>
      <c r="E12" s="252">
        <f t="shared" ca="1" si="3"/>
        <v>6</v>
      </c>
      <c r="F12" s="1" t="str">
        <f t="shared" si="31"/>
        <v/>
      </c>
      <c r="G12" s="1">
        <f t="shared" ca="1" si="4"/>
        <v>0</v>
      </c>
      <c r="H12" s="1">
        <f t="shared" ca="1" si="5"/>
        <v>0</v>
      </c>
      <c r="I12" s="12">
        <f ca="1">IF(Einstellungen!$G$7,G12-H12,IF(H12=0,IF(G12=0,0,Einstellungen!$F$7),G12/H12))</f>
        <v>0</v>
      </c>
      <c r="J12" s="1">
        <f t="shared" ca="1" si="33"/>
        <v>0</v>
      </c>
      <c r="K12" s="27">
        <f t="shared" ca="1" si="7"/>
        <v>0</v>
      </c>
      <c r="L12" s="1">
        <f t="shared" ca="1" si="8"/>
        <v>0</v>
      </c>
      <c r="M12" s="1">
        <f t="shared" ca="1" si="9"/>
        <v>0</v>
      </c>
      <c r="N12" s="1">
        <f t="shared" ca="1" si="10"/>
        <v>0</v>
      </c>
      <c r="O12" s="1"/>
      <c r="P12" s="1"/>
      <c r="Q12" s="1"/>
      <c r="R12" s="1"/>
      <c r="S12" s="1"/>
      <c r="T12" s="1"/>
      <c r="U12" s="1"/>
      <c r="V12" s="1"/>
      <c r="W12" s="587" t="str">
        <f t="shared" ca="1" si="11"/>
        <v/>
      </c>
      <c r="X12" s="588" t="str">
        <f t="shared" ca="1" si="12"/>
        <v/>
      </c>
      <c r="Y12" s="589">
        <f t="shared" ca="1" si="13"/>
        <v>99999</v>
      </c>
      <c r="Z12" s="589">
        <f t="shared" ca="1" si="14"/>
        <v>1.0612000000000001</v>
      </c>
      <c r="AA12" s="590">
        <f t="shared" ca="1" si="15"/>
        <v>9</v>
      </c>
      <c r="AB12" s="587" t="str">
        <f t="shared" ca="1" si="16"/>
        <v/>
      </c>
      <c r="AC12" s="588" t="str">
        <f t="shared" ca="1" si="17"/>
        <v/>
      </c>
      <c r="AD12" s="591">
        <f t="shared" ca="1" si="18"/>
        <v>99999</v>
      </c>
      <c r="AE12" s="589">
        <f t="shared" ca="1" si="19"/>
        <v>1.0612000000000001</v>
      </c>
      <c r="AF12" s="589">
        <f t="shared" ca="1" si="20"/>
        <v>9</v>
      </c>
      <c r="AG12" s="587" t="str">
        <f t="shared" ca="1" si="21"/>
        <v/>
      </c>
      <c r="AH12" s="588" t="str">
        <f t="shared" ca="1" si="22"/>
        <v/>
      </c>
      <c r="AI12" s="591">
        <f t="shared" ca="1" si="23"/>
        <v>99999</v>
      </c>
      <c r="AJ12" s="589">
        <f t="shared" ca="1" si="24"/>
        <v>1.0612000000000001</v>
      </c>
      <c r="AK12" s="590">
        <f t="shared" ca="1" si="25"/>
        <v>9</v>
      </c>
      <c r="AL12" s="588" t="str">
        <f t="shared" ca="1" si="26"/>
        <v/>
      </c>
      <c r="AM12" s="588" t="str">
        <f t="shared" ca="1" si="27"/>
        <v/>
      </c>
      <c r="AN12" s="591">
        <f t="shared" ca="1" si="28"/>
        <v>99999</v>
      </c>
      <c r="AO12" s="589">
        <f t="shared" ca="1" si="29"/>
        <v>1.0612000000000001</v>
      </c>
      <c r="AP12" s="590">
        <f t="shared" ca="1" si="30"/>
        <v>9</v>
      </c>
      <c r="AR12" s="1">
        <f ca="1">IF(Einstellungen!$G$7,$I12,ROUND($I12,Einstellungen!$H$7))</f>
        <v>0</v>
      </c>
      <c r="AS12" s="1">
        <f t="shared" ca="1" si="32"/>
        <v>0</v>
      </c>
    </row>
    <row r="13" spans="1:45" s="2" customFormat="1" ht="12.75" thickTop="1" x14ac:dyDescent="0.2">
      <c r="B13" s="12">
        <f>$F$13*($F$13-1)</f>
        <v>20</v>
      </c>
      <c r="C13" s="12"/>
      <c r="D13" s="12"/>
      <c r="E13" s="12"/>
      <c r="F13" s="12">
        <f>9-COUNTBLANK($F$4:$F$12)</f>
        <v>5</v>
      </c>
      <c r="G13" s="12"/>
      <c r="H13" s="12"/>
      <c r="I13" s="12"/>
      <c r="J13" s="12"/>
      <c r="K13" s="26">
        <f ca="1">QUOTIENT(SUM(K4:K12),2)</f>
        <v>10</v>
      </c>
      <c r="L13" s="1"/>
      <c r="M13" s="1"/>
      <c r="N13" s="1"/>
      <c r="O13" s="1"/>
      <c r="P13" s="1"/>
      <c r="Q13" s="1"/>
      <c r="R13" s="1"/>
      <c r="S13" s="1"/>
      <c r="T13" s="1"/>
      <c r="U13" s="1"/>
      <c r="V13" s="1"/>
      <c r="Y13" s="1"/>
      <c r="Z13" s="1"/>
    </row>
    <row r="14" spans="1:45" s="2" customFormat="1" x14ac:dyDescent="0.2">
      <c r="B14" s="12"/>
      <c r="C14" s="3"/>
      <c r="D14" s="12"/>
      <c r="E14" s="3"/>
      <c r="F14" s="12"/>
      <c r="O14" s="1"/>
      <c r="P14" s="1"/>
      <c r="Q14" s="1"/>
      <c r="R14" s="1"/>
      <c r="S14" s="1"/>
      <c r="T14" s="1"/>
      <c r="U14" s="1"/>
      <c r="V14" s="1"/>
      <c r="W14" s="1"/>
      <c r="Y14" s="1"/>
      <c r="Z14" s="1"/>
      <c r="AJ14" s="189"/>
    </row>
    <row r="15" spans="1:45" s="2" customFormat="1" x14ac:dyDescent="0.2">
      <c r="O15" s="11"/>
      <c r="AD15" s="928" t="s">
        <v>182</v>
      </c>
      <c r="AE15" s="929"/>
      <c r="AF15" s="929"/>
      <c r="AG15" s="929"/>
      <c r="AH15" s="930"/>
      <c r="AI15" s="2" t="b">
        <v>0</v>
      </c>
      <c r="AK15" s="239"/>
    </row>
    <row r="16" spans="1:45" s="2" customFormat="1" ht="15.75" thickBot="1" x14ac:dyDescent="0.25">
      <c r="B16" s="12" t="s">
        <v>5</v>
      </c>
      <c r="C16" s="714" t="s">
        <v>97</v>
      </c>
      <c r="D16" s="714" t="s">
        <v>102</v>
      </c>
      <c r="E16" s="714" t="s">
        <v>103</v>
      </c>
      <c r="F16" s="714" t="s">
        <v>104</v>
      </c>
      <c r="G16" s="714" t="s">
        <v>105</v>
      </c>
      <c r="H16" s="714" t="s">
        <v>106</v>
      </c>
      <c r="I16" s="714" t="s">
        <v>107</v>
      </c>
      <c r="J16" s="714" t="s">
        <v>108</v>
      </c>
      <c r="K16" s="714" t="s">
        <v>109</v>
      </c>
      <c r="L16" s="10" t="s">
        <v>337</v>
      </c>
      <c r="M16" s="67" t="s">
        <v>96</v>
      </c>
      <c r="N16" s="67" t="s">
        <v>14</v>
      </c>
      <c r="O16" s="29">
        <v>1</v>
      </c>
      <c r="P16" s="1">
        <v>2</v>
      </c>
      <c r="Q16" s="1">
        <v>3</v>
      </c>
      <c r="R16" s="1">
        <v>4</v>
      </c>
      <c r="S16" s="1">
        <v>5</v>
      </c>
      <c r="T16" s="1">
        <v>6</v>
      </c>
      <c r="U16" s="1">
        <v>7</v>
      </c>
      <c r="V16" s="1">
        <v>8</v>
      </c>
      <c r="W16" s="10" t="s">
        <v>98</v>
      </c>
      <c r="X16" s="189" t="s">
        <v>169</v>
      </c>
      <c r="Y16" s="10" t="s">
        <v>208</v>
      </c>
      <c r="Z16" s="189" t="s">
        <v>209</v>
      </c>
      <c r="AA16" s="1" t="s">
        <v>109</v>
      </c>
      <c r="AB16" s="1" t="s">
        <v>108</v>
      </c>
      <c r="AC16" s="1"/>
      <c r="AD16" s="247" t="s">
        <v>109</v>
      </c>
      <c r="AE16" s="251" t="s">
        <v>108</v>
      </c>
      <c r="AF16" s="1" t="s">
        <v>108</v>
      </c>
      <c r="AG16" s="1" t="s">
        <v>181</v>
      </c>
      <c r="AH16" s="189" t="s">
        <v>169</v>
      </c>
    </row>
    <row r="17" spans="2:80" s="2" customFormat="1" ht="12.75" thickTop="1" x14ac:dyDescent="0.2">
      <c r="C17" s="2" t="str">
        <f>$Q64</f>
        <v>Mainz 05</v>
      </c>
      <c r="D17" s="1">
        <f t="shared" ref="D17:G25" ca="1" si="34">K4</f>
        <v>4</v>
      </c>
      <c r="E17" s="1">
        <f t="shared" ca="1" si="34"/>
        <v>2</v>
      </c>
      <c r="F17" s="1">
        <f t="shared" ca="1" si="34"/>
        <v>1</v>
      </c>
      <c r="G17" s="1">
        <f t="shared" ca="1" si="34"/>
        <v>1</v>
      </c>
      <c r="H17" s="1">
        <f t="shared" ref="H17:K25" ca="1" si="35">G4</f>
        <v>178</v>
      </c>
      <c r="I17" s="1">
        <f t="shared" ca="1" si="35"/>
        <v>156</v>
      </c>
      <c r="J17" s="12">
        <f t="shared" ca="1" si="35"/>
        <v>22</v>
      </c>
      <c r="K17" s="1">
        <f t="shared" ca="1" si="35"/>
        <v>5</v>
      </c>
      <c r="L17" s="28">
        <f ca="1">K17*$F$64+(J17+$H$65)*$F$65</f>
        <v>5522000</v>
      </c>
      <c r="M17" s="13">
        <f ca="1">IF($AI$15,COUNTIF($K$17:$K$25,K17),COUNTIF($L$17:$L$25,L17))</f>
        <v>1</v>
      </c>
      <c r="N17" s="13">
        <f t="array" aca="1" ref="N17" ca="1">IF($AI$15,SUM(($K$17:$K$25&gt;=K17)/COUNTIF($K$17:$K$25,$K$17:$K$25)),SUM(($L$17:$L$25&gt;=L17)/COUNTIF($L$17:$L$25,$L$17:$L$25)))</f>
        <v>1</v>
      </c>
      <c r="O17" s="51" t="str">
        <f t="shared" ref="O17:O25" ca="1" si="36">IF(AND(M17&gt;1,N17=1),C17,"")</f>
        <v/>
      </c>
      <c r="P17" s="52" t="str">
        <f t="shared" ref="P17:P25" ca="1" si="37">IF(AND(M17&gt;1,N17=2),C17,"")</f>
        <v/>
      </c>
      <c r="Q17" s="52" t="str">
        <f t="shared" ref="Q17:Q25" ca="1" si="38">IF(AND(M17&gt;1,N17=3),C17,"")</f>
        <v/>
      </c>
      <c r="R17" s="52" t="str">
        <f t="shared" ref="R17:R25" ca="1" si="39">IF(AND(M17&gt;1,N17=4),C17,"")</f>
        <v/>
      </c>
      <c r="S17" s="52" t="str">
        <f t="shared" ref="S17:S25" ca="1" si="40">IF(AND(M17&gt;1,N17=5),C17,"")</f>
        <v/>
      </c>
      <c r="T17" s="52" t="str">
        <f t="shared" ref="T17:T25" ca="1" si="41">IF(AND($M17&gt;1,$N17=6),$C17,"")</f>
        <v/>
      </c>
      <c r="U17" s="52" t="str">
        <f t="shared" ref="U17:U25" ca="1" si="42">IF(AND($M17&gt;1,$N17=7),$C17,"")</f>
        <v/>
      </c>
      <c r="V17" s="53" t="str">
        <f t="shared" ref="V17:V25" ca="1" si="43">IF(AND($M17&gt;1,$N17=8),$C17,"")</f>
        <v/>
      </c>
      <c r="W17" s="61">
        <f ca="1">AA17*$F$64+(AB17+$H$65)*$F$65</f>
        <v>500000</v>
      </c>
      <c r="X17" s="20">
        <f ca="1">RANK($L17,$L$17:$L$25)+RANK($W17,$W$17:$W$25)/100+(9-$Y17)/10000</f>
        <v>1.0108999999999999</v>
      </c>
      <c r="Y17" s="12">
        <f>Vorrunde!$AP22</f>
        <v>0</v>
      </c>
      <c r="Z17" s="1">
        <f ca="1">RANK($W17,$W$17:$W$25)+(9-$Y17)/10</f>
        <v>1.9</v>
      </c>
      <c r="AA17" s="1">
        <f ca="1">SUM(E30:BP30)</f>
        <v>0</v>
      </c>
      <c r="AB17" s="1">
        <f ca="1">SUM(E41:BP41)</f>
        <v>0</v>
      </c>
      <c r="AC17" s="1"/>
      <c r="AD17" s="246">
        <f ca="1">RANK($K17,$K$17:$K$25)</f>
        <v>1</v>
      </c>
      <c r="AE17" s="28">
        <f ca="1">(J17+$H$65)*$F$65</f>
        <v>522000</v>
      </c>
      <c r="AF17" s="1">
        <f ca="1">RANK($AE17,$AE$17:$AE$25)</f>
        <v>2</v>
      </c>
      <c r="AG17" s="1">
        <f ca="1">RANK($W17,$W$17:$W$25)</f>
        <v>1</v>
      </c>
      <c r="AH17" s="248">
        <f ca="1">AD17+AG17/100+AF17/10000+(10-Y17)/1000000</f>
        <v>1.0102100000000001</v>
      </c>
      <c r="AI17" s="1"/>
    </row>
    <row r="18" spans="2:80" s="2" customFormat="1" x14ac:dyDescent="0.2">
      <c r="C18" s="2" t="str">
        <f t="shared" ref="C18:C25" si="44">$Q65</f>
        <v>Inter Mailand</v>
      </c>
      <c r="D18" s="1">
        <f t="shared" ca="1" si="34"/>
        <v>4</v>
      </c>
      <c r="E18" s="1">
        <f t="shared" ca="1" si="34"/>
        <v>0</v>
      </c>
      <c r="F18" s="1">
        <f t="shared" ca="1" si="34"/>
        <v>3</v>
      </c>
      <c r="G18" s="1">
        <f t="shared" ca="1" si="34"/>
        <v>1</v>
      </c>
      <c r="H18" s="1">
        <f t="shared" ca="1" si="35"/>
        <v>152</v>
      </c>
      <c r="I18" s="1">
        <f t="shared" ca="1" si="35"/>
        <v>183</v>
      </c>
      <c r="J18" s="12">
        <f t="shared" ca="1" si="35"/>
        <v>-31</v>
      </c>
      <c r="K18" s="1">
        <f t="shared" ca="1" si="35"/>
        <v>3</v>
      </c>
      <c r="L18" s="28">
        <f t="shared" ref="L18:L25" ca="1" si="45">K18*$F$64+(J18+$H$65)*$F$65</f>
        <v>3469000</v>
      </c>
      <c r="M18" s="13">
        <f t="shared" ref="M18:M25" ca="1" si="46">IF($AI$15,COUNTIF($K$17:$K$25,K18),COUNTIF($L$17:$L$25,L18))</f>
        <v>1</v>
      </c>
      <c r="N18" s="13">
        <f t="array" aca="1" ref="N18" ca="1">IF($AI$15,SUM(($K$17:$K$25&gt;=K18)/COUNTIF($K$17:$K$25,$K$17:$K$25)),SUM(($L$17:$L$25&gt;=L18)/COUNTIF($L$17:$L$25,$L$17:$L$25)))</f>
        <v>5</v>
      </c>
      <c r="O18" s="5" t="str">
        <f t="shared" ca="1" si="36"/>
        <v/>
      </c>
      <c r="P18" s="3" t="str">
        <f t="shared" ca="1" si="37"/>
        <v/>
      </c>
      <c r="Q18" s="3" t="str">
        <f t="shared" ca="1" si="38"/>
        <v/>
      </c>
      <c r="R18" s="3" t="str">
        <f t="shared" ca="1" si="39"/>
        <v/>
      </c>
      <c r="S18" s="3" t="str">
        <f t="shared" ca="1" si="40"/>
        <v/>
      </c>
      <c r="T18" s="3" t="str">
        <f t="shared" ca="1" si="41"/>
        <v/>
      </c>
      <c r="U18" s="3" t="str">
        <f t="shared" ca="1" si="42"/>
        <v/>
      </c>
      <c r="V18" s="54" t="str">
        <f t="shared" ca="1" si="43"/>
        <v/>
      </c>
      <c r="W18" s="61">
        <f t="shared" ref="W18:W25" ca="1" si="47">AA18*$F$64+(AB18+$H$65)*$F$65</f>
        <v>500000</v>
      </c>
      <c r="X18" s="21">
        <f t="shared" ref="X18:X25" ca="1" si="48">RANK($L18,$L$17:$L$25)+RANK($W18,$W$17:$W$25)/100+(9-$Y18)/10000</f>
        <v>5.0108999999999995</v>
      </c>
      <c r="Y18" s="12">
        <f>Vorrunde!$AP23</f>
        <v>0</v>
      </c>
      <c r="Z18" s="1">
        <f t="shared" ref="Z18:Z25" ca="1" si="49">RANK($W18,$W$17:$W$25)+(9-$Y18)/10</f>
        <v>1.9</v>
      </c>
      <c r="AA18" s="1">
        <f t="shared" ref="AA18:AA25" ca="1" si="50">SUM(E31:BP31)</f>
        <v>0</v>
      </c>
      <c r="AB18" s="1">
        <f t="shared" ref="AB18:AB25" ca="1" si="51">SUM(E42:BP42)</f>
        <v>0</v>
      </c>
      <c r="AC18" s="1"/>
      <c r="AD18" s="246">
        <f t="shared" ref="AD18:AD25" ca="1" si="52">RANK($K18,$K$17:$K$25)</f>
        <v>5</v>
      </c>
      <c r="AE18" s="28">
        <f t="shared" ref="AE18:AE25" ca="1" si="53">(J18+$H$65)*$F$65</f>
        <v>469000</v>
      </c>
      <c r="AF18" s="1">
        <f t="shared" ref="AF18:AF25" ca="1" si="54">RANK($AE18,$AE$17:$AE$25)</f>
        <v>9</v>
      </c>
      <c r="AG18" s="1">
        <f t="shared" ref="AG18:AG25" ca="1" si="55">RANK($W18,$W$17:$W$25)</f>
        <v>1</v>
      </c>
      <c r="AH18" s="249">
        <f t="shared" ref="AH18:AH25" ca="1" si="56">AD18+AG18/100+AF18/10000+(10-Y18)/1000000</f>
        <v>5.0109099999999991</v>
      </c>
      <c r="AI18" s="1"/>
    </row>
    <row r="19" spans="2:80" s="2" customFormat="1" x14ac:dyDescent="0.2">
      <c r="C19" s="2" t="str">
        <f t="shared" si="44"/>
        <v>SSV Wildbach</v>
      </c>
      <c r="D19" s="1">
        <f t="shared" ca="1" si="34"/>
        <v>4</v>
      </c>
      <c r="E19" s="1">
        <f t="shared" ca="1" si="34"/>
        <v>1</v>
      </c>
      <c r="F19" s="1">
        <f t="shared" ca="1" si="34"/>
        <v>2</v>
      </c>
      <c r="G19" s="1">
        <f t="shared" ca="1" si="34"/>
        <v>1</v>
      </c>
      <c r="H19" s="1">
        <f t="shared" ca="1" si="35"/>
        <v>169</v>
      </c>
      <c r="I19" s="1">
        <f t="shared" ca="1" si="35"/>
        <v>180</v>
      </c>
      <c r="J19" s="12">
        <f t="shared" ca="1" si="35"/>
        <v>-11</v>
      </c>
      <c r="K19" s="1">
        <f t="shared" ca="1" si="35"/>
        <v>4</v>
      </c>
      <c r="L19" s="28">
        <f t="shared" ca="1" si="45"/>
        <v>4489000</v>
      </c>
      <c r="M19" s="13">
        <f t="shared" ca="1" si="46"/>
        <v>1</v>
      </c>
      <c r="N19" s="13">
        <f t="array" aca="1" ref="N19" ca="1">IF($AI$15,SUM(($K$17:$K$25&gt;=K19)/COUNTIF($K$17:$K$25,$K$17:$K$25)),SUM(($L$17:$L$25&gt;=L19)/COUNTIF($L$17:$L$25,$L$17:$L$25)))</f>
        <v>4</v>
      </c>
      <c r="O19" s="5" t="str">
        <f t="shared" ca="1" si="36"/>
        <v/>
      </c>
      <c r="P19" s="3" t="str">
        <f t="shared" ca="1" si="37"/>
        <v/>
      </c>
      <c r="Q19" s="3" t="str">
        <f t="shared" ca="1" si="38"/>
        <v/>
      </c>
      <c r="R19" s="3" t="str">
        <f t="shared" ca="1" si="39"/>
        <v/>
      </c>
      <c r="S19" s="3" t="str">
        <f t="shared" ca="1" si="40"/>
        <v/>
      </c>
      <c r="T19" s="3" t="str">
        <f t="shared" ca="1" si="41"/>
        <v/>
      </c>
      <c r="U19" s="3" t="str">
        <f t="shared" ca="1" si="42"/>
        <v/>
      </c>
      <c r="V19" s="54" t="str">
        <f t="shared" ca="1" si="43"/>
        <v/>
      </c>
      <c r="W19" s="61">
        <f t="shared" ca="1" si="47"/>
        <v>500000</v>
      </c>
      <c r="X19" s="21">
        <f t="shared" ca="1" si="48"/>
        <v>4.0108999999999995</v>
      </c>
      <c r="Y19" s="12">
        <f>Vorrunde!$AP24</f>
        <v>0</v>
      </c>
      <c r="Z19" s="1">
        <f t="shared" ca="1" si="49"/>
        <v>1.9</v>
      </c>
      <c r="AA19" s="1">
        <f t="shared" ca="1" si="50"/>
        <v>0</v>
      </c>
      <c r="AB19" s="1">
        <f t="shared" ca="1" si="51"/>
        <v>0</v>
      </c>
      <c r="AC19" s="1"/>
      <c r="AD19" s="246">
        <f t="shared" ca="1" si="52"/>
        <v>2</v>
      </c>
      <c r="AE19" s="28">
        <f t="shared" ca="1" si="53"/>
        <v>489000</v>
      </c>
      <c r="AF19" s="1">
        <f t="shared" ca="1" si="54"/>
        <v>8</v>
      </c>
      <c r="AG19" s="1">
        <f t="shared" ca="1" si="55"/>
        <v>1</v>
      </c>
      <c r="AH19" s="249">
        <f t="shared" ca="1" si="56"/>
        <v>2.0108099999999998</v>
      </c>
      <c r="AI19" s="1"/>
    </row>
    <row r="20" spans="2:80" s="2" customFormat="1" x14ac:dyDescent="0.2">
      <c r="C20" s="2" t="str">
        <f t="shared" si="44"/>
        <v>Manchester City</v>
      </c>
      <c r="D20" s="1">
        <f t="shared" ca="1" si="34"/>
        <v>4</v>
      </c>
      <c r="E20" s="1">
        <f t="shared" ca="1" si="34"/>
        <v>1</v>
      </c>
      <c r="F20" s="1">
        <f t="shared" ca="1" si="34"/>
        <v>2</v>
      </c>
      <c r="G20" s="1">
        <f t="shared" ca="1" si="34"/>
        <v>1</v>
      </c>
      <c r="H20" s="1">
        <f t="shared" ca="1" si="35"/>
        <v>184</v>
      </c>
      <c r="I20" s="1">
        <f t="shared" ca="1" si="35"/>
        <v>160</v>
      </c>
      <c r="J20" s="12">
        <f t="shared" ca="1" si="35"/>
        <v>24</v>
      </c>
      <c r="K20" s="1">
        <f t="shared" ca="1" si="35"/>
        <v>4</v>
      </c>
      <c r="L20" s="28">
        <f t="shared" ca="1" si="45"/>
        <v>4524000</v>
      </c>
      <c r="M20" s="13">
        <f t="shared" ca="1" si="46"/>
        <v>1</v>
      </c>
      <c r="N20" s="13">
        <f t="array" aca="1" ref="N20" ca="1">IF($AI$15,SUM(($K$17:$K$25&gt;=K20)/COUNTIF($K$17:$K$25,$K$17:$K$25)),SUM(($L$17:$L$25&gt;=L20)/COUNTIF($L$17:$L$25,$L$17:$L$25)))</f>
        <v>2</v>
      </c>
      <c r="O20" s="5" t="str">
        <f t="shared" ca="1" si="36"/>
        <v/>
      </c>
      <c r="P20" s="3" t="str">
        <f t="shared" ca="1" si="37"/>
        <v/>
      </c>
      <c r="Q20" s="3" t="str">
        <f t="shared" ca="1" si="38"/>
        <v/>
      </c>
      <c r="R20" s="3" t="str">
        <f t="shared" ca="1" si="39"/>
        <v/>
      </c>
      <c r="S20" s="3" t="str">
        <f t="shared" ca="1" si="40"/>
        <v/>
      </c>
      <c r="T20" s="3" t="str">
        <f t="shared" ca="1" si="41"/>
        <v/>
      </c>
      <c r="U20" s="3" t="str">
        <f t="shared" ca="1" si="42"/>
        <v/>
      </c>
      <c r="V20" s="54" t="str">
        <f t="shared" ca="1" si="43"/>
        <v/>
      </c>
      <c r="W20" s="61">
        <f t="shared" ca="1" si="47"/>
        <v>500000</v>
      </c>
      <c r="X20" s="21">
        <f t="shared" ca="1" si="48"/>
        <v>2.0108999999999999</v>
      </c>
      <c r="Y20" s="12">
        <f>Vorrunde!$AP25</f>
        <v>0</v>
      </c>
      <c r="Z20" s="1">
        <f t="shared" ca="1" si="49"/>
        <v>1.9</v>
      </c>
      <c r="AA20" s="1">
        <f t="shared" ca="1" si="50"/>
        <v>0</v>
      </c>
      <c r="AB20" s="1">
        <f t="shared" ca="1" si="51"/>
        <v>0</v>
      </c>
      <c r="AC20" s="1"/>
      <c r="AD20" s="246">
        <f t="shared" ca="1" si="52"/>
        <v>2</v>
      </c>
      <c r="AE20" s="28">
        <f t="shared" ca="1" si="53"/>
        <v>524000</v>
      </c>
      <c r="AF20" s="1">
        <f t="shared" ca="1" si="54"/>
        <v>1</v>
      </c>
      <c r="AG20" s="1">
        <f t="shared" ca="1" si="55"/>
        <v>1</v>
      </c>
      <c r="AH20" s="249">
        <f t="shared" ca="1" si="56"/>
        <v>2.0101100000000001</v>
      </c>
      <c r="AI20" s="1"/>
    </row>
    <row r="21" spans="2:80" s="2" customFormat="1" x14ac:dyDescent="0.2">
      <c r="C21" s="2" t="str">
        <f t="shared" si="44"/>
        <v>FC Grönlingen</v>
      </c>
      <c r="D21" s="1">
        <f t="shared" ca="1" si="34"/>
        <v>4</v>
      </c>
      <c r="E21" s="1">
        <f t="shared" ca="1" si="34"/>
        <v>1</v>
      </c>
      <c r="F21" s="1">
        <f t="shared" ca="1" si="34"/>
        <v>2</v>
      </c>
      <c r="G21" s="1">
        <f t="shared" ca="1" si="34"/>
        <v>1</v>
      </c>
      <c r="H21" s="1">
        <f t="shared" ca="1" si="35"/>
        <v>174</v>
      </c>
      <c r="I21" s="1">
        <f t="shared" ca="1" si="35"/>
        <v>178</v>
      </c>
      <c r="J21" s="12">
        <f t="shared" ca="1" si="35"/>
        <v>-4</v>
      </c>
      <c r="K21" s="1">
        <f t="shared" ca="1" si="35"/>
        <v>4</v>
      </c>
      <c r="L21" s="28">
        <f t="shared" ca="1" si="45"/>
        <v>4496000</v>
      </c>
      <c r="M21" s="13">
        <f t="shared" ca="1" si="46"/>
        <v>1</v>
      </c>
      <c r="N21" s="13">
        <f t="array" aca="1" ref="N21" ca="1">IF($AI$15,SUM(($K$17:$K$25&gt;=K21)/COUNTIF($K$17:$K$25,$K$17:$K$25)),SUM(($L$17:$L$25&gt;=L21)/COUNTIF($L$17:$L$25,$L$17:$L$25)))</f>
        <v>3</v>
      </c>
      <c r="O21" s="5" t="str">
        <f t="shared" ca="1" si="36"/>
        <v/>
      </c>
      <c r="P21" s="3" t="str">
        <f t="shared" ca="1" si="37"/>
        <v/>
      </c>
      <c r="Q21" s="3" t="str">
        <f t="shared" ca="1" si="38"/>
        <v/>
      </c>
      <c r="R21" s="3" t="str">
        <f t="shared" ca="1" si="39"/>
        <v/>
      </c>
      <c r="S21" s="3" t="str">
        <f t="shared" ca="1" si="40"/>
        <v/>
      </c>
      <c r="T21" s="3" t="str">
        <f t="shared" ca="1" si="41"/>
        <v/>
      </c>
      <c r="U21" s="3" t="str">
        <f t="shared" ca="1" si="42"/>
        <v/>
      </c>
      <c r="V21" s="54" t="str">
        <f t="shared" ca="1" si="43"/>
        <v/>
      </c>
      <c r="W21" s="61">
        <f t="shared" ca="1" si="47"/>
        <v>500000</v>
      </c>
      <c r="X21" s="21">
        <f t="shared" ca="1" si="48"/>
        <v>3.0108999999999999</v>
      </c>
      <c r="Y21" s="12">
        <f>Vorrunde!$AP26</f>
        <v>0</v>
      </c>
      <c r="Z21" s="1">
        <f t="shared" ca="1" si="49"/>
        <v>1.9</v>
      </c>
      <c r="AA21" s="1">
        <f t="shared" ca="1" si="50"/>
        <v>0</v>
      </c>
      <c r="AB21" s="1">
        <f t="shared" ca="1" si="51"/>
        <v>0</v>
      </c>
      <c r="AC21" s="1"/>
      <c r="AD21" s="246">
        <f t="shared" ca="1" si="52"/>
        <v>2</v>
      </c>
      <c r="AE21" s="28">
        <f t="shared" ca="1" si="53"/>
        <v>496000</v>
      </c>
      <c r="AF21" s="1">
        <f t="shared" ca="1" si="54"/>
        <v>7</v>
      </c>
      <c r="AG21" s="1">
        <f t="shared" ca="1" si="55"/>
        <v>1</v>
      </c>
      <c r="AH21" s="249">
        <f t="shared" ca="1" si="56"/>
        <v>2.01071</v>
      </c>
      <c r="AI21" s="1"/>
    </row>
    <row r="22" spans="2:80" s="2" customFormat="1" x14ac:dyDescent="0.2">
      <c r="C22" s="2" t="str">
        <f t="shared" si="44"/>
        <v/>
      </c>
      <c r="D22" s="1">
        <f t="shared" ca="1" si="34"/>
        <v>0</v>
      </c>
      <c r="E22" s="1">
        <f t="shared" ca="1" si="34"/>
        <v>0</v>
      </c>
      <c r="F22" s="1">
        <f t="shared" ca="1" si="34"/>
        <v>0</v>
      </c>
      <c r="G22" s="1">
        <f t="shared" ca="1" si="34"/>
        <v>0</v>
      </c>
      <c r="H22" s="1">
        <f t="shared" ca="1" si="35"/>
        <v>0</v>
      </c>
      <c r="I22" s="1">
        <f t="shared" ca="1" si="35"/>
        <v>0</v>
      </c>
      <c r="J22" s="12">
        <f t="shared" ca="1" si="35"/>
        <v>0</v>
      </c>
      <c r="K22" s="1">
        <f t="shared" ca="1" si="35"/>
        <v>0</v>
      </c>
      <c r="L22" s="28">
        <f t="shared" ca="1" si="45"/>
        <v>500000</v>
      </c>
      <c r="M22" s="13">
        <f t="shared" ca="1" si="46"/>
        <v>4</v>
      </c>
      <c r="N22" s="13">
        <f t="array" aca="1" ref="N22" ca="1">IF($AI$15,SUM(($K$17:$K$25&gt;=K22)/COUNTIF($K$17:$K$25,$K$17:$K$25)),SUM(($L$17:$L$25&gt;=L22)/COUNTIF($L$17:$L$25,$L$17:$L$25)))</f>
        <v>6</v>
      </c>
      <c r="O22" s="5" t="str">
        <f t="shared" ca="1" si="36"/>
        <v/>
      </c>
      <c r="P22" s="3" t="str">
        <f t="shared" ca="1" si="37"/>
        <v/>
      </c>
      <c r="Q22" s="3" t="str">
        <f t="shared" ca="1" si="38"/>
        <v/>
      </c>
      <c r="R22" s="3" t="str">
        <f t="shared" ca="1" si="39"/>
        <v/>
      </c>
      <c r="S22" s="3" t="str">
        <f t="shared" ca="1" si="40"/>
        <v/>
      </c>
      <c r="T22" s="3" t="str">
        <f t="shared" ca="1" si="41"/>
        <v/>
      </c>
      <c r="U22" s="3" t="str">
        <f t="shared" ca="1" si="42"/>
        <v/>
      </c>
      <c r="V22" s="54" t="str">
        <f t="shared" ca="1" si="43"/>
        <v/>
      </c>
      <c r="W22" s="61">
        <f t="shared" ca="1" si="47"/>
        <v>500000</v>
      </c>
      <c r="X22" s="21">
        <f t="shared" ca="1" si="48"/>
        <v>6.0108999999999995</v>
      </c>
      <c r="Y22" s="12">
        <f>Vorrunde!$AP27</f>
        <v>0</v>
      </c>
      <c r="Z22" s="1">
        <f t="shared" ca="1" si="49"/>
        <v>1.9</v>
      </c>
      <c r="AA22" s="1">
        <f t="shared" ca="1" si="50"/>
        <v>0</v>
      </c>
      <c r="AB22" s="1">
        <f t="shared" ca="1" si="51"/>
        <v>0</v>
      </c>
      <c r="AC22" s="1"/>
      <c r="AD22" s="246">
        <f t="shared" ca="1" si="52"/>
        <v>6</v>
      </c>
      <c r="AE22" s="28">
        <f t="shared" ca="1" si="53"/>
        <v>500000</v>
      </c>
      <c r="AF22" s="1">
        <f t="shared" ca="1" si="54"/>
        <v>3</v>
      </c>
      <c r="AG22" s="1">
        <f t="shared" ca="1" si="55"/>
        <v>1</v>
      </c>
      <c r="AH22" s="249">
        <f t="shared" ca="1" si="56"/>
        <v>6.0103099999999996</v>
      </c>
      <c r="AI22" s="1"/>
    </row>
    <row r="23" spans="2:80" s="2" customFormat="1" x14ac:dyDescent="0.2">
      <c r="C23" s="2" t="str">
        <f t="shared" si="44"/>
        <v/>
      </c>
      <c r="D23" s="1">
        <f t="shared" ca="1" si="34"/>
        <v>0</v>
      </c>
      <c r="E23" s="1">
        <f t="shared" ca="1" si="34"/>
        <v>0</v>
      </c>
      <c r="F23" s="1">
        <f t="shared" ca="1" si="34"/>
        <v>0</v>
      </c>
      <c r="G23" s="1">
        <f t="shared" ca="1" si="34"/>
        <v>0</v>
      </c>
      <c r="H23" s="1">
        <f t="shared" ca="1" si="35"/>
        <v>0</v>
      </c>
      <c r="I23" s="1">
        <f t="shared" ca="1" si="35"/>
        <v>0</v>
      </c>
      <c r="J23" s="12">
        <f t="shared" ca="1" si="35"/>
        <v>0</v>
      </c>
      <c r="K23" s="1">
        <f t="shared" ca="1" si="35"/>
        <v>0</v>
      </c>
      <c r="L23" s="28">
        <f t="shared" ca="1" si="45"/>
        <v>500000</v>
      </c>
      <c r="M23" s="13">
        <f t="shared" ca="1" si="46"/>
        <v>4</v>
      </c>
      <c r="N23" s="13">
        <f t="array" aca="1" ref="N23" ca="1">IF($AI$15,SUM(($K$17:$K$25&gt;=K23)/COUNTIF($K$17:$K$25,$K$17:$K$25)),SUM(($L$17:$L$25&gt;=L23)/COUNTIF($L$17:$L$25,$L$17:$L$25)))</f>
        <v>6</v>
      </c>
      <c r="O23" s="5" t="str">
        <f t="shared" ca="1" si="36"/>
        <v/>
      </c>
      <c r="P23" s="3" t="str">
        <f t="shared" ca="1" si="37"/>
        <v/>
      </c>
      <c r="Q23" s="3" t="str">
        <f t="shared" ca="1" si="38"/>
        <v/>
      </c>
      <c r="R23" s="3" t="str">
        <f t="shared" ca="1" si="39"/>
        <v/>
      </c>
      <c r="S23" s="3" t="str">
        <f t="shared" ca="1" si="40"/>
        <v/>
      </c>
      <c r="T23" s="3" t="str">
        <f t="shared" ca="1" si="41"/>
        <v/>
      </c>
      <c r="U23" s="3" t="str">
        <f t="shared" ca="1" si="42"/>
        <v/>
      </c>
      <c r="V23" s="54" t="str">
        <f t="shared" ca="1" si="43"/>
        <v/>
      </c>
      <c r="W23" s="61">
        <f t="shared" ca="1" si="47"/>
        <v>500000</v>
      </c>
      <c r="X23" s="21">
        <f t="shared" ca="1" si="48"/>
        <v>6.0108999999999995</v>
      </c>
      <c r="Y23" s="12">
        <v>0</v>
      </c>
      <c r="Z23" s="1">
        <f t="shared" ca="1" si="49"/>
        <v>1.9</v>
      </c>
      <c r="AA23" s="1">
        <f t="shared" ca="1" si="50"/>
        <v>0</v>
      </c>
      <c r="AB23" s="1">
        <f t="shared" ca="1" si="51"/>
        <v>0</v>
      </c>
      <c r="AC23" s="1"/>
      <c r="AD23" s="246">
        <f t="shared" ca="1" si="52"/>
        <v>6</v>
      </c>
      <c r="AE23" s="28">
        <f t="shared" ca="1" si="53"/>
        <v>500000</v>
      </c>
      <c r="AF23" s="1">
        <f t="shared" ca="1" si="54"/>
        <v>3</v>
      </c>
      <c r="AG23" s="1">
        <f t="shared" ca="1" si="55"/>
        <v>1</v>
      </c>
      <c r="AH23" s="249">
        <f t="shared" ca="1" si="56"/>
        <v>6.0103099999999996</v>
      </c>
      <c r="AI23" s="1"/>
    </row>
    <row r="24" spans="2:80" s="2" customFormat="1" x14ac:dyDescent="0.2">
      <c r="C24" s="2" t="str">
        <f t="shared" si="44"/>
        <v/>
      </c>
      <c r="D24" s="1">
        <f t="shared" ca="1" si="34"/>
        <v>0</v>
      </c>
      <c r="E24" s="1">
        <f t="shared" ca="1" si="34"/>
        <v>0</v>
      </c>
      <c r="F24" s="1">
        <f t="shared" ca="1" si="34"/>
        <v>0</v>
      </c>
      <c r="G24" s="1">
        <f t="shared" ca="1" si="34"/>
        <v>0</v>
      </c>
      <c r="H24" s="1">
        <f t="shared" ca="1" si="35"/>
        <v>0</v>
      </c>
      <c r="I24" s="1">
        <f t="shared" ca="1" si="35"/>
        <v>0</v>
      </c>
      <c r="J24" s="12">
        <f t="shared" ca="1" si="35"/>
        <v>0</v>
      </c>
      <c r="K24" s="1">
        <f t="shared" ca="1" si="35"/>
        <v>0</v>
      </c>
      <c r="L24" s="28">
        <f t="shared" ca="1" si="45"/>
        <v>500000</v>
      </c>
      <c r="M24" s="13">
        <f t="shared" ca="1" si="46"/>
        <v>4</v>
      </c>
      <c r="N24" s="13">
        <f t="array" aca="1" ref="N24" ca="1">IF($AI$15,SUM(($K$17:$K$25&gt;=K24)/COUNTIF($K$17:$K$25,$K$17:$K$25)),SUM(($L$17:$L$25&gt;=L24)/COUNTIF($L$17:$L$25,$L$17:$L$25)))</f>
        <v>6</v>
      </c>
      <c r="O24" s="5" t="str">
        <f t="shared" ca="1" si="36"/>
        <v/>
      </c>
      <c r="P24" s="3" t="str">
        <f t="shared" ca="1" si="37"/>
        <v/>
      </c>
      <c r="Q24" s="3" t="str">
        <f t="shared" ca="1" si="38"/>
        <v/>
      </c>
      <c r="R24" s="3" t="str">
        <f t="shared" ca="1" si="39"/>
        <v/>
      </c>
      <c r="S24" s="3" t="str">
        <f t="shared" ca="1" si="40"/>
        <v/>
      </c>
      <c r="T24" s="3" t="str">
        <f t="shared" ca="1" si="41"/>
        <v/>
      </c>
      <c r="U24" s="3" t="str">
        <f t="shared" ca="1" si="42"/>
        <v/>
      </c>
      <c r="V24" s="54" t="str">
        <f t="shared" ca="1" si="43"/>
        <v/>
      </c>
      <c r="W24" s="61">
        <f t="shared" ca="1" si="47"/>
        <v>500000</v>
      </c>
      <c r="X24" s="21">
        <f t="shared" ca="1" si="48"/>
        <v>6.0108999999999995</v>
      </c>
      <c r="Y24" s="12">
        <v>0</v>
      </c>
      <c r="Z24" s="1">
        <f t="shared" ca="1" si="49"/>
        <v>1.9</v>
      </c>
      <c r="AA24" s="1">
        <f t="shared" ca="1" si="50"/>
        <v>0</v>
      </c>
      <c r="AB24" s="1">
        <f t="shared" ca="1" si="51"/>
        <v>0</v>
      </c>
      <c r="AC24" s="1"/>
      <c r="AD24" s="246">
        <f t="shared" ca="1" si="52"/>
        <v>6</v>
      </c>
      <c r="AE24" s="28">
        <f t="shared" ca="1" si="53"/>
        <v>500000</v>
      </c>
      <c r="AF24" s="1">
        <f t="shared" ca="1" si="54"/>
        <v>3</v>
      </c>
      <c r="AG24" s="1">
        <f t="shared" ca="1" si="55"/>
        <v>1</v>
      </c>
      <c r="AH24" s="249">
        <f t="shared" ca="1" si="56"/>
        <v>6.0103099999999996</v>
      </c>
      <c r="AI24" s="1"/>
    </row>
    <row r="25" spans="2:80" s="2" customFormat="1" ht="12.75" thickBot="1" x14ac:dyDescent="0.25">
      <c r="C25" s="2" t="str">
        <f t="shared" si="44"/>
        <v/>
      </c>
      <c r="D25" s="1">
        <f t="shared" ca="1" si="34"/>
        <v>0</v>
      </c>
      <c r="E25" s="1">
        <f t="shared" ca="1" si="34"/>
        <v>0</v>
      </c>
      <c r="F25" s="1">
        <f t="shared" ca="1" si="34"/>
        <v>0</v>
      </c>
      <c r="G25" s="1">
        <f t="shared" ca="1" si="34"/>
        <v>0</v>
      </c>
      <c r="H25" s="1">
        <f t="shared" ca="1" si="35"/>
        <v>0</v>
      </c>
      <c r="I25" s="1">
        <f t="shared" ca="1" si="35"/>
        <v>0</v>
      </c>
      <c r="J25" s="12">
        <f t="shared" ca="1" si="35"/>
        <v>0</v>
      </c>
      <c r="K25" s="1">
        <f t="shared" ca="1" si="35"/>
        <v>0</v>
      </c>
      <c r="L25" s="28">
        <f t="shared" ca="1" si="45"/>
        <v>500000</v>
      </c>
      <c r="M25" s="13">
        <f t="shared" ca="1" si="46"/>
        <v>4</v>
      </c>
      <c r="N25" s="13">
        <f t="array" aca="1" ref="N25" ca="1">IF($AI$15,SUM(($K$17:$K$25&gt;=K25)/COUNTIF($K$17:$K$25,$K$17:$K$25)),SUM(($L$17:$L$25&gt;=L25)/COUNTIF($L$17:$L$25,$L$17:$L$25)))</f>
        <v>6</v>
      </c>
      <c r="O25" s="55" t="str">
        <f t="shared" ca="1" si="36"/>
        <v/>
      </c>
      <c r="P25" s="56" t="str">
        <f t="shared" ca="1" si="37"/>
        <v/>
      </c>
      <c r="Q25" s="56" t="str">
        <f t="shared" ca="1" si="38"/>
        <v/>
      </c>
      <c r="R25" s="56" t="str">
        <f t="shared" ca="1" si="39"/>
        <v/>
      </c>
      <c r="S25" s="56" t="str">
        <f t="shared" ca="1" si="40"/>
        <v/>
      </c>
      <c r="T25" s="56" t="str">
        <f t="shared" ca="1" si="41"/>
        <v/>
      </c>
      <c r="U25" s="56" t="str">
        <f t="shared" ca="1" si="42"/>
        <v/>
      </c>
      <c r="V25" s="57" t="str">
        <f t="shared" ca="1" si="43"/>
        <v/>
      </c>
      <c r="W25" s="61">
        <f t="shared" ca="1" si="47"/>
        <v>500000</v>
      </c>
      <c r="X25" s="22">
        <f t="shared" ca="1" si="48"/>
        <v>6.0108999999999995</v>
      </c>
      <c r="Y25" s="12">
        <v>0</v>
      </c>
      <c r="Z25" s="1">
        <f t="shared" ca="1" si="49"/>
        <v>1.9</v>
      </c>
      <c r="AA25" s="1">
        <f t="shared" ca="1" si="50"/>
        <v>0</v>
      </c>
      <c r="AB25" s="1">
        <f t="shared" ca="1" si="51"/>
        <v>0</v>
      </c>
      <c r="AC25" s="1"/>
      <c r="AD25" s="246">
        <f t="shared" ca="1" si="52"/>
        <v>6</v>
      </c>
      <c r="AE25" s="28">
        <f t="shared" ca="1" si="53"/>
        <v>500000</v>
      </c>
      <c r="AF25" s="1">
        <f t="shared" ca="1" si="54"/>
        <v>3</v>
      </c>
      <c r="AG25" s="1">
        <f t="shared" ca="1" si="55"/>
        <v>1</v>
      </c>
      <c r="AH25" s="250">
        <f t="shared" ca="1" si="56"/>
        <v>6.0103099999999996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937">
        <v>1</v>
      </c>
      <c r="F29" s="934"/>
      <c r="G29" s="934"/>
      <c r="H29" s="934"/>
      <c r="I29" s="934"/>
      <c r="J29" s="934"/>
      <c r="K29" s="934"/>
      <c r="L29" s="936"/>
      <c r="M29" s="933">
        <v>2</v>
      </c>
      <c r="N29" s="934"/>
      <c r="O29" s="934"/>
      <c r="P29" s="934"/>
      <c r="Q29" s="934"/>
      <c r="R29" s="934"/>
      <c r="S29" s="934"/>
      <c r="T29" s="936"/>
      <c r="U29" s="933">
        <v>3</v>
      </c>
      <c r="V29" s="934"/>
      <c r="W29" s="934"/>
      <c r="X29" s="934"/>
      <c r="Y29" s="934"/>
      <c r="Z29" s="934"/>
      <c r="AA29" s="934"/>
      <c r="AB29" s="936"/>
      <c r="AC29" s="933">
        <v>4</v>
      </c>
      <c r="AD29" s="934"/>
      <c r="AE29" s="934"/>
      <c r="AF29" s="934"/>
      <c r="AG29" s="934"/>
      <c r="AH29" s="934"/>
      <c r="AI29" s="934"/>
      <c r="AJ29" s="936"/>
      <c r="AK29" s="933">
        <v>5</v>
      </c>
      <c r="AL29" s="934"/>
      <c r="AM29" s="934"/>
      <c r="AN29" s="934"/>
      <c r="AO29" s="934"/>
      <c r="AP29" s="934"/>
      <c r="AQ29" s="934"/>
      <c r="AR29" s="936"/>
      <c r="AS29" s="933">
        <v>6</v>
      </c>
      <c r="AT29" s="934"/>
      <c r="AU29" s="934"/>
      <c r="AV29" s="934"/>
      <c r="AW29" s="934"/>
      <c r="AX29" s="934"/>
      <c r="AY29" s="934"/>
      <c r="AZ29" s="936"/>
      <c r="BA29" s="933">
        <v>7</v>
      </c>
      <c r="BB29" s="934"/>
      <c r="BC29" s="934"/>
      <c r="BD29" s="934"/>
      <c r="BE29" s="934"/>
      <c r="BF29" s="934"/>
      <c r="BG29" s="934"/>
      <c r="BH29" s="936"/>
      <c r="BI29" s="933">
        <v>8</v>
      </c>
      <c r="BJ29" s="934"/>
      <c r="BK29" s="934"/>
      <c r="BL29" s="934"/>
      <c r="BM29" s="934"/>
      <c r="BN29" s="934"/>
      <c r="BO29" s="934"/>
      <c r="BP29" s="935"/>
      <c r="BQ29" s="12"/>
      <c r="BR29" s="4" t="s">
        <v>94</v>
      </c>
      <c r="BS29" s="2" t="str">
        <f>$F$4</f>
        <v>Mainz 05</v>
      </c>
      <c r="BT29" s="2" t="str">
        <f>$F$5</f>
        <v>Inter Mailand</v>
      </c>
      <c r="BU29" s="2" t="str">
        <f>$F$6</f>
        <v>SSV Wildbach</v>
      </c>
      <c r="BV29" s="2" t="str">
        <f>$F$7</f>
        <v>Manchester City</v>
      </c>
      <c r="BW29" s="2" t="str">
        <f>$F$8</f>
        <v>FC Grönlingen</v>
      </c>
      <c r="BX29" s="2" t="str">
        <f>$F$9</f>
        <v/>
      </c>
      <c r="BY29" s="2" t="str">
        <f>$F$10</f>
        <v/>
      </c>
      <c r="BZ29" s="2" t="str">
        <f>$F$11</f>
        <v/>
      </c>
      <c r="CA29" s="2" t="str">
        <f>$F$12</f>
        <v/>
      </c>
      <c r="CB29" s="50"/>
    </row>
    <row r="30" spans="2:80" s="2" customFormat="1" x14ac:dyDescent="0.2">
      <c r="C30" s="2" t="str">
        <f>$Q64</f>
        <v>Mainz 05</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si="57">F4</f>
        <v>Mainz 05</v>
      </c>
      <c r="BS30" s="6"/>
      <c r="BT30" s="7">
        <f t="shared" ref="BT30:CA37" ca="1" si="58">SUMIFS($X$64:$X$135,$V$64:$V$135,$BR30,$W$64:$W$135,BT$29)+SUMIFS($Y$64:$Y$135,$W$64:$W$135,$BR30,$V$64:$V$135,BT$29)+SUMIFS($AG$64:$AG$135,$V$64:$V$135,$BR30,$W$64:$W$135,BT$29)+SUMIFS($AH$64:$AH$135,$W$64:$W$135,$BR30,$V$64:$V$135,BT$29)</f>
        <v>50</v>
      </c>
      <c r="BU30" s="7">
        <f t="shared" ca="1" si="58"/>
        <v>50</v>
      </c>
      <c r="BV30" s="7">
        <f t="shared" ca="1" si="58"/>
        <v>39</v>
      </c>
      <c r="BW30" s="7">
        <f t="shared" ca="1" si="58"/>
        <v>39</v>
      </c>
      <c r="BX30" s="7">
        <f t="shared" ca="1" si="58"/>
        <v>0</v>
      </c>
      <c r="BY30" s="7">
        <f t="shared" ca="1" si="58"/>
        <v>0</v>
      </c>
      <c r="BZ30" s="7">
        <f t="shared" ca="1" si="58"/>
        <v>0</v>
      </c>
      <c r="CA30" s="7">
        <f t="shared" ca="1" si="58"/>
        <v>0</v>
      </c>
      <c r="CB30" s="3"/>
    </row>
    <row r="31" spans="2:80" s="2" customFormat="1" x14ac:dyDescent="0.2">
      <c r="C31" s="2" t="str">
        <f t="shared" ref="C31:C38" si="59">$Q65</f>
        <v>Inter Mailand</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si="57"/>
        <v>Inter Mailand</v>
      </c>
      <c r="BS31" s="8">
        <f ca="1">SUMIFS($X$64:$X$135,$V$64:$V$135,$BR31,$W$64:$W$135,BS$29)+SUMIFS($Y$64:$Y$135,$W$64:$W$135,$BR31,$V$64:$V$135,BS$29)+SUMIFS($AG$64:$AG$135,$V$64:$V$135,$BR31,$W$64:$W$135,BS$29)+SUMIFS($AH$64:$AH$135,$W$64:$W$135,$BR31,$V$64:$V$135,BS$29)</f>
        <v>24</v>
      </c>
      <c r="BT31" s="6"/>
      <c r="BU31" s="7">
        <f ca="1">SUMIFS($X$64:$X$135,$V$64:$V$135,$BR31,$W$64:$W$135,BU$29)+SUMIFS($Y$64:$Y$135,$W$64:$W$135,$BR31,$V$64:$V$135,BU$29)+SUMIFS($AG$64:$AG$135,$V$64:$V$135,$BR31,$W$64:$W$135,BU$29)+SUMIFS($AH$64:$AH$135,$W$64:$W$135,$BR31,$V$64:$V$135,BU$29)</f>
        <v>44</v>
      </c>
      <c r="BV31" s="7">
        <f t="shared" ca="1" si="58"/>
        <v>39</v>
      </c>
      <c r="BW31" s="7">
        <f t="shared" ca="1" si="58"/>
        <v>45</v>
      </c>
      <c r="BX31" s="7">
        <f t="shared" ca="1" si="58"/>
        <v>0</v>
      </c>
      <c r="BY31" s="7">
        <f t="shared" ca="1" si="58"/>
        <v>0</v>
      </c>
      <c r="BZ31" s="7">
        <f t="shared" ca="1" si="58"/>
        <v>0</v>
      </c>
      <c r="CA31" s="7">
        <f t="shared" ca="1" si="58"/>
        <v>0</v>
      </c>
      <c r="CB31" s="3"/>
    </row>
    <row r="32" spans="2:80" s="2" customFormat="1" x14ac:dyDescent="0.2">
      <c r="C32" s="2" t="str">
        <f t="shared" si="59"/>
        <v>SSV Wildbach</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si="57"/>
        <v>SSV Wildbach</v>
      </c>
      <c r="BS32" s="8">
        <f t="shared" ref="BS32:BY38" ca="1" si="60">SUMIFS($X$64:$X$135,$V$64:$V$135,$BR32,$W$64:$W$135,BS$29)+SUMIFS($Y$64:$Y$135,$W$64:$W$135,$BR32,$V$64:$V$135,BS$29)+SUMIFS($AG$64:$AG$135,$V$64:$V$135,$BR32,$W$64:$W$135,BS$29)+SUMIFS($AH$64:$AH$135,$W$64:$W$135,$BR32,$V$64:$V$135,BS$29)</f>
        <v>38</v>
      </c>
      <c r="BT32" s="8">
        <f t="shared" ca="1" si="60"/>
        <v>37</v>
      </c>
      <c r="BU32" s="6"/>
      <c r="BV32" s="7">
        <f t="shared" ca="1" si="58"/>
        <v>50</v>
      </c>
      <c r="BW32" s="7">
        <f t="shared" ca="1" si="58"/>
        <v>44</v>
      </c>
      <c r="BX32" s="7">
        <f t="shared" ca="1" si="58"/>
        <v>0</v>
      </c>
      <c r="BY32" s="7">
        <f t="shared" ca="1" si="58"/>
        <v>0</v>
      </c>
      <c r="BZ32" s="7">
        <f t="shared" ca="1" si="58"/>
        <v>0</v>
      </c>
      <c r="CA32" s="7">
        <f t="shared" ca="1" si="58"/>
        <v>0</v>
      </c>
      <c r="CB32" s="3"/>
    </row>
    <row r="33" spans="2:80" s="2" customFormat="1" x14ac:dyDescent="0.2">
      <c r="C33" s="2" t="str">
        <f t="shared" si="59"/>
        <v>Manchester City</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57"/>
        <v>Manchester City</v>
      </c>
      <c r="BS33" s="8">
        <f t="shared" ca="1" si="60"/>
        <v>44</v>
      </c>
      <c r="BT33" s="8">
        <f t="shared" ca="1" si="60"/>
        <v>48</v>
      </c>
      <c r="BU33" s="8">
        <f t="shared" ca="1" si="60"/>
        <v>42</v>
      </c>
      <c r="BV33" s="6"/>
      <c r="BW33" s="7">
        <f t="shared" ca="1" si="58"/>
        <v>50</v>
      </c>
      <c r="BX33" s="7">
        <f t="shared" ca="1" si="58"/>
        <v>0</v>
      </c>
      <c r="BY33" s="7">
        <f t="shared" ca="1" si="58"/>
        <v>0</v>
      </c>
      <c r="BZ33" s="7">
        <f t="shared" ca="1" si="58"/>
        <v>0</v>
      </c>
      <c r="CA33" s="7">
        <f t="shared" ca="1" si="58"/>
        <v>0</v>
      </c>
      <c r="CB33" s="3"/>
    </row>
    <row r="34" spans="2:80" s="2" customFormat="1" x14ac:dyDescent="0.2">
      <c r="C34" s="2" t="str">
        <f t="shared" si="59"/>
        <v>FC Grönlingen</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57"/>
        <v>FC Grönlingen</v>
      </c>
      <c r="BS34" s="8">
        <f t="shared" ca="1" si="60"/>
        <v>50</v>
      </c>
      <c r="BT34" s="8">
        <f t="shared" ca="1" si="60"/>
        <v>48</v>
      </c>
      <c r="BU34" s="8">
        <f t="shared" ca="1" si="60"/>
        <v>44</v>
      </c>
      <c r="BV34" s="8">
        <f t="shared" ca="1" si="60"/>
        <v>32</v>
      </c>
      <c r="BW34" s="6"/>
      <c r="BX34" s="7">
        <f t="shared" ca="1" si="58"/>
        <v>0</v>
      </c>
      <c r="BY34" s="7">
        <f t="shared" ca="1" si="58"/>
        <v>0</v>
      </c>
      <c r="BZ34" s="7">
        <f t="shared" ca="1" si="58"/>
        <v>0</v>
      </c>
      <c r="CA34" s="7">
        <f t="shared" ca="1" si="58"/>
        <v>0</v>
      </c>
      <c r="CB34" s="3"/>
    </row>
    <row r="35" spans="2:80" s="2" customFormat="1" x14ac:dyDescent="0.2">
      <c r="C35" s="2" t="str">
        <f t="shared" si="59"/>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57"/>
        <v/>
      </c>
      <c r="BS35" s="8">
        <f t="shared" ca="1" si="60"/>
        <v>0</v>
      </c>
      <c r="BT35" s="8">
        <f t="shared" ca="1" si="60"/>
        <v>0</v>
      </c>
      <c r="BU35" s="8">
        <f t="shared" ca="1" si="60"/>
        <v>0</v>
      </c>
      <c r="BV35" s="8">
        <f t="shared" ca="1" si="60"/>
        <v>0</v>
      </c>
      <c r="BW35" s="8">
        <f t="shared" ca="1" si="60"/>
        <v>0</v>
      </c>
      <c r="BX35" s="6"/>
      <c r="BY35" s="7">
        <f t="shared" ca="1" si="58"/>
        <v>0</v>
      </c>
      <c r="BZ35" s="7">
        <f t="shared" ca="1" si="58"/>
        <v>0</v>
      </c>
      <c r="CA35" s="7">
        <f t="shared" ca="1" si="58"/>
        <v>0</v>
      </c>
      <c r="CB35" s="3"/>
    </row>
    <row r="36" spans="2:80" s="2" customFormat="1" x14ac:dyDescent="0.2">
      <c r="C36" s="2" t="str">
        <f t="shared" si="59"/>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57"/>
        <v/>
      </c>
      <c r="BS36" s="8">
        <f t="shared" ca="1" si="60"/>
        <v>0</v>
      </c>
      <c r="BT36" s="8">
        <f t="shared" ca="1" si="60"/>
        <v>0</v>
      </c>
      <c r="BU36" s="8">
        <f t="shared" ca="1" si="60"/>
        <v>0</v>
      </c>
      <c r="BV36" s="8">
        <f t="shared" ca="1" si="60"/>
        <v>0</v>
      </c>
      <c r="BW36" s="8">
        <f t="shared" ca="1" si="60"/>
        <v>0</v>
      </c>
      <c r="BX36" s="8">
        <f t="shared" ca="1" si="60"/>
        <v>0</v>
      </c>
      <c r="BY36" s="6"/>
      <c r="BZ36" s="7">
        <f t="shared" ca="1" si="58"/>
        <v>0</v>
      </c>
      <c r="CA36" s="7">
        <f t="shared" ca="1" si="58"/>
        <v>0</v>
      </c>
      <c r="CB36" s="3"/>
    </row>
    <row r="37" spans="2:80" s="2" customFormat="1" x14ac:dyDescent="0.2">
      <c r="C37" s="2" t="str">
        <f t="shared" si="59"/>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57"/>
        <v/>
      </c>
      <c r="BS37" s="8">
        <f t="shared" ca="1" si="60"/>
        <v>0</v>
      </c>
      <c r="BT37" s="8">
        <f t="shared" ca="1" si="60"/>
        <v>0</v>
      </c>
      <c r="BU37" s="8">
        <f t="shared" ca="1" si="60"/>
        <v>0</v>
      </c>
      <c r="BV37" s="8">
        <f t="shared" ca="1" si="60"/>
        <v>0</v>
      </c>
      <c r="BW37" s="8">
        <f t="shared" ca="1" si="60"/>
        <v>0</v>
      </c>
      <c r="BX37" s="8">
        <f t="shared" ca="1" si="60"/>
        <v>0</v>
      </c>
      <c r="BY37" s="8">
        <f t="shared" ca="1" si="60"/>
        <v>0</v>
      </c>
      <c r="BZ37" s="6"/>
      <c r="CA37" s="7">
        <f t="shared" ca="1" si="58"/>
        <v>0</v>
      </c>
      <c r="CB37" s="3"/>
    </row>
    <row r="38" spans="2:80" s="2" customFormat="1" x14ac:dyDescent="0.2">
      <c r="C38" s="2" t="str">
        <f t="shared" si="59"/>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57"/>
        <v/>
      </c>
      <c r="BS38" s="8">
        <f t="shared" ca="1" si="60"/>
        <v>0</v>
      </c>
      <c r="BT38" s="8">
        <f t="shared" ca="1" si="60"/>
        <v>0</v>
      </c>
      <c r="BU38" s="8">
        <f t="shared" ca="1" si="60"/>
        <v>0</v>
      </c>
      <c r="BV38" s="8">
        <f t="shared" ca="1" si="60"/>
        <v>0</v>
      </c>
      <c r="BW38" s="8">
        <f t="shared" ca="1" si="60"/>
        <v>0</v>
      </c>
      <c r="BX38" s="8">
        <f t="shared" ca="1" si="60"/>
        <v>0</v>
      </c>
      <c r="BY38" s="8">
        <f t="shared" ca="1" si="60"/>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101</v>
      </c>
      <c r="BS40" s="2" t="str">
        <f>$F$4</f>
        <v>Mainz 05</v>
      </c>
      <c r="BT40" s="2" t="str">
        <f>$F$5</f>
        <v>Inter Mailand</v>
      </c>
      <c r="BU40" s="2" t="str">
        <f>$F$6</f>
        <v>SSV Wildbach</v>
      </c>
      <c r="BV40" s="2" t="str">
        <f>$F$7</f>
        <v>Manchester City</v>
      </c>
      <c r="BW40" s="2" t="str">
        <f>$F$8</f>
        <v>FC Grönlingen</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si="61">F4</f>
        <v>Mainz 05</v>
      </c>
      <c r="BS41" s="6"/>
      <c r="BT41" s="7">
        <f ca="1">BT30-BS31</f>
        <v>26</v>
      </c>
      <c r="BU41" s="7">
        <f ca="1">BU30-BS32</f>
        <v>12</v>
      </c>
      <c r="BV41" s="7">
        <f ca="1">BV30-BS33</f>
        <v>-5</v>
      </c>
      <c r="BW41" s="7">
        <f ca="1">BW30-BS34</f>
        <v>-11</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si="61"/>
        <v>Inter Mailand</v>
      </c>
      <c r="BS42" s="8">
        <f ca="1">IF(BT41="","",-1*BT41)</f>
        <v>-26</v>
      </c>
      <c r="BT42" s="6"/>
      <c r="BU42" s="7">
        <f ca="1">BU31-BT32</f>
        <v>7</v>
      </c>
      <c r="BV42" s="7">
        <f ca="1">BV31-BT33</f>
        <v>-9</v>
      </c>
      <c r="BW42" s="7">
        <f ca="1">BW31-BT34</f>
        <v>-3</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si="61"/>
        <v>SSV Wildbach</v>
      </c>
      <c r="BS43" s="8">
        <f ca="1">IF(BU41="","",-1*BU41)</f>
        <v>-12</v>
      </c>
      <c r="BT43" s="8">
        <f ca="1">IF(BU42="","",-1*BU42)</f>
        <v>-7</v>
      </c>
      <c r="BU43" s="6"/>
      <c r="BV43" s="7">
        <f ca="1">BV32-BU33</f>
        <v>8</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61"/>
        <v>Manchester City</v>
      </c>
      <c r="BS44" s="8">
        <f ca="1">IF(BV41="","",-1*BV41)</f>
        <v>5</v>
      </c>
      <c r="BT44" s="8">
        <f ca="1">IF(BV42="","",-1*BV42)</f>
        <v>9</v>
      </c>
      <c r="BU44" s="8">
        <f ca="1">IF(BV43="","",-1*BV43)</f>
        <v>-8</v>
      </c>
      <c r="BV44" s="6"/>
      <c r="BW44" s="7">
        <f ca="1">BW33-BV34</f>
        <v>18</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61"/>
        <v>FC Grönlingen</v>
      </c>
      <c r="BS45" s="8">
        <f ca="1">IF(BW41="","",-1*BW41)</f>
        <v>11</v>
      </c>
      <c r="BT45" s="8">
        <f ca="1">IF(BW42="","",-1*BW42)</f>
        <v>3</v>
      </c>
      <c r="BU45" s="8">
        <f ca="1">IF(BW43="","",-1*BW43)</f>
        <v>0</v>
      </c>
      <c r="BV45" s="8">
        <f ca="1">IF(BW44="","",-1*BW44)</f>
        <v>-18</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61"/>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61"/>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61"/>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61"/>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62">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$F$4</f>
        <v>Mainz 05</v>
      </c>
      <c r="BT51" s="2" t="str">
        <f>$F$5</f>
        <v>Inter Mailand</v>
      </c>
      <c r="BU51" s="2" t="str">
        <f>$F$6</f>
        <v>SSV Wildbach</v>
      </c>
      <c r="BV51" s="2" t="str">
        <f>$F$7</f>
        <v>Manchester City</v>
      </c>
      <c r="BW51" s="2" t="str">
        <f>$F$8</f>
        <v>FC Grönlingen</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si="63">F4</f>
        <v>Mainz 05</v>
      </c>
      <c r="BS52" s="6"/>
      <c r="BT52" s="7">
        <f t="shared" ref="BT52:CA58" ca="1" si="64">SUMIFS($AE$64:$AE$135,$V$64:$V$135,$BR52,$W$64:$W$135,BT$51)+SUMIFS($AF$64:$AF$135,$W$64:$W$135,$BR52,$V$64:$V$135,BT$51)</f>
        <v>2</v>
      </c>
      <c r="BU52" s="7">
        <f t="shared" ca="1" si="64"/>
        <v>2</v>
      </c>
      <c r="BV52" s="7">
        <f t="shared" ca="1" si="64"/>
        <v>1</v>
      </c>
      <c r="BW52" s="7">
        <f t="shared" ca="1" si="64"/>
        <v>0</v>
      </c>
      <c r="BX52" s="7">
        <f t="shared" ca="1" si="64"/>
        <v>0</v>
      </c>
      <c r="BY52" s="7">
        <f t="shared" ca="1" si="64"/>
        <v>0</v>
      </c>
      <c r="BZ52" s="7">
        <f t="shared" ca="1" si="64"/>
        <v>0</v>
      </c>
      <c r="CA52" s="7">
        <f t="shared" ca="1" si="64"/>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si="63"/>
        <v>Inter Mailand</v>
      </c>
      <c r="BS53" s="8">
        <f t="shared" ref="BS53:BU60" ca="1" si="65">SUMIFS($AE$64:$AE$135,$V$64:$V$135,$BR53,$W$64:$W$135,BS$51)+SUMIFS($AF$64:$AF$135,$W$64:$W$135,$BR53,$V$64:$V$135,BS$51)</f>
        <v>0</v>
      </c>
      <c r="BT53" s="6"/>
      <c r="BU53" s="7">
        <f ca="1">SUMIFS($AE$64:$AE$135,$V$64:$V$135,$BR53,$W$64:$W$135,BU$51)+SUMIFS($AF$64:$AF$135,$W$64:$W$135,$BR53,$V$64:$V$135,BU$51)</f>
        <v>1</v>
      </c>
      <c r="BV53" s="7">
        <f ca="1">SUMIFS($AE$64:$AE$135,$V$64:$V$135,$BR53,$W$64:$W$135,BV$51)+SUMIFS($AF$64:$AF$135,$W$64:$W$135,$BR53,$V$64:$V$135,BV$51)</f>
        <v>1</v>
      </c>
      <c r="BW53" s="7">
        <f ca="1">SUMIFS($AE$64:$AE$135,$V$64:$V$135,$BR53,$W$64:$W$135,BW$51)+SUMIFS($AF$64:$AF$135,$W$64:$W$135,$BR53,$V$64:$V$135,BW$51)</f>
        <v>1</v>
      </c>
      <c r="BX53" s="7">
        <f ca="1">SUMIFS($AE$64:$AE$135,$V$64:$V$135,$BR53,$W$64:$W$135,BX$51)+SUMIFS($AF$64:$AF$135,$W$64:$W$135,$BR53,$V$64:$V$135,BX$51)</f>
        <v>0</v>
      </c>
      <c r="BY53" s="7">
        <f ca="1">SUMIFS($AE$64:$AE$135,$V$64:$V$135,$BR53,$W$64:$W$135,BY$51)+SUMIFS($AF$64:$AF$135,$W$64:$W$135,$BR53,$V$64:$V$135,BY$51)</f>
        <v>0</v>
      </c>
      <c r="BZ53" s="7">
        <f t="shared" ca="1" si="64"/>
        <v>0</v>
      </c>
      <c r="CA53" s="7">
        <f t="shared" ca="1" si="64"/>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si="63"/>
        <v>SSV Wildbach</v>
      </c>
      <c r="BS54" s="8">
        <f t="shared" ca="1" si="65"/>
        <v>0</v>
      </c>
      <c r="BT54" s="8">
        <f t="shared" ca="1" si="65"/>
        <v>1</v>
      </c>
      <c r="BU54" s="6"/>
      <c r="BV54" s="7">
        <f ca="1">SUMIFS($AE$64:$AE$135,$V$64:$V$135,$BR54,$W$64:$W$135,BV$51)+SUMIFS($AF$64:$AF$135,$W$64:$W$135,$BR54,$V$64:$V$135,BV$51)</f>
        <v>2</v>
      </c>
      <c r="BW54" s="7">
        <f ca="1">SUMIFS($AE$64:$AE$135,$V$64:$V$135,$BR54,$W$64:$W$135,BW$51)+SUMIFS($AF$64:$AF$135,$W$64:$W$135,$BR54,$V$64:$V$135,BW$51)</f>
        <v>1</v>
      </c>
      <c r="BX54" s="7">
        <f ca="1">SUMIFS($AE$64:$AE$135,$V$64:$V$135,$BR54,$W$64:$W$135,BX$51)+SUMIFS($AF$64:$AF$135,$W$64:$W$135,$BR54,$V$64:$V$135,BX$51)</f>
        <v>0</v>
      </c>
      <c r="BY54" s="7">
        <f ca="1">SUMIFS($AE$64:$AE$135,$V$64:$V$135,$BR54,$W$64:$W$135,BY$51)+SUMIFS($AF$64:$AF$135,$W$64:$W$135,$BR54,$V$64:$V$135,BY$51)</f>
        <v>0</v>
      </c>
      <c r="BZ54" s="7">
        <f t="shared" ca="1" si="64"/>
        <v>0</v>
      </c>
      <c r="CA54" s="7">
        <f t="shared" ca="1" si="64"/>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63"/>
        <v>Manchester City</v>
      </c>
      <c r="BS55" s="8">
        <f t="shared" ca="1" si="65"/>
        <v>1</v>
      </c>
      <c r="BT55" s="8">
        <f t="shared" ca="1" si="65"/>
        <v>1</v>
      </c>
      <c r="BU55" s="8">
        <f t="shared" ca="1" si="65"/>
        <v>0</v>
      </c>
      <c r="BV55" s="6"/>
      <c r="BW55" s="7">
        <f ca="1">SUMIFS($AE$64:$AE$135,$V$64:$V$135,$BR55,$W$64:$W$135,BW$51)+SUMIFS($AF$64:$AF$135,$W$64:$W$135,$BR55,$V$64:$V$135,BW$51)</f>
        <v>2</v>
      </c>
      <c r="BX55" s="7">
        <f ca="1">SUMIFS($AE$64:$AE$135,$V$64:$V$135,$BR55,$W$64:$W$135,BX$51)+SUMIFS($AF$64:$AF$135,$W$64:$W$135,$BR55,$V$64:$V$135,BX$51)</f>
        <v>0</v>
      </c>
      <c r="BY55" s="7">
        <f ca="1">SUMIFS($AE$64:$AE$135,$V$64:$V$135,$BR55,$W$64:$W$135,BY$51)+SUMIFS($AF$64:$AF$135,$W$64:$W$135,$BR55,$V$64:$V$135,BY$51)</f>
        <v>0</v>
      </c>
      <c r="BZ55" s="7">
        <f t="shared" ca="1" si="64"/>
        <v>0</v>
      </c>
      <c r="CA55" s="7">
        <f t="shared" ca="1" si="64"/>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63"/>
        <v>FC Grönlingen</v>
      </c>
      <c r="BS56" s="8">
        <f t="shared" ca="1" si="65"/>
        <v>2</v>
      </c>
      <c r="BT56" s="8">
        <f t="shared" ca="1" si="65"/>
        <v>1</v>
      </c>
      <c r="BU56" s="8">
        <f t="shared" ca="1" si="65"/>
        <v>1</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64"/>
        <v>0</v>
      </c>
      <c r="CA56" s="7">
        <f t="shared" ca="1" si="64"/>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63"/>
        <v/>
      </c>
      <c r="BS57" s="8">
        <f t="shared" ca="1" si="65"/>
        <v>0</v>
      </c>
      <c r="BT57" s="8">
        <f t="shared" ca="1" si="65"/>
        <v>0</v>
      </c>
      <c r="BU57" s="8">
        <f t="shared" ca="1" si="65"/>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64"/>
        <v>0</v>
      </c>
      <c r="CA57" s="7">
        <f t="shared" ca="1" si="64"/>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63"/>
        <v/>
      </c>
      <c r="BS58" s="8">
        <f t="shared" ca="1" si="65"/>
        <v>0</v>
      </c>
      <c r="BT58" s="8">
        <f t="shared" ca="1" si="65"/>
        <v>0</v>
      </c>
      <c r="BU58" s="8">
        <f t="shared" ca="1" si="65"/>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64"/>
        <v>0</v>
      </c>
      <c r="CA58" s="7">
        <f t="shared" ca="1" si="64"/>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63"/>
        <v/>
      </c>
      <c r="BS59" s="8">
        <f t="shared" ca="1" si="65"/>
        <v>0</v>
      </c>
      <c r="BT59" s="8">
        <f t="shared" ca="1" si="65"/>
        <v>0</v>
      </c>
      <c r="BU59" s="8">
        <f t="shared" ca="1" si="65"/>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63"/>
        <v/>
      </c>
      <c r="BS60" s="8">
        <f t="shared" ca="1" si="65"/>
        <v>0</v>
      </c>
      <c r="BT60" s="8">
        <f t="shared" ca="1" si="65"/>
        <v>0</v>
      </c>
      <c r="BU60" s="8">
        <f t="shared" ca="1" si="65"/>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89" t="s">
        <v>170</v>
      </c>
      <c r="X63" s="931" t="s">
        <v>326</v>
      </c>
      <c r="Y63" s="931"/>
      <c r="Z63" s="161" t="s">
        <v>155</v>
      </c>
      <c r="AA63" s="161" t="s">
        <v>15</v>
      </c>
      <c r="AB63" s="161" t="s">
        <v>153</v>
      </c>
      <c r="AC63" s="613" t="s">
        <v>156</v>
      </c>
      <c r="AD63" s="161" t="s">
        <v>154</v>
      </c>
      <c r="AE63" s="925" t="s">
        <v>334</v>
      </c>
      <c r="AF63" s="925"/>
      <c r="AG63" s="932" t="s">
        <v>328</v>
      </c>
      <c r="AH63" s="932"/>
      <c r="AI63" s="614" t="s">
        <v>335</v>
      </c>
      <c r="AJ63" s="3"/>
      <c r="AK63" s="3"/>
      <c r="AL63" s="3"/>
      <c r="AM63" s="3"/>
      <c r="AN63" s="3"/>
      <c r="AO63" s="3"/>
      <c r="AP63" s="3"/>
      <c r="AQ63" s="3"/>
      <c r="AR63" s="3"/>
    </row>
    <row r="64" spans="5:80" s="2" customFormat="1" ht="14.25" thickTop="1" thickBot="1" x14ac:dyDescent="0.25">
      <c r="F64" s="190">
        <v>1000000</v>
      </c>
      <c r="G64" s="191" t="s">
        <v>109</v>
      </c>
      <c r="P64" s="43" t="s">
        <v>6</v>
      </c>
      <c r="Q64" s="58" t="str">
        <f>IF(Planung!$C$24="","",Planung!$C$24)</f>
        <v>Mainz 05</v>
      </c>
      <c r="U64" s="63" t="s">
        <v>6</v>
      </c>
      <c r="V64" s="38" t="str">
        <f ca="1">Planung!$L6</f>
        <v>VFB Essenheim</v>
      </c>
      <c r="W64" s="31" t="str">
        <f ca="1">Planung!$N6</f>
        <v>FC Barcelona</v>
      </c>
      <c r="X64" s="31">
        <f ca="1">IF($AA64=1,Vorrunde!$I12,"")</f>
        <v>13</v>
      </c>
      <c r="Y64" s="32">
        <f ca="1">IF($AA64=1,Vorrunde!$K12,"")</f>
        <v>25</v>
      </c>
      <c r="Z64" s="30" t="str">
        <f ca="1">V64&amp;W64</f>
        <v>VFB EssenheimFC Barcelona</v>
      </c>
      <c r="AA64" s="31">
        <f ca="1">IF(AND(Vorrunde!$I12&lt;&gt;"",Vorrunde!$K12&lt;&gt;"",Vorrunde!$I12&lt;&gt;Vorrunde!$K12,OR(AND(Vorrunde!$L12="",Vorrunde!$N12=""),AND(Vorrunde!$L12&lt;&gt;"",Vorrunde!$N12&lt;&gt;"",Vorrunde!$L12&lt;&gt;Vorrunde!$N12)),Vorrunde!$F12&lt;&gt;"",Vorrunde!$H12&lt;&gt;"",Vorrunde!$F12&lt;&gt;Vorrunde!$H12),1,0)</f>
        <v>1</v>
      </c>
      <c r="AB64" s="139" t="str">
        <f ca="1">IF(AA64&gt;0,(X64+AG64)&amp;Sprache!$E$77&amp;(Y64+AH64),"")</f>
        <v>33:50</v>
      </c>
      <c r="AD64" s="140"/>
      <c r="AE64" s="145">
        <f ca="1">IF($AA64=0,0,IF($X64&gt;$Y64,1,0)+IF($AG64&gt;$AH64,1,0))</f>
        <v>0</v>
      </c>
      <c r="AF64" s="140">
        <f ca="1">IF($AA64=0,0,IF($X64&lt;$Y64,1,0)+IF($AG64&lt;$AH64,1,0))</f>
        <v>2</v>
      </c>
      <c r="AG64" s="145">
        <f ca="1">IF($AA64=1,Vorrunde!$L12,"")</f>
        <v>20</v>
      </c>
      <c r="AH64" s="139">
        <f ca="1">IF($AA64=1,Vorrunde!$N12,"")</f>
        <v>25</v>
      </c>
      <c r="AI64" s="598" t="str">
        <f ca="1">IF(AA64&gt;0,AE64&amp;Sprache!$E$77&amp;AF64,"")</f>
        <v>0:2</v>
      </c>
      <c r="AJ64" s="3"/>
      <c r="AK64" s="3"/>
      <c r="AL64" s="3"/>
      <c r="AM64" s="3"/>
      <c r="AN64" s="3"/>
      <c r="AO64" s="3"/>
      <c r="AP64" s="3"/>
      <c r="AQ64" s="3"/>
      <c r="AR64" s="3"/>
    </row>
    <row r="65" spans="2:43" s="2" customFormat="1" ht="13.5" thickBot="1" x14ac:dyDescent="0.25">
      <c r="F65" s="192">
        <v>1000</v>
      </c>
      <c r="G65" s="193" t="s">
        <v>108</v>
      </c>
      <c r="H65" s="197">
        <v>500</v>
      </c>
      <c r="I65" s="196" t="s">
        <v>304</v>
      </c>
      <c r="P65" s="44" t="s">
        <v>7</v>
      </c>
      <c r="Q65" s="59" t="str">
        <f>IF(Planung!$C$26="","",Planung!$C$26)</f>
        <v>Inter Mailand</v>
      </c>
      <c r="U65" s="64" t="s">
        <v>7</v>
      </c>
      <c r="V65" s="39" t="str">
        <f ca="1">Planung!$L7</f>
        <v>FC Grönlingen</v>
      </c>
      <c r="W65" s="12" t="str">
        <f ca="1">Planung!$N7</f>
        <v>Inter Mailand</v>
      </c>
      <c r="X65" s="12">
        <f ca="1">IF($AA65=1,Vorrunde!$I13,"")</f>
        <v>25</v>
      </c>
      <c r="Y65" s="34">
        <f ca="1">IF($AA65=1,Vorrunde!$K13,"")</f>
        <v>20</v>
      </c>
      <c r="Z65" s="33" t="str">
        <f t="shared" ref="Z65:Z73" ca="1" si="66">V65&amp;W65</f>
        <v>FC GrönlingenInter Mailand</v>
      </c>
      <c r="AA65" s="12">
        <f ca="1">IF(AND(Vorrunde!$I13&lt;&gt;"",Vorrunde!$K13&lt;&gt;"",Vorrunde!$I13&lt;&gt;Vorrunde!$K13,Vorrunde!$L13&lt;&gt;"",Vorrunde!$N13&lt;&gt;"",Vorrunde!$L13&lt;&gt;Vorrunde!$N13,Vorrunde!$F13&lt;&gt;"",Vorrunde!$H13&lt;&gt;"",Vorrunde!$F13&lt;&gt;Vorrunde!$H13),1,0)</f>
        <v>1</v>
      </c>
      <c r="AB65" s="12" t="str">
        <f ca="1">IF(AA65&gt;0,(X65+AG65)&amp;Sprache!$E$77&amp;(Y65+AH65),"")</f>
        <v>48:45</v>
      </c>
      <c r="AD65" s="141"/>
      <c r="AE65" s="146">
        <f t="shared" ref="AE65:AE93" ca="1" si="67">IF($AA65=0,0,IF($X65&gt;$Y65,1,0)+IF($AG65&gt;$AH65,1,0))</f>
        <v>1</v>
      </c>
      <c r="AF65" s="141">
        <f t="shared" ref="AF65:AF93" ca="1" si="68">IF($AA65=0,0,IF($X65&lt;$Y65,1,0)+IF($AG65&lt;$AH65,1,0))</f>
        <v>1</v>
      </c>
      <c r="AG65" s="146">
        <f ca="1">IF($AA65=1,Vorrunde!$L13,"")</f>
        <v>23</v>
      </c>
      <c r="AH65" s="12">
        <f ca="1">IF($AA65=1,Vorrunde!$N13,"")</f>
        <v>25</v>
      </c>
      <c r="AI65" s="599" t="str">
        <f ca="1">IF(AA65&gt;0,AE65&amp;Sprache!$E$77&amp;AF65,"")</f>
        <v>1:1</v>
      </c>
      <c r="AJ65" s="12"/>
      <c r="AK65" s="12"/>
      <c r="AL65" s="12"/>
      <c r="AM65" s="12"/>
      <c r="AN65" s="12"/>
      <c r="AO65" s="12"/>
      <c r="AP65" s="12"/>
      <c r="AQ65" s="12"/>
    </row>
    <row r="66" spans="2:43" s="2" customFormat="1" ht="13.5" thickBot="1" x14ac:dyDescent="0.25">
      <c r="F66" s="194">
        <v>1</v>
      </c>
      <c r="G66" s="195" t="s">
        <v>106</v>
      </c>
      <c r="P66" s="44" t="s">
        <v>8</v>
      </c>
      <c r="Q66" s="59" t="str">
        <f>IF(Planung!$C$28="","",Planung!$C$28)</f>
        <v>SSV Wildbach</v>
      </c>
      <c r="U66" s="64" t="s">
        <v>8</v>
      </c>
      <c r="V66" s="39" t="str">
        <f ca="1">Planung!$L8</f>
        <v>Eintracht Frankfurt</v>
      </c>
      <c r="W66" s="12" t="str">
        <f ca="1">Planung!$N8</f>
        <v>Maibach 1822 eV</v>
      </c>
      <c r="X66" s="12">
        <f ca="1">IF($AA66=1,Vorrunde!$I14,"")</f>
        <v>25</v>
      </c>
      <c r="Y66" s="34">
        <f ca="1">IF($AA66=1,Vorrunde!$K14,"")</f>
        <v>21</v>
      </c>
      <c r="Z66" s="33" t="str">
        <f t="shared" ca="1" si="66"/>
        <v>Eintracht FrankfurtMaibach 1822 eV</v>
      </c>
      <c r="AA66" s="12">
        <f ca="1">IF(AND(Vorrunde!$I14&lt;&gt;"",Vorrunde!$K14&lt;&gt;"",Vorrunde!$I14&lt;&gt;Vorrunde!$K14,Vorrunde!$L14&lt;&gt;"",Vorrunde!$N14&lt;&gt;"",Vorrunde!$L14&lt;&gt;Vorrunde!$N14,Vorrunde!$F14&lt;&gt;"",Vorrunde!$H14&lt;&gt;"",Vorrunde!$F14&lt;&gt;Vorrunde!$H14),1,0)</f>
        <v>1</v>
      </c>
      <c r="AB66" s="12" t="str">
        <f ca="1">IF(AA66&gt;0,(X66+AG66)&amp;Sprache!$E$77&amp;(Y66+AH66),"")</f>
        <v>50:40</v>
      </c>
      <c r="AD66" s="141"/>
      <c r="AE66" s="146">
        <f t="shared" ca="1" si="67"/>
        <v>2</v>
      </c>
      <c r="AF66" s="141">
        <f t="shared" ca="1" si="68"/>
        <v>0</v>
      </c>
      <c r="AG66" s="146">
        <f ca="1">IF($AA66=1,Vorrunde!$L14,"")</f>
        <v>25</v>
      </c>
      <c r="AH66" s="12">
        <f ca="1">IF($AA66=1,Vorrunde!$N14,"")</f>
        <v>19</v>
      </c>
      <c r="AI66" s="599" t="str">
        <f ca="1">IF(AA66&gt;0,AE66&amp;Sprache!$E$77&amp;AF66,"")</f>
        <v>2:0</v>
      </c>
      <c r="AJ66" s="3"/>
      <c r="AK66" s="12"/>
      <c r="AL66" s="12"/>
      <c r="AM66" s="12"/>
      <c r="AN66" s="12"/>
      <c r="AO66" s="12"/>
      <c r="AP66" s="12"/>
      <c r="AQ66" s="12"/>
    </row>
    <row r="67" spans="2:43" s="2" customFormat="1" x14ac:dyDescent="0.2">
      <c r="P67" s="44" t="s">
        <v>9</v>
      </c>
      <c r="Q67" s="59" t="str">
        <f>IF(Planung!$C$30="","",Planung!$C$30)</f>
        <v>Manchester City</v>
      </c>
      <c r="U67" s="64" t="s">
        <v>9</v>
      </c>
      <c r="V67" s="39" t="str">
        <f ca="1">Planung!$L9</f>
        <v>SSV Wildbach</v>
      </c>
      <c r="W67" s="12" t="str">
        <f ca="1">Planung!$N9</f>
        <v>Manchester City</v>
      </c>
      <c r="X67" s="12">
        <f ca="1">IF($AA67=1,Vorrunde!$I15,"")</f>
        <v>25</v>
      </c>
      <c r="Y67" s="34">
        <f ca="1">IF($AA67=1,Vorrunde!$K15,"")</f>
        <v>22</v>
      </c>
      <c r="Z67" s="33" t="str">
        <f t="shared" ca="1" si="66"/>
        <v>SSV WildbachManchester City</v>
      </c>
      <c r="AA67" s="12">
        <f ca="1">IF(AND(Vorrunde!$I15&lt;&gt;"",Vorrunde!$K15&lt;&gt;"",Vorrunde!$I15&lt;&gt;Vorrunde!$K15,Vorrunde!$L15&lt;&gt;"",Vorrunde!$N15&lt;&gt;"",Vorrunde!$L15&lt;&gt;Vorrunde!$N15,Vorrunde!$F15&lt;&gt;"",Vorrunde!$H15&lt;&gt;"",Vorrunde!$F15&lt;&gt;Vorrunde!$H15),1,0)</f>
        <v>1</v>
      </c>
      <c r="AB67" s="12" t="str">
        <f ca="1">IF(AA67&gt;0,(X67+AG67)&amp;Sprache!$E$77&amp;(Y67+AH67),"")</f>
        <v>50:42</v>
      </c>
      <c r="AD67" s="141"/>
      <c r="AE67" s="146">
        <f t="shared" ca="1" si="67"/>
        <v>2</v>
      </c>
      <c r="AF67" s="141">
        <f t="shared" ca="1" si="68"/>
        <v>0</v>
      </c>
      <c r="AG67" s="146">
        <f ca="1">IF($AA67=1,Vorrunde!$L15,"")</f>
        <v>25</v>
      </c>
      <c r="AH67" s="12">
        <f ca="1">IF($AA67=1,Vorrunde!$N15,"")</f>
        <v>20</v>
      </c>
      <c r="AI67" s="599" t="str">
        <f ca="1">IF(AA67&gt;0,AE67&amp;Sprache!$E$77&amp;AF67,"")</f>
        <v>2:0</v>
      </c>
      <c r="AJ67" s="12"/>
      <c r="AK67" s="3"/>
      <c r="AL67" s="12"/>
      <c r="AM67" s="12"/>
      <c r="AN67" s="12"/>
      <c r="AO67" s="12"/>
      <c r="AP67" s="12"/>
      <c r="AQ67" s="12"/>
    </row>
    <row r="68" spans="2:43" s="2" customFormat="1" x14ac:dyDescent="0.2">
      <c r="P68" s="44" t="s">
        <v>10</v>
      </c>
      <c r="Q68" s="59" t="str">
        <f>IF(Planung!$C$32="","",Planung!$C$32)</f>
        <v>FC Grönlingen</v>
      </c>
      <c r="U68" s="64" t="s">
        <v>10</v>
      </c>
      <c r="V68" s="39" t="str">
        <f ca="1">Planung!$L10</f>
        <v>VFB Essenheim</v>
      </c>
      <c r="W68" s="12" t="str">
        <f ca="1">Planung!$N10</f>
        <v>1. FC Riedwald</v>
      </c>
      <c r="X68" s="12">
        <f ca="1">IF($AA68=1,Vorrunde!$I16,"")</f>
        <v>25</v>
      </c>
      <c r="Y68" s="34">
        <f ca="1">IF($AA68=1,Vorrunde!$K16,"")</f>
        <v>23</v>
      </c>
      <c r="Z68" s="33" t="str">
        <f t="shared" ca="1" si="66"/>
        <v>VFB Essenheim1. FC Riedwald</v>
      </c>
      <c r="AA68" s="12">
        <f ca="1">IF(AND(Vorrunde!$I16&lt;&gt;"",Vorrunde!$K16&lt;&gt;"",Vorrunde!$I16&lt;&gt;Vorrunde!$K16,Vorrunde!$L16&lt;&gt;"",Vorrunde!$N16&lt;&gt;"",Vorrunde!$L16&lt;&gt;Vorrunde!$N16,Vorrunde!$F16&lt;&gt;"",Vorrunde!$H16&lt;&gt;"",Vorrunde!$F16&lt;&gt;Vorrunde!$H16),1,0)</f>
        <v>1</v>
      </c>
      <c r="AB68" s="12" t="str">
        <f ca="1">IF(AA68&gt;0,(X68+AG68)&amp;Sprache!$E$77&amp;(Y68+AH68),"")</f>
        <v>50:44</v>
      </c>
      <c r="AD68" s="141"/>
      <c r="AE68" s="146">
        <f t="shared" ca="1" si="67"/>
        <v>2</v>
      </c>
      <c r="AF68" s="141">
        <f t="shared" ca="1" si="68"/>
        <v>0</v>
      </c>
      <c r="AG68" s="146">
        <f ca="1">IF($AA68=1,Vorrunde!$L16,"")</f>
        <v>25</v>
      </c>
      <c r="AH68" s="12">
        <f ca="1">IF($AA68=1,Vorrunde!$N16,"")</f>
        <v>21</v>
      </c>
      <c r="AI68" s="599" t="str">
        <f ca="1">IF(AA68&gt;0,AE68&amp;Sprache!$E$77&amp;AF68,"")</f>
        <v>2:0</v>
      </c>
      <c r="AJ68" s="12"/>
      <c r="AK68" s="12"/>
      <c r="AL68" s="3"/>
      <c r="AM68" s="12"/>
      <c r="AN68" s="12"/>
      <c r="AO68" s="12"/>
      <c r="AP68" s="12"/>
      <c r="AQ68" s="12"/>
    </row>
    <row r="69" spans="2:43" s="2" customFormat="1" x14ac:dyDescent="0.2">
      <c r="P69" s="44" t="s">
        <v>11</v>
      </c>
      <c r="Q69" s="59" t="str">
        <f>IF(Planung!$C$34="","",Planung!$C$34)</f>
        <v/>
      </c>
      <c r="U69" s="64" t="s">
        <v>11</v>
      </c>
      <c r="V69" s="39" t="str">
        <f ca="1">Planung!$L11</f>
        <v>FC Grönlingen</v>
      </c>
      <c r="W69" s="12" t="str">
        <f ca="1">Planung!$N11</f>
        <v>Mainz 05</v>
      </c>
      <c r="X69" s="12">
        <f ca="1">IF($AA69=1,Vorrunde!$I17,"")</f>
        <v>25</v>
      </c>
      <c r="Y69" s="34">
        <f ca="1">IF($AA69=1,Vorrunde!$K17,"")</f>
        <v>17</v>
      </c>
      <c r="Z69" s="33" t="str">
        <f t="shared" ca="1" si="66"/>
        <v>FC GrönlingenMainz 05</v>
      </c>
      <c r="AA69" s="12">
        <f ca="1">IF(AND(Vorrunde!$I17&lt;&gt;"",Vorrunde!$K17&lt;&gt;"",Vorrunde!$I17&lt;&gt;Vorrunde!$K17,Vorrunde!$L17&lt;&gt;"",Vorrunde!$N17&lt;&gt;"",Vorrunde!$L17&lt;&gt;Vorrunde!$N17,Vorrunde!$F17&lt;&gt;"",Vorrunde!$H17&lt;&gt;"",Vorrunde!$F17&lt;&gt;Vorrunde!$H17),1,0)</f>
        <v>1</v>
      </c>
      <c r="AB69" s="12" t="str">
        <f ca="1">IF(AA69&gt;0,(X69+AG69)&amp;Sprache!$E$77&amp;(Y69+AH69),"")</f>
        <v>50:39</v>
      </c>
      <c r="AD69" s="141"/>
      <c r="AE69" s="146">
        <f t="shared" ca="1" si="67"/>
        <v>2</v>
      </c>
      <c r="AF69" s="141">
        <f t="shared" ca="1" si="68"/>
        <v>0</v>
      </c>
      <c r="AG69" s="146">
        <f ca="1">IF($AA69=1,Vorrunde!$L17,"")</f>
        <v>25</v>
      </c>
      <c r="AH69" s="12">
        <f ca="1">IF($AA69=1,Vorrunde!$N17,"")</f>
        <v>22</v>
      </c>
      <c r="AI69" s="599" t="str">
        <f ca="1">IF(AA69&gt;0,AE69&amp;Sprache!$E$77&amp;AF69,"")</f>
        <v>2:0</v>
      </c>
      <c r="AJ69" s="12"/>
      <c r="AK69" s="12"/>
      <c r="AL69" s="12"/>
      <c r="AM69" s="3"/>
      <c r="AN69" s="12"/>
      <c r="AO69" s="12"/>
      <c r="AP69" s="12"/>
      <c r="AQ69" s="12"/>
    </row>
    <row r="70" spans="2:43" s="2" customFormat="1" x14ac:dyDescent="0.2">
      <c r="P70" s="44"/>
      <c r="Q70" s="59" t="str">
        <f>""</f>
        <v/>
      </c>
      <c r="U70" s="64" t="s">
        <v>16</v>
      </c>
      <c r="V70" s="39" t="str">
        <f ca="1">Planung!$L12</f>
        <v>FC Barcelona</v>
      </c>
      <c r="W70" s="12" t="str">
        <f ca="1">Planung!$N12</f>
        <v>Eintracht Frankfurt</v>
      </c>
      <c r="X70" s="12">
        <f ca="1">IF($AA70=1,Vorrunde!$I18,"")</f>
        <v>23</v>
      </c>
      <c r="Y70" s="34">
        <f ca="1">IF($AA70=1,Vorrunde!$K18,"")</f>
        <v>25</v>
      </c>
      <c r="Z70" s="33" t="str">
        <f t="shared" ca="1" si="66"/>
        <v>FC BarcelonaEintracht Frankfurt</v>
      </c>
      <c r="AA70" s="12">
        <f ca="1">IF(AND(Vorrunde!$I18&lt;&gt;"",Vorrunde!$K18&lt;&gt;"",Vorrunde!$I18&lt;&gt;Vorrunde!$K18,Vorrunde!$L18&lt;&gt;"",Vorrunde!$N18&lt;&gt;"",Vorrunde!$L18&lt;&gt;Vorrunde!$N18,Vorrunde!$F18&lt;&gt;"",Vorrunde!$H18&lt;&gt;"",Vorrunde!$F18&lt;&gt;Vorrunde!$H18),1,0)</f>
        <v>1</v>
      </c>
      <c r="AB70" s="12" t="str">
        <f ca="1">IF(AA70&gt;0,(X70+AG70)&amp;Sprache!$E$77&amp;(Y70+AH70),"")</f>
        <v>48:48</v>
      </c>
      <c r="AD70" s="141"/>
      <c r="AE70" s="146">
        <f t="shared" ca="1" si="67"/>
        <v>1</v>
      </c>
      <c r="AF70" s="141">
        <f t="shared" ca="1" si="68"/>
        <v>1</v>
      </c>
      <c r="AG70" s="146">
        <f ca="1">IF($AA70=1,Vorrunde!$L18,"")</f>
        <v>25</v>
      </c>
      <c r="AH70" s="12">
        <f ca="1">IF($AA70=1,Vorrunde!$N18,"")</f>
        <v>23</v>
      </c>
      <c r="AI70" s="599" t="str">
        <f ca="1">IF(AA70&gt;0,AE70&amp;Sprache!$E$77&amp;AF70,"")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4"/>
      <c r="Q71" s="59" t="str">
        <f>""</f>
        <v/>
      </c>
      <c r="U71" s="64" t="s">
        <v>17</v>
      </c>
      <c r="V71" s="39" t="str">
        <f ca="1">Planung!$L13</f>
        <v>Inter Mailand</v>
      </c>
      <c r="W71" s="12" t="str">
        <f ca="1">Planung!$N13</f>
        <v>SSV Wildbach</v>
      </c>
      <c r="X71" s="12">
        <f ca="1">IF($AA71=1,Vorrunde!$I19,"")</f>
        <v>19</v>
      </c>
      <c r="Y71" s="34">
        <f ca="1">IF($AA71=1,Vorrunde!$K19,"")</f>
        <v>25</v>
      </c>
      <c r="Z71" s="33" t="str">
        <f t="shared" ca="1" si="66"/>
        <v>Inter MailandSSV Wildbach</v>
      </c>
      <c r="AA71" s="12">
        <f ca="1">IF(AND(Vorrunde!$I19&lt;&gt;"",Vorrunde!$K19&lt;&gt;"",Vorrunde!$I19&lt;&gt;Vorrunde!$K19,Vorrunde!$L19&lt;&gt;"",Vorrunde!$N19&lt;&gt;"",Vorrunde!$L19&lt;&gt;Vorrunde!$N19,Vorrunde!$F19&lt;&gt;"",Vorrunde!$H19&lt;&gt;"",Vorrunde!$F19&lt;&gt;Vorrunde!$H19),1,0)</f>
        <v>1</v>
      </c>
      <c r="AB71" s="12" t="str">
        <f ca="1">IF(AA71&gt;0,(X71+AG71)&amp;Sprache!$E$77&amp;(Y71+AH71),"")</f>
        <v>44:37</v>
      </c>
      <c r="AD71" s="141"/>
      <c r="AE71" s="146">
        <f t="shared" ca="1" si="67"/>
        <v>1</v>
      </c>
      <c r="AF71" s="141">
        <f t="shared" ca="1" si="68"/>
        <v>1</v>
      </c>
      <c r="AG71" s="146">
        <f ca="1">IF($AA71=1,Vorrunde!$L19,"")</f>
        <v>25</v>
      </c>
      <c r="AH71" s="12">
        <f ca="1">IF($AA71=1,Vorrunde!$N19,"")</f>
        <v>12</v>
      </c>
      <c r="AI71" s="599" t="str">
        <f ca="1">IF(AA71&gt;0,AE71&amp;Sprache!$E$77&amp;AF71,"")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5"/>
      <c r="Q72" s="60" t="str">
        <f>""</f>
        <v/>
      </c>
      <c r="U72" s="64" t="s">
        <v>18</v>
      </c>
      <c r="V72" s="39" t="str">
        <f ca="1">Planung!$L14</f>
        <v>1. FC Riedwald</v>
      </c>
      <c r="W72" s="12" t="str">
        <f ca="1">Planung!$N14</f>
        <v>Maibach 1822 eV</v>
      </c>
      <c r="X72" s="12">
        <f ca="1">IF($AA72=1,Vorrunde!$I20,"")</f>
        <v>16</v>
      </c>
      <c r="Y72" s="34">
        <f ca="1">IF($AA72=1,Vorrunde!$K20,"")</f>
        <v>25</v>
      </c>
      <c r="Z72" s="33" t="str">
        <f t="shared" ca="1" si="66"/>
        <v>1. FC RiedwaldMaibach 1822 eV</v>
      </c>
      <c r="AA72" s="12">
        <f ca="1">IF(AND(Vorrunde!$I20&lt;&gt;"",Vorrunde!$K20&lt;&gt;"",Vorrunde!$I20&lt;&gt;Vorrunde!$K20,Vorrunde!$L20&lt;&gt;"",Vorrunde!$N20&lt;&gt;"",Vorrunde!$L20&lt;&gt;Vorrunde!$N20,Vorrunde!$F20&lt;&gt;"",Vorrunde!$H20&lt;&gt;"",Vorrunde!$F20&lt;&gt;Vorrunde!$H20),1,0)</f>
        <v>1</v>
      </c>
      <c r="AB72" s="12" t="str">
        <f ca="1">IF(AA72&gt;0,(X72+AG72)&amp;Sprache!$E$77&amp;(Y72+AH72),"")</f>
        <v>41:43</v>
      </c>
      <c r="AD72" s="141"/>
      <c r="AE72" s="146">
        <f t="shared" ca="1" si="67"/>
        <v>1</v>
      </c>
      <c r="AF72" s="141">
        <f t="shared" ca="1" si="68"/>
        <v>1</v>
      </c>
      <c r="AG72" s="146">
        <f ca="1">IF($AA72=1,Vorrunde!$L20,"")</f>
        <v>25</v>
      </c>
      <c r="AH72" s="12">
        <f ca="1">IF($AA72=1,Vorrunde!$N20,"")</f>
        <v>18</v>
      </c>
      <c r="AI72" s="599" t="str">
        <f ca="1">IF(AA72&gt;0,AE72&amp;Sprache!$E$77&amp;AF72,"")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4" t="s">
        <v>24</v>
      </c>
      <c r="V73" s="39" t="str">
        <f ca="1">Planung!$L15</f>
        <v>Mainz 05</v>
      </c>
      <c r="W73" s="12" t="str">
        <f ca="1">Planung!$N15</f>
        <v>Manchester City</v>
      </c>
      <c r="X73" s="12">
        <f ca="1">IF($AA73=1,Vorrunde!$I21,"")</f>
        <v>14</v>
      </c>
      <c r="Y73" s="34">
        <f ca="1">IF($AA73=1,Vorrunde!$K21,"")</f>
        <v>25</v>
      </c>
      <c r="Z73" s="33" t="str">
        <f t="shared" ca="1" si="66"/>
        <v>Mainz 05Manchester City</v>
      </c>
      <c r="AA73" s="12">
        <f ca="1">IF(AND(Vorrunde!$I21&lt;&gt;"",Vorrunde!$K21&lt;&gt;"",Vorrunde!$I21&lt;&gt;Vorrunde!$K21,Vorrunde!$L21&lt;&gt;"",Vorrunde!$N21&lt;&gt;"",Vorrunde!$L21&lt;&gt;Vorrunde!$N21,Vorrunde!$F21&lt;&gt;"",Vorrunde!$H21&lt;&gt;"",Vorrunde!$F21&lt;&gt;Vorrunde!$H21),1,0)</f>
        <v>1</v>
      </c>
      <c r="AB73" s="12" t="str">
        <f ca="1">IF(AA73&gt;0,(X73+AG73)&amp;Sprache!$E$77&amp;(Y73+AH73),"")</f>
        <v>39:44</v>
      </c>
      <c r="AD73" s="141"/>
      <c r="AE73" s="146">
        <f t="shared" ca="1" si="67"/>
        <v>1</v>
      </c>
      <c r="AF73" s="141">
        <f t="shared" ca="1" si="68"/>
        <v>1</v>
      </c>
      <c r="AG73" s="146">
        <f ca="1">IF($AA73=1,Vorrunde!$L21,"")</f>
        <v>25</v>
      </c>
      <c r="AH73" s="12">
        <f ca="1">IF($AA73=1,Vorrunde!$N21,"")</f>
        <v>19</v>
      </c>
      <c r="AI73" s="599" t="str">
        <f ca="1">IF(AA73&gt;0,AE73&amp;Sprache!$E$77&amp;AF73,"")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4" t="s">
        <v>25</v>
      </c>
      <c r="V74" s="39" t="str">
        <f ca="1">Planung!$L16</f>
        <v>Eintracht Frankfurt</v>
      </c>
      <c r="W74" s="12" t="str">
        <f ca="1">Planung!$N16</f>
        <v>VFB Essenheim</v>
      </c>
      <c r="X74" s="12">
        <f ca="1">IF($AA74=1,Vorrunde!$I22,"")</f>
        <v>22</v>
      </c>
      <c r="Y74" s="34">
        <f ca="1">IF($AA74=1,Vorrunde!$K22,"")</f>
        <v>25</v>
      </c>
      <c r="Z74" s="33" t="str">
        <f ca="1">V74&amp;W74</f>
        <v>Eintracht FrankfurtVFB Essenheim</v>
      </c>
      <c r="AA74" s="12">
        <f ca="1">IF(AND(Vorrunde!$I22&lt;&gt;"",Vorrunde!$K22&lt;&gt;"",Vorrunde!$I22&lt;&gt;Vorrunde!$K22,Vorrunde!$L22&lt;&gt;"",Vorrunde!$N22&lt;&gt;"",Vorrunde!$L22&lt;&gt;Vorrunde!$N22,Vorrunde!$F22&lt;&gt;"",Vorrunde!$H22&lt;&gt;"",Vorrunde!$F22&lt;&gt;Vorrunde!$H22),1,0)</f>
        <v>1</v>
      </c>
      <c r="AB74" s="12" t="str">
        <f ca="1">IF(AA74&gt;0,(X74+AG74)&amp;Sprache!$E$77&amp;(Y74+AH74),"")</f>
        <v>47:45</v>
      </c>
      <c r="AD74" s="141"/>
      <c r="AE74" s="146">
        <f t="shared" ca="1" si="67"/>
        <v>1</v>
      </c>
      <c r="AF74" s="141">
        <f t="shared" ca="1" si="68"/>
        <v>1</v>
      </c>
      <c r="AG74" s="146">
        <f ca="1">IF($AA74=1,Vorrunde!$L22,"")</f>
        <v>25</v>
      </c>
      <c r="AH74" s="12">
        <f ca="1">IF($AA74=1,Vorrunde!$N22,"")</f>
        <v>20</v>
      </c>
      <c r="AI74" s="599" t="str">
        <f ca="1">IF(AA74&gt;0,AE74&amp;Sprache!$E$77&amp;AF74,"")</f>
        <v>1:1</v>
      </c>
    </row>
    <row r="75" spans="2:43" s="2" customFormat="1" x14ac:dyDescent="0.2">
      <c r="B75" s="3"/>
      <c r="C75" s="3"/>
      <c r="D75" s="3"/>
      <c r="E75" s="3"/>
      <c r="F75" s="12"/>
      <c r="G75" s="12"/>
      <c r="H75" s="12"/>
      <c r="I75" s="12"/>
      <c r="J75" s="12"/>
      <c r="K75" s="12"/>
      <c r="L75" s="12"/>
      <c r="M75" s="12"/>
      <c r="U75" s="64" t="s">
        <v>26</v>
      </c>
      <c r="V75" s="39" t="str">
        <f ca="1">Planung!$L17</f>
        <v>SSV Wildbach</v>
      </c>
      <c r="W75" s="12" t="str">
        <f ca="1">Planung!$N17</f>
        <v>FC Grönlingen</v>
      </c>
      <c r="X75" s="12">
        <f ca="1">IF($AA75=1,Vorrunde!$I23,"")</f>
        <v>19</v>
      </c>
      <c r="Y75" s="34">
        <f ca="1">IF($AA75=1,Vorrunde!$K23,"")</f>
        <v>25</v>
      </c>
      <c r="Z75" s="33" t="str">
        <f t="shared" ref="Z75:Z93" ca="1" si="69">V75&amp;W75</f>
        <v>SSV WildbachFC Grönlingen</v>
      </c>
      <c r="AA75" s="12">
        <f ca="1">IF(AND(Vorrunde!$I23&lt;&gt;"",Vorrunde!$K23&lt;&gt;"",Vorrunde!$I23&lt;&gt;Vorrunde!$K23,Vorrunde!$L23&lt;&gt;"",Vorrunde!$N23&lt;&gt;"",Vorrunde!$L23&lt;&gt;Vorrunde!$N23,Vorrunde!$F23&lt;&gt;"",Vorrunde!$H23&lt;&gt;"",Vorrunde!$F23&lt;&gt;Vorrunde!$H23),1,0)</f>
        <v>1</v>
      </c>
      <c r="AB75" s="12" t="str">
        <f ca="1">IF(AA75&gt;0,(X75+AG75)&amp;Sprache!$E$77&amp;(Y75+AH75),"")</f>
        <v>44:44</v>
      </c>
      <c r="AD75" s="141"/>
      <c r="AE75" s="146">
        <f t="shared" ca="1" si="67"/>
        <v>1</v>
      </c>
      <c r="AF75" s="141">
        <f t="shared" ca="1" si="68"/>
        <v>1</v>
      </c>
      <c r="AG75" s="146">
        <f ca="1">IF($AA75=1,Vorrunde!$L23,"")</f>
        <v>25</v>
      </c>
      <c r="AH75" s="12">
        <f ca="1">IF($AA75=1,Vorrunde!$N23,"")</f>
        <v>19</v>
      </c>
      <c r="AI75" s="599" t="str">
        <f ca="1">IF(AA75&gt;0,AE75&amp;Sprache!$E$77&amp;AF75,"")</f>
        <v>1:1</v>
      </c>
    </row>
    <row r="76" spans="2:43" s="2" customFormat="1" x14ac:dyDescent="0.2">
      <c r="B76" s="3"/>
      <c r="C76" s="3"/>
      <c r="D76" s="3"/>
      <c r="E76" s="3"/>
      <c r="F76" s="12"/>
      <c r="G76" s="12"/>
      <c r="H76" s="12"/>
      <c r="I76" s="12"/>
      <c r="J76" s="12"/>
      <c r="K76" s="12"/>
      <c r="L76" s="12"/>
      <c r="M76" s="12"/>
      <c r="U76" s="64" t="s">
        <v>27</v>
      </c>
      <c r="V76" s="39" t="str">
        <f ca="1">Planung!$L18</f>
        <v>FC Barcelona</v>
      </c>
      <c r="W76" s="12" t="str">
        <f ca="1">Planung!$N18</f>
        <v>Maibach 1822 eV</v>
      </c>
      <c r="X76" s="12">
        <f ca="1">IF($AA76=1,Vorrunde!$I24,"")</f>
        <v>17</v>
      </c>
      <c r="Y76" s="34">
        <f ca="1">IF($AA76=1,Vorrunde!$K24,"")</f>
        <v>25</v>
      </c>
      <c r="Z76" s="33" t="str">
        <f t="shared" ca="1" si="69"/>
        <v>FC BarcelonaMaibach 1822 eV</v>
      </c>
      <c r="AA76" s="12">
        <f ca="1">IF(AND(Vorrunde!$I24&lt;&gt;"",Vorrunde!$K24&lt;&gt;"",Vorrunde!$I24&lt;&gt;Vorrunde!$K24,Vorrunde!$L24&lt;&gt;"",Vorrunde!$N24&lt;&gt;"",Vorrunde!$L24&lt;&gt;Vorrunde!$N24,Vorrunde!$F24&lt;&gt;"",Vorrunde!$H24&lt;&gt;"",Vorrunde!$F24&lt;&gt;Vorrunde!$H24),1,0)</f>
        <v>1</v>
      </c>
      <c r="AB76" s="12" t="str">
        <f ca="1">IF(AA76&gt;0,(X76+AG76)&amp;Sprache!$E$77&amp;(Y76+AH76),"")</f>
        <v>29:50</v>
      </c>
      <c r="AD76" s="141"/>
      <c r="AE76" s="146">
        <f t="shared" ca="1" si="67"/>
        <v>0</v>
      </c>
      <c r="AF76" s="141">
        <f t="shared" ca="1" si="68"/>
        <v>2</v>
      </c>
      <c r="AG76" s="146">
        <f ca="1">IF($AA76=1,Vorrunde!$L24,"")</f>
        <v>12</v>
      </c>
      <c r="AH76" s="12">
        <f ca="1">IF($AA76=1,Vorrunde!$N24,"")</f>
        <v>25</v>
      </c>
      <c r="AI76" s="599" t="str">
        <f ca="1">IF(AA76&gt;0,AE76&amp;Sprache!$E$77&amp;AF76,"")</f>
        <v>0:2</v>
      </c>
    </row>
    <row r="77" spans="2:43" s="2" customFormat="1" x14ac:dyDescent="0.2">
      <c r="B77" s="3"/>
      <c r="C77" s="3"/>
      <c r="D77" s="3"/>
      <c r="E77" s="3"/>
      <c r="F77" s="12"/>
      <c r="G77" s="12"/>
      <c r="H77" s="12"/>
      <c r="I77" s="12"/>
      <c r="J77" s="12"/>
      <c r="K77" s="12"/>
      <c r="L77" s="12"/>
      <c r="M77" s="12"/>
      <c r="U77" s="64" t="s">
        <v>28</v>
      </c>
      <c r="V77" s="39" t="str">
        <f ca="1">Planung!$L19</f>
        <v>Inter Mailand</v>
      </c>
      <c r="W77" s="12" t="str">
        <f ca="1">Planung!$N19</f>
        <v>Manchester City</v>
      </c>
      <c r="X77" s="12">
        <f ca="1">IF($AA77=1,Vorrunde!$I25,"")</f>
        <v>14</v>
      </c>
      <c r="Y77" s="34">
        <f ca="1">IF($AA77=1,Vorrunde!$K25,"")</f>
        <v>25</v>
      </c>
      <c r="Z77" s="33" t="str">
        <f t="shared" ca="1" si="69"/>
        <v>Inter MailandManchester City</v>
      </c>
      <c r="AA77" s="12">
        <f ca="1">IF(AND(Vorrunde!$I25&lt;&gt;"",Vorrunde!$K25&lt;&gt;"",Vorrunde!$I25&lt;&gt;Vorrunde!$K25,Vorrunde!$L25&lt;&gt;"",Vorrunde!$N25&lt;&gt;"",Vorrunde!$L25&lt;&gt;Vorrunde!$N25,Vorrunde!$F25&lt;&gt;"",Vorrunde!$H25&lt;&gt;"",Vorrunde!$F25&lt;&gt;Vorrunde!$H25),1,0)</f>
        <v>1</v>
      </c>
      <c r="AB77" s="12" t="str">
        <f ca="1">IF(AA77&gt;0,(X77+AG77)&amp;Sprache!$E$77&amp;(Y77+AH77),"")</f>
        <v>39:48</v>
      </c>
      <c r="AD77" s="141"/>
      <c r="AE77" s="146">
        <f t="shared" ca="1" si="67"/>
        <v>1</v>
      </c>
      <c r="AF77" s="141">
        <f t="shared" ca="1" si="68"/>
        <v>1</v>
      </c>
      <c r="AG77" s="146">
        <f ca="1">IF($AA77=1,Vorrunde!$L25,"")</f>
        <v>25</v>
      </c>
      <c r="AH77" s="12">
        <f ca="1">IF($AA77=1,Vorrunde!$N25,"")</f>
        <v>23</v>
      </c>
      <c r="AI77" s="599" t="str">
        <f ca="1">IF(AA77&gt;0,AE77&amp;Sprache!$E$77&amp;AF77,"")</f>
        <v>1:1</v>
      </c>
    </row>
    <row r="78" spans="2:43" s="2" customFormat="1" x14ac:dyDescent="0.2">
      <c r="B78" s="3"/>
      <c r="C78" s="3"/>
      <c r="D78" s="3"/>
      <c r="E78" s="3"/>
      <c r="F78" s="12"/>
      <c r="G78" s="12"/>
      <c r="H78" s="12"/>
      <c r="I78" s="12"/>
      <c r="J78" s="12"/>
      <c r="K78" s="12"/>
      <c r="L78" s="12"/>
      <c r="M78" s="12"/>
      <c r="U78" s="64" t="s">
        <v>29</v>
      </c>
      <c r="V78" s="39" t="str">
        <f ca="1">Planung!$L20</f>
        <v>Eintracht Frankfurt</v>
      </c>
      <c r="W78" s="12" t="str">
        <f ca="1">Planung!$N20</f>
        <v>1. FC Riedwald</v>
      </c>
      <c r="X78" s="12">
        <f ca="1">IF($AA78=1,Vorrunde!$I26,"")</f>
        <v>21</v>
      </c>
      <c r="Y78" s="34">
        <f ca="1">IF($AA78=1,Vorrunde!$K26,"")</f>
        <v>25</v>
      </c>
      <c r="Z78" s="33" t="str">
        <f t="shared" ca="1" si="69"/>
        <v>Eintracht Frankfurt1. FC Riedwald</v>
      </c>
      <c r="AA78" s="12">
        <f ca="1">IF(AND(Vorrunde!$I26&lt;&gt;"",Vorrunde!$K26&lt;&gt;"",Vorrunde!$I26&lt;&gt;Vorrunde!$K26,Vorrunde!$L26&lt;&gt;"",Vorrunde!$N26&lt;&gt;"",Vorrunde!$L26&lt;&gt;Vorrunde!$N26,Vorrunde!$F26&lt;&gt;"",Vorrunde!$H26&lt;&gt;"",Vorrunde!$F26&lt;&gt;Vorrunde!$H26),1,0)</f>
        <v>1</v>
      </c>
      <c r="AB78" s="12" t="str">
        <f ca="1">IF(AA78&gt;0,(X78+AG78)&amp;Sprache!$E$77&amp;(Y78+AH78),"")</f>
        <v>46:42</v>
      </c>
      <c r="AD78" s="141"/>
      <c r="AE78" s="146">
        <f t="shared" ca="1" si="67"/>
        <v>1</v>
      </c>
      <c r="AF78" s="141">
        <f t="shared" ca="1" si="68"/>
        <v>1</v>
      </c>
      <c r="AG78" s="146">
        <f ca="1">IF($AA78=1,Vorrunde!$L26,"")</f>
        <v>25</v>
      </c>
      <c r="AH78" s="12">
        <f ca="1">IF($AA78=1,Vorrunde!$N26,"")</f>
        <v>17</v>
      </c>
      <c r="AI78" s="599" t="str">
        <f ca="1">IF(AA78&gt;0,AE78&amp;Sprache!$E$77&amp;AF78,"")</f>
        <v>1:1</v>
      </c>
    </row>
    <row r="79" spans="2:43" s="2" customFormat="1" x14ac:dyDescent="0.2">
      <c r="B79" s="3"/>
      <c r="C79" s="3"/>
      <c r="D79" s="3"/>
      <c r="E79" s="3"/>
      <c r="F79" s="12"/>
      <c r="G79" s="12"/>
      <c r="H79" s="12"/>
      <c r="I79" s="12"/>
      <c r="J79" s="12"/>
      <c r="K79" s="12"/>
      <c r="L79" s="12"/>
      <c r="M79" s="12"/>
      <c r="U79" s="64" t="s">
        <v>30</v>
      </c>
      <c r="V79" s="39" t="str">
        <f ca="1">Planung!$L21</f>
        <v>SSV Wildbach</v>
      </c>
      <c r="W79" s="12" t="str">
        <f ca="1">Planung!$N21</f>
        <v>Mainz 05</v>
      </c>
      <c r="X79" s="12">
        <f ca="1">IF($AA79=1,Vorrunde!$I27,"")</f>
        <v>20</v>
      </c>
      <c r="Y79" s="34">
        <f ca="1">IF($AA79=1,Vorrunde!$K27,"")</f>
        <v>25</v>
      </c>
      <c r="Z79" s="33" t="str">
        <f t="shared" ca="1" si="69"/>
        <v>SSV WildbachMainz 05</v>
      </c>
      <c r="AA79" s="12">
        <f ca="1">IF(AND(Vorrunde!$I27&lt;&gt;"",Vorrunde!$K27&lt;&gt;"",Vorrunde!$I27&lt;&gt;Vorrunde!$K27,Vorrunde!$L27&lt;&gt;"",Vorrunde!$N27&lt;&gt;"",Vorrunde!$L27&lt;&gt;Vorrunde!$N27,Vorrunde!$F27&lt;&gt;"",Vorrunde!$H27&lt;&gt;"",Vorrunde!$F27&lt;&gt;Vorrunde!$H27),1,0)</f>
        <v>1</v>
      </c>
      <c r="AB79" s="12" t="str">
        <f ca="1">IF(AA79&gt;0,(X79+AG79)&amp;Sprache!$E$77&amp;(Y79+AH79),"")</f>
        <v>38:50</v>
      </c>
      <c r="AD79" s="141"/>
      <c r="AE79" s="146">
        <f t="shared" ca="1" si="67"/>
        <v>0</v>
      </c>
      <c r="AF79" s="141">
        <f t="shared" ca="1" si="68"/>
        <v>2</v>
      </c>
      <c r="AG79" s="146">
        <f ca="1">IF($AA79=1,Vorrunde!$L27,"")</f>
        <v>18</v>
      </c>
      <c r="AH79" s="12">
        <f ca="1">IF($AA79=1,Vorrunde!$N27,"")</f>
        <v>25</v>
      </c>
      <c r="AI79" s="599" t="str">
        <f ca="1">IF(AA79&gt;0,AE79&amp;Sprache!$E$77&amp;AF79,"")</f>
        <v>0:2</v>
      </c>
    </row>
    <row r="80" spans="2:43" s="2" customFormat="1" x14ac:dyDescent="0.2">
      <c r="B80" s="3"/>
      <c r="C80" s="3"/>
      <c r="D80" s="3"/>
      <c r="E80" s="3"/>
      <c r="F80" s="12"/>
      <c r="G80" s="12"/>
      <c r="H80" s="12"/>
      <c r="I80" s="12"/>
      <c r="J80" s="12"/>
      <c r="K80" s="12"/>
      <c r="L80" s="12"/>
      <c r="M80" s="12"/>
      <c r="U80" s="64" t="s">
        <v>31</v>
      </c>
      <c r="V80" s="39" t="str">
        <f ca="1">Planung!$L22</f>
        <v>Maibach 1822 eV</v>
      </c>
      <c r="W80" s="12" t="str">
        <f ca="1">Planung!$N22</f>
        <v>VFB Essenheim</v>
      </c>
      <c r="X80" s="12">
        <f ca="1">IF($AA80=1,Vorrunde!$I28,"")</f>
        <v>25</v>
      </c>
      <c r="Y80" s="34">
        <f ca="1">IF($AA80=1,Vorrunde!$K28,"")</f>
        <v>20</v>
      </c>
      <c r="Z80" s="33" t="str">
        <f t="shared" ca="1" si="69"/>
        <v>Maibach 1822 eVVFB Essenheim</v>
      </c>
      <c r="AA80" s="12">
        <f ca="1">IF(AND(Vorrunde!$I28&lt;&gt;"",Vorrunde!$K28&lt;&gt;"",Vorrunde!$I28&lt;&gt;Vorrunde!$K28,Vorrunde!$L28&lt;&gt;"",Vorrunde!$N28&lt;&gt;"",Vorrunde!$L28&lt;&gt;Vorrunde!$N28,Vorrunde!$F28&lt;&gt;"",Vorrunde!$H28&lt;&gt;"",Vorrunde!$F28&lt;&gt;Vorrunde!$H28),1,0)</f>
        <v>1</v>
      </c>
      <c r="AB80" s="12" t="str">
        <f ca="1">IF(AA80&gt;0,(X80+AG80)&amp;Sprache!$E$77&amp;(Y80+AH80),"")</f>
        <v>50:39</v>
      </c>
      <c r="AD80" s="141"/>
      <c r="AE80" s="146">
        <f t="shared" ca="1" si="67"/>
        <v>2</v>
      </c>
      <c r="AF80" s="141">
        <f t="shared" ca="1" si="68"/>
        <v>0</v>
      </c>
      <c r="AG80" s="146">
        <f ca="1">IF($AA80=1,Vorrunde!$L28,"")</f>
        <v>25</v>
      </c>
      <c r="AH80" s="12">
        <f ca="1">IF($AA80=1,Vorrunde!$N28,"")</f>
        <v>19</v>
      </c>
      <c r="AI80" s="599" t="str">
        <f ca="1">IF(AA80&gt;0,AE80&amp;Sprache!$E$77&amp;AF80,"")</f>
        <v>2:0</v>
      </c>
    </row>
    <row r="81" spans="2:35" s="2" customFormat="1" x14ac:dyDescent="0.2">
      <c r="B81" s="3"/>
      <c r="C81" s="3"/>
      <c r="D81" s="3"/>
      <c r="E81" s="3"/>
      <c r="F81" s="12"/>
      <c r="G81" s="12"/>
      <c r="H81" s="12"/>
      <c r="I81" s="12"/>
      <c r="J81" s="12"/>
      <c r="K81" s="12"/>
      <c r="L81" s="12"/>
      <c r="M81" s="12"/>
      <c r="U81" s="64" t="s">
        <v>32</v>
      </c>
      <c r="V81" s="39" t="str">
        <f ca="1">Planung!$L23</f>
        <v>Manchester City</v>
      </c>
      <c r="W81" s="12" t="str">
        <f ca="1">Planung!$N23</f>
        <v>FC Grönlingen</v>
      </c>
      <c r="X81" s="12">
        <f ca="1">IF($AA81=1,Vorrunde!$I29,"")</f>
        <v>25</v>
      </c>
      <c r="Y81" s="34">
        <f ca="1">IF($AA81=1,Vorrunde!$K29,"")</f>
        <v>12</v>
      </c>
      <c r="Z81" s="33" t="str">
        <f t="shared" ca="1" si="69"/>
        <v>Manchester CityFC Grönlingen</v>
      </c>
      <c r="AA81" s="12">
        <f ca="1">IF(AND(Vorrunde!$I29&lt;&gt;"",Vorrunde!$K29&lt;&gt;"",Vorrunde!$I29&lt;&gt;Vorrunde!$K29,Vorrunde!$L29&lt;&gt;"",Vorrunde!$N29&lt;&gt;"",Vorrunde!$L29&lt;&gt;Vorrunde!$N29,Vorrunde!$F29&lt;&gt;"",Vorrunde!$H29&lt;&gt;"",Vorrunde!$F29&lt;&gt;Vorrunde!$H29),1,0)</f>
        <v>1</v>
      </c>
      <c r="AB81" s="12" t="str">
        <f ca="1">IF(AA81&gt;0,(X81+AG81)&amp;Sprache!$E$77&amp;(Y81+AH81),"")</f>
        <v>50:32</v>
      </c>
      <c r="AD81" s="141"/>
      <c r="AE81" s="146">
        <f t="shared" ca="1" si="67"/>
        <v>2</v>
      </c>
      <c r="AF81" s="141">
        <f t="shared" ca="1" si="68"/>
        <v>0</v>
      </c>
      <c r="AG81" s="146">
        <f ca="1">IF($AA81=1,Vorrunde!$L29,"")</f>
        <v>25</v>
      </c>
      <c r="AH81" s="12">
        <f ca="1">IF($AA81=1,Vorrunde!$N29,"")</f>
        <v>20</v>
      </c>
      <c r="AI81" s="599" t="str">
        <f ca="1">IF(AA81&gt;0,AE81&amp;Sprache!$E$77&amp;AF81,"")</f>
        <v>2:0</v>
      </c>
    </row>
    <row r="82" spans="2:35" s="2" customFormat="1" x14ac:dyDescent="0.2">
      <c r="B82" s="3"/>
      <c r="C82" s="3"/>
      <c r="D82" s="3"/>
      <c r="E82" s="3"/>
      <c r="F82" s="12"/>
      <c r="G82" s="12"/>
      <c r="H82" s="12"/>
      <c r="I82" s="12"/>
      <c r="J82" s="12"/>
      <c r="K82" s="12"/>
      <c r="L82" s="12"/>
      <c r="M82" s="12"/>
      <c r="U82" s="64" t="s">
        <v>33</v>
      </c>
      <c r="V82" s="39" t="str">
        <f ca="1">Planung!$L24</f>
        <v>1. FC Riedwald</v>
      </c>
      <c r="W82" s="12" t="str">
        <f ca="1">Planung!$N24</f>
        <v>FC Barcelona</v>
      </c>
      <c r="X82" s="12">
        <f ca="1">IF($AA82=1,Vorrunde!$I30,"")</f>
        <v>25</v>
      </c>
      <c r="Y82" s="34">
        <f ca="1">IF($AA82=1,Vorrunde!$K30,"")</f>
        <v>16</v>
      </c>
      <c r="Z82" s="33" t="str">
        <f t="shared" ca="1" si="69"/>
        <v>1. FC RiedwaldFC Barcelona</v>
      </c>
      <c r="AA82" s="12">
        <f ca="1">IF(AND(Vorrunde!$I30&lt;&gt;"",Vorrunde!$K30&lt;&gt;"",Vorrunde!$I30&lt;&gt;Vorrunde!$K30,Vorrunde!$L30&lt;&gt;"",Vorrunde!$N30&lt;&gt;"",Vorrunde!$L30&lt;&gt;Vorrunde!$N30,Vorrunde!$F30&lt;&gt;"",Vorrunde!$H30&lt;&gt;"",Vorrunde!$F30&lt;&gt;Vorrunde!$H30),1,0)</f>
        <v>1</v>
      </c>
      <c r="AB82" s="12" t="str">
        <f ca="1">IF(AA82&gt;0,(X82+AG82)&amp;Sprache!$E$77&amp;(Y82+AH82),"")</f>
        <v>50:37</v>
      </c>
      <c r="AD82" s="141"/>
      <c r="AE82" s="146">
        <f t="shared" ca="1" si="67"/>
        <v>2</v>
      </c>
      <c r="AF82" s="141">
        <f t="shared" ca="1" si="68"/>
        <v>0</v>
      </c>
      <c r="AG82" s="146">
        <f ca="1">IF($AA82=1,Vorrunde!$L30,"")</f>
        <v>25</v>
      </c>
      <c r="AH82" s="12">
        <f ca="1">IF($AA82=1,Vorrunde!$N30,"")</f>
        <v>21</v>
      </c>
      <c r="AI82" s="599" t="str">
        <f ca="1">IF(AA82&gt;0,AE82&amp;Sprache!$E$77&amp;AF82,"")</f>
        <v>2:0</v>
      </c>
    </row>
    <row r="83" spans="2:35" s="2" customFormat="1" x14ac:dyDescent="0.2">
      <c r="B83" s="3"/>
      <c r="C83" s="3"/>
      <c r="D83" s="3"/>
      <c r="E83" s="3"/>
      <c r="F83" s="12"/>
      <c r="G83" s="12"/>
      <c r="H83" s="12"/>
      <c r="I83" s="12"/>
      <c r="J83" s="12"/>
      <c r="K83" s="12"/>
      <c r="L83" s="12"/>
      <c r="M83" s="12"/>
      <c r="U83" s="64" t="s">
        <v>34</v>
      </c>
      <c r="V83" s="39" t="str">
        <f ca="1">Planung!$L25</f>
        <v>Mainz 05</v>
      </c>
      <c r="W83" s="12" t="str">
        <f ca="1">Planung!$N25</f>
        <v>Inter Mailand</v>
      </c>
      <c r="X83" s="12">
        <f ca="1">IF($AA83=1,Vorrunde!$I31,"")</f>
        <v>25</v>
      </c>
      <c r="Y83" s="34">
        <f ca="1">IF($AA83=1,Vorrunde!$K31,"")</f>
        <v>2</v>
      </c>
      <c r="Z83" s="33" t="str">
        <f t="shared" ca="1" si="69"/>
        <v>Mainz 05Inter Mailand</v>
      </c>
      <c r="AA83" s="12">
        <f ca="1">IF(AND(Vorrunde!$I31&lt;&gt;"",Vorrunde!$K31&lt;&gt;"",Vorrunde!$I31&lt;&gt;Vorrunde!$K31,Vorrunde!$L31&lt;&gt;"",Vorrunde!$N31&lt;&gt;"",Vorrunde!$L31&lt;&gt;Vorrunde!$N31,Vorrunde!$F31&lt;&gt;"",Vorrunde!$H31&lt;&gt;"",Vorrunde!$F31&lt;&gt;Vorrunde!$H31),1,0)</f>
        <v>1</v>
      </c>
      <c r="AB83" s="12" t="str">
        <f ca="1">IF(AA83&gt;0,(X83+AG83)&amp;Sprache!$E$77&amp;(Y83+AH83),"")</f>
        <v>50:24</v>
      </c>
      <c r="AD83" s="141"/>
      <c r="AE83" s="146">
        <f t="shared" ca="1" si="67"/>
        <v>2</v>
      </c>
      <c r="AF83" s="141">
        <f t="shared" ca="1" si="68"/>
        <v>0</v>
      </c>
      <c r="AG83" s="146">
        <f ca="1">IF($AA83=1,Vorrunde!$L31,"")</f>
        <v>25</v>
      </c>
      <c r="AH83" s="12">
        <f ca="1">IF($AA83=1,Vorrunde!$N31,"")</f>
        <v>22</v>
      </c>
      <c r="AI83" s="599" t="str">
        <f ca="1">IF(AA83&gt;0,AE83&amp;Sprache!$E$77&amp;AF83,"")</f>
        <v>2:0</v>
      </c>
    </row>
    <row r="84" spans="2:35" s="2" customFormat="1" x14ac:dyDescent="0.2">
      <c r="B84" s="3"/>
      <c r="C84" s="3"/>
      <c r="D84" s="3"/>
      <c r="E84" s="3"/>
      <c r="F84" s="12"/>
      <c r="G84" s="12"/>
      <c r="H84" s="12"/>
      <c r="I84" s="12"/>
      <c r="J84" s="12"/>
      <c r="K84" s="12"/>
      <c r="L84" s="12"/>
      <c r="M84" s="12"/>
      <c r="U84" s="64" t="s">
        <v>35</v>
      </c>
      <c r="V84" s="39" t="str">
        <f ca="1">Planung!$L26</f>
        <v/>
      </c>
      <c r="W84" s="12" t="str">
        <f ca="1">Planung!$N26</f>
        <v/>
      </c>
      <c r="X84" s="12" t="str">
        <f ca="1">IF($AA84=1,Vorrunde!$I32,"")</f>
        <v/>
      </c>
      <c r="Y84" s="34" t="str">
        <f ca="1">IF($AA84=1,Vorrunde!$K32,"")</f>
        <v/>
      </c>
      <c r="Z84" s="33" t="str">
        <f t="shared" ca="1" si="69"/>
        <v/>
      </c>
      <c r="AA84" s="12">
        <f ca="1">IF(AND(Vorrunde!$I32&lt;&gt;"",Vorrunde!$K32&lt;&gt;"",Vorrunde!$I32&lt;&gt;Vorrunde!$K32,Vorrunde!$L32&lt;&gt;"",Vorrunde!$N32&lt;&gt;"",Vorrunde!$L32&lt;&gt;Vorrunde!$N32,Vorrunde!$F32&lt;&gt;"",Vorrunde!$H32&lt;&gt;"",Vorrunde!$F32&lt;&gt;Vorrunde!$H32),1,0)</f>
        <v>0</v>
      </c>
      <c r="AB84" s="12" t="str">
        <f ca="1">IF(AA84&gt;0,(X84+AG84)&amp;Sprache!$E$77&amp;(Y84+AH84),"")</f>
        <v/>
      </c>
      <c r="AD84" s="141"/>
      <c r="AE84" s="146">
        <f t="shared" ca="1" si="67"/>
        <v>0</v>
      </c>
      <c r="AF84" s="141">
        <f t="shared" ca="1" si="68"/>
        <v>0</v>
      </c>
      <c r="AG84" s="146" t="str">
        <f ca="1">IF($AA84=1,Vorrunde!$L32,"")</f>
        <v/>
      </c>
      <c r="AH84" s="12" t="str">
        <f ca="1">IF($AA84=1,Vorrunde!$N32,"")</f>
        <v/>
      </c>
      <c r="AI84" s="599" t="str">
        <f ca="1">IF(AA84&gt;0,AE84&amp;Sprache!$E$77&amp;AF84,"")</f>
        <v/>
      </c>
    </row>
    <row r="85" spans="2:35" s="2" customFormat="1" x14ac:dyDescent="0.2">
      <c r="B85" s="3"/>
      <c r="C85" s="3"/>
      <c r="D85" s="3"/>
      <c r="E85" s="3"/>
      <c r="F85" s="12"/>
      <c r="G85" s="12"/>
      <c r="H85" s="12"/>
      <c r="I85" s="12"/>
      <c r="J85" s="12"/>
      <c r="K85" s="12"/>
      <c r="L85" s="12"/>
      <c r="M85" s="12"/>
      <c r="U85" s="64" t="s">
        <v>36</v>
      </c>
      <c r="V85" s="39" t="str">
        <f ca="1">Planung!$L27</f>
        <v/>
      </c>
      <c r="W85" s="12" t="str">
        <f ca="1">Planung!$N27</f>
        <v/>
      </c>
      <c r="X85" s="12" t="str">
        <f ca="1">IF($AA85=1,Vorrunde!$I33,"")</f>
        <v/>
      </c>
      <c r="Y85" s="34" t="str">
        <f ca="1">IF($AA85=1,Vorrunde!$K33,"")</f>
        <v/>
      </c>
      <c r="Z85" s="33" t="str">
        <f t="shared" ca="1" si="69"/>
        <v/>
      </c>
      <c r="AA85" s="12">
        <f ca="1">IF(AND(Vorrunde!$I33&lt;&gt;"",Vorrunde!$K33&lt;&gt;"",Vorrunde!$I33&lt;&gt;Vorrunde!$K33,Vorrunde!$L33&lt;&gt;"",Vorrunde!$N33&lt;&gt;"",Vorrunde!$L33&lt;&gt;Vorrunde!$N33,Vorrunde!$F33&lt;&gt;"",Vorrunde!$H33&lt;&gt;"",Vorrunde!$F33&lt;&gt;Vorrunde!$H33),1,0)</f>
        <v>0</v>
      </c>
      <c r="AB85" s="12" t="str">
        <f ca="1">IF(AA85&gt;0,(X85+AG85)&amp;Sprache!$E$77&amp;(Y85+AH85),"")</f>
        <v/>
      </c>
      <c r="AD85" s="141"/>
      <c r="AE85" s="146">
        <f t="shared" ca="1" si="67"/>
        <v>0</v>
      </c>
      <c r="AF85" s="141">
        <f t="shared" ca="1" si="68"/>
        <v>0</v>
      </c>
      <c r="AG85" s="146" t="str">
        <f ca="1">IF($AA85=1,Vorrunde!$L33,"")</f>
        <v/>
      </c>
      <c r="AH85" s="12" t="str">
        <f ca="1">IF($AA85=1,Vorrunde!$N33,"")</f>
        <v/>
      </c>
      <c r="AI85" s="599" t="str">
        <f ca="1">IF(AA85&gt;0,AE85&amp;Sprache!$E$77&amp;AF85,"")</f>
        <v/>
      </c>
    </row>
    <row r="86" spans="2:35" s="2" customFormat="1" x14ac:dyDescent="0.2">
      <c r="B86" s="3"/>
      <c r="C86" s="3"/>
      <c r="D86" s="3"/>
      <c r="E86" s="3"/>
      <c r="F86" s="12"/>
      <c r="G86" s="12"/>
      <c r="H86" s="12"/>
      <c r="I86" s="12"/>
      <c r="J86" s="12"/>
      <c r="K86" s="12"/>
      <c r="L86" s="12"/>
      <c r="M86" s="12"/>
      <c r="U86" s="64" t="s">
        <v>37</v>
      </c>
      <c r="V86" s="39" t="str">
        <f ca="1">Planung!$L28</f>
        <v/>
      </c>
      <c r="W86" s="12" t="str">
        <f ca="1">Planung!$N28</f>
        <v/>
      </c>
      <c r="X86" s="12" t="str">
        <f ca="1">IF($AA86=1,Vorrunde!$I34,"")</f>
        <v/>
      </c>
      <c r="Y86" s="34" t="str">
        <f ca="1">IF($AA86=1,Vorrunde!$K34,"")</f>
        <v/>
      </c>
      <c r="Z86" s="33" t="str">
        <f t="shared" ca="1" si="69"/>
        <v/>
      </c>
      <c r="AA86" s="12">
        <f ca="1">IF(AND(Vorrunde!$I34&lt;&gt;"",Vorrunde!$K34&lt;&gt;"",Vorrunde!$I34&lt;&gt;Vorrunde!$K34,Vorrunde!$L34&lt;&gt;"",Vorrunde!$N34&lt;&gt;"",Vorrunde!$L34&lt;&gt;Vorrunde!$N34,Vorrunde!$F34&lt;&gt;"",Vorrunde!$H34&lt;&gt;"",Vorrunde!$F34&lt;&gt;Vorrunde!$H34),1,0)</f>
        <v>0</v>
      </c>
      <c r="AB86" s="12" t="str">
        <f ca="1">IF(AA86&gt;0,(X86+AG86)&amp;Sprache!$E$77&amp;(Y86+AH86),"")</f>
        <v/>
      </c>
      <c r="AD86" s="141"/>
      <c r="AE86" s="146">
        <f t="shared" ca="1" si="67"/>
        <v>0</v>
      </c>
      <c r="AF86" s="141">
        <f t="shared" ca="1" si="68"/>
        <v>0</v>
      </c>
      <c r="AG86" s="146" t="str">
        <f ca="1">IF($AA86=1,Vorrunde!$L34,"")</f>
        <v/>
      </c>
      <c r="AH86" s="12" t="str">
        <f ca="1">IF($AA86=1,Vorrunde!$N34,"")</f>
        <v/>
      </c>
      <c r="AI86" s="599" t="str">
        <f ca="1">IF(AA86&gt;0,AE86&amp;Sprache!$E$77&amp;AF86,"")</f>
        <v/>
      </c>
    </row>
    <row r="87" spans="2:35" s="2" customFormat="1" x14ac:dyDescent="0.2">
      <c r="B87" s="3"/>
      <c r="C87" s="3"/>
      <c r="D87" s="3"/>
      <c r="E87" s="3"/>
      <c r="F87" s="12"/>
      <c r="G87" s="12"/>
      <c r="H87" s="12"/>
      <c r="I87" s="12"/>
      <c r="J87" s="12"/>
      <c r="K87" s="12"/>
      <c r="L87" s="12"/>
      <c r="M87" s="12"/>
      <c r="U87" s="64" t="s">
        <v>38</v>
      </c>
      <c r="V87" s="39" t="str">
        <f ca="1">Planung!$L29</f>
        <v/>
      </c>
      <c r="W87" s="12" t="str">
        <f ca="1">Planung!$N29</f>
        <v/>
      </c>
      <c r="X87" s="12" t="str">
        <f ca="1">IF($AA87=1,Vorrunde!$I35,"")</f>
        <v/>
      </c>
      <c r="Y87" s="34" t="str">
        <f ca="1">IF($AA87=1,Vorrunde!$K35,"")</f>
        <v/>
      </c>
      <c r="Z87" s="33" t="str">
        <f t="shared" ca="1" si="69"/>
        <v/>
      </c>
      <c r="AA87" s="12">
        <f ca="1">IF(AND(Vorrunde!$I35&lt;&gt;"",Vorrunde!$K35&lt;&gt;"",Vorrunde!$I35&lt;&gt;Vorrunde!$K35,Vorrunde!$L35&lt;&gt;"",Vorrunde!$N35&lt;&gt;"",Vorrunde!$L35&lt;&gt;Vorrunde!$N35,Vorrunde!$F35&lt;&gt;"",Vorrunde!$H35&lt;&gt;"",Vorrunde!$F35&lt;&gt;Vorrunde!$H35),1,0)</f>
        <v>0</v>
      </c>
      <c r="AB87" s="12" t="str">
        <f ca="1">IF(AA87&gt;0,(X87+AG87)&amp;Sprache!$E$77&amp;(Y87+AH87),"")</f>
        <v/>
      </c>
      <c r="AD87" s="141"/>
      <c r="AE87" s="146">
        <f t="shared" ca="1" si="67"/>
        <v>0</v>
      </c>
      <c r="AF87" s="141">
        <f t="shared" ca="1" si="68"/>
        <v>0</v>
      </c>
      <c r="AG87" s="146" t="str">
        <f ca="1">IF($AA87=1,Vorrunde!$L35,"")</f>
        <v/>
      </c>
      <c r="AH87" s="12" t="str">
        <f ca="1">IF($AA87=1,Vorrunde!$N35,"")</f>
        <v/>
      </c>
      <c r="AI87" s="599" t="str">
        <f ca="1">IF(AA87&gt;0,AE87&amp;Sprache!$E$77&amp;AF87,"")</f>
        <v/>
      </c>
    </row>
    <row r="88" spans="2:35" s="2" customFormat="1" x14ac:dyDescent="0.2">
      <c r="B88" s="3"/>
      <c r="C88" s="3"/>
      <c r="D88" s="3"/>
      <c r="E88" s="3"/>
      <c r="F88" s="12"/>
      <c r="G88" s="12"/>
      <c r="H88" s="12"/>
      <c r="I88" s="12"/>
      <c r="J88" s="12"/>
      <c r="K88" s="12"/>
      <c r="L88" s="12"/>
      <c r="M88" s="12"/>
      <c r="U88" s="64" t="s">
        <v>39</v>
      </c>
      <c r="V88" s="39" t="str">
        <f ca="1">Planung!$L30</f>
        <v/>
      </c>
      <c r="W88" s="12" t="str">
        <f ca="1">Planung!$N30</f>
        <v/>
      </c>
      <c r="X88" s="12" t="str">
        <f ca="1">IF($AA88=1,Vorrunde!$I36,"")</f>
        <v/>
      </c>
      <c r="Y88" s="34" t="str">
        <f ca="1">IF($AA88=1,Vorrunde!$K36,"")</f>
        <v/>
      </c>
      <c r="Z88" s="33" t="str">
        <f t="shared" ca="1" si="69"/>
        <v/>
      </c>
      <c r="AA88" s="12">
        <f ca="1">IF(AND(Vorrunde!$I36&lt;&gt;"",Vorrunde!$K36&lt;&gt;"",Vorrunde!$I36&lt;&gt;Vorrunde!$K36,Vorrunde!$L36&lt;&gt;"",Vorrunde!$N36&lt;&gt;"",Vorrunde!$L36&lt;&gt;Vorrunde!$N36,Vorrunde!$F36&lt;&gt;"",Vorrunde!$H36&lt;&gt;"",Vorrunde!$F36&lt;&gt;Vorrunde!$H36),1,0)</f>
        <v>0</v>
      </c>
      <c r="AB88" s="12" t="str">
        <f ca="1">IF(AA88&gt;0,(X88+AG88)&amp;Sprache!$E$77&amp;(Y88+AH88),"")</f>
        <v/>
      </c>
      <c r="AD88" s="141"/>
      <c r="AE88" s="146">
        <f t="shared" ca="1" si="67"/>
        <v>0</v>
      </c>
      <c r="AF88" s="141">
        <f t="shared" ca="1" si="68"/>
        <v>0</v>
      </c>
      <c r="AG88" s="146" t="str">
        <f ca="1">IF($AA88=1,Vorrunde!$L36,"")</f>
        <v/>
      </c>
      <c r="AH88" s="12" t="str">
        <f ca="1">IF($AA88=1,Vorrunde!$N36,"")</f>
        <v/>
      </c>
      <c r="AI88" s="599" t="str">
        <f ca="1">IF(AA88&gt;0,AE88&amp;Sprache!$E$77&amp;AF88,"")</f>
        <v/>
      </c>
    </row>
    <row r="89" spans="2:35" s="2" customFormat="1" x14ac:dyDescent="0.2">
      <c r="B89" s="3"/>
      <c r="C89" s="3"/>
      <c r="D89" s="3"/>
      <c r="E89" s="3"/>
      <c r="F89" s="12"/>
      <c r="G89" s="12"/>
      <c r="H89" s="12"/>
      <c r="I89" s="12"/>
      <c r="J89" s="12"/>
      <c r="K89" s="12"/>
      <c r="L89" s="12"/>
      <c r="M89" s="12"/>
      <c r="U89" s="64" t="s">
        <v>40</v>
      </c>
      <c r="V89" s="39" t="str">
        <f ca="1">Planung!$L31</f>
        <v/>
      </c>
      <c r="W89" s="12" t="str">
        <f ca="1">Planung!$N31</f>
        <v/>
      </c>
      <c r="X89" s="12" t="str">
        <f ca="1">IF($AA89=1,Vorrunde!$I37,"")</f>
        <v/>
      </c>
      <c r="Y89" s="34" t="str">
        <f ca="1">IF($AA89=1,Vorrunde!$K37,"")</f>
        <v/>
      </c>
      <c r="Z89" s="33" t="str">
        <f t="shared" ca="1" si="69"/>
        <v/>
      </c>
      <c r="AA89" s="12">
        <f ca="1">IF(AND(Vorrunde!$I37&lt;&gt;"",Vorrunde!$K37&lt;&gt;"",Vorrunde!$I37&lt;&gt;Vorrunde!$K37,Vorrunde!$L37&lt;&gt;"",Vorrunde!$N37&lt;&gt;"",Vorrunde!$L37&lt;&gt;Vorrunde!$N37,Vorrunde!$F37&lt;&gt;"",Vorrunde!$H37&lt;&gt;"",Vorrunde!$F37&lt;&gt;Vorrunde!$H37),1,0)</f>
        <v>0</v>
      </c>
      <c r="AB89" s="12" t="str">
        <f ca="1">IF(AA89&gt;0,(X89+AG89)&amp;Sprache!$E$77&amp;(Y89+AH89),"")</f>
        <v/>
      </c>
      <c r="AD89" s="141"/>
      <c r="AE89" s="146">
        <f t="shared" ca="1" si="67"/>
        <v>0</v>
      </c>
      <c r="AF89" s="141">
        <f t="shared" ca="1" si="68"/>
        <v>0</v>
      </c>
      <c r="AG89" s="146" t="str">
        <f ca="1">IF($AA89=1,Vorrunde!$L37,"")</f>
        <v/>
      </c>
      <c r="AH89" s="12" t="str">
        <f ca="1">IF($AA89=1,Vorrunde!$N37,"")</f>
        <v/>
      </c>
      <c r="AI89" s="599" t="str">
        <f ca="1">IF(AA89&gt;0,AE89&amp;Sprache!$E$77&amp;AF89,"")</f>
        <v/>
      </c>
    </row>
    <row r="90" spans="2:35" s="2" customFormat="1" x14ac:dyDescent="0.2">
      <c r="B90" s="3"/>
      <c r="C90" s="3"/>
      <c r="D90" s="3"/>
      <c r="E90" s="3"/>
      <c r="F90" s="12"/>
      <c r="G90" s="12"/>
      <c r="H90" s="12"/>
      <c r="I90" s="12"/>
      <c r="J90" s="12"/>
      <c r="K90" s="12"/>
      <c r="L90" s="12"/>
      <c r="M90" s="12"/>
      <c r="U90" s="64" t="s">
        <v>41</v>
      </c>
      <c r="V90" s="39" t="str">
        <f ca="1">Planung!$L32</f>
        <v/>
      </c>
      <c r="W90" s="12" t="str">
        <f ca="1">Planung!$N32</f>
        <v/>
      </c>
      <c r="X90" s="12" t="str">
        <f ca="1">IF($AA90=1,Vorrunde!$I38,"")</f>
        <v/>
      </c>
      <c r="Y90" s="34" t="str">
        <f ca="1">IF($AA90=1,Vorrunde!$K38,"")</f>
        <v/>
      </c>
      <c r="Z90" s="33" t="str">
        <f t="shared" ca="1" si="69"/>
        <v/>
      </c>
      <c r="AA90" s="12">
        <f ca="1">IF(AND(Vorrunde!$I38&lt;&gt;"",Vorrunde!$K38&lt;&gt;"",Vorrunde!$I38&lt;&gt;Vorrunde!$K38,Vorrunde!$L38&lt;&gt;"",Vorrunde!$N38&lt;&gt;"",Vorrunde!$L38&lt;&gt;Vorrunde!$N38,Vorrunde!$F38&lt;&gt;"",Vorrunde!$H38&lt;&gt;"",Vorrunde!$F38&lt;&gt;Vorrunde!$H38),1,0)</f>
        <v>0</v>
      </c>
      <c r="AB90" s="12" t="str">
        <f ca="1">IF(AA90&gt;0,(X90+AG90)&amp;Sprache!$E$77&amp;(Y90+AH90),"")</f>
        <v/>
      </c>
      <c r="AD90" s="141"/>
      <c r="AE90" s="146">
        <f t="shared" ca="1" si="67"/>
        <v>0</v>
      </c>
      <c r="AF90" s="141">
        <f t="shared" ca="1" si="68"/>
        <v>0</v>
      </c>
      <c r="AG90" s="146" t="str">
        <f ca="1">IF($AA90=1,Vorrunde!$L38,"")</f>
        <v/>
      </c>
      <c r="AH90" s="12" t="str">
        <f ca="1">IF($AA90=1,Vorrunde!$N38,"")</f>
        <v/>
      </c>
      <c r="AI90" s="599" t="str">
        <f ca="1">IF(AA90&gt;0,AE90&amp;Sprache!$E$77&amp;AF90,"")</f>
        <v/>
      </c>
    </row>
    <row r="91" spans="2:35" s="2" customFormat="1" x14ac:dyDescent="0.2">
      <c r="B91" s="3"/>
      <c r="C91" s="3"/>
      <c r="D91" s="3"/>
      <c r="E91" s="3"/>
      <c r="F91" s="12"/>
      <c r="G91" s="12"/>
      <c r="H91" s="12"/>
      <c r="I91" s="12"/>
      <c r="J91" s="12"/>
      <c r="K91" s="12"/>
      <c r="L91" s="12"/>
      <c r="M91" s="12"/>
      <c r="U91" s="64" t="s">
        <v>42</v>
      </c>
      <c r="V91" s="39" t="str">
        <f ca="1">Planung!$L33</f>
        <v/>
      </c>
      <c r="W91" s="12" t="str">
        <f ca="1">Planung!$N33</f>
        <v/>
      </c>
      <c r="X91" s="12" t="str">
        <f ca="1">IF($AA91=1,Vorrunde!$I39,"")</f>
        <v/>
      </c>
      <c r="Y91" s="34" t="str">
        <f ca="1">IF($AA91=1,Vorrunde!$K39,"")</f>
        <v/>
      </c>
      <c r="Z91" s="33" t="str">
        <f t="shared" ca="1" si="69"/>
        <v/>
      </c>
      <c r="AA91" s="12">
        <f ca="1">IF(AND(Vorrunde!$I39&lt;&gt;"",Vorrunde!$K39&lt;&gt;"",Vorrunde!$I39&lt;&gt;Vorrunde!$K39,Vorrunde!$L39&lt;&gt;"",Vorrunde!$N39&lt;&gt;"",Vorrunde!$L39&lt;&gt;Vorrunde!$N39,Vorrunde!$F39&lt;&gt;"",Vorrunde!$H39&lt;&gt;"",Vorrunde!$F39&lt;&gt;Vorrunde!$H39),1,0)</f>
        <v>0</v>
      </c>
      <c r="AB91" s="12" t="str">
        <f ca="1">IF(AA91&gt;0,(X91+AG91)&amp;Sprache!$E$77&amp;(Y91+AH91),"")</f>
        <v/>
      </c>
      <c r="AD91" s="141"/>
      <c r="AE91" s="146">
        <f t="shared" ca="1" si="67"/>
        <v>0</v>
      </c>
      <c r="AF91" s="141">
        <f t="shared" ca="1" si="68"/>
        <v>0</v>
      </c>
      <c r="AG91" s="146" t="str">
        <f ca="1">IF($AA91=1,Vorrunde!$L39,"")</f>
        <v/>
      </c>
      <c r="AH91" s="12" t="str">
        <f ca="1">IF($AA91=1,Vorrunde!$N39,"")</f>
        <v/>
      </c>
      <c r="AI91" s="599" t="str">
        <f ca="1">IF(AA91&gt;0,AE91&amp;Sprache!$E$77&amp;AF91,"")</f>
        <v/>
      </c>
    </row>
    <row r="92" spans="2:35" s="2" customFormat="1" x14ac:dyDescent="0.2">
      <c r="B92" s="3"/>
      <c r="C92" s="3"/>
      <c r="D92" s="3"/>
      <c r="E92" s="3"/>
      <c r="F92" s="12"/>
      <c r="G92" s="12"/>
      <c r="H92" s="12"/>
      <c r="I92" s="12"/>
      <c r="J92" s="12"/>
      <c r="K92" s="12"/>
      <c r="L92" s="12"/>
      <c r="M92" s="12"/>
      <c r="U92" s="64" t="s">
        <v>43</v>
      </c>
      <c r="V92" s="39" t="str">
        <f ca="1">Planung!$L34</f>
        <v/>
      </c>
      <c r="W92" s="12" t="str">
        <f ca="1">Planung!$N34</f>
        <v/>
      </c>
      <c r="X92" s="12" t="str">
        <f ca="1">IF($AA92=1,Vorrunde!$I40,"")</f>
        <v/>
      </c>
      <c r="Y92" s="34" t="str">
        <f ca="1">IF($AA92=1,Vorrunde!$K40,"")</f>
        <v/>
      </c>
      <c r="Z92" s="33" t="str">
        <f t="shared" ca="1" si="69"/>
        <v/>
      </c>
      <c r="AA92" s="12">
        <f ca="1">IF(AND(Vorrunde!$I40&lt;&gt;"",Vorrunde!$K40&lt;&gt;"",Vorrunde!$I40&lt;&gt;Vorrunde!$K40,Vorrunde!$L40&lt;&gt;"",Vorrunde!$N40&lt;&gt;"",Vorrunde!$L40&lt;&gt;Vorrunde!$N40,Vorrunde!$F40&lt;&gt;"",Vorrunde!$H40&lt;&gt;"",Vorrunde!$F40&lt;&gt;Vorrunde!$H40),1,0)</f>
        <v>0</v>
      </c>
      <c r="AB92" s="12" t="str">
        <f ca="1">IF(AA92&gt;0,(X92+AG92)&amp;Sprache!$E$77&amp;(Y92+AH92),"")</f>
        <v/>
      </c>
      <c r="AD92" s="141"/>
      <c r="AE92" s="146">
        <f t="shared" ca="1" si="67"/>
        <v>0</v>
      </c>
      <c r="AF92" s="141">
        <f t="shared" ca="1" si="68"/>
        <v>0</v>
      </c>
      <c r="AG92" s="146" t="str">
        <f ca="1">IF($AA92=1,Vorrunde!$L40,"")</f>
        <v/>
      </c>
      <c r="AH92" s="12" t="str">
        <f ca="1">IF($AA92=1,Vorrunde!$N40,"")</f>
        <v/>
      </c>
      <c r="AI92" s="599" t="str">
        <f ca="1">IF(AA92&gt;0,AE92&amp;Sprache!$E$77&amp;AF92,"")</f>
        <v/>
      </c>
    </row>
    <row r="93" spans="2:35" s="2" customFormat="1" ht="12.75" thickBot="1" x14ac:dyDescent="0.25">
      <c r="B93" s="3"/>
      <c r="C93" s="3"/>
      <c r="D93" s="3"/>
      <c r="E93" s="3"/>
      <c r="F93" s="12"/>
      <c r="G93" s="12"/>
      <c r="H93" s="12"/>
      <c r="I93" s="12"/>
      <c r="J93" s="12"/>
      <c r="K93" s="12"/>
      <c r="L93" s="12"/>
      <c r="M93" s="12"/>
      <c r="U93" s="64" t="s">
        <v>44</v>
      </c>
      <c r="V93" s="39" t="str">
        <f ca="1">Planung!$L35</f>
        <v/>
      </c>
      <c r="W93" s="12" t="str">
        <f ca="1">Planung!$N35</f>
        <v/>
      </c>
      <c r="X93" s="12" t="str">
        <f ca="1">IF($AA93=1,Vorrunde!$I41,"")</f>
        <v/>
      </c>
      <c r="Y93" s="34" t="str">
        <f ca="1">IF($AA93=1,Vorrunde!$K41,"")</f>
        <v/>
      </c>
      <c r="Z93" s="33" t="str">
        <f t="shared" ca="1" si="69"/>
        <v/>
      </c>
      <c r="AA93" s="12">
        <f ca="1">IF(AND(Vorrunde!$I41&lt;&gt;"",Vorrunde!$K41&lt;&gt;"",Vorrunde!$I41&lt;&gt;Vorrunde!$K41,Vorrunde!$L41&lt;&gt;"",Vorrunde!$N41&lt;&gt;"",Vorrunde!$L41&lt;&gt;Vorrunde!$N41,Vorrunde!$F41&lt;&gt;"",Vorrunde!$H41&lt;&gt;"",Vorrunde!$F41&lt;&gt;Vorrunde!$H41),1,0)</f>
        <v>0</v>
      </c>
      <c r="AB93" s="12" t="str">
        <f ca="1">IF(AA93&gt;0,(X93+AG93)&amp;Sprache!$E$77&amp;(Y93+AH93),"")</f>
        <v/>
      </c>
      <c r="AD93" s="141"/>
      <c r="AE93" s="146">
        <f t="shared" ca="1" si="67"/>
        <v>0</v>
      </c>
      <c r="AF93" s="141">
        <f t="shared" ca="1" si="68"/>
        <v>0</v>
      </c>
      <c r="AG93" s="316" t="str">
        <f ca="1">IF($AA93=1,Vorrunde!$L41,"")</f>
        <v/>
      </c>
      <c r="AH93" s="312" t="str">
        <f ca="1">IF($AA93=1,Vorrunde!$N41,"")</f>
        <v/>
      </c>
      <c r="AI93" s="600" t="str">
        <f ca="1">IF(AA93&gt;0,AE93&amp;Sprache!$E$77&amp;AF93,"")</f>
        <v/>
      </c>
    </row>
    <row r="94" spans="2:35" s="2" customFormat="1" ht="12.75" thickTop="1" x14ac:dyDescent="0.2">
      <c r="B94" s="3"/>
      <c r="C94" s="3"/>
      <c r="D94" s="3"/>
      <c r="E94" s="3"/>
      <c r="F94" s="12"/>
      <c r="G94" s="12"/>
      <c r="H94" s="12"/>
      <c r="I94" s="12"/>
      <c r="J94" s="12"/>
      <c r="K94" s="12"/>
      <c r="L94" s="12"/>
      <c r="M94" s="12"/>
      <c r="U94" s="317" t="s">
        <v>45</v>
      </c>
      <c r="V94" s="318" t="str">
        <f>""</f>
        <v/>
      </c>
      <c r="W94" s="319" t="str">
        <f>""</f>
        <v/>
      </c>
      <c r="X94" s="319" t="str">
        <f>""</f>
        <v/>
      </c>
      <c r="Y94" s="320" t="str">
        <f>""</f>
        <v/>
      </c>
      <c r="Z94" s="321" t="str">
        <f>""</f>
        <v/>
      </c>
      <c r="AA94" s="319">
        <v>0</v>
      </c>
      <c r="AB94" s="319" t="str">
        <f>""</f>
        <v/>
      </c>
      <c r="AC94" s="322"/>
      <c r="AD94" s="323"/>
      <c r="AE94" s="324"/>
      <c r="AF94" s="323"/>
      <c r="AG94" s="596" t="str">
        <f>""</f>
        <v/>
      </c>
      <c r="AH94" s="3" t="str">
        <f>""</f>
        <v/>
      </c>
      <c r="AI94" s="601"/>
    </row>
    <row r="95" spans="2:35" s="2" customFormat="1" x14ac:dyDescent="0.2">
      <c r="B95" s="3"/>
      <c r="C95" s="3"/>
      <c r="D95" s="3"/>
      <c r="E95" s="3"/>
      <c r="F95" s="12"/>
      <c r="G95" s="12"/>
      <c r="H95" s="12"/>
      <c r="I95" s="12"/>
      <c r="J95" s="12"/>
      <c r="K95" s="12"/>
      <c r="L95" s="12"/>
      <c r="M95" s="12"/>
      <c r="U95" s="64" t="s">
        <v>46</v>
      </c>
      <c r="V95" s="39" t="str">
        <f>""</f>
        <v/>
      </c>
      <c r="W95" s="12" t="str">
        <f>""</f>
        <v/>
      </c>
      <c r="X95" s="12" t="str">
        <f>""</f>
        <v/>
      </c>
      <c r="Y95" s="34" t="str">
        <f>""</f>
        <v/>
      </c>
      <c r="Z95" s="33" t="str">
        <f>""</f>
        <v/>
      </c>
      <c r="AA95" s="12">
        <v>0</v>
      </c>
      <c r="AB95" s="12" t="str">
        <f>""</f>
        <v/>
      </c>
      <c r="AD95" s="141"/>
      <c r="AE95" s="146"/>
      <c r="AF95" s="141"/>
      <c r="AG95" s="596" t="str">
        <f>""</f>
        <v/>
      </c>
      <c r="AH95" s="3" t="str">
        <f>""</f>
        <v/>
      </c>
      <c r="AI95" s="601"/>
    </row>
    <row r="96" spans="2:35" s="2" customFormat="1" x14ac:dyDescent="0.2">
      <c r="B96" s="3"/>
      <c r="C96" s="3"/>
      <c r="D96" s="3"/>
      <c r="E96" s="3"/>
      <c r="F96" s="12"/>
      <c r="G96" s="12"/>
      <c r="H96" s="12"/>
      <c r="I96" s="12"/>
      <c r="J96" s="12"/>
      <c r="K96" s="12"/>
      <c r="L96" s="12"/>
      <c r="M96" s="12"/>
      <c r="U96" s="64" t="s">
        <v>47</v>
      </c>
      <c r="V96" s="39" t="str">
        <f>""</f>
        <v/>
      </c>
      <c r="W96" s="12" t="str">
        <f>""</f>
        <v/>
      </c>
      <c r="X96" s="12" t="str">
        <f>""</f>
        <v/>
      </c>
      <c r="Y96" s="34" t="str">
        <f>""</f>
        <v/>
      </c>
      <c r="Z96" s="33" t="str">
        <f>""</f>
        <v/>
      </c>
      <c r="AA96" s="12">
        <v>0</v>
      </c>
      <c r="AB96" s="12" t="str">
        <f>""</f>
        <v/>
      </c>
      <c r="AD96" s="141"/>
      <c r="AE96" s="146"/>
      <c r="AF96" s="141"/>
      <c r="AG96" s="596" t="str">
        <f>""</f>
        <v/>
      </c>
      <c r="AH96" s="3" t="str">
        <f>""</f>
        <v/>
      </c>
      <c r="AI96" s="601"/>
    </row>
    <row r="97" spans="2:35" s="2" customFormat="1" x14ac:dyDescent="0.2">
      <c r="B97" s="3"/>
      <c r="C97" s="3"/>
      <c r="D97" s="3"/>
      <c r="E97" s="3"/>
      <c r="F97" s="12"/>
      <c r="G97" s="12"/>
      <c r="H97" s="12"/>
      <c r="I97" s="12"/>
      <c r="J97" s="12"/>
      <c r="K97" s="12"/>
      <c r="L97" s="12"/>
      <c r="M97" s="12"/>
      <c r="U97" s="64" t="s">
        <v>48</v>
      </c>
      <c r="V97" s="39" t="str">
        <f>""</f>
        <v/>
      </c>
      <c r="W97" s="12" t="str">
        <f>""</f>
        <v/>
      </c>
      <c r="X97" s="12" t="str">
        <f>""</f>
        <v/>
      </c>
      <c r="Y97" s="34" t="str">
        <f>""</f>
        <v/>
      </c>
      <c r="Z97" s="33" t="str">
        <f>""</f>
        <v/>
      </c>
      <c r="AA97" s="12">
        <v>0</v>
      </c>
      <c r="AB97" s="12" t="str">
        <f>""</f>
        <v/>
      </c>
      <c r="AD97" s="141"/>
      <c r="AE97" s="146"/>
      <c r="AF97" s="141"/>
      <c r="AG97" s="596" t="str">
        <f>""</f>
        <v/>
      </c>
      <c r="AH97" s="3" t="str">
        <f>""</f>
        <v/>
      </c>
      <c r="AI97" s="601"/>
    </row>
    <row r="98" spans="2:35" s="2" customFormat="1" x14ac:dyDescent="0.2">
      <c r="B98" s="3"/>
      <c r="C98" s="3"/>
      <c r="D98" s="3"/>
      <c r="E98" s="3"/>
      <c r="F98" s="12"/>
      <c r="G98" s="12"/>
      <c r="H98" s="12"/>
      <c r="I98" s="12"/>
      <c r="J98" s="12"/>
      <c r="K98" s="12"/>
      <c r="L98" s="12"/>
      <c r="M98" s="12"/>
      <c r="U98" s="64" t="s">
        <v>49</v>
      </c>
      <c r="V98" s="39" t="str">
        <f>""</f>
        <v/>
      </c>
      <c r="W98" s="12" t="str">
        <f>""</f>
        <v/>
      </c>
      <c r="X98" s="12" t="str">
        <f>""</f>
        <v/>
      </c>
      <c r="Y98" s="34" t="str">
        <f>""</f>
        <v/>
      </c>
      <c r="Z98" s="33" t="str">
        <f>""</f>
        <v/>
      </c>
      <c r="AA98" s="12">
        <v>0</v>
      </c>
      <c r="AB98" s="12" t="str">
        <f>""</f>
        <v/>
      </c>
      <c r="AD98" s="141"/>
      <c r="AE98" s="146"/>
      <c r="AF98" s="141"/>
      <c r="AG98" s="596" t="str">
        <f>""</f>
        <v/>
      </c>
      <c r="AH98" s="3" t="str">
        <f>""</f>
        <v/>
      </c>
      <c r="AI98" s="601"/>
    </row>
    <row r="99" spans="2:35" s="2" customFormat="1" x14ac:dyDescent="0.2">
      <c r="B99" s="3"/>
      <c r="C99" s="3"/>
      <c r="D99" s="3"/>
      <c r="E99" s="3"/>
      <c r="F99" s="12"/>
      <c r="G99" s="12"/>
      <c r="H99" s="12"/>
      <c r="I99" s="12"/>
      <c r="J99" s="12"/>
      <c r="K99" s="12"/>
      <c r="L99" s="12"/>
      <c r="M99" s="12"/>
      <c r="U99" s="64" t="s">
        <v>50</v>
      </c>
      <c r="V99" s="39" t="str">
        <f>""</f>
        <v/>
      </c>
      <c r="W99" s="12" t="str">
        <f>""</f>
        <v/>
      </c>
      <c r="X99" s="12" t="str">
        <f>""</f>
        <v/>
      </c>
      <c r="Y99" s="34" t="str">
        <f>""</f>
        <v/>
      </c>
      <c r="Z99" s="33" t="str">
        <f>""</f>
        <v/>
      </c>
      <c r="AA99" s="12">
        <v>0</v>
      </c>
      <c r="AB99" s="12" t="str">
        <f>""</f>
        <v/>
      </c>
      <c r="AD99" s="141"/>
      <c r="AE99" s="146"/>
      <c r="AF99" s="141"/>
      <c r="AG99" s="596" t="str">
        <f>""</f>
        <v/>
      </c>
      <c r="AH99" s="3" t="str">
        <f>""</f>
        <v/>
      </c>
      <c r="AI99" s="601"/>
    </row>
    <row r="100" spans="2:35" s="2" customFormat="1" x14ac:dyDescent="0.2">
      <c r="B100" s="3"/>
      <c r="C100" s="3"/>
      <c r="D100" s="3"/>
      <c r="E100" s="3"/>
      <c r="F100" s="12"/>
      <c r="G100" s="12"/>
      <c r="H100" s="12"/>
      <c r="I100" s="12"/>
      <c r="J100" s="12"/>
      <c r="K100" s="12"/>
      <c r="L100" s="12"/>
      <c r="M100" s="12"/>
      <c r="U100" s="64" t="s">
        <v>58</v>
      </c>
      <c r="V100" s="39" t="str">
        <f>""</f>
        <v/>
      </c>
      <c r="W100" s="12" t="str">
        <f>""</f>
        <v/>
      </c>
      <c r="X100" s="12" t="str">
        <f>""</f>
        <v/>
      </c>
      <c r="Y100" s="34" t="str">
        <f>""</f>
        <v/>
      </c>
      <c r="Z100" s="33" t="str">
        <f>""</f>
        <v/>
      </c>
      <c r="AA100" s="12">
        <v>0</v>
      </c>
      <c r="AB100" s="12" t="str">
        <f>""</f>
        <v/>
      </c>
      <c r="AD100" s="141"/>
      <c r="AE100" s="146"/>
      <c r="AF100" s="141"/>
      <c r="AG100" s="596" t="str">
        <f>""</f>
        <v/>
      </c>
      <c r="AH100" s="3" t="str">
        <f>""</f>
        <v/>
      </c>
      <c r="AI100" s="601"/>
    </row>
    <row r="101" spans="2:35" s="2" customFormat="1" x14ac:dyDescent="0.2">
      <c r="B101" s="3"/>
      <c r="C101" s="3"/>
      <c r="D101" s="3"/>
      <c r="E101" s="3"/>
      <c r="F101" s="12"/>
      <c r="G101" s="12"/>
      <c r="H101" s="12"/>
      <c r="I101" s="12"/>
      <c r="J101" s="12"/>
      <c r="K101" s="12"/>
      <c r="L101" s="12"/>
      <c r="M101" s="12"/>
      <c r="U101" s="64" t="s">
        <v>59</v>
      </c>
      <c r="V101" s="39" t="str">
        <f>""</f>
        <v/>
      </c>
      <c r="W101" s="12" t="str">
        <f>""</f>
        <v/>
      </c>
      <c r="X101" s="12" t="str">
        <f>""</f>
        <v/>
      </c>
      <c r="Y101" s="34" t="str">
        <f>""</f>
        <v/>
      </c>
      <c r="Z101" s="33" t="str">
        <f>""</f>
        <v/>
      </c>
      <c r="AA101" s="12">
        <v>0</v>
      </c>
      <c r="AB101" s="12" t="str">
        <f>""</f>
        <v/>
      </c>
      <c r="AD101" s="141"/>
      <c r="AE101" s="146"/>
      <c r="AF101" s="141"/>
      <c r="AG101" s="596" t="str">
        <f>""</f>
        <v/>
      </c>
      <c r="AH101" s="3" t="str">
        <f>""</f>
        <v/>
      </c>
      <c r="AI101" s="601"/>
    </row>
    <row r="102" spans="2:35" s="2" customFormat="1" x14ac:dyDescent="0.2">
      <c r="B102" s="3"/>
      <c r="C102" s="3"/>
      <c r="D102" s="3"/>
      <c r="E102" s="3"/>
      <c r="F102" s="12"/>
      <c r="G102" s="12"/>
      <c r="H102" s="12"/>
      <c r="I102" s="12"/>
      <c r="J102" s="12"/>
      <c r="K102" s="12"/>
      <c r="L102" s="12"/>
      <c r="M102" s="12"/>
      <c r="U102" s="64" t="s">
        <v>60</v>
      </c>
      <c r="V102" s="39" t="str">
        <f>""</f>
        <v/>
      </c>
      <c r="W102" s="12" t="str">
        <f>""</f>
        <v/>
      </c>
      <c r="X102" s="12" t="str">
        <f>""</f>
        <v/>
      </c>
      <c r="Y102" s="34" t="str">
        <f>""</f>
        <v/>
      </c>
      <c r="Z102" s="33" t="str">
        <f>""</f>
        <v/>
      </c>
      <c r="AA102" s="12">
        <v>0</v>
      </c>
      <c r="AB102" s="12" t="str">
        <f>""</f>
        <v/>
      </c>
      <c r="AD102" s="141"/>
      <c r="AE102" s="146"/>
      <c r="AF102" s="141"/>
      <c r="AG102" s="596" t="str">
        <f>""</f>
        <v/>
      </c>
      <c r="AH102" s="3" t="str">
        <f>""</f>
        <v/>
      </c>
      <c r="AI102" s="601"/>
    </row>
    <row r="103" spans="2:35" s="2" customFormat="1" x14ac:dyDescent="0.2">
      <c r="B103" s="3"/>
      <c r="C103" s="3"/>
      <c r="D103" s="3"/>
      <c r="E103" s="3"/>
      <c r="F103" s="12"/>
      <c r="G103" s="12"/>
      <c r="H103" s="12"/>
      <c r="I103" s="12"/>
      <c r="J103" s="12"/>
      <c r="K103" s="12"/>
      <c r="L103" s="12"/>
      <c r="M103" s="12"/>
      <c r="U103" s="64" t="s">
        <v>61</v>
      </c>
      <c r="V103" s="39" t="str">
        <f>""</f>
        <v/>
      </c>
      <c r="W103" s="12" t="str">
        <f>""</f>
        <v/>
      </c>
      <c r="X103" s="12" t="str">
        <f>""</f>
        <v/>
      </c>
      <c r="Y103" s="34" t="str">
        <f>""</f>
        <v/>
      </c>
      <c r="Z103" s="33" t="str">
        <f>""</f>
        <v/>
      </c>
      <c r="AA103" s="12">
        <v>0</v>
      </c>
      <c r="AB103" s="12" t="str">
        <f>""</f>
        <v/>
      </c>
      <c r="AD103" s="141"/>
      <c r="AE103" s="146"/>
      <c r="AF103" s="141"/>
      <c r="AG103" s="596" t="str">
        <f>""</f>
        <v/>
      </c>
      <c r="AH103" s="3" t="str">
        <f>""</f>
        <v/>
      </c>
      <c r="AI103" s="601"/>
    </row>
    <row r="104" spans="2:35" s="2" customFormat="1" x14ac:dyDescent="0.2">
      <c r="B104" s="3"/>
      <c r="C104" s="3"/>
      <c r="D104" s="3"/>
      <c r="E104" s="3"/>
      <c r="F104" s="12"/>
      <c r="G104" s="12"/>
      <c r="H104" s="12"/>
      <c r="I104" s="12"/>
      <c r="J104" s="12"/>
      <c r="K104" s="12"/>
      <c r="L104" s="12"/>
      <c r="M104" s="12"/>
      <c r="U104" s="64" t="s">
        <v>62</v>
      </c>
      <c r="V104" s="39" t="str">
        <f>""</f>
        <v/>
      </c>
      <c r="W104" s="12" t="str">
        <f>""</f>
        <v/>
      </c>
      <c r="X104" s="12" t="str">
        <f>""</f>
        <v/>
      </c>
      <c r="Y104" s="34" t="str">
        <f>""</f>
        <v/>
      </c>
      <c r="Z104" s="33" t="str">
        <f>""</f>
        <v/>
      </c>
      <c r="AA104" s="12">
        <v>0</v>
      </c>
      <c r="AB104" s="12" t="str">
        <f>""</f>
        <v/>
      </c>
      <c r="AD104" s="141"/>
      <c r="AE104" s="146"/>
      <c r="AF104" s="141"/>
      <c r="AG104" s="596" t="str">
        <f>""</f>
        <v/>
      </c>
      <c r="AH104" s="3" t="str">
        <f>""</f>
        <v/>
      </c>
      <c r="AI104" s="601"/>
    </row>
    <row r="105" spans="2:35" s="2" customFormat="1" x14ac:dyDescent="0.2">
      <c r="B105" s="3"/>
      <c r="C105" s="3"/>
      <c r="D105" s="3"/>
      <c r="E105" s="3"/>
      <c r="F105" s="12"/>
      <c r="G105" s="12"/>
      <c r="H105" s="12"/>
      <c r="I105" s="12"/>
      <c r="J105" s="12"/>
      <c r="K105" s="12"/>
      <c r="L105" s="12"/>
      <c r="M105" s="12"/>
      <c r="U105" s="64" t="s">
        <v>63</v>
      </c>
      <c r="V105" s="39" t="str">
        <f>""</f>
        <v/>
      </c>
      <c r="W105" s="12" t="str">
        <f>""</f>
        <v/>
      </c>
      <c r="X105" s="12" t="str">
        <f>""</f>
        <v/>
      </c>
      <c r="Y105" s="34" t="str">
        <f>""</f>
        <v/>
      </c>
      <c r="Z105" s="33" t="str">
        <f>""</f>
        <v/>
      </c>
      <c r="AA105" s="12">
        <v>0</v>
      </c>
      <c r="AB105" s="12" t="str">
        <f>""</f>
        <v/>
      </c>
      <c r="AD105" s="141"/>
      <c r="AE105" s="146"/>
      <c r="AF105" s="141"/>
      <c r="AG105" s="596" t="str">
        <f>""</f>
        <v/>
      </c>
      <c r="AH105" s="3" t="str">
        <f>""</f>
        <v/>
      </c>
      <c r="AI105" s="601"/>
    </row>
    <row r="106" spans="2:35" s="2" customFormat="1" x14ac:dyDescent="0.2">
      <c r="B106" s="3"/>
      <c r="C106" s="3"/>
      <c r="D106" s="3"/>
      <c r="E106" s="3"/>
      <c r="F106" s="12"/>
      <c r="G106" s="12"/>
      <c r="H106" s="12"/>
      <c r="I106" s="12"/>
      <c r="J106" s="12"/>
      <c r="K106" s="12"/>
      <c r="L106" s="12"/>
      <c r="M106" s="12"/>
      <c r="U106" s="64" t="s">
        <v>64</v>
      </c>
      <c r="V106" s="39" t="str">
        <f>""</f>
        <v/>
      </c>
      <c r="W106" s="12" t="str">
        <f>""</f>
        <v/>
      </c>
      <c r="X106" s="12" t="str">
        <f>""</f>
        <v/>
      </c>
      <c r="Y106" s="34" t="str">
        <f>""</f>
        <v/>
      </c>
      <c r="Z106" s="33" t="str">
        <f>""</f>
        <v/>
      </c>
      <c r="AA106" s="12">
        <v>0</v>
      </c>
      <c r="AB106" s="12" t="str">
        <f>""</f>
        <v/>
      </c>
      <c r="AD106" s="141"/>
      <c r="AE106" s="146"/>
      <c r="AF106" s="141"/>
      <c r="AG106" s="596" t="str">
        <f>""</f>
        <v/>
      </c>
      <c r="AH106" s="3" t="str">
        <f>""</f>
        <v/>
      </c>
      <c r="AI106" s="601"/>
    </row>
    <row r="107" spans="2:35" s="2" customFormat="1" x14ac:dyDescent="0.2">
      <c r="B107" s="3"/>
      <c r="C107" s="3"/>
      <c r="D107" s="3"/>
      <c r="E107" s="3"/>
      <c r="F107" s="12"/>
      <c r="G107" s="12"/>
      <c r="H107" s="12"/>
      <c r="I107" s="12"/>
      <c r="J107" s="12"/>
      <c r="K107" s="12"/>
      <c r="L107" s="12"/>
      <c r="M107" s="12"/>
      <c r="U107" s="64" t="s">
        <v>65</v>
      </c>
      <c r="V107" s="39" t="str">
        <f>""</f>
        <v/>
      </c>
      <c r="W107" s="12" t="str">
        <f>""</f>
        <v/>
      </c>
      <c r="X107" s="12" t="str">
        <f>""</f>
        <v/>
      </c>
      <c r="Y107" s="34" t="str">
        <f>""</f>
        <v/>
      </c>
      <c r="Z107" s="33" t="str">
        <f>""</f>
        <v/>
      </c>
      <c r="AA107" s="12">
        <v>0</v>
      </c>
      <c r="AB107" s="12" t="str">
        <f>""</f>
        <v/>
      </c>
      <c r="AD107" s="141"/>
      <c r="AE107" s="146"/>
      <c r="AF107" s="141"/>
      <c r="AG107" s="596" t="str">
        <f>""</f>
        <v/>
      </c>
      <c r="AH107" s="3" t="str">
        <f>""</f>
        <v/>
      </c>
      <c r="AI107" s="601"/>
    </row>
    <row r="108" spans="2:35" s="2" customFormat="1" x14ac:dyDescent="0.2">
      <c r="B108" s="3"/>
      <c r="C108" s="3"/>
      <c r="D108" s="3"/>
      <c r="E108" s="3"/>
      <c r="F108" s="12"/>
      <c r="G108" s="12"/>
      <c r="H108" s="12"/>
      <c r="I108" s="12"/>
      <c r="J108" s="12"/>
      <c r="K108" s="12"/>
      <c r="L108" s="12"/>
      <c r="M108" s="12"/>
      <c r="U108" s="64" t="s">
        <v>66</v>
      </c>
      <c r="V108" s="39" t="str">
        <f>""</f>
        <v/>
      </c>
      <c r="W108" s="12" t="str">
        <f>""</f>
        <v/>
      </c>
      <c r="X108" s="12" t="str">
        <f>""</f>
        <v/>
      </c>
      <c r="Y108" s="34" t="str">
        <f>""</f>
        <v/>
      </c>
      <c r="Z108" s="33" t="str">
        <f>""</f>
        <v/>
      </c>
      <c r="AA108" s="12">
        <v>0</v>
      </c>
      <c r="AB108" s="12" t="str">
        <f>""</f>
        <v/>
      </c>
      <c r="AD108" s="141"/>
      <c r="AE108" s="146"/>
      <c r="AF108" s="141"/>
      <c r="AG108" s="596" t="str">
        <f>""</f>
        <v/>
      </c>
      <c r="AH108" s="3" t="str">
        <f>""</f>
        <v/>
      </c>
      <c r="AI108" s="601"/>
    </row>
    <row r="109" spans="2:35" s="2" customFormat="1" x14ac:dyDescent="0.2">
      <c r="B109" s="3"/>
      <c r="C109" s="3"/>
      <c r="D109" s="3"/>
      <c r="E109" s="3"/>
      <c r="F109" s="12"/>
      <c r="G109" s="12"/>
      <c r="H109" s="12"/>
      <c r="I109" s="12"/>
      <c r="J109" s="12"/>
      <c r="K109" s="12"/>
      <c r="L109" s="12"/>
      <c r="M109" s="12"/>
      <c r="U109" s="64" t="s">
        <v>67</v>
      </c>
      <c r="V109" s="39" t="str">
        <f>""</f>
        <v/>
      </c>
      <c r="W109" s="12" t="str">
        <f>""</f>
        <v/>
      </c>
      <c r="X109" s="12" t="str">
        <f>""</f>
        <v/>
      </c>
      <c r="Y109" s="34" t="str">
        <f>""</f>
        <v/>
      </c>
      <c r="Z109" s="33" t="str">
        <f>""</f>
        <v/>
      </c>
      <c r="AA109" s="12">
        <v>0</v>
      </c>
      <c r="AB109" s="12" t="str">
        <f>""</f>
        <v/>
      </c>
      <c r="AD109" s="141"/>
      <c r="AE109" s="146"/>
      <c r="AF109" s="141"/>
      <c r="AG109" s="596" t="str">
        <f>""</f>
        <v/>
      </c>
      <c r="AH109" s="3" t="str">
        <f>""</f>
        <v/>
      </c>
      <c r="AI109" s="601"/>
    </row>
    <row r="110" spans="2:35" s="2" customFormat="1" x14ac:dyDescent="0.2">
      <c r="B110" s="3"/>
      <c r="C110" s="3"/>
      <c r="D110" s="3"/>
      <c r="E110" s="3"/>
      <c r="F110" s="12"/>
      <c r="G110" s="12"/>
      <c r="H110" s="12"/>
      <c r="I110" s="12"/>
      <c r="J110" s="12"/>
      <c r="K110" s="12"/>
      <c r="L110" s="12"/>
      <c r="M110" s="12"/>
      <c r="U110" s="64" t="s">
        <v>68</v>
      </c>
      <c r="V110" s="39" t="str">
        <f>""</f>
        <v/>
      </c>
      <c r="W110" s="12" t="str">
        <f>""</f>
        <v/>
      </c>
      <c r="X110" s="12" t="str">
        <f>""</f>
        <v/>
      </c>
      <c r="Y110" s="34" t="str">
        <f>""</f>
        <v/>
      </c>
      <c r="Z110" s="33" t="str">
        <f>""</f>
        <v/>
      </c>
      <c r="AA110" s="12">
        <v>0</v>
      </c>
      <c r="AB110" s="12" t="str">
        <f>""</f>
        <v/>
      </c>
      <c r="AD110" s="141"/>
      <c r="AE110" s="146"/>
      <c r="AF110" s="141"/>
      <c r="AG110" s="596" t="str">
        <f>""</f>
        <v/>
      </c>
      <c r="AH110" s="3" t="str">
        <f>""</f>
        <v/>
      </c>
      <c r="AI110" s="601"/>
    </row>
    <row r="111" spans="2:35" s="2" customFormat="1" x14ac:dyDescent="0.2">
      <c r="B111" s="3"/>
      <c r="C111" s="3"/>
      <c r="D111" s="3"/>
      <c r="E111" s="3"/>
      <c r="F111" s="12"/>
      <c r="G111" s="12"/>
      <c r="H111" s="12"/>
      <c r="I111" s="12"/>
      <c r="J111" s="12"/>
      <c r="K111" s="12"/>
      <c r="L111" s="12"/>
      <c r="M111" s="12"/>
      <c r="U111" s="64" t="s">
        <v>69</v>
      </c>
      <c r="V111" s="39" t="str">
        <f>""</f>
        <v/>
      </c>
      <c r="W111" s="12" t="str">
        <f>""</f>
        <v/>
      </c>
      <c r="X111" s="12" t="str">
        <f>""</f>
        <v/>
      </c>
      <c r="Y111" s="34" t="str">
        <f>""</f>
        <v/>
      </c>
      <c r="Z111" s="33" t="str">
        <f>""</f>
        <v/>
      </c>
      <c r="AA111" s="12">
        <v>0</v>
      </c>
      <c r="AB111" s="12" t="str">
        <f>""</f>
        <v/>
      </c>
      <c r="AD111" s="141"/>
      <c r="AE111" s="146"/>
      <c r="AF111" s="141"/>
      <c r="AG111" s="596" t="str">
        <f>""</f>
        <v/>
      </c>
      <c r="AH111" s="3" t="str">
        <f>""</f>
        <v/>
      </c>
      <c r="AI111" s="601"/>
    </row>
    <row r="112" spans="2:35" s="2" customFormat="1" x14ac:dyDescent="0.2">
      <c r="B112" s="3"/>
      <c r="C112" s="3"/>
      <c r="D112" s="3"/>
      <c r="E112" s="3"/>
      <c r="F112" s="12"/>
      <c r="G112" s="12"/>
      <c r="H112" s="12"/>
      <c r="I112" s="12"/>
      <c r="J112" s="12"/>
      <c r="K112" s="12"/>
      <c r="L112" s="12"/>
      <c r="M112" s="12"/>
      <c r="U112" s="64" t="s">
        <v>70</v>
      </c>
      <c r="V112" s="39" t="str">
        <f>""</f>
        <v/>
      </c>
      <c r="W112" s="12" t="str">
        <f>""</f>
        <v/>
      </c>
      <c r="X112" s="12" t="str">
        <f>""</f>
        <v/>
      </c>
      <c r="Y112" s="34" t="str">
        <f>""</f>
        <v/>
      </c>
      <c r="Z112" s="33" t="str">
        <f>""</f>
        <v/>
      </c>
      <c r="AA112" s="12">
        <v>0</v>
      </c>
      <c r="AB112" s="12" t="str">
        <f>""</f>
        <v/>
      </c>
      <c r="AD112" s="141"/>
      <c r="AE112" s="146"/>
      <c r="AF112" s="141"/>
      <c r="AG112" s="596" t="str">
        <f>""</f>
        <v/>
      </c>
      <c r="AH112" s="3" t="str">
        <f>""</f>
        <v/>
      </c>
      <c r="AI112" s="601"/>
    </row>
    <row r="113" spans="2:35" s="2" customFormat="1" x14ac:dyDescent="0.2">
      <c r="B113" s="3"/>
      <c r="C113" s="3"/>
      <c r="D113" s="3"/>
      <c r="E113" s="3"/>
      <c r="F113" s="12"/>
      <c r="G113" s="12"/>
      <c r="H113" s="12"/>
      <c r="I113" s="12"/>
      <c r="J113" s="12"/>
      <c r="K113" s="12"/>
      <c r="L113" s="12"/>
      <c r="M113" s="12"/>
      <c r="U113" s="64" t="s">
        <v>71</v>
      </c>
      <c r="V113" s="39" t="str">
        <f>""</f>
        <v/>
      </c>
      <c r="W113" s="12" t="str">
        <f>""</f>
        <v/>
      </c>
      <c r="X113" s="12" t="str">
        <f>""</f>
        <v/>
      </c>
      <c r="Y113" s="34" t="str">
        <f>""</f>
        <v/>
      </c>
      <c r="Z113" s="33" t="str">
        <f>""</f>
        <v/>
      </c>
      <c r="AA113" s="12">
        <v>0</v>
      </c>
      <c r="AB113" s="12" t="str">
        <f>""</f>
        <v/>
      </c>
      <c r="AD113" s="141"/>
      <c r="AE113" s="146"/>
      <c r="AF113" s="141"/>
      <c r="AG113" s="596" t="str">
        <f>""</f>
        <v/>
      </c>
      <c r="AH113" s="3" t="str">
        <f>""</f>
        <v/>
      </c>
      <c r="AI113" s="601"/>
    </row>
    <row r="114" spans="2:35" s="2" customFormat="1" x14ac:dyDescent="0.2">
      <c r="B114" s="3"/>
      <c r="C114" s="3"/>
      <c r="D114" s="3"/>
      <c r="E114" s="3"/>
      <c r="F114" s="12"/>
      <c r="G114" s="12"/>
      <c r="H114" s="12"/>
      <c r="I114" s="12"/>
      <c r="J114" s="12"/>
      <c r="K114" s="12"/>
      <c r="L114" s="12"/>
      <c r="M114" s="12"/>
      <c r="U114" s="64" t="s">
        <v>72</v>
      </c>
      <c r="V114" s="39" t="str">
        <f>""</f>
        <v/>
      </c>
      <c r="W114" s="12" t="str">
        <f>""</f>
        <v/>
      </c>
      <c r="X114" s="12" t="str">
        <f>""</f>
        <v/>
      </c>
      <c r="Y114" s="34" t="str">
        <f>""</f>
        <v/>
      </c>
      <c r="Z114" s="33" t="str">
        <f>""</f>
        <v/>
      </c>
      <c r="AA114" s="12">
        <v>0</v>
      </c>
      <c r="AB114" s="12" t="str">
        <f>""</f>
        <v/>
      </c>
      <c r="AD114" s="141"/>
      <c r="AE114" s="146"/>
      <c r="AF114" s="141"/>
      <c r="AG114" s="596" t="str">
        <f>""</f>
        <v/>
      </c>
      <c r="AH114" s="3" t="str">
        <f>""</f>
        <v/>
      </c>
      <c r="AI114" s="601"/>
    </row>
    <row r="115" spans="2:35" s="2" customFormat="1" x14ac:dyDescent="0.2">
      <c r="B115" s="3"/>
      <c r="C115" s="3"/>
      <c r="D115" s="3"/>
      <c r="E115" s="3"/>
      <c r="F115" s="12"/>
      <c r="G115" s="12"/>
      <c r="H115" s="12"/>
      <c r="I115" s="12"/>
      <c r="J115" s="12"/>
      <c r="K115" s="12"/>
      <c r="L115" s="12"/>
      <c r="M115" s="12"/>
      <c r="U115" s="64" t="s">
        <v>73</v>
      </c>
      <c r="V115" s="39" t="str">
        <f>""</f>
        <v/>
      </c>
      <c r="W115" s="12" t="str">
        <f>""</f>
        <v/>
      </c>
      <c r="X115" s="12" t="str">
        <f>""</f>
        <v/>
      </c>
      <c r="Y115" s="34" t="str">
        <f>""</f>
        <v/>
      </c>
      <c r="Z115" s="33" t="str">
        <f>""</f>
        <v/>
      </c>
      <c r="AA115" s="12">
        <v>0</v>
      </c>
      <c r="AB115" s="12" t="str">
        <f>""</f>
        <v/>
      </c>
      <c r="AD115" s="141"/>
      <c r="AE115" s="146"/>
      <c r="AF115" s="141"/>
      <c r="AG115" s="596" t="str">
        <f>""</f>
        <v/>
      </c>
      <c r="AH115" s="3" t="str">
        <f>""</f>
        <v/>
      </c>
      <c r="AI115" s="601"/>
    </row>
    <row r="116" spans="2:35" s="2" customFormat="1" x14ac:dyDescent="0.2">
      <c r="B116" s="3"/>
      <c r="C116" s="3"/>
      <c r="D116" s="3"/>
      <c r="E116" s="3"/>
      <c r="F116" s="12"/>
      <c r="G116" s="12"/>
      <c r="H116" s="12"/>
      <c r="I116" s="12"/>
      <c r="J116" s="12"/>
      <c r="K116" s="12"/>
      <c r="L116" s="12"/>
      <c r="M116" s="12"/>
      <c r="U116" s="64" t="s">
        <v>74</v>
      </c>
      <c r="V116" s="39" t="str">
        <f>""</f>
        <v/>
      </c>
      <c r="W116" s="12" t="str">
        <f>""</f>
        <v/>
      </c>
      <c r="X116" s="12" t="str">
        <f>""</f>
        <v/>
      </c>
      <c r="Y116" s="34" t="str">
        <f>""</f>
        <v/>
      </c>
      <c r="Z116" s="33" t="str">
        <f>""</f>
        <v/>
      </c>
      <c r="AA116" s="12">
        <v>0</v>
      </c>
      <c r="AB116" s="12" t="str">
        <f>""</f>
        <v/>
      </c>
      <c r="AD116" s="141"/>
      <c r="AE116" s="146"/>
      <c r="AF116" s="141"/>
      <c r="AG116" s="596" t="str">
        <f>""</f>
        <v/>
      </c>
      <c r="AH116" s="3" t="str">
        <f>""</f>
        <v/>
      </c>
      <c r="AI116" s="601"/>
    </row>
    <row r="117" spans="2:35" s="2" customFormat="1" x14ac:dyDescent="0.2">
      <c r="B117" s="3"/>
      <c r="C117" s="3"/>
      <c r="D117" s="3"/>
      <c r="E117" s="3"/>
      <c r="F117" s="12"/>
      <c r="G117" s="12"/>
      <c r="H117" s="12"/>
      <c r="I117" s="12"/>
      <c r="J117" s="12"/>
      <c r="K117" s="12"/>
      <c r="L117" s="12"/>
      <c r="M117" s="12"/>
      <c r="U117" s="64" t="s">
        <v>75</v>
      </c>
      <c r="V117" s="39" t="str">
        <f>""</f>
        <v/>
      </c>
      <c r="W117" s="12" t="str">
        <f>""</f>
        <v/>
      </c>
      <c r="X117" s="12" t="str">
        <f>""</f>
        <v/>
      </c>
      <c r="Y117" s="34" t="str">
        <f>""</f>
        <v/>
      </c>
      <c r="Z117" s="33" t="str">
        <f>""</f>
        <v/>
      </c>
      <c r="AA117" s="12">
        <v>0</v>
      </c>
      <c r="AB117" s="12" t="str">
        <f>""</f>
        <v/>
      </c>
      <c r="AD117" s="141"/>
      <c r="AE117" s="146"/>
      <c r="AF117" s="141"/>
      <c r="AG117" s="596" t="str">
        <f>""</f>
        <v/>
      </c>
      <c r="AH117" s="3" t="str">
        <f>""</f>
        <v/>
      </c>
      <c r="AI117" s="601"/>
    </row>
    <row r="118" spans="2:35" s="2" customFormat="1" x14ac:dyDescent="0.2">
      <c r="B118" s="3"/>
      <c r="C118" s="3"/>
      <c r="D118" s="3"/>
      <c r="E118" s="3"/>
      <c r="F118" s="12"/>
      <c r="G118" s="12"/>
      <c r="H118" s="12"/>
      <c r="I118" s="12"/>
      <c r="J118" s="12"/>
      <c r="K118" s="12"/>
      <c r="L118" s="12"/>
      <c r="M118" s="12"/>
      <c r="U118" s="64" t="s">
        <v>76</v>
      </c>
      <c r="V118" s="39" t="str">
        <f>""</f>
        <v/>
      </c>
      <c r="W118" s="12" t="str">
        <f>""</f>
        <v/>
      </c>
      <c r="X118" s="12" t="str">
        <f>""</f>
        <v/>
      </c>
      <c r="Y118" s="34" t="str">
        <f>""</f>
        <v/>
      </c>
      <c r="Z118" s="33" t="str">
        <f>""</f>
        <v/>
      </c>
      <c r="AA118" s="12">
        <v>0</v>
      </c>
      <c r="AB118" s="12" t="str">
        <f>""</f>
        <v/>
      </c>
      <c r="AD118" s="141"/>
      <c r="AE118" s="146"/>
      <c r="AF118" s="141"/>
      <c r="AG118" s="596" t="str">
        <f>""</f>
        <v/>
      </c>
      <c r="AH118" s="3" t="str">
        <f>""</f>
        <v/>
      </c>
      <c r="AI118" s="601"/>
    </row>
    <row r="119" spans="2:35" s="2" customFormat="1" x14ac:dyDescent="0.2">
      <c r="B119" s="3"/>
      <c r="C119" s="3"/>
      <c r="D119" s="3"/>
      <c r="E119" s="3"/>
      <c r="F119" s="12"/>
      <c r="G119" s="12"/>
      <c r="H119" s="12"/>
      <c r="I119" s="12"/>
      <c r="J119" s="12"/>
      <c r="K119" s="12"/>
      <c r="L119" s="12"/>
      <c r="M119" s="12"/>
      <c r="U119" s="64" t="s">
        <v>77</v>
      </c>
      <c r="V119" s="39" t="str">
        <f>""</f>
        <v/>
      </c>
      <c r="W119" s="12" t="str">
        <f>""</f>
        <v/>
      </c>
      <c r="X119" s="12" t="str">
        <f>""</f>
        <v/>
      </c>
      <c r="Y119" s="34" t="str">
        <f>""</f>
        <v/>
      </c>
      <c r="Z119" s="33" t="str">
        <f>""</f>
        <v/>
      </c>
      <c r="AA119" s="12">
        <v>0</v>
      </c>
      <c r="AB119" s="12" t="str">
        <f>""</f>
        <v/>
      </c>
      <c r="AD119" s="141"/>
      <c r="AE119" s="146"/>
      <c r="AF119" s="141"/>
      <c r="AG119" s="596" t="str">
        <f>""</f>
        <v/>
      </c>
      <c r="AH119" s="3" t="str">
        <f>""</f>
        <v/>
      </c>
      <c r="AI119" s="601"/>
    </row>
    <row r="120" spans="2:35" s="2" customFormat="1" x14ac:dyDescent="0.2">
      <c r="B120" s="3"/>
      <c r="C120" s="3"/>
      <c r="D120" s="3"/>
      <c r="E120" s="3"/>
      <c r="F120" s="12"/>
      <c r="G120" s="12"/>
      <c r="H120" s="12"/>
      <c r="I120" s="12"/>
      <c r="J120" s="12"/>
      <c r="K120" s="12"/>
      <c r="L120" s="12"/>
      <c r="M120" s="12"/>
      <c r="U120" s="64" t="s">
        <v>78</v>
      </c>
      <c r="V120" s="39" t="str">
        <f>""</f>
        <v/>
      </c>
      <c r="W120" s="12" t="str">
        <f>""</f>
        <v/>
      </c>
      <c r="X120" s="12" t="str">
        <f>""</f>
        <v/>
      </c>
      <c r="Y120" s="34" t="str">
        <f>""</f>
        <v/>
      </c>
      <c r="Z120" s="33" t="str">
        <f>""</f>
        <v/>
      </c>
      <c r="AA120" s="12">
        <v>0</v>
      </c>
      <c r="AB120" s="12" t="str">
        <f>""</f>
        <v/>
      </c>
      <c r="AD120" s="141"/>
      <c r="AE120" s="146"/>
      <c r="AF120" s="141"/>
      <c r="AG120" s="596" t="str">
        <f>""</f>
        <v/>
      </c>
      <c r="AH120" s="3" t="str">
        <f>""</f>
        <v/>
      </c>
      <c r="AI120" s="601"/>
    </row>
    <row r="121" spans="2:35" s="2" customFormat="1" x14ac:dyDescent="0.2">
      <c r="B121" s="3"/>
      <c r="C121" s="3"/>
      <c r="D121" s="3"/>
      <c r="E121" s="3"/>
      <c r="F121" s="12"/>
      <c r="G121" s="12"/>
      <c r="H121" s="12"/>
      <c r="I121" s="12"/>
      <c r="J121" s="12"/>
      <c r="K121" s="12"/>
      <c r="L121" s="12"/>
      <c r="M121" s="12"/>
      <c r="U121" s="64" t="s">
        <v>79</v>
      </c>
      <c r="V121" s="39" t="str">
        <f>""</f>
        <v/>
      </c>
      <c r="W121" s="12" t="str">
        <f>""</f>
        <v/>
      </c>
      <c r="X121" s="12" t="str">
        <f>""</f>
        <v/>
      </c>
      <c r="Y121" s="34" t="str">
        <f>""</f>
        <v/>
      </c>
      <c r="Z121" s="33" t="str">
        <f>""</f>
        <v/>
      </c>
      <c r="AA121" s="12">
        <v>0</v>
      </c>
      <c r="AB121" s="12" t="str">
        <f>""</f>
        <v/>
      </c>
      <c r="AD121" s="141"/>
      <c r="AE121" s="146"/>
      <c r="AF121" s="141"/>
      <c r="AG121" s="596" t="str">
        <f>""</f>
        <v/>
      </c>
      <c r="AH121" s="3" t="str">
        <f>""</f>
        <v/>
      </c>
      <c r="AI121" s="601"/>
    </row>
    <row r="122" spans="2:35" s="2" customFormat="1" x14ac:dyDescent="0.2">
      <c r="B122" s="3"/>
      <c r="C122" s="3"/>
      <c r="D122" s="3"/>
      <c r="E122" s="3"/>
      <c r="F122" s="12"/>
      <c r="G122" s="12"/>
      <c r="H122" s="12"/>
      <c r="I122" s="12"/>
      <c r="J122" s="12"/>
      <c r="K122" s="12"/>
      <c r="L122" s="12"/>
      <c r="M122" s="12"/>
      <c r="U122" s="64" t="s">
        <v>80</v>
      </c>
      <c r="V122" s="39" t="str">
        <f>""</f>
        <v/>
      </c>
      <c r="W122" s="12" t="str">
        <f>""</f>
        <v/>
      </c>
      <c r="X122" s="12" t="str">
        <f>""</f>
        <v/>
      </c>
      <c r="Y122" s="34" t="str">
        <f>""</f>
        <v/>
      </c>
      <c r="Z122" s="33" t="str">
        <f>""</f>
        <v/>
      </c>
      <c r="AA122" s="12">
        <v>0</v>
      </c>
      <c r="AB122" s="12" t="str">
        <f>""</f>
        <v/>
      </c>
      <c r="AD122" s="141"/>
      <c r="AE122" s="146"/>
      <c r="AF122" s="141"/>
      <c r="AG122" s="596" t="str">
        <f>""</f>
        <v/>
      </c>
      <c r="AH122" s="3" t="str">
        <f>""</f>
        <v/>
      </c>
      <c r="AI122" s="601"/>
    </row>
    <row r="123" spans="2:35" s="2" customFormat="1" x14ac:dyDescent="0.2">
      <c r="B123" s="3"/>
      <c r="C123" s="3"/>
      <c r="D123" s="3"/>
      <c r="E123" s="3"/>
      <c r="F123" s="12"/>
      <c r="G123" s="12"/>
      <c r="H123" s="12"/>
      <c r="I123" s="12"/>
      <c r="J123" s="12"/>
      <c r="K123" s="12"/>
      <c r="L123" s="12"/>
      <c r="M123" s="12"/>
      <c r="U123" s="64" t="s">
        <v>81</v>
      </c>
      <c r="V123" s="39" t="str">
        <f>""</f>
        <v/>
      </c>
      <c r="W123" s="12" t="str">
        <f>""</f>
        <v/>
      </c>
      <c r="X123" s="12" t="str">
        <f>""</f>
        <v/>
      </c>
      <c r="Y123" s="34" t="str">
        <f>""</f>
        <v/>
      </c>
      <c r="Z123" s="33" t="str">
        <f>""</f>
        <v/>
      </c>
      <c r="AA123" s="12">
        <v>0</v>
      </c>
      <c r="AB123" s="12" t="str">
        <f>""</f>
        <v/>
      </c>
      <c r="AD123" s="141"/>
      <c r="AE123" s="146"/>
      <c r="AF123" s="141"/>
      <c r="AG123" s="596" t="str">
        <f>""</f>
        <v/>
      </c>
      <c r="AH123" s="3" t="str">
        <f>""</f>
        <v/>
      </c>
      <c r="AI123" s="601"/>
    </row>
    <row r="124" spans="2:35" s="2" customFormat="1" x14ac:dyDescent="0.2">
      <c r="B124" s="3"/>
      <c r="C124" s="3"/>
      <c r="D124" s="3"/>
      <c r="E124" s="3"/>
      <c r="F124" s="12"/>
      <c r="G124" s="12"/>
      <c r="H124" s="12"/>
      <c r="I124" s="12"/>
      <c r="J124" s="12"/>
      <c r="K124" s="12"/>
      <c r="L124" s="12"/>
      <c r="M124" s="12"/>
      <c r="U124" s="64" t="s">
        <v>82</v>
      </c>
      <c r="V124" s="39" t="str">
        <f>""</f>
        <v/>
      </c>
      <c r="W124" s="12" t="str">
        <f>""</f>
        <v/>
      </c>
      <c r="X124" s="12" t="str">
        <f>""</f>
        <v/>
      </c>
      <c r="Y124" s="34" t="str">
        <f>""</f>
        <v/>
      </c>
      <c r="Z124" s="33" t="str">
        <f>""</f>
        <v/>
      </c>
      <c r="AA124" s="12">
        <v>0</v>
      </c>
      <c r="AB124" s="12" t="str">
        <f>""</f>
        <v/>
      </c>
      <c r="AD124" s="141"/>
      <c r="AE124" s="146"/>
      <c r="AF124" s="141"/>
      <c r="AG124" s="596" t="str">
        <f>""</f>
        <v/>
      </c>
      <c r="AH124" s="3" t="str">
        <f>""</f>
        <v/>
      </c>
      <c r="AI124" s="601"/>
    </row>
    <row r="125" spans="2:35" s="2" customFormat="1" x14ac:dyDescent="0.2">
      <c r="B125" s="3"/>
      <c r="C125" s="3"/>
      <c r="D125" s="3"/>
      <c r="E125" s="3"/>
      <c r="F125" s="12"/>
      <c r="G125" s="12"/>
      <c r="H125" s="12"/>
      <c r="I125" s="12"/>
      <c r="J125" s="12"/>
      <c r="K125" s="12"/>
      <c r="L125" s="12"/>
      <c r="M125" s="12"/>
      <c r="U125" s="64" t="s">
        <v>83</v>
      </c>
      <c r="V125" s="39" t="str">
        <f>""</f>
        <v/>
      </c>
      <c r="W125" s="12" t="str">
        <f>""</f>
        <v/>
      </c>
      <c r="X125" s="12" t="str">
        <f>""</f>
        <v/>
      </c>
      <c r="Y125" s="34" t="str">
        <f>""</f>
        <v/>
      </c>
      <c r="Z125" s="33" t="str">
        <f>""</f>
        <v/>
      </c>
      <c r="AA125" s="12">
        <v>0</v>
      </c>
      <c r="AB125" s="12" t="str">
        <f>""</f>
        <v/>
      </c>
      <c r="AD125" s="141"/>
      <c r="AE125" s="146"/>
      <c r="AF125" s="141"/>
      <c r="AG125" s="596" t="str">
        <f>""</f>
        <v/>
      </c>
      <c r="AH125" s="3" t="str">
        <f>""</f>
        <v/>
      </c>
      <c r="AI125" s="601"/>
    </row>
    <row r="126" spans="2:35" s="2" customFormat="1" x14ac:dyDescent="0.2">
      <c r="B126" s="3"/>
      <c r="C126" s="3"/>
      <c r="D126" s="3"/>
      <c r="E126" s="3"/>
      <c r="F126" s="12"/>
      <c r="G126" s="12"/>
      <c r="H126" s="12"/>
      <c r="I126" s="12"/>
      <c r="J126" s="12"/>
      <c r="K126" s="12"/>
      <c r="L126" s="12"/>
      <c r="M126" s="12"/>
      <c r="U126" s="64" t="s">
        <v>84</v>
      </c>
      <c r="V126" s="39" t="str">
        <f>""</f>
        <v/>
      </c>
      <c r="W126" s="12" t="str">
        <f>""</f>
        <v/>
      </c>
      <c r="X126" s="12" t="str">
        <f>""</f>
        <v/>
      </c>
      <c r="Y126" s="34" t="str">
        <f>""</f>
        <v/>
      </c>
      <c r="Z126" s="33" t="str">
        <f>""</f>
        <v/>
      </c>
      <c r="AA126" s="12">
        <v>0</v>
      </c>
      <c r="AB126" s="12" t="str">
        <f>""</f>
        <v/>
      </c>
      <c r="AD126" s="141"/>
      <c r="AE126" s="146"/>
      <c r="AF126" s="141"/>
      <c r="AG126" s="596" t="str">
        <f>""</f>
        <v/>
      </c>
      <c r="AH126" s="3" t="str">
        <f>""</f>
        <v/>
      </c>
      <c r="AI126" s="601"/>
    </row>
    <row r="127" spans="2:35" s="2" customFormat="1" x14ac:dyDescent="0.2">
      <c r="B127" s="3"/>
      <c r="C127" s="3"/>
      <c r="D127" s="3"/>
      <c r="E127" s="3"/>
      <c r="F127" s="12"/>
      <c r="G127" s="12"/>
      <c r="H127" s="12"/>
      <c r="I127" s="12"/>
      <c r="J127" s="12"/>
      <c r="K127" s="12"/>
      <c r="L127" s="12"/>
      <c r="M127" s="12"/>
      <c r="U127" s="64" t="s">
        <v>85</v>
      </c>
      <c r="V127" s="39" t="str">
        <f>""</f>
        <v/>
      </c>
      <c r="W127" s="12" t="str">
        <f>""</f>
        <v/>
      </c>
      <c r="X127" s="12" t="str">
        <f>""</f>
        <v/>
      </c>
      <c r="Y127" s="34" t="str">
        <f>""</f>
        <v/>
      </c>
      <c r="Z127" s="33" t="str">
        <f>""</f>
        <v/>
      </c>
      <c r="AA127" s="12">
        <v>0</v>
      </c>
      <c r="AB127" s="12" t="str">
        <f>""</f>
        <v/>
      </c>
      <c r="AD127" s="141"/>
      <c r="AE127" s="146"/>
      <c r="AF127" s="141"/>
      <c r="AG127" s="596" t="str">
        <f>""</f>
        <v/>
      </c>
      <c r="AH127" s="3" t="str">
        <f>""</f>
        <v/>
      </c>
      <c r="AI127" s="601"/>
    </row>
    <row r="128" spans="2:35" s="2" customFormat="1" x14ac:dyDescent="0.2">
      <c r="B128" s="3"/>
      <c r="C128" s="3"/>
      <c r="D128" s="3"/>
      <c r="E128" s="3"/>
      <c r="F128" s="12"/>
      <c r="G128" s="12"/>
      <c r="H128" s="12"/>
      <c r="I128" s="12"/>
      <c r="J128" s="12"/>
      <c r="K128" s="12"/>
      <c r="L128" s="12"/>
      <c r="M128" s="12"/>
      <c r="U128" s="64" t="s">
        <v>86</v>
      </c>
      <c r="V128" s="39" t="str">
        <f>""</f>
        <v/>
      </c>
      <c r="W128" s="12" t="str">
        <f>""</f>
        <v/>
      </c>
      <c r="X128" s="12" t="str">
        <f>""</f>
        <v/>
      </c>
      <c r="Y128" s="34" t="str">
        <f>""</f>
        <v/>
      </c>
      <c r="Z128" s="33" t="str">
        <f>""</f>
        <v/>
      </c>
      <c r="AA128" s="12">
        <v>0</v>
      </c>
      <c r="AB128" s="12" t="str">
        <f>""</f>
        <v/>
      </c>
      <c r="AD128" s="141"/>
      <c r="AE128" s="146"/>
      <c r="AF128" s="141"/>
      <c r="AG128" s="596" t="str">
        <f>""</f>
        <v/>
      </c>
      <c r="AH128" s="3" t="str">
        <f>""</f>
        <v/>
      </c>
      <c r="AI128" s="601"/>
    </row>
    <row r="129" spans="2:35" s="2" customFormat="1" x14ac:dyDescent="0.2">
      <c r="B129" s="3"/>
      <c r="C129" s="3"/>
      <c r="D129" s="3"/>
      <c r="E129" s="3"/>
      <c r="F129" s="12"/>
      <c r="G129" s="12"/>
      <c r="H129" s="12"/>
      <c r="I129" s="12"/>
      <c r="J129" s="12"/>
      <c r="K129" s="12"/>
      <c r="L129" s="12"/>
      <c r="M129" s="12"/>
      <c r="U129" s="64" t="s">
        <v>87</v>
      </c>
      <c r="V129" s="39" t="str">
        <f>""</f>
        <v/>
      </c>
      <c r="W129" s="12" t="str">
        <f>""</f>
        <v/>
      </c>
      <c r="X129" s="12" t="str">
        <f>""</f>
        <v/>
      </c>
      <c r="Y129" s="34" t="str">
        <f>""</f>
        <v/>
      </c>
      <c r="Z129" s="33" t="str">
        <f>""</f>
        <v/>
      </c>
      <c r="AA129" s="12">
        <v>0</v>
      </c>
      <c r="AB129" s="12" t="str">
        <f>""</f>
        <v/>
      </c>
      <c r="AD129" s="141"/>
      <c r="AE129" s="146"/>
      <c r="AF129" s="141"/>
      <c r="AG129" s="596" t="str">
        <f>""</f>
        <v/>
      </c>
      <c r="AH129" s="3" t="str">
        <f>""</f>
        <v/>
      </c>
      <c r="AI129" s="601"/>
    </row>
    <row r="130" spans="2:35" s="2" customFormat="1" x14ac:dyDescent="0.2">
      <c r="B130" s="3"/>
      <c r="C130" s="3"/>
      <c r="D130" s="3"/>
      <c r="E130" s="3"/>
      <c r="F130" s="12"/>
      <c r="G130" s="12"/>
      <c r="H130" s="12"/>
      <c r="I130" s="12"/>
      <c r="J130" s="12"/>
      <c r="K130" s="12"/>
      <c r="L130" s="12"/>
      <c r="M130" s="12"/>
      <c r="U130" s="64" t="s">
        <v>88</v>
      </c>
      <c r="V130" s="39" t="str">
        <f>""</f>
        <v/>
      </c>
      <c r="W130" s="12" t="str">
        <f>""</f>
        <v/>
      </c>
      <c r="X130" s="12" t="str">
        <f>""</f>
        <v/>
      </c>
      <c r="Y130" s="34" t="str">
        <f>""</f>
        <v/>
      </c>
      <c r="Z130" s="33" t="str">
        <f>""</f>
        <v/>
      </c>
      <c r="AA130" s="12">
        <v>0</v>
      </c>
      <c r="AB130" s="12" t="str">
        <f>""</f>
        <v/>
      </c>
      <c r="AD130" s="141"/>
      <c r="AE130" s="146"/>
      <c r="AF130" s="141"/>
      <c r="AG130" s="596" t="str">
        <f>""</f>
        <v/>
      </c>
      <c r="AH130" s="3" t="str">
        <f>""</f>
        <v/>
      </c>
      <c r="AI130" s="601"/>
    </row>
    <row r="131" spans="2:35" s="2" customFormat="1" x14ac:dyDescent="0.2">
      <c r="B131" s="3"/>
      <c r="C131" s="3"/>
      <c r="D131" s="3"/>
      <c r="E131" s="3"/>
      <c r="F131" s="12"/>
      <c r="G131" s="12"/>
      <c r="H131" s="12"/>
      <c r="I131" s="12"/>
      <c r="J131" s="12"/>
      <c r="K131" s="12"/>
      <c r="L131" s="12"/>
      <c r="M131" s="12"/>
      <c r="U131" s="64" t="s">
        <v>89</v>
      </c>
      <c r="V131" s="39" t="str">
        <f>""</f>
        <v/>
      </c>
      <c r="W131" s="12" t="str">
        <f>""</f>
        <v/>
      </c>
      <c r="X131" s="12" t="str">
        <f>""</f>
        <v/>
      </c>
      <c r="Y131" s="34" t="str">
        <f>""</f>
        <v/>
      </c>
      <c r="Z131" s="33" t="str">
        <f>""</f>
        <v/>
      </c>
      <c r="AA131" s="12">
        <v>0</v>
      </c>
      <c r="AB131" s="12" t="str">
        <f>""</f>
        <v/>
      </c>
      <c r="AD131" s="141"/>
      <c r="AE131" s="146"/>
      <c r="AF131" s="141"/>
      <c r="AG131" s="596" t="str">
        <f>""</f>
        <v/>
      </c>
      <c r="AH131" s="3" t="str">
        <f>""</f>
        <v/>
      </c>
      <c r="AI131" s="601"/>
    </row>
    <row r="132" spans="2:35" s="2" customFormat="1" x14ac:dyDescent="0.2">
      <c r="B132" s="3"/>
      <c r="C132" s="3"/>
      <c r="D132" s="3"/>
      <c r="E132" s="3"/>
      <c r="F132" s="12"/>
      <c r="G132" s="12"/>
      <c r="H132" s="12"/>
      <c r="I132" s="12"/>
      <c r="J132" s="12"/>
      <c r="K132" s="12"/>
      <c r="L132" s="12"/>
      <c r="M132" s="12"/>
      <c r="U132" s="64" t="s">
        <v>90</v>
      </c>
      <c r="V132" s="39" t="str">
        <f>""</f>
        <v/>
      </c>
      <c r="W132" s="12" t="str">
        <f>""</f>
        <v/>
      </c>
      <c r="X132" s="12" t="str">
        <f>""</f>
        <v/>
      </c>
      <c r="Y132" s="34" t="str">
        <f>""</f>
        <v/>
      </c>
      <c r="Z132" s="33" t="str">
        <f>""</f>
        <v/>
      </c>
      <c r="AA132" s="12">
        <v>0</v>
      </c>
      <c r="AB132" s="12" t="str">
        <f>""</f>
        <v/>
      </c>
      <c r="AD132" s="141"/>
      <c r="AE132" s="146"/>
      <c r="AF132" s="141"/>
      <c r="AG132" s="596" t="str">
        <f>""</f>
        <v/>
      </c>
      <c r="AH132" s="3" t="str">
        <f>""</f>
        <v/>
      </c>
      <c r="AI132" s="601"/>
    </row>
    <row r="133" spans="2:35" s="2" customFormat="1" x14ac:dyDescent="0.2">
      <c r="B133" s="3"/>
      <c r="C133" s="3"/>
      <c r="D133" s="3"/>
      <c r="E133" s="3"/>
      <c r="F133" s="12"/>
      <c r="G133" s="12"/>
      <c r="H133" s="12"/>
      <c r="I133" s="12"/>
      <c r="J133" s="12"/>
      <c r="K133" s="12"/>
      <c r="L133" s="12"/>
      <c r="M133" s="12"/>
      <c r="U133" s="64" t="s">
        <v>91</v>
      </c>
      <c r="V133" s="39" t="str">
        <f>""</f>
        <v/>
      </c>
      <c r="W133" s="12" t="str">
        <f>""</f>
        <v/>
      </c>
      <c r="X133" s="12" t="str">
        <f>""</f>
        <v/>
      </c>
      <c r="Y133" s="34" t="str">
        <f>""</f>
        <v/>
      </c>
      <c r="Z133" s="33" t="str">
        <f>""</f>
        <v/>
      </c>
      <c r="AA133" s="12">
        <v>0</v>
      </c>
      <c r="AB133" s="12" t="str">
        <f>""</f>
        <v/>
      </c>
      <c r="AD133" s="141"/>
      <c r="AE133" s="146"/>
      <c r="AF133" s="141"/>
      <c r="AG133" s="596" t="str">
        <f>""</f>
        <v/>
      </c>
      <c r="AH133" s="3" t="str">
        <f>""</f>
        <v/>
      </c>
      <c r="AI133" s="601"/>
    </row>
    <row r="134" spans="2:35" s="2" customFormat="1" x14ac:dyDescent="0.2">
      <c r="B134" s="3"/>
      <c r="C134" s="3"/>
      <c r="D134" s="3"/>
      <c r="E134" s="3"/>
      <c r="F134" s="12"/>
      <c r="G134" s="12"/>
      <c r="H134" s="12"/>
      <c r="I134" s="12"/>
      <c r="J134" s="12"/>
      <c r="K134" s="12"/>
      <c r="L134" s="12"/>
      <c r="M134" s="12"/>
      <c r="U134" s="64" t="s">
        <v>92</v>
      </c>
      <c r="V134" s="39" t="str">
        <f>""</f>
        <v/>
      </c>
      <c r="W134" s="12" t="str">
        <f>""</f>
        <v/>
      </c>
      <c r="X134" s="12" t="str">
        <f>""</f>
        <v/>
      </c>
      <c r="Y134" s="34" t="str">
        <f>""</f>
        <v/>
      </c>
      <c r="Z134" s="33" t="str">
        <f>""</f>
        <v/>
      </c>
      <c r="AA134" s="12">
        <v>0</v>
      </c>
      <c r="AB134" s="12" t="str">
        <f>""</f>
        <v/>
      </c>
      <c r="AD134" s="141"/>
      <c r="AE134" s="146"/>
      <c r="AF134" s="141"/>
      <c r="AG134" s="596" t="str">
        <f>""</f>
        <v/>
      </c>
      <c r="AH134" s="3" t="str">
        <f>""</f>
        <v/>
      </c>
      <c r="AI134" s="601"/>
    </row>
    <row r="135" spans="2:35" s="2" customFormat="1" ht="12.75" thickBot="1" x14ac:dyDescent="0.25">
      <c r="B135" s="3"/>
      <c r="C135" s="3"/>
      <c r="D135" s="3"/>
      <c r="E135" s="3"/>
      <c r="F135" s="12"/>
      <c r="G135" s="12"/>
      <c r="H135" s="12"/>
      <c r="I135" s="12"/>
      <c r="J135" s="12"/>
      <c r="K135" s="12"/>
      <c r="L135" s="12"/>
      <c r="M135" s="12"/>
      <c r="U135" s="65" t="s">
        <v>93</v>
      </c>
      <c r="V135" s="40" t="str">
        <f>""</f>
        <v/>
      </c>
      <c r="W135" s="36" t="str">
        <f>""</f>
        <v/>
      </c>
      <c r="X135" s="36" t="str">
        <f>""</f>
        <v/>
      </c>
      <c r="Y135" s="37" t="str">
        <f>""</f>
        <v/>
      </c>
      <c r="Z135" s="33" t="str">
        <f>""</f>
        <v/>
      </c>
      <c r="AA135" s="36">
        <v>0</v>
      </c>
      <c r="AB135" s="142" t="str">
        <f>""</f>
        <v/>
      </c>
      <c r="AC135" s="144"/>
      <c r="AD135" s="143"/>
      <c r="AE135" s="147"/>
      <c r="AF135" s="143"/>
      <c r="AG135" s="597" t="str">
        <f>""</f>
        <v/>
      </c>
      <c r="AH135" s="144" t="str">
        <f>""</f>
        <v/>
      </c>
      <c r="AI135" s="602"/>
    </row>
    <row r="136" spans="2:35" s="2" customFormat="1" ht="12.75" thickTop="1" x14ac:dyDescent="0.2">
      <c r="B136" s="3"/>
      <c r="C136" s="3"/>
      <c r="D136" s="3"/>
      <c r="E136" s="3"/>
      <c r="F136" s="12"/>
      <c r="G136" s="12"/>
      <c r="H136" s="12"/>
      <c r="I136" s="12"/>
      <c r="J136" s="12"/>
      <c r="K136" s="12"/>
      <c r="L136" s="12"/>
      <c r="M136" s="12"/>
      <c r="Y136" s="63" t="s">
        <v>6</v>
      </c>
      <c r="Z136" s="30" t="str">
        <f ca="1">W64&amp;V64</f>
        <v>FC BarcelonaVFB Essenheim</v>
      </c>
      <c r="AA136" s="31">
        <f ca="1">AA64</f>
        <v>1</v>
      </c>
      <c r="AB136" s="12" t="str">
        <f ca="1">IF(AA136&gt;0,(Y64+AH64)&amp;Sprache!$E$77&amp;(X64+AG64),"")</f>
        <v>50:33</v>
      </c>
      <c r="AD136" s="141"/>
      <c r="AE136" s="604"/>
      <c r="AF136" s="605"/>
      <c r="AG136" s="605"/>
      <c r="AH136" s="605"/>
      <c r="AI136" s="140" t="str">
        <f ca="1">IF(AA64&gt;0,AF64&amp;Sprache!$E$77&amp;AE64,"")</f>
        <v>2:0</v>
      </c>
    </row>
    <row r="137" spans="2:35" x14ac:dyDescent="0.2">
      <c r="Y137" s="64" t="s">
        <v>7</v>
      </c>
      <c r="Z137" s="33" t="str">
        <f ca="1">W65&amp;V65</f>
        <v>Inter MailandFC Grönlingen</v>
      </c>
      <c r="AA137" s="12">
        <f t="shared" ref="AA137:AA165" ca="1" si="70">AA65</f>
        <v>1</v>
      </c>
      <c r="AB137" s="12" t="str">
        <f ca="1">IF(AA137&gt;0,(Y65+AH65)&amp;Sprache!$E$77&amp;(X65+AG65),"")</f>
        <v>45:48</v>
      </c>
      <c r="AC137" s="2"/>
      <c r="AD137" s="141"/>
      <c r="AE137" s="606"/>
      <c r="AF137" s="607"/>
      <c r="AG137" s="607"/>
      <c r="AH137" s="607"/>
      <c r="AI137" s="615" t="str">
        <f ca="1">IF(AA65&gt;0,AF65&amp;Sprache!$E$77&amp;AE65,"")</f>
        <v>1:1</v>
      </c>
    </row>
    <row r="138" spans="2:35" x14ac:dyDescent="0.2">
      <c r="Y138" s="64" t="s">
        <v>8</v>
      </c>
      <c r="Z138" s="33" t="str">
        <f t="shared" ref="Z138:Z165" ca="1" si="71">W66&amp;V66</f>
        <v>Maibach 1822 eVEintracht Frankfurt</v>
      </c>
      <c r="AA138" s="12">
        <f t="shared" ca="1" si="70"/>
        <v>1</v>
      </c>
      <c r="AB138" s="12" t="str">
        <f ca="1">IF(AA138&gt;0,(Y66+AH66)&amp;Sprache!$E$77&amp;(X66+AG66),"")</f>
        <v>40:50</v>
      </c>
      <c r="AC138" s="2"/>
      <c r="AD138" s="141"/>
      <c r="AE138" s="606"/>
      <c r="AF138" s="607"/>
      <c r="AG138" s="607"/>
      <c r="AH138" s="607"/>
      <c r="AI138" s="615" t="str">
        <f ca="1">IF(AA66&gt;0,AF66&amp;Sprache!$E$77&amp;AE66,"")</f>
        <v>0:2</v>
      </c>
    </row>
    <row r="139" spans="2:35" x14ac:dyDescent="0.2">
      <c r="Y139" s="64" t="s">
        <v>9</v>
      </c>
      <c r="Z139" s="33" t="str">
        <f t="shared" ca="1" si="71"/>
        <v>Manchester CitySSV Wildbach</v>
      </c>
      <c r="AA139" s="12">
        <f t="shared" ca="1" si="70"/>
        <v>1</v>
      </c>
      <c r="AB139" s="12" t="str">
        <f ca="1">IF(AA139&gt;0,(Y67+AH67)&amp;Sprache!$E$77&amp;(X67+AG67),"")</f>
        <v>42:50</v>
      </c>
      <c r="AC139" s="2"/>
      <c r="AD139" s="141"/>
      <c r="AE139" s="606"/>
      <c r="AF139" s="607"/>
      <c r="AG139" s="607"/>
      <c r="AH139" s="607"/>
      <c r="AI139" s="615" t="str">
        <f ca="1">IF(AA67&gt;0,AF67&amp;Sprache!$E$77&amp;AE67,"")</f>
        <v>0:2</v>
      </c>
    </row>
    <row r="140" spans="2:35" x14ac:dyDescent="0.2">
      <c r="Y140" s="64" t="s">
        <v>10</v>
      </c>
      <c r="Z140" s="33" t="str">
        <f t="shared" ca="1" si="71"/>
        <v>1. FC RiedwaldVFB Essenheim</v>
      </c>
      <c r="AA140" s="12">
        <f t="shared" ca="1" si="70"/>
        <v>1</v>
      </c>
      <c r="AB140" s="12" t="str">
        <f ca="1">IF(AA140&gt;0,(Y68+AH68)&amp;Sprache!$E$77&amp;(X68+AG68),"")</f>
        <v>44:50</v>
      </c>
      <c r="AC140" s="2"/>
      <c r="AD140" s="141"/>
      <c r="AE140" s="606"/>
      <c r="AF140" s="607"/>
      <c r="AG140" s="607"/>
      <c r="AH140" s="607"/>
      <c r="AI140" s="615" t="str">
        <f ca="1">IF(AA68&gt;0,AF68&amp;Sprache!$E$77&amp;AE68,"")</f>
        <v>0:2</v>
      </c>
    </row>
    <row r="141" spans="2:35" x14ac:dyDescent="0.2">
      <c r="Y141" s="64" t="s">
        <v>11</v>
      </c>
      <c r="Z141" s="33" t="str">
        <f t="shared" ca="1" si="71"/>
        <v>Mainz 05FC Grönlingen</v>
      </c>
      <c r="AA141" s="12">
        <f t="shared" ca="1" si="70"/>
        <v>1</v>
      </c>
      <c r="AB141" s="12" t="str">
        <f ca="1">IF(AA141&gt;0,(Y69+AH69)&amp;Sprache!$E$77&amp;(X69+AG69),"")</f>
        <v>39:50</v>
      </c>
      <c r="AC141" s="2"/>
      <c r="AD141" s="141"/>
      <c r="AE141" s="606"/>
      <c r="AF141" s="607"/>
      <c r="AG141" s="607"/>
      <c r="AH141" s="607"/>
      <c r="AI141" s="615" t="str">
        <f ca="1">IF(AA69&gt;0,AF69&amp;Sprache!$E$77&amp;AE69,"")</f>
        <v>0:2</v>
      </c>
    </row>
    <row r="142" spans="2:35" x14ac:dyDescent="0.2">
      <c r="Y142" s="64" t="s">
        <v>16</v>
      </c>
      <c r="Z142" s="33" t="str">
        <f t="shared" ca="1" si="71"/>
        <v>Eintracht FrankfurtFC Barcelona</v>
      </c>
      <c r="AA142" s="12">
        <f t="shared" ca="1" si="70"/>
        <v>1</v>
      </c>
      <c r="AB142" s="12" t="str">
        <f ca="1">IF(AA142&gt;0,(Y70+AH70)&amp;Sprache!$E$77&amp;(X70+AG70),"")</f>
        <v>48:48</v>
      </c>
      <c r="AC142" s="2"/>
      <c r="AD142" s="141"/>
      <c r="AE142" s="606"/>
      <c r="AF142" s="607"/>
      <c r="AG142" s="607"/>
      <c r="AH142" s="607"/>
      <c r="AI142" s="615" t="str">
        <f ca="1">IF(AA70&gt;0,AF70&amp;Sprache!$E$77&amp;AE70,"")</f>
        <v>1:1</v>
      </c>
    </row>
    <row r="143" spans="2:35" x14ac:dyDescent="0.2">
      <c r="Y143" s="64" t="s">
        <v>17</v>
      </c>
      <c r="Z143" s="33" t="str">
        <f t="shared" ca="1" si="71"/>
        <v>SSV WildbachInter Mailand</v>
      </c>
      <c r="AA143" s="12">
        <f t="shared" ca="1" si="70"/>
        <v>1</v>
      </c>
      <c r="AB143" s="12" t="str">
        <f ca="1">IF(AA143&gt;0,(Y71+AH71)&amp;Sprache!$E$77&amp;(X71+AG71),"")</f>
        <v>37:44</v>
      </c>
      <c r="AC143" s="2"/>
      <c r="AD143" s="141"/>
      <c r="AE143" s="606"/>
      <c r="AF143" s="607"/>
      <c r="AG143" s="607"/>
      <c r="AH143" s="607"/>
      <c r="AI143" s="615" t="str">
        <f ca="1">IF(AA71&gt;0,AF71&amp;Sprache!$E$77&amp;AE71,"")</f>
        <v>1:1</v>
      </c>
    </row>
    <row r="144" spans="2:35" x14ac:dyDescent="0.2">
      <c r="Y144" s="64" t="s">
        <v>18</v>
      </c>
      <c r="Z144" s="33" t="str">
        <f t="shared" ca="1" si="71"/>
        <v>Maibach 1822 eV1. FC Riedwald</v>
      </c>
      <c r="AA144" s="12">
        <f t="shared" ca="1" si="70"/>
        <v>1</v>
      </c>
      <c r="AB144" s="12" t="str">
        <f ca="1">IF(AA144&gt;0,(Y72+AH72)&amp;Sprache!$E$77&amp;(X72+AG72),"")</f>
        <v>43:41</v>
      </c>
      <c r="AC144" s="2"/>
      <c r="AD144" s="141"/>
      <c r="AE144" s="606"/>
      <c r="AF144" s="607"/>
      <c r="AG144" s="607"/>
      <c r="AH144" s="607"/>
      <c r="AI144" s="615" t="str">
        <f ca="1">IF(AA72&gt;0,AF72&amp;Sprache!$E$77&amp;AE72,"")</f>
        <v>1:1</v>
      </c>
    </row>
    <row r="145" spans="25:35" x14ac:dyDescent="0.2">
      <c r="Y145" s="64" t="s">
        <v>24</v>
      </c>
      <c r="Z145" s="33" t="str">
        <f t="shared" ca="1" si="71"/>
        <v>Manchester CityMainz 05</v>
      </c>
      <c r="AA145" s="12">
        <f t="shared" ca="1" si="70"/>
        <v>1</v>
      </c>
      <c r="AB145" s="12" t="str">
        <f ca="1">IF(AA145&gt;0,(Y73+AH73)&amp;Sprache!$E$77&amp;(X73+AG73),"")</f>
        <v>44:39</v>
      </c>
      <c r="AC145" s="2"/>
      <c r="AD145" s="141"/>
      <c r="AE145" s="606"/>
      <c r="AF145" s="607"/>
      <c r="AG145" s="607"/>
      <c r="AH145" s="607"/>
      <c r="AI145" s="615" t="str">
        <f ca="1">IF(AA73&gt;0,AF73&amp;Sprache!$E$77&amp;AE73,"")</f>
        <v>1:1</v>
      </c>
    </row>
    <row r="146" spans="25:35" x14ac:dyDescent="0.2">
      <c r="Y146" s="64" t="s">
        <v>25</v>
      </c>
      <c r="Z146" s="33" t="str">
        <f t="shared" ca="1" si="71"/>
        <v>VFB EssenheimEintracht Frankfurt</v>
      </c>
      <c r="AA146" s="12">
        <f t="shared" ca="1" si="70"/>
        <v>1</v>
      </c>
      <c r="AB146" s="12" t="str">
        <f ca="1">IF(AA146&gt;0,(Y74+AH74)&amp;Sprache!$E$77&amp;(X74+AG74),"")</f>
        <v>45:47</v>
      </c>
      <c r="AC146" s="2"/>
      <c r="AD146" s="141"/>
      <c r="AE146" s="606"/>
      <c r="AF146" s="607"/>
      <c r="AG146" s="607"/>
      <c r="AH146" s="607"/>
      <c r="AI146" s="615" t="str">
        <f ca="1">IF(AA74&gt;0,AF74&amp;Sprache!$E$77&amp;AE74,"")</f>
        <v>1:1</v>
      </c>
    </row>
    <row r="147" spans="25:35" x14ac:dyDescent="0.2">
      <c r="Y147" s="64" t="s">
        <v>26</v>
      </c>
      <c r="Z147" s="33" t="str">
        <f t="shared" ca="1" si="71"/>
        <v>FC GrönlingenSSV Wildbach</v>
      </c>
      <c r="AA147" s="12">
        <f t="shared" ca="1" si="70"/>
        <v>1</v>
      </c>
      <c r="AB147" s="12" t="str">
        <f ca="1">IF(AA147&gt;0,(Y75+AH75)&amp;Sprache!$E$77&amp;(X75+AG75),"")</f>
        <v>44:44</v>
      </c>
      <c r="AC147" s="2"/>
      <c r="AD147" s="141"/>
      <c r="AE147" s="606"/>
      <c r="AF147" s="607"/>
      <c r="AG147" s="607"/>
      <c r="AH147" s="607"/>
      <c r="AI147" s="615" t="str">
        <f ca="1">IF(AA75&gt;0,AF75&amp;Sprache!$E$77&amp;AE75,"")</f>
        <v>1:1</v>
      </c>
    </row>
    <row r="148" spans="25:35" x14ac:dyDescent="0.2">
      <c r="Y148" s="64" t="s">
        <v>27</v>
      </c>
      <c r="Z148" s="33" t="str">
        <f t="shared" ca="1" si="71"/>
        <v>Maibach 1822 eVFC Barcelona</v>
      </c>
      <c r="AA148" s="12">
        <f t="shared" ca="1" si="70"/>
        <v>1</v>
      </c>
      <c r="AB148" s="12" t="str">
        <f ca="1">IF(AA148&gt;0,(Y76+AH76)&amp;Sprache!$E$77&amp;(X76+AG76),"")</f>
        <v>50:29</v>
      </c>
      <c r="AC148" s="2"/>
      <c r="AD148" s="141"/>
      <c r="AE148" s="606"/>
      <c r="AF148" s="607"/>
      <c r="AG148" s="607"/>
      <c r="AH148" s="607"/>
      <c r="AI148" s="615" t="str">
        <f ca="1">IF(AA76&gt;0,AF76&amp;Sprache!$E$77&amp;AE76,"")</f>
        <v>2:0</v>
      </c>
    </row>
    <row r="149" spans="25:35" x14ac:dyDescent="0.2">
      <c r="Y149" s="64" t="s">
        <v>28</v>
      </c>
      <c r="Z149" s="33" t="str">
        <f t="shared" ca="1" si="71"/>
        <v>Manchester CityInter Mailand</v>
      </c>
      <c r="AA149" s="12">
        <f t="shared" ca="1" si="70"/>
        <v>1</v>
      </c>
      <c r="AB149" s="12" t="str">
        <f ca="1">IF(AA149&gt;0,(Y77+AH77)&amp;Sprache!$E$77&amp;(X77+AG77),"")</f>
        <v>48:39</v>
      </c>
      <c r="AC149" s="2"/>
      <c r="AD149" s="141"/>
      <c r="AE149" s="606"/>
      <c r="AF149" s="607"/>
      <c r="AG149" s="607"/>
      <c r="AH149" s="607"/>
      <c r="AI149" s="615" t="str">
        <f ca="1">IF(AA77&gt;0,AF77&amp;Sprache!$E$77&amp;AE77,"")</f>
        <v>1:1</v>
      </c>
    </row>
    <row r="150" spans="25:35" x14ac:dyDescent="0.2">
      <c r="Y150" s="64" t="s">
        <v>29</v>
      </c>
      <c r="Z150" s="33" t="str">
        <f t="shared" ca="1" si="71"/>
        <v>1. FC RiedwaldEintracht Frankfurt</v>
      </c>
      <c r="AA150" s="12">
        <f t="shared" ca="1" si="70"/>
        <v>1</v>
      </c>
      <c r="AB150" s="12" t="str">
        <f ca="1">IF(AA150&gt;0,(Y78+AH78)&amp;Sprache!$E$77&amp;(X78+AG78),"")</f>
        <v>42:46</v>
      </c>
      <c r="AC150" s="2"/>
      <c r="AD150" s="141"/>
      <c r="AE150" s="606"/>
      <c r="AF150" s="607"/>
      <c r="AG150" s="607"/>
      <c r="AH150" s="607"/>
      <c r="AI150" s="615" t="str">
        <f ca="1">IF(AA78&gt;0,AF78&amp;Sprache!$E$77&amp;AE78,"")</f>
        <v>1:1</v>
      </c>
    </row>
    <row r="151" spans="25:35" x14ac:dyDescent="0.2">
      <c r="Y151" s="64" t="s">
        <v>30</v>
      </c>
      <c r="Z151" s="33" t="str">
        <f t="shared" ca="1" si="71"/>
        <v>Mainz 05SSV Wildbach</v>
      </c>
      <c r="AA151" s="12">
        <f t="shared" ca="1" si="70"/>
        <v>1</v>
      </c>
      <c r="AB151" s="12" t="str">
        <f ca="1">IF(AA151&gt;0,(Y79+AH79)&amp;Sprache!$E$77&amp;(X79+AG79),"")</f>
        <v>50:38</v>
      </c>
      <c r="AC151" s="2"/>
      <c r="AD151" s="141"/>
      <c r="AE151" s="606"/>
      <c r="AF151" s="607"/>
      <c r="AG151" s="607"/>
      <c r="AH151" s="607"/>
      <c r="AI151" s="615" t="str">
        <f ca="1">IF(AA79&gt;0,AF79&amp;Sprache!$E$77&amp;AE79,"")</f>
        <v>2:0</v>
      </c>
    </row>
    <row r="152" spans="25:35" x14ac:dyDescent="0.2">
      <c r="Y152" s="64" t="s">
        <v>31</v>
      </c>
      <c r="Z152" s="33" t="str">
        <f t="shared" ca="1" si="71"/>
        <v>VFB EssenheimMaibach 1822 eV</v>
      </c>
      <c r="AA152" s="12">
        <f t="shared" ca="1" si="70"/>
        <v>1</v>
      </c>
      <c r="AB152" s="12" t="str">
        <f ca="1">IF(AA152&gt;0,(Y80+AH80)&amp;Sprache!$E$77&amp;(X80+AG80),"")</f>
        <v>39:50</v>
      </c>
      <c r="AC152" s="2"/>
      <c r="AD152" s="141"/>
      <c r="AE152" s="606"/>
      <c r="AF152" s="607"/>
      <c r="AG152" s="607"/>
      <c r="AH152" s="607"/>
      <c r="AI152" s="615" t="str">
        <f ca="1">IF(AA80&gt;0,AF80&amp;Sprache!$E$77&amp;AE80,"")</f>
        <v>0:2</v>
      </c>
    </row>
    <row r="153" spans="25:35" x14ac:dyDescent="0.2">
      <c r="Y153" s="64" t="s">
        <v>32</v>
      </c>
      <c r="Z153" s="33" t="str">
        <f t="shared" ca="1" si="71"/>
        <v>FC GrönlingenManchester City</v>
      </c>
      <c r="AA153" s="12">
        <f t="shared" ca="1" si="70"/>
        <v>1</v>
      </c>
      <c r="AB153" s="12" t="str">
        <f ca="1">IF(AA153&gt;0,(Y81+AH81)&amp;Sprache!$E$77&amp;(X81+AG81),"")</f>
        <v>32:50</v>
      </c>
      <c r="AC153" s="2"/>
      <c r="AD153" s="141"/>
      <c r="AE153" s="606"/>
      <c r="AF153" s="607"/>
      <c r="AG153" s="607"/>
      <c r="AH153" s="607"/>
      <c r="AI153" s="615" t="str">
        <f ca="1">IF(AA81&gt;0,AF81&amp;Sprache!$E$77&amp;AE81,"")</f>
        <v>0:2</v>
      </c>
    </row>
    <row r="154" spans="25:35" x14ac:dyDescent="0.2">
      <c r="Y154" s="64" t="s">
        <v>33</v>
      </c>
      <c r="Z154" s="33" t="str">
        <f t="shared" ca="1" si="71"/>
        <v>FC Barcelona1. FC Riedwald</v>
      </c>
      <c r="AA154" s="12">
        <f t="shared" ca="1" si="70"/>
        <v>1</v>
      </c>
      <c r="AB154" s="12" t="str">
        <f ca="1">IF(AA154&gt;0,(Y82+AH82)&amp;Sprache!$E$77&amp;(X82+AG82),"")</f>
        <v>37:50</v>
      </c>
      <c r="AC154" s="2"/>
      <c r="AD154" s="141"/>
      <c r="AE154" s="606"/>
      <c r="AF154" s="607"/>
      <c r="AG154" s="607"/>
      <c r="AH154" s="607"/>
      <c r="AI154" s="615" t="str">
        <f ca="1">IF(AA82&gt;0,AF82&amp;Sprache!$E$77&amp;AE82,"")</f>
        <v>0:2</v>
      </c>
    </row>
    <row r="155" spans="25:35" x14ac:dyDescent="0.2">
      <c r="Y155" s="64" t="s">
        <v>34</v>
      </c>
      <c r="Z155" s="33" t="str">
        <f t="shared" ca="1" si="71"/>
        <v>Inter MailandMainz 05</v>
      </c>
      <c r="AA155" s="12">
        <f t="shared" ca="1" si="70"/>
        <v>1</v>
      </c>
      <c r="AB155" s="12" t="str">
        <f ca="1">IF(AA155&gt;0,(Y83+AH83)&amp;Sprache!$E$77&amp;(X83+AG83),"")</f>
        <v>24:50</v>
      </c>
      <c r="AC155" s="2"/>
      <c r="AD155" s="141"/>
      <c r="AE155" s="606"/>
      <c r="AF155" s="607"/>
      <c r="AG155" s="607"/>
      <c r="AH155" s="607"/>
      <c r="AI155" s="615" t="str">
        <f ca="1">IF(AA83&gt;0,AF83&amp;Sprache!$E$77&amp;AE83,"")</f>
        <v>0:2</v>
      </c>
    </row>
    <row r="156" spans="25:35" x14ac:dyDescent="0.2">
      <c r="Y156" s="64" t="s">
        <v>35</v>
      </c>
      <c r="Z156" s="33" t="str">
        <f t="shared" ca="1" si="71"/>
        <v/>
      </c>
      <c r="AA156" s="12">
        <f t="shared" ca="1" si="70"/>
        <v>0</v>
      </c>
      <c r="AB156" s="12" t="str">
        <f ca="1">IF(AA156&gt;0,(Y84+AH84)&amp;Sprache!$E$77&amp;(X84+AG84),"")</f>
        <v/>
      </c>
      <c r="AC156" s="2"/>
      <c r="AD156" s="141"/>
      <c r="AE156" s="606"/>
      <c r="AF156" s="607"/>
      <c r="AG156" s="607"/>
      <c r="AH156" s="607"/>
      <c r="AI156" s="615" t="str">
        <f ca="1">IF(AA84&gt;0,AF84&amp;Sprache!$E$77&amp;AE84,"")</f>
        <v/>
      </c>
    </row>
    <row r="157" spans="25:35" x14ac:dyDescent="0.2">
      <c r="Y157" s="64" t="s">
        <v>36</v>
      </c>
      <c r="Z157" s="33" t="str">
        <f t="shared" ca="1" si="71"/>
        <v/>
      </c>
      <c r="AA157" s="12">
        <f t="shared" ca="1" si="70"/>
        <v>0</v>
      </c>
      <c r="AB157" s="12" t="str">
        <f ca="1">IF(AA157&gt;0,(Y85+AH85)&amp;Sprache!$E$77&amp;(X85+AG85),"")</f>
        <v/>
      </c>
      <c r="AC157" s="2"/>
      <c r="AD157" s="141"/>
      <c r="AE157" s="606"/>
      <c r="AF157" s="607"/>
      <c r="AG157" s="607"/>
      <c r="AH157" s="607"/>
      <c r="AI157" s="615" t="str">
        <f ca="1">IF(AA85&gt;0,AF85&amp;Sprache!$E$77&amp;AE85,"")</f>
        <v/>
      </c>
    </row>
    <row r="158" spans="25:35" x14ac:dyDescent="0.2">
      <c r="Y158" s="64" t="s">
        <v>37</v>
      </c>
      <c r="Z158" s="33" t="str">
        <f t="shared" ca="1" si="71"/>
        <v/>
      </c>
      <c r="AA158" s="12">
        <f t="shared" ca="1" si="70"/>
        <v>0</v>
      </c>
      <c r="AB158" s="12" t="str">
        <f ca="1">IF(AA158&gt;0,(Y86+AH86)&amp;Sprache!$E$77&amp;(X86+AG86),"")</f>
        <v/>
      </c>
      <c r="AC158" s="2"/>
      <c r="AD158" s="141"/>
      <c r="AE158" s="606"/>
      <c r="AF158" s="607"/>
      <c r="AG158" s="607"/>
      <c r="AH158" s="607"/>
      <c r="AI158" s="615" t="str">
        <f ca="1">IF(AA86&gt;0,AF86&amp;Sprache!$E$77&amp;AE86,"")</f>
        <v/>
      </c>
    </row>
    <row r="159" spans="25:35" x14ac:dyDescent="0.2">
      <c r="Y159" s="64" t="s">
        <v>38</v>
      </c>
      <c r="Z159" s="33" t="str">
        <f t="shared" ca="1" si="71"/>
        <v/>
      </c>
      <c r="AA159" s="12">
        <f t="shared" ca="1" si="70"/>
        <v>0</v>
      </c>
      <c r="AB159" s="12" t="str">
        <f ca="1">IF(AA159&gt;0,(Y87+AH87)&amp;Sprache!$E$77&amp;(X87+AG87),"")</f>
        <v/>
      </c>
      <c r="AC159" s="2"/>
      <c r="AD159" s="141"/>
      <c r="AE159" s="606"/>
      <c r="AF159" s="607"/>
      <c r="AG159" s="607"/>
      <c r="AH159" s="607"/>
      <c r="AI159" s="615" t="str">
        <f ca="1">IF(AA87&gt;0,AF87&amp;Sprache!$E$77&amp;AE87,"")</f>
        <v/>
      </c>
    </row>
    <row r="160" spans="25:35" x14ac:dyDescent="0.2">
      <c r="Y160" s="64" t="s">
        <v>39</v>
      </c>
      <c r="Z160" s="33" t="str">
        <f t="shared" ca="1" si="71"/>
        <v/>
      </c>
      <c r="AA160" s="12">
        <f t="shared" ca="1" si="70"/>
        <v>0</v>
      </c>
      <c r="AB160" s="12" t="str">
        <f ca="1">IF(AA160&gt;0,(Y88+AH88)&amp;Sprache!$E$77&amp;(X88+AG88),"")</f>
        <v/>
      </c>
      <c r="AC160" s="2"/>
      <c r="AD160" s="141"/>
      <c r="AE160" s="606"/>
      <c r="AF160" s="607"/>
      <c r="AG160" s="607"/>
      <c r="AH160" s="607"/>
      <c r="AI160" s="615" t="str">
        <f ca="1">IF(AA88&gt;0,AF88&amp;Sprache!$E$77&amp;AE88,"")</f>
        <v/>
      </c>
    </row>
    <row r="161" spans="25:35" x14ac:dyDescent="0.2">
      <c r="Y161" s="64" t="s">
        <v>40</v>
      </c>
      <c r="Z161" s="33" t="str">
        <f t="shared" ca="1" si="71"/>
        <v/>
      </c>
      <c r="AA161" s="12">
        <f t="shared" ca="1" si="70"/>
        <v>0</v>
      </c>
      <c r="AB161" s="12" t="str">
        <f ca="1">IF(AA161&gt;0,(Y89+AH89)&amp;Sprache!$E$77&amp;(X89+AG89),"")</f>
        <v/>
      </c>
      <c r="AC161" s="2"/>
      <c r="AD161" s="141"/>
      <c r="AE161" s="606"/>
      <c r="AF161" s="607"/>
      <c r="AG161" s="607"/>
      <c r="AH161" s="607"/>
      <c r="AI161" s="615" t="str">
        <f ca="1">IF(AA89&gt;0,AF89&amp;Sprache!$E$77&amp;AE89,"")</f>
        <v/>
      </c>
    </row>
    <row r="162" spans="25:35" x14ac:dyDescent="0.2">
      <c r="Y162" s="64" t="s">
        <v>41</v>
      </c>
      <c r="Z162" s="33" t="str">
        <f t="shared" ca="1" si="71"/>
        <v/>
      </c>
      <c r="AA162" s="12">
        <f t="shared" ca="1" si="70"/>
        <v>0</v>
      </c>
      <c r="AB162" s="12" t="str">
        <f ca="1">IF(AA162&gt;0,(Y90+AH90)&amp;Sprache!$E$77&amp;(X90+AG90),"")</f>
        <v/>
      </c>
      <c r="AC162" s="2"/>
      <c r="AD162" s="141"/>
      <c r="AE162" s="606"/>
      <c r="AF162" s="607"/>
      <c r="AG162" s="607"/>
      <c r="AH162" s="607"/>
      <c r="AI162" s="615" t="str">
        <f ca="1">IF(AA90&gt;0,AF90&amp;Sprache!$E$77&amp;AE90,"")</f>
        <v/>
      </c>
    </row>
    <row r="163" spans="25:35" x14ac:dyDescent="0.2">
      <c r="Y163" s="64" t="s">
        <v>42</v>
      </c>
      <c r="Z163" s="33" t="str">
        <f t="shared" ca="1" si="71"/>
        <v/>
      </c>
      <c r="AA163" s="12">
        <f t="shared" ca="1" si="70"/>
        <v>0</v>
      </c>
      <c r="AB163" s="12" t="str">
        <f ca="1">IF(AA163&gt;0,(Y91+AH91)&amp;Sprache!$E$77&amp;(X91+AG91),"")</f>
        <v/>
      </c>
      <c r="AC163" s="2"/>
      <c r="AD163" s="141"/>
      <c r="AE163" s="606"/>
      <c r="AF163" s="607"/>
      <c r="AG163" s="607"/>
      <c r="AH163" s="607"/>
      <c r="AI163" s="615" t="str">
        <f ca="1">IF(AA91&gt;0,AF91&amp;Sprache!$E$77&amp;AE91,"")</f>
        <v/>
      </c>
    </row>
    <row r="164" spans="25:35" x14ac:dyDescent="0.2">
      <c r="Y164" s="64" t="s">
        <v>43</v>
      </c>
      <c r="Z164" s="33" t="str">
        <f t="shared" ca="1" si="71"/>
        <v/>
      </c>
      <c r="AA164" s="12">
        <f t="shared" ca="1" si="70"/>
        <v>0</v>
      </c>
      <c r="AB164" s="12" t="str">
        <f ca="1">IF(AA164&gt;0,(Y92+AH92)&amp;Sprache!$E$77&amp;(X92+AG92),"")</f>
        <v/>
      </c>
      <c r="AC164" s="2"/>
      <c r="AD164" s="141"/>
      <c r="AE164" s="606"/>
      <c r="AF164" s="607"/>
      <c r="AG164" s="607"/>
      <c r="AH164" s="607"/>
      <c r="AI164" s="615" t="str">
        <f ca="1">IF(AA92&gt;0,AF92&amp;Sprache!$E$77&amp;AE92,"")</f>
        <v/>
      </c>
    </row>
    <row r="165" spans="25:35" ht="12.75" thickBot="1" x14ac:dyDescent="0.25">
      <c r="Y165" s="311" t="s">
        <v>44</v>
      </c>
      <c r="Z165" s="313" t="str">
        <f t="shared" ca="1" si="71"/>
        <v/>
      </c>
      <c r="AA165" s="312">
        <f t="shared" ca="1" si="70"/>
        <v>0</v>
      </c>
      <c r="AB165" s="312" t="str">
        <f ca="1">IF(AA165&gt;0,(Y93+AH93)&amp;Sprache!$E$77&amp;(X93+AG93),"")</f>
        <v/>
      </c>
      <c r="AC165" s="314"/>
      <c r="AD165" s="315"/>
      <c r="AE165" s="609"/>
      <c r="AF165" s="603"/>
      <c r="AG165" s="603"/>
      <c r="AH165" s="603"/>
      <c r="AI165" s="616" t="str">
        <f ca="1">IF(AA93&gt;0,AF93&amp;Sprache!$E$77&amp;AE93,"")</f>
        <v/>
      </c>
    </row>
    <row r="166" spans="25:35" ht="12.75" thickTop="1" x14ac:dyDescent="0.2">
      <c r="Y166" s="64" t="s">
        <v>45</v>
      </c>
      <c r="Z166" s="33" t="str">
        <f>""</f>
        <v/>
      </c>
      <c r="AA166" s="12">
        <v>0</v>
      </c>
      <c r="AB166" s="12" t="str">
        <f>""</f>
        <v/>
      </c>
      <c r="AC166" s="2"/>
      <c r="AD166" s="141"/>
      <c r="AE166" s="606"/>
      <c r="AF166" s="607"/>
      <c r="AG166" s="607"/>
      <c r="AH166" s="607"/>
      <c r="AI166" s="608"/>
    </row>
    <row r="167" spans="25:35" x14ac:dyDescent="0.2">
      <c r="Y167" s="64" t="s">
        <v>46</v>
      </c>
      <c r="Z167" s="33" t="str">
        <f>""</f>
        <v/>
      </c>
      <c r="AA167" s="12">
        <v>0</v>
      </c>
      <c r="AB167" s="12" t="str">
        <f>""</f>
        <v/>
      </c>
      <c r="AC167" s="2"/>
      <c r="AD167" s="141"/>
      <c r="AE167" s="606"/>
      <c r="AF167" s="607"/>
      <c r="AG167" s="607"/>
      <c r="AH167" s="607"/>
      <c r="AI167" s="608"/>
    </row>
    <row r="168" spans="25:35" x14ac:dyDescent="0.2">
      <c r="Y168" s="64" t="s">
        <v>47</v>
      </c>
      <c r="Z168" s="33" t="str">
        <f>""</f>
        <v/>
      </c>
      <c r="AA168" s="12">
        <v>0</v>
      </c>
      <c r="AB168" s="12" t="str">
        <f>""</f>
        <v/>
      </c>
      <c r="AC168" s="2"/>
      <c r="AD168" s="141"/>
      <c r="AE168" s="606"/>
      <c r="AF168" s="607"/>
      <c r="AG168" s="607"/>
      <c r="AH168" s="607"/>
      <c r="AI168" s="608"/>
    </row>
    <row r="169" spans="25:35" x14ac:dyDescent="0.2">
      <c r="Y169" s="64" t="s">
        <v>48</v>
      </c>
      <c r="Z169" s="33" t="str">
        <f>""</f>
        <v/>
      </c>
      <c r="AA169" s="12">
        <v>0</v>
      </c>
      <c r="AB169" s="12" t="str">
        <f>""</f>
        <v/>
      </c>
      <c r="AC169" s="2"/>
      <c r="AD169" s="141"/>
      <c r="AE169" s="606"/>
      <c r="AF169" s="607"/>
      <c r="AG169" s="607"/>
      <c r="AH169" s="607"/>
      <c r="AI169" s="608"/>
    </row>
    <row r="170" spans="25:35" x14ac:dyDescent="0.2">
      <c r="Y170" s="64" t="s">
        <v>49</v>
      </c>
      <c r="Z170" s="33" t="str">
        <f>""</f>
        <v/>
      </c>
      <c r="AA170" s="12">
        <v>0</v>
      </c>
      <c r="AB170" s="12" t="str">
        <f>""</f>
        <v/>
      </c>
      <c r="AC170" s="2"/>
      <c r="AD170" s="141"/>
      <c r="AE170" s="606"/>
      <c r="AF170" s="607"/>
      <c r="AG170" s="607"/>
      <c r="AH170" s="607"/>
      <c r="AI170" s="608"/>
    </row>
    <row r="171" spans="25:35" x14ac:dyDescent="0.2">
      <c r="Y171" s="64" t="s">
        <v>50</v>
      </c>
      <c r="Z171" s="33" t="str">
        <f>""</f>
        <v/>
      </c>
      <c r="AA171" s="12">
        <v>0</v>
      </c>
      <c r="AB171" s="12" t="str">
        <f>""</f>
        <v/>
      </c>
      <c r="AC171" s="2"/>
      <c r="AD171" s="141"/>
      <c r="AE171" s="606"/>
      <c r="AF171" s="607"/>
      <c r="AG171" s="607"/>
      <c r="AH171" s="607"/>
      <c r="AI171" s="608"/>
    </row>
    <row r="172" spans="25:35" x14ac:dyDescent="0.2">
      <c r="Y172" s="64" t="s">
        <v>58</v>
      </c>
      <c r="Z172" s="33" t="str">
        <f>""</f>
        <v/>
      </c>
      <c r="AA172" s="12">
        <v>0</v>
      </c>
      <c r="AB172" s="12" t="str">
        <f>""</f>
        <v/>
      </c>
      <c r="AC172" s="2"/>
      <c r="AD172" s="141"/>
      <c r="AE172" s="606"/>
      <c r="AF172" s="607"/>
      <c r="AG172" s="607"/>
      <c r="AH172" s="607"/>
      <c r="AI172" s="608"/>
    </row>
    <row r="173" spans="25:35" x14ac:dyDescent="0.2">
      <c r="Y173" s="64" t="s">
        <v>59</v>
      </c>
      <c r="Z173" s="33" t="str">
        <f>""</f>
        <v/>
      </c>
      <c r="AA173" s="12">
        <v>0</v>
      </c>
      <c r="AB173" s="12" t="str">
        <f>""</f>
        <v/>
      </c>
      <c r="AC173" s="2"/>
      <c r="AD173" s="141"/>
      <c r="AE173" s="606"/>
      <c r="AF173" s="607"/>
      <c r="AG173" s="607"/>
      <c r="AH173" s="607"/>
      <c r="AI173" s="608"/>
    </row>
    <row r="174" spans="25:35" x14ac:dyDescent="0.2">
      <c r="Y174" s="64" t="s">
        <v>60</v>
      </c>
      <c r="Z174" s="33" t="str">
        <f>""</f>
        <v/>
      </c>
      <c r="AA174" s="12">
        <v>0</v>
      </c>
      <c r="AB174" s="12" t="str">
        <f>""</f>
        <v/>
      </c>
      <c r="AC174" s="2"/>
      <c r="AD174" s="141"/>
      <c r="AE174" s="606"/>
      <c r="AF174" s="607"/>
      <c r="AG174" s="607"/>
      <c r="AH174" s="607"/>
      <c r="AI174" s="608"/>
    </row>
    <row r="175" spans="25:35" x14ac:dyDescent="0.2">
      <c r="Y175" s="64" t="s">
        <v>61</v>
      </c>
      <c r="Z175" s="33" t="str">
        <f>""</f>
        <v/>
      </c>
      <c r="AA175" s="12">
        <v>0</v>
      </c>
      <c r="AB175" s="12" t="str">
        <f>""</f>
        <v/>
      </c>
      <c r="AC175" s="2"/>
      <c r="AD175" s="141"/>
      <c r="AE175" s="606"/>
      <c r="AF175" s="607"/>
      <c r="AG175" s="607"/>
      <c r="AH175" s="607"/>
      <c r="AI175" s="608"/>
    </row>
    <row r="176" spans="25:35" x14ac:dyDescent="0.2">
      <c r="Y176" s="64" t="s">
        <v>62</v>
      </c>
      <c r="Z176" s="33" t="str">
        <f>""</f>
        <v/>
      </c>
      <c r="AA176" s="12">
        <v>0</v>
      </c>
      <c r="AB176" s="12" t="str">
        <f>""</f>
        <v/>
      </c>
      <c r="AC176" s="2"/>
      <c r="AD176" s="141"/>
      <c r="AE176" s="606"/>
      <c r="AF176" s="607"/>
      <c r="AG176" s="607"/>
      <c r="AH176" s="607"/>
      <c r="AI176" s="608"/>
    </row>
    <row r="177" spans="25:35" x14ac:dyDescent="0.2">
      <c r="Y177" s="64" t="s">
        <v>63</v>
      </c>
      <c r="Z177" s="33" t="str">
        <f>""</f>
        <v/>
      </c>
      <c r="AA177" s="12">
        <v>0</v>
      </c>
      <c r="AB177" s="12" t="str">
        <f>""</f>
        <v/>
      </c>
      <c r="AC177" s="2"/>
      <c r="AD177" s="141"/>
      <c r="AE177" s="606"/>
      <c r="AF177" s="607"/>
      <c r="AG177" s="607"/>
      <c r="AH177" s="607"/>
      <c r="AI177" s="608"/>
    </row>
    <row r="178" spans="25:35" x14ac:dyDescent="0.2">
      <c r="Y178" s="64" t="s">
        <v>64</v>
      </c>
      <c r="Z178" s="33" t="str">
        <f>""</f>
        <v/>
      </c>
      <c r="AA178" s="12">
        <v>0</v>
      </c>
      <c r="AB178" s="12" t="str">
        <f>""</f>
        <v/>
      </c>
      <c r="AC178" s="2"/>
      <c r="AD178" s="141"/>
      <c r="AE178" s="606"/>
      <c r="AF178" s="607"/>
      <c r="AG178" s="607"/>
      <c r="AH178" s="607"/>
      <c r="AI178" s="608"/>
    </row>
    <row r="179" spans="25:35" x14ac:dyDescent="0.2">
      <c r="Y179" s="64" t="s">
        <v>65</v>
      </c>
      <c r="Z179" s="33" t="str">
        <f>""</f>
        <v/>
      </c>
      <c r="AA179" s="12">
        <v>0</v>
      </c>
      <c r="AB179" s="12" t="str">
        <f>""</f>
        <v/>
      </c>
      <c r="AC179" s="2"/>
      <c r="AD179" s="141"/>
      <c r="AE179" s="606"/>
      <c r="AF179" s="607"/>
      <c r="AG179" s="607"/>
      <c r="AH179" s="607"/>
      <c r="AI179" s="608"/>
    </row>
    <row r="180" spans="25:35" x14ac:dyDescent="0.2">
      <c r="Y180" s="64" t="s">
        <v>66</v>
      </c>
      <c r="Z180" s="33" t="str">
        <f>""</f>
        <v/>
      </c>
      <c r="AA180" s="12">
        <v>0</v>
      </c>
      <c r="AB180" s="12" t="str">
        <f>""</f>
        <v/>
      </c>
      <c r="AC180" s="2"/>
      <c r="AD180" s="141"/>
      <c r="AE180" s="606"/>
      <c r="AF180" s="607"/>
      <c r="AG180" s="607"/>
      <c r="AH180" s="607"/>
      <c r="AI180" s="608"/>
    </row>
    <row r="181" spans="25:35" x14ac:dyDescent="0.2">
      <c r="Y181" s="64" t="s">
        <v>67</v>
      </c>
      <c r="Z181" s="33" t="str">
        <f>""</f>
        <v/>
      </c>
      <c r="AA181" s="12">
        <v>0</v>
      </c>
      <c r="AB181" s="12" t="str">
        <f>""</f>
        <v/>
      </c>
      <c r="AC181" s="2"/>
      <c r="AD181" s="141"/>
      <c r="AE181" s="606"/>
      <c r="AF181" s="607"/>
      <c r="AG181" s="607"/>
      <c r="AH181" s="607"/>
      <c r="AI181" s="608"/>
    </row>
    <row r="182" spans="25:35" x14ac:dyDescent="0.2">
      <c r="Y182" s="64" t="s">
        <v>68</v>
      </c>
      <c r="Z182" s="33" t="str">
        <f>""</f>
        <v/>
      </c>
      <c r="AA182" s="12">
        <v>0</v>
      </c>
      <c r="AB182" s="12" t="str">
        <f>""</f>
        <v/>
      </c>
      <c r="AC182" s="2"/>
      <c r="AD182" s="141"/>
      <c r="AE182" s="606"/>
      <c r="AF182" s="607"/>
      <c r="AG182" s="607"/>
      <c r="AH182" s="607"/>
      <c r="AI182" s="608"/>
    </row>
    <row r="183" spans="25:35" x14ac:dyDescent="0.2">
      <c r="Y183" s="64" t="s">
        <v>69</v>
      </c>
      <c r="Z183" s="33" t="str">
        <f>""</f>
        <v/>
      </c>
      <c r="AA183" s="12">
        <v>0</v>
      </c>
      <c r="AB183" s="12" t="str">
        <f>""</f>
        <v/>
      </c>
      <c r="AC183" s="2"/>
      <c r="AD183" s="141"/>
      <c r="AE183" s="606"/>
      <c r="AF183" s="607"/>
      <c r="AG183" s="607"/>
      <c r="AH183" s="607"/>
      <c r="AI183" s="608"/>
    </row>
    <row r="184" spans="25:35" x14ac:dyDescent="0.2">
      <c r="Y184" s="64" t="s">
        <v>70</v>
      </c>
      <c r="Z184" s="33" t="str">
        <f>""</f>
        <v/>
      </c>
      <c r="AA184" s="12">
        <v>0</v>
      </c>
      <c r="AB184" s="12" t="str">
        <f>""</f>
        <v/>
      </c>
      <c r="AC184" s="2"/>
      <c r="AD184" s="141"/>
      <c r="AE184" s="606"/>
      <c r="AF184" s="607"/>
      <c r="AG184" s="607"/>
      <c r="AH184" s="607"/>
      <c r="AI184" s="608"/>
    </row>
    <row r="185" spans="25:35" x14ac:dyDescent="0.2">
      <c r="Y185" s="64" t="s">
        <v>71</v>
      </c>
      <c r="Z185" s="33" t="str">
        <f>""</f>
        <v/>
      </c>
      <c r="AA185" s="12">
        <v>0</v>
      </c>
      <c r="AB185" s="12" t="str">
        <f>""</f>
        <v/>
      </c>
      <c r="AC185" s="2"/>
      <c r="AD185" s="141"/>
      <c r="AE185" s="606"/>
      <c r="AF185" s="607"/>
      <c r="AG185" s="607"/>
      <c r="AH185" s="607"/>
      <c r="AI185" s="608"/>
    </row>
    <row r="186" spans="25:35" x14ac:dyDescent="0.2">
      <c r="Y186" s="64" t="s">
        <v>72</v>
      </c>
      <c r="Z186" s="33" t="str">
        <f>""</f>
        <v/>
      </c>
      <c r="AA186" s="12">
        <v>0</v>
      </c>
      <c r="AB186" s="12" t="str">
        <f>""</f>
        <v/>
      </c>
      <c r="AC186" s="2"/>
      <c r="AD186" s="141"/>
      <c r="AE186" s="606"/>
      <c r="AF186" s="607"/>
      <c r="AG186" s="607"/>
      <c r="AH186" s="607"/>
      <c r="AI186" s="608"/>
    </row>
    <row r="187" spans="25:35" x14ac:dyDescent="0.2">
      <c r="Y187" s="64" t="s">
        <v>73</v>
      </c>
      <c r="Z187" s="33" t="str">
        <f>""</f>
        <v/>
      </c>
      <c r="AA187" s="12">
        <v>0</v>
      </c>
      <c r="AB187" s="12" t="str">
        <f>""</f>
        <v/>
      </c>
      <c r="AC187" s="2"/>
      <c r="AD187" s="141"/>
      <c r="AE187" s="606"/>
      <c r="AF187" s="607"/>
      <c r="AG187" s="607"/>
      <c r="AH187" s="607"/>
      <c r="AI187" s="608"/>
    </row>
    <row r="188" spans="25:35" x14ac:dyDescent="0.2">
      <c r="Y188" s="64" t="s">
        <v>74</v>
      </c>
      <c r="Z188" s="33" t="str">
        <f>""</f>
        <v/>
      </c>
      <c r="AA188" s="12">
        <v>0</v>
      </c>
      <c r="AB188" s="12" t="str">
        <f>""</f>
        <v/>
      </c>
      <c r="AC188" s="2"/>
      <c r="AD188" s="141"/>
      <c r="AE188" s="606"/>
      <c r="AF188" s="607"/>
      <c r="AG188" s="607"/>
      <c r="AH188" s="607"/>
      <c r="AI188" s="608"/>
    </row>
    <row r="189" spans="25:35" x14ac:dyDescent="0.2">
      <c r="Y189" s="64" t="s">
        <v>75</v>
      </c>
      <c r="Z189" s="33" t="str">
        <f>""</f>
        <v/>
      </c>
      <c r="AA189" s="12">
        <v>0</v>
      </c>
      <c r="AB189" s="12" t="str">
        <f>""</f>
        <v/>
      </c>
      <c r="AC189" s="2"/>
      <c r="AD189" s="141"/>
      <c r="AE189" s="606"/>
      <c r="AF189" s="607"/>
      <c r="AG189" s="607"/>
      <c r="AH189" s="607"/>
      <c r="AI189" s="608"/>
    </row>
    <row r="190" spans="25:35" x14ac:dyDescent="0.2">
      <c r="Y190" s="64" t="s">
        <v>76</v>
      </c>
      <c r="Z190" s="33" t="str">
        <f>""</f>
        <v/>
      </c>
      <c r="AA190" s="12">
        <v>0</v>
      </c>
      <c r="AB190" s="12" t="str">
        <f>""</f>
        <v/>
      </c>
      <c r="AC190" s="2"/>
      <c r="AD190" s="141"/>
      <c r="AE190" s="606"/>
      <c r="AF190" s="607"/>
      <c r="AG190" s="607"/>
      <c r="AH190" s="607"/>
      <c r="AI190" s="608"/>
    </row>
    <row r="191" spans="25:35" x14ac:dyDescent="0.2">
      <c r="Y191" s="64" t="s">
        <v>77</v>
      </c>
      <c r="Z191" s="33" t="str">
        <f>""</f>
        <v/>
      </c>
      <c r="AA191" s="12">
        <v>0</v>
      </c>
      <c r="AB191" s="12" t="str">
        <f>""</f>
        <v/>
      </c>
      <c r="AC191" s="2"/>
      <c r="AD191" s="141"/>
      <c r="AE191" s="606"/>
      <c r="AF191" s="607"/>
      <c r="AG191" s="607"/>
      <c r="AH191" s="607"/>
      <c r="AI191" s="608"/>
    </row>
    <row r="192" spans="25:35" x14ac:dyDescent="0.2">
      <c r="Y192" s="64" t="s">
        <v>78</v>
      </c>
      <c r="Z192" s="33" t="str">
        <f>""</f>
        <v/>
      </c>
      <c r="AA192" s="12">
        <v>0</v>
      </c>
      <c r="AB192" s="12" t="str">
        <f>""</f>
        <v/>
      </c>
      <c r="AC192" s="2"/>
      <c r="AD192" s="141"/>
      <c r="AE192" s="606"/>
      <c r="AF192" s="607"/>
      <c r="AG192" s="607"/>
      <c r="AH192" s="607"/>
      <c r="AI192" s="608"/>
    </row>
    <row r="193" spans="25:35" x14ac:dyDescent="0.2">
      <c r="Y193" s="64" t="s">
        <v>79</v>
      </c>
      <c r="Z193" s="33" t="str">
        <f>""</f>
        <v/>
      </c>
      <c r="AA193" s="12">
        <v>0</v>
      </c>
      <c r="AB193" s="12" t="str">
        <f>""</f>
        <v/>
      </c>
      <c r="AC193" s="2"/>
      <c r="AD193" s="141"/>
      <c r="AE193" s="606"/>
      <c r="AF193" s="607"/>
      <c r="AG193" s="607"/>
      <c r="AH193" s="607"/>
      <c r="AI193" s="608"/>
    </row>
    <row r="194" spans="25:35" x14ac:dyDescent="0.2">
      <c r="Y194" s="64" t="s">
        <v>80</v>
      </c>
      <c r="Z194" s="33" t="str">
        <f>""</f>
        <v/>
      </c>
      <c r="AA194" s="12">
        <v>0</v>
      </c>
      <c r="AB194" s="12" t="str">
        <f>""</f>
        <v/>
      </c>
      <c r="AC194" s="2"/>
      <c r="AD194" s="141"/>
      <c r="AE194" s="606"/>
      <c r="AF194" s="607"/>
      <c r="AG194" s="607"/>
      <c r="AH194" s="607"/>
      <c r="AI194" s="608"/>
    </row>
    <row r="195" spans="25:35" x14ac:dyDescent="0.2">
      <c r="Y195" s="64" t="s">
        <v>81</v>
      </c>
      <c r="Z195" s="33" t="str">
        <f>""</f>
        <v/>
      </c>
      <c r="AA195" s="12">
        <v>0</v>
      </c>
      <c r="AB195" s="12" t="str">
        <f>""</f>
        <v/>
      </c>
      <c r="AC195" s="2"/>
      <c r="AD195" s="141"/>
      <c r="AE195" s="606"/>
      <c r="AF195" s="607"/>
      <c r="AG195" s="607"/>
      <c r="AH195" s="607"/>
      <c r="AI195" s="608"/>
    </row>
    <row r="196" spans="25:35" x14ac:dyDescent="0.2">
      <c r="Y196" s="64" t="s">
        <v>82</v>
      </c>
      <c r="Z196" s="33" t="str">
        <f>""</f>
        <v/>
      </c>
      <c r="AA196" s="12">
        <v>0</v>
      </c>
      <c r="AB196" s="12" t="str">
        <f>""</f>
        <v/>
      </c>
      <c r="AC196" s="2"/>
      <c r="AD196" s="141"/>
      <c r="AE196" s="606"/>
      <c r="AF196" s="607"/>
      <c r="AG196" s="607"/>
      <c r="AH196" s="607"/>
      <c r="AI196" s="608"/>
    </row>
    <row r="197" spans="25:35" x14ac:dyDescent="0.2">
      <c r="Y197" s="64" t="s">
        <v>83</v>
      </c>
      <c r="Z197" s="33" t="str">
        <f>""</f>
        <v/>
      </c>
      <c r="AA197" s="12">
        <v>0</v>
      </c>
      <c r="AB197" s="12" t="str">
        <f>""</f>
        <v/>
      </c>
      <c r="AC197" s="2"/>
      <c r="AD197" s="141"/>
      <c r="AE197" s="606"/>
      <c r="AF197" s="607"/>
      <c r="AG197" s="607"/>
      <c r="AH197" s="607"/>
      <c r="AI197" s="608"/>
    </row>
    <row r="198" spans="25:35" x14ac:dyDescent="0.2">
      <c r="Y198" s="64" t="s">
        <v>84</v>
      </c>
      <c r="Z198" s="33" t="str">
        <f>""</f>
        <v/>
      </c>
      <c r="AA198" s="12">
        <v>0</v>
      </c>
      <c r="AB198" s="12" t="str">
        <f>""</f>
        <v/>
      </c>
      <c r="AC198" s="2"/>
      <c r="AD198" s="141"/>
      <c r="AE198" s="606"/>
      <c r="AF198" s="607"/>
      <c r="AG198" s="607"/>
      <c r="AH198" s="607"/>
      <c r="AI198" s="608"/>
    </row>
    <row r="199" spans="25:35" x14ac:dyDescent="0.2">
      <c r="Y199" s="64" t="s">
        <v>85</v>
      </c>
      <c r="Z199" s="33" t="str">
        <f>""</f>
        <v/>
      </c>
      <c r="AA199" s="12">
        <v>0</v>
      </c>
      <c r="AB199" s="12" t="str">
        <f>""</f>
        <v/>
      </c>
      <c r="AC199" s="2"/>
      <c r="AD199" s="141"/>
      <c r="AE199" s="606"/>
      <c r="AF199" s="607"/>
      <c r="AG199" s="607"/>
      <c r="AH199" s="607"/>
      <c r="AI199" s="608"/>
    </row>
    <row r="200" spans="25:35" x14ac:dyDescent="0.2">
      <c r="Y200" s="64" t="s">
        <v>86</v>
      </c>
      <c r="Z200" s="33" t="str">
        <f>""</f>
        <v/>
      </c>
      <c r="AA200" s="12">
        <v>0</v>
      </c>
      <c r="AB200" s="12" t="str">
        <f>""</f>
        <v/>
      </c>
      <c r="AC200" s="2"/>
      <c r="AD200" s="141"/>
      <c r="AE200" s="606"/>
      <c r="AF200" s="607"/>
      <c r="AG200" s="607"/>
      <c r="AH200" s="607"/>
      <c r="AI200" s="608"/>
    </row>
    <row r="201" spans="25:35" x14ac:dyDescent="0.2">
      <c r="Y201" s="64" t="s">
        <v>87</v>
      </c>
      <c r="Z201" s="33" t="str">
        <f>""</f>
        <v/>
      </c>
      <c r="AA201" s="12">
        <v>0</v>
      </c>
      <c r="AB201" s="12" t="str">
        <f>""</f>
        <v/>
      </c>
      <c r="AC201" s="2"/>
      <c r="AD201" s="141"/>
      <c r="AE201" s="606"/>
      <c r="AF201" s="607"/>
      <c r="AG201" s="607"/>
      <c r="AH201" s="607"/>
      <c r="AI201" s="608"/>
    </row>
    <row r="202" spans="25:35" x14ac:dyDescent="0.2">
      <c r="Y202" s="64" t="s">
        <v>88</v>
      </c>
      <c r="Z202" s="33" t="str">
        <f>""</f>
        <v/>
      </c>
      <c r="AA202" s="12">
        <v>0</v>
      </c>
      <c r="AB202" s="12" t="str">
        <f>""</f>
        <v/>
      </c>
      <c r="AC202" s="2"/>
      <c r="AD202" s="141"/>
      <c r="AE202" s="606"/>
      <c r="AF202" s="607"/>
      <c r="AG202" s="607"/>
      <c r="AH202" s="607"/>
      <c r="AI202" s="608"/>
    </row>
    <row r="203" spans="25:35" x14ac:dyDescent="0.2">
      <c r="Y203" s="64" t="s">
        <v>89</v>
      </c>
      <c r="Z203" s="33" t="str">
        <f>""</f>
        <v/>
      </c>
      <c r="AA203" s="12">
        <v>0</v>
      </c>
      <c r="AB203" s="12" t="str">
        <f>""</f>
        <v/>
      </c>
      <c r="AC203" s="2"/>
      <c r="AD203" s="141"/>
      <c r="AE203" s="606"/>
      <c r="AF203" s="607"/>
      <c r="AG203" s="607"/>
      <c r="AH203" s="607"/>
      <c r="AI203" s="608"/>
    </row>
    <row r="204" spans="25:35" x14ac:dyDescent="0.2">
      <c r="Y204" s="64" t="s">
        <v>90</v>
      </c>
      <c r="Z204" s="33" t="str">
        <f>""</f>
        <v/>
      </c>
      <c r="AA204" s="12">
        <v>0</v>
      </c>
      <c r="AB204" s="12" t="str">
        <f>""</f>
        <v/>
      </c>
      <c r="AC204" s="2"/>
      <c r="AD204" s="141"/>
      <c r="AE204" s="606"/>
      <c r="AF204" s="607"/>
      <c r="AG204" s="607"/>
      <c r="AH204" s="607"/>
      <c r="AI204" s="608"/>
    </row>
    <row r="205" spans="25:35" x14ac:dyDescent="0.2">
      <c r="Y205" s="64" t="s">
        <v>91</v>
      </c>
      <c r="Z205" s="33" t="str">
        <f>""</f>
        <v/>
      </c>
      <c r="AA205" s="12">
        <v>0</v>
      </c>
      <c r="AB205" s="12" t="str">
        <f>""</f>
        <v/>
      </c>
      <c r="AC205" s="2"/>
      <c r="AD205" s="141"/>
      <c r="AE205" s="606"/>
      <c r="AF205" s="607"/>
      <c r="AG205" s="607"/>
      <c r="AH205" s="607"/>
      <c r="AI205" s="608"/>
    </row>
    <row r="206" spans="25:35" x14ac:dyDescent="0.2">
      <c r="Y206" s="64" t="s">
        <v>92</v>
      </c>
      <c r="Z206" s="33" t="str">
        <f>""</f>
        <v/>
      </c>
      <c r="AA206" s="12">
        <v>0</v>
      </c>
      <c r="AB206" s="12" t="str">
        <f>""</f>
        <v/>
      </c>
      <c r="AC206" s="2"/>
      <c r="AD206" s="141"/>
      <c r="AE206" s="606"/>
      <c r="AF206" s="607"/>
      <c r="AG206" s="607"/>
      <c r="AH206" s="607"/>
      <c r="AI206" s="608"/>
    </row>
    <row r="207" spans="25:35" ht="12.75" thickBot="1" x14ac:dyDescent="0.25">
      <c r="Y207" s="65" t="s">
        <v>93</v>
      </c>
      <c r="Z207" s="35" t="str">
        <f>""</f>
        <v/>
      </c>
      <c r="AA207" s="36">
        <v>0</v>
      </c>
      <c r="AB207" s="142" t="str">
        <f>""</f>
        <v/>
      </c>
      <c r="AC207" s="144"/>
      <c r="AD207" s="143"/>
      <c r="AE207" s="610"/>
      <c r="AF207" s="611"/>
      <c r="AG207" s="611"/>
      <c r="AH207" s="611"/>
      <c r="AI207" s="612"/>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B8FCE-00C8-4784-8A2D-A68F65E0ADBF}">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336</v>
      </c>
      <c r="K2" s="1"/>
      <c r="L2" s="1"/>
      <c r="M2" s="1"/>
      <c r="N2" s="12"/>
      <c r="O2" s="1"/>
      <c r="P2" s="1"/>
      <c r="Q2" s="1"/>
      <c r="W2" s="2" t="s">
        <v>150</v>
      </c>
    </row>
    <row r="3" spans="1:44" s="2" customFormat="1" ht="13.5" customHeight="1" thickBot="1" x14ac:dyDescent="0.25">
      <c r="B3" s="1"/>
      <c r="C3" s="12"/>
      <c r="D3" s="12"/>
      <c r="E3" s="12"/>
      <c r="F3" s="12"/>
      <c r="G3" s="67" t="s">
        <v>106</v>
      </c>
      <c r="H3" s="67" t="s">
        <v>107</v>
      </c>
      <c r="I3" s="729" t="s">
        <v>108</v>
      </c>
      <c r="J3" s="729" t="s">
        <v>109</v>
      </c>
      <c r="K3" s="729" t="s">
        <v>102</v>
      </c>
      <c r="L3" s="26" t="s">
        <v>103</v>
      </c>
      <c r="M3" s="26" t="s">
        <v>104</v>
      </c>
      <c r="N3" s="26" t="s">
        <v>105</v>
      </c>
      <c r="O3" s="108">
        <f t="shared" ref="O3:V3" ca="1" si="0">IF(9-COUNTIF(O$17:O$25,"")&gt;1,O$16,99999)</f>
        <v>99999</v>
      </c>
      <c r="P3" s="109">
        <f t="shared" ca="1" si="0"/>
        <v>99999</v>
      </c>
      <c r="Q3" s="109">
        <f t="shared" ca="1" si="0"/>
        <v>99999</v>
      </c>
      <c r="R3" s="109">
        <f t="shared" ca="1" si="0"/>
        <v>99999</v>
      </c>
      <c r="S3" s="109">
        <f t="shared" ca="1" si="0"/>
        <v>99999</v>
      </c>
      <c r="T3" s="109">
        <f t="shared" ca="1" si="0"/>
        <v>99999</v>
      </c>
      <c r="U3" s="109">
        <f t="shared" ca="1" si="0"/>
        <v>99999</v>
      </c>
      <c r="V3" s="109">
        <f t="shared" ca="1" si="0"/>
        <v>99999</v>
      </c>
      <c r="W3" s="926">
        <f ca="1">IF($O$4&lt;10,$O$4,0)</f>
        <v>0</v>
      </c>
      <c r="X3" s="927"/>
      <c r="Y3" s="927"/>
      <c r="Z3" s="927"/>
      <c r="AA3" s="927"/>
      <c r="AB3" s="926">
        <f ca="1">IF($P$4&lt;10,$P$4,0)</f>
        <v>0</v>
      </c>
      <c r="AC3" s="927"/>
      <c r="AD3" s="927"/>
      <c r="AE3" s="927"/>
      <c r="AF3" s="927"/>
      <c r="AG3" s="926">
        <f ca="1">IF($Q$4&lt;10,$Q$4,0)</f>
        <v>0</v>
      </c>
      <c r="AH3" s="927"/>
      <c r="AI3" s="927"/>
      <c r="AJ3" s="927"/>
      <c r="AK3" s="927"/>
      <c r="AL3" s="926">
        <f ca="1">IF($R$4&lt;10,$R$4,0)</f>
        <v>0</v>
      </c>
      <c r="AM3" s="927"/>
      <c r="AN3" s="927"/>
      <c r="AO3" s="927"/>
      <c r="AP3" s="927"/>
    </row>
    <row r="4" spans="1:44" s="2" customFormat="1" ht="12.75" thickTop="1" x14ac:dyDescent="0.2">
      <c r="A4" s="239"/>
      <c r="B4" s="1">
        <v>1</v>
      </c>
      <c r="C4" s="20">
        <f t="shared" ref="C4:C12" ca="1" si="1">RANK(D4,$D$4:$D$12,1)</f>
        <v>4</v>
      </c>
      <c r="D4" s="12">
        <f t="shared" ref="D4:D12" ca="1" si="2">E4+ROW()/1000+(F4="")*10</f>
        <v>4.0039999999999996</v>
      </c>
      <c r="E4" s="252">
        <f t="shared" ref="E4:E12" ca="1" si="3">IF($AI$15,RANK(AH17,AH$17:AH$25,1),RANK(X17,X$17:X$25,1))</f>
        <v>4</v>
      </c>
      <c r="F4" s="1" t="str">
        <f ca="1">$Q64</f>
        <v>Maibach 1822 eV</v>
      </c>
      <c r="G4" s="1">
        <f t="shared" ref="G4:G12" ca="1" si="4">SUMIFS($X$64:$X$135,$V$64:$V$135,$F4)+SUMIFS($Y$64:$Y$135,$W$64:$W$135,$F4)+SUMIFS($AG$64:$AG$135,$V$64:$V$135,$F4)+SUMIFS($AH$64:$AH$135,$W$64:$W$135,$F4)</f>
        <v>116</v>
      </c>
      <c r="H4" s="1">
        <f t="shared" ref="H4:H12" ca="1" si="5">SUMIFS($Y$64:$Y$135,$V$64:$V$135,$F4)+SUMIFS($X$64:$X$135,$W$64:$W$135,$F4)+SUMIFS($AH$64:$AH$135,$V$64:$V$135,$F4)+SUMIFS($AG$64:$AG$135,$W$64:$W$135,$F4)</f>
        <v>133</v>
      </c>
      <c r="I4" s="12">
        <f ca="1">IF(Einstellungen!$G$7,G4-H4,IF(H4=0,IF(G4=0,0,Einstellungen!$F$7),G4/H4))</f>
        <v>-17</v>
      </c>
      <c r="J4" s="1">
        <f t="shared" ref="J4:J7" ca="1" si="6">SUMPRODUCT(($V$64:$V$135=F4)*$AE$64:$AE$135*$AA$64:$AA$135)+SUMPRODUCT(($W$64:$W$135=F4)*$AF$64:$AF$135*$AA$64:$AA$135)</f>
        <v>2</v>
      </c>
      <c r="K4" s="1">
        <f t="shared" ref="K4:K12" ca="1" si="7">SUMPRODUCT(($V$64:$V$135=F4)*$AA$64:$AA$135)+SUMPRODUCT(($W$64:$W$135=F4)*$AA$64:$AA$135)</f>
        <v>3</v>
      </c>
      <c r="L4" s="1">
        <f t="shared" ref="L4:L12" ca="1" si="8">K4-M4-N4</f>
        <v>1</v>
      </c>
      <c r="M4" s="1">
        <f t="shared" ref="M4:M12" ca="1" si="9">SUMPRODUCT(($V$64:$W$135=F4)*($AE$64:$AE$135=$AF$64:$AF$135)*$AA$64:$AA$135)</f>
        <v>0</v>
      </c>
      <c r="N4" s="1">
        <f t="shared" ref="N4:N12" ca="1" si="10">SUMPRODUCT(($V$64:$V$135=F4)*($AE$64:$AE$135&lt;$AF$64:$AF$135)*$AA$64:$AA$135)+SUMPRODUCT(($W$64:$W$135=F4)*($AE$64:$AE$135&gt;$AF$64:$AF$135)*$AA$64:$AA$135)</f>
        <v>2</v>
      </c>
      <c r="O4" s="117">
        <f ca="1">SMALL($O$3:$V$3,1)</f>
        <v>99999</v>
      </c>
      <c r="P4" s="117">
        <f ca="1">SMALL($O$3:$V$3,2)</f>
        <v>99999</v>
      </c>
      <c r="Q4" s="117">
        <f ca="1">SMALL($O$3:$V$3,3)</f>
        <v>99999</v>
      </c>
      <c r="R4" s="117">
        <f ca="1">SMALL($O$3:$V$3,4)</f>
        <v>99999</v>
      </c>
      <c r="V4" s="1"/>
      <c r="W4" s="578" t="str">
        <f t="shared" ref="W4:W12" ca="1" si="11">IFERROR(INDEX($O$17:$V$25,ROW(A1),$W$3),"")</f>
        <v/>
      </c>
      <c r="X4" s="579" t="str">
        <f t="shared" ref="X4:X12" ca="1" si="12">INDEX($W$4:$W$12,MATCH(ROW(A1),$AA$4:$AA$12,0))</f>
        <v/>
      </c>
      <c r="Y4" s="580">
        <f t="shared" ref="Y4:Y12" ca="1" si="13">IF($W4="",99999,VLOOKUP($W4,$C$17:$Z$25,24,0))</f>
        <v>99999</v>
      </c>
      <c r="Z4" s="581">
        <f t="shared" ref="Z4:Z12" ca="1" si="14">RANK(Y4,Y$4:Y$12,1)+INDEX($E$4:$E$12,MATCH(W4,$F$4:$F$12,0))/100+ROW()/10000</f>
        <v>1.0504</v>
      </c>
      <c r="AA4" s="582">
        <f t="shared" ref="AA4:AA12" ca="1" si="15">RANK($Z4,$Z$4:$Z$12,1)</f>
        <v>1</v>
      </c>
      <c r="AB4" s="583" t="str">
        <f t="shared" ref="AB4:AB12" ca="1" si="16">IFERROR(INDEX($O$17:$V$25,ROW(A1),$AB$3),"")</f>
        <v/>
      </c>
      <c r="AC4" s="584" t="str">
        <f t="shared" ref="AC4:AC12" ca="1" si="17">INDEX($AB$4:$AB$12,MATCH(ROW(A1),$AF$4:$AF$12,0))</f>
        <v/>
      </c>
      <c r="AD4" s="585">
        <f t="shared" ref="AD4:AD12" ca="1" si="18">IF($AB4="",99999,VLOOKUP($AB4,$C$17:$Z$25,24,0))</f>
        <v>99999</v>
      </c>
      <c r="AE4" s="581">
        <f t="shared" ref="AE4:AE12" ca="1" si="19">RANK(AD4,AD$4:AD$12,1)+INDEX($E$4:$E$12,MATCH(AB4,$F$4:$F$12,0))/100+ROW()/10000</f>
        <v>1.0504</v>
      </c>
      <c r="AF4" s="581">
        <f t="shared" ref="AF4:AF12" ca="1" si="20">RANK($AE4,$AE$4:$AE$12,1)</f>
        <v>1</v>
      </c>
      <c r="AG4" s="583" t="str">
        <f t="shared" ref="AG4:AG12" ca="1" si="21">IFERROR(INDEX($O$17:$V$25,ROW(C1),$AG$3),"")</f>
        <v/>
      </c>
      <c r="AH4" s="584" t="str">
        <f t="shared" ref="AH4:AH12" ca="1" si="22">INDEX($AG$4:$AG$12,MATCH(ROW(A1),$AK$4:$AK$12,0))</f>
        <v/>
      </c>
      <c r="AI4" s="585">
        <f t="shared" ref="AI4:AI12" ca="1" si="23">IF($AG4="",99999,VLOOKUP($AG4,$C$17:$Z$25,24,0))</f>
        <v>99999</v>
      </c>
      <c r="AJ4" s="581">
        <f t="shared" ref="AJ4:AJ12" ca="1" si="24">RANK(AI4,AI$4:AI$12,1)+INDEX($E$4:$E$12,MATCH(AG4,$F$4:$F$12,0))/100+ROW()/10000</f>
        <v>1.0504</v>
      </c>
      <c r="AK4" s="586">
        <f t="shared" ref="AK4:AK12" ca="1" si="25">RANK($AJ4,$AJ$4:$AJ$12,1)</f>
        <v>1</v>
      </c>
      <c r="AL4" s="584" t="str">
        <f t="shared" ref="AL4:AL12" ca="1" si="26">IFERROR(INDEX($O$17:$V$25,ROW(E1),$AL$3),"")</f>
        <v/>
      </c>
      <c r="AM4" s="584" t="str">
        <f t="shared" ref="AM4:AM12" ca="1" si="27">INDEX($AL$4:$AL$12,MATCH(ROW(A1),$AP$4:$AP$12,0))</f>
        <v/>
      </c>
      <c r="AN4" s="585">
        <f t="shared" ref="AN4:AN12" ca="1" si="28">IF($AL4="",99999,VLOOKUP($AL4,$C$17:$Z$25,24,0))</f>
        <v>99999</v>
      </c>
      <c r="AO4" s="581">
        <f t="shared" ref="AO4:AO12" ca="1" si="29">RANK(AN4,AN$4:AN$12,1)+INDEX($E$4:$E$12,MATCH(AL4,$F$4:$F$12,0))/100+ROW()/10000</f>
        <v>1.0504</v>
      </c>
      <c r="AP4" s="586">
        <f t="shared" ref="AP4:AP12" ca="1" si="30">RANK($AO4,$AO$4:$AO$12,1)</f>
        <v>1</v>
      </c>
      <c r="AR4" s="2">
        <f ca="1">IF(Einstellungen!$G$7,$I4,ROUND($I4,Einstellungen!$H$7))</f>
        <v>-17</v>
      </c>
    </row>
    <row r="5" spans="1:44" s="2" customFormat="1" x14ac:dyDescent="0.2">
      <c r="A5" s="239"/>
      <c r="B5" s="1">
        <v>2</v>
      </c>
      <c r="C5" s="21">
        <f t="shared" ca="1" si="1"/>
        <v>3</v>
      </c>
      <c r="D5" s="12">
        <f t="shared" ca="1" si="2"/>
        <v>3.0049999999999999</v>
      </c>
      <c r="E5" s="252">
        <f t="shared" ca="1" si="3"/>
        <v>3</v>
      </c>
      <c r="F5" s="1" t="str">
        <f t="shared" ref="F5:F12" ca="1" si="31">$Q65</f>
        <v>Mainz 05</v>
      </c>
      <c r="G5" s="1">
        <f t="shared" ca="1" si="4"/>
        <v>127</v>
      </c>
      <c r="H5" s="1">
        <f t="shared" ca="1" si="5"/>
        <v>133</v>
      </c>
      <c r="I5" s="12">
        <f ca="1">IF(Einstellungen!$G$7,G5-H5,IF(H5=0,IF(G5=0,0,Einstellungen!$F$7),G5/H5))</f>
        <v>-6</v>
      </c>
      <c r="J5" s="1">
        <f t="shared" ca="1" si="6"/>
        <v>3</v>
      </c>
      <c r="K5" s="1">
        <f t="shared" ca="1" si="7"/>
        <v>3</v>
      </c>
      <c r="L5" s="1">
        <f t="shared" ca="1" si="8"/>
        <v>1</v>
      </c>
      <c r="M5" s="1">
        <f t="shared" ca="1" si="9"/>
        <v>1</v>
      </c>
      <c r="N5" s="1">
        <f t="shared" ca="1" si="10"/>
        <v>1</v>
      </c>
      <c r="O5" s="23"/>
      <c r="P5" s="24"/>
      <c r="V5" s="1"/>
      <c r="W5" s="583" t="str">
        <f t="shared" ca="1" si="11"/>
        <v/>
      </c>
      <c r="X5" s="584" t="str">
        <f t="shared" ca="1" si="12"/>
        <v/>
      </c>
      <c r="Y5" s="581">
        <f t="shared" ca="1" si="13"/>
        <v>99999</v>
      </c>
      <c r="Z5" s="581">
        <f t="shared" ca="1" si="14"/>
        <v>1.0505</v>
      </c>
      <c r="AA5" s="586">
        <f t="shared" ca="1" si="15"/>
        <v>2</v>
      </c>
      <c r="AB5" s="583" t="str">
        <f t="shared" ca="1" si="16"/>
        <v/>
      </c>
      <c r="AC5" s="584" t="str">
        <f t="shared" ca="1" si="17"/>
        <v/>
      </c>
      <c r="AD5" s="585">
        <f t="shared" ca="1" si="18"/>
        <v>99999</v>
      </c>
      <c r="AE5" s="581">
        <f t="shared" ca="1" si="19"/>
        <v>1.0505</v>
      </c>
      <c r="AF5" s="581">
        <f t="shared" ca="1" si="20"/>
        <v>2</v>
      </c>
      <c r="AG5" s="583" t="str">
        <f t="shared" ca="1" si="21"/>
        <v/>
      </c>
      <c r="AH5" s="584" t="str">
        <f t="shared" ca="1" si="22"/>
        <v/>
      </c>
      <c r="AI5" s="585">
        <f t="shared" ca="1" si="23"/>
        <v>99999</v>
      </c>
      <c r="AJ5" s="581">
        <f t="shared" ca="1" si="24"/>
        <v>1.0505</v>
      </c>
      <c r="AK5" s="586">
        <f t="shared" ca="1" si="25"/>
        <v>2</v>
      </c>
      <c r="AL5" s="584" t="str">
        <f t="shared" ca="1" si="26"/>
        <v/>
      </c>
      <c r="AM5" s="584" t="str">
        <f t="shared" ca="1" si="27"/>
        <v/>
      </c>
      <c r="AN5" s="585">
        <f t="shared" ca="1" si="28"/>
        <v>99999</v>
      </c>
      <c r="AO5" s="581">
        <f t="shared" ca="1" si="29"/>
        <v>1.0505</v>
      </c>
      <c r="AP5" s="586">
        <f t="shared" ca="1" si="30"/>
        <v>2</v>
      </c>
      <c r="AR5" s="2">
        <f ca="1">IF(Einstellungen!$G$7,$I5,ROUND($I5,Einstellungen!$H$7))</f>
        <v>-6</v>
      </c>
    </row>
    <row r="6" spans="1:44" s="2" customFormat="1" x14ac:dyDescent="0.2">
      <c r="A6" s="239"/>
      <c r="B6" s="1">
        <v>3</v>
      </c>
      <c r="C6" s="21">
        <f t="shared" ca="1" si="1"/>
        <v>2</v>
      </c>
      <c r="D6" s="12">
        <f t="shared" ca="1" si="2"/>
        <v>2.0059999999999998</v>
      </c>
      <c r="E6" s="252">
        <f t="shared" ca="1" si="3"/>
        <v>2</v>
      </c>
      <c r="F6" s="1" t="str">
        <f t="shared" ca="1" si="31"/>
        <v>Eintracht Frankfurt</v>
      </c>
      <c r="G6" s="1">
        <f t="shared" ca="1" si="4"/>
        <v>135</v>
      </c>
      <c r="H6" s="1">
        <f t="shared" ca="1" si="5"/>
        <v>123</v>
      </c>
      <c r="I6" s="12">
        <f ca="1">IF(Einstellungen!$G$7,G6-H6,IF(H6=0,IF(G6=0,0,Einstellungen!$F$7),G6/H6))</f>
        <v>12</v>
      </c>
      <c r="J6" s="1">
        <f t="shared" ca="1" si="6"/>
        <v>3</v>
      </c>
      <c r="K6" s="1">
        <f t="shared" ca="1" si="7"/>
        <v>3</v>
      </c>
      <c r="L6" s="1">
        <f t="shared" ca="1" si="8"/>
        <v>1</v>
      </c>
      <c r="M6" s="1">
        <f t="shared" ca="1" si="9"/>
        <v>1</v>
      </c>
      <c r="N6" s="1">
        <f t="shared" ca="1" si="10"/>
        <v>1</v>
      </c>
      <c r="O6" s="23"/>
      <c r="P6" s="24"/>
      <c r="V6" s="1"/>
      <c r="W6" s="583" t="str">
        <f t="shared" ca="1" si="11"/>
        <v/>
      </c>
      <c r="X6" s="584" t="str">
        <f t="shared" ca="1" si="12"/>
        <v/>
      </c>
      <c r="Y6" s="581">
        <f t="shared" ca="1" si="13"/>
        <v>99999</v>
      </c>
      <c r="Z6" s="581">
        <f t="shared" ca="1" si="14"/>
        <v>1.0506</v>
      </c>
      <c r="AA6" s="586">
        <f t="shared" ca="1" si="15"/>
        <v>3</v>
      </c>
      <c r="AB6" s="583" t="str">
        <f t="shared" ca="1" si="16"/>
        <v/>
      </c>
      <c r="AC6" s="584" t="str">
        <f t="shared" ca="1" si="17"/>
        <v/>
      </c>
      <c r="AD6" s="585">
        <f t="shared" ca="1" si="18"/>
        <v>99999</v>
      </c>
      <c r="AE6" s="581">
        <f t="shared" ca="1" si="19"/>
        <v>1.0506</v>
      </c>
      <c r="AF6" s="581">
        <f t="shared" ca="1" si="20"/>
        <v>3</v>
      </c>
      <c r="AG6" s="583" t="str">
        <f t="shared" ca="1" si="21"/>
        <v/>
      </c>
      <c r="AH6" s="584" t="str">
        <f t="shared" ca="1" si="22"/>
        <v/>
      </c>
      <c r="AI6" s="585">
        <f t="shared" ca="1" si="23"/>
        <v>99999</v>
      </c>
      <c r="AJ6" s="581">
        <f t="shared" ca="1" si="24"/>
        <v>1.0506</v>
      </c>
      <c r="AK6" s="586">
        <f t="shared" ca="1" si="25"/>
        <v>3</v>
      </c>
      <c r="AL6" s="584" t="str">
        <f t="shared" ca="1" si="26"/>
        <v/>
      </c>
      <c r="AM6" s="584" t="str">
        <f t="shared" ca="1" si="27"/>
        <v/>
      </c>
      <c r="AN6" s="585">
        <f t="shared" ca="1" si="28"/>
        <v>99999</v>
      </c>
      <c r="AO6" s="581">
        <f t="shared" ca="1" si="29"/>
        <v>1.0506</v>
      </c>
      <c r="AP6" s="586">
        <f t="shared" ca="1" si="30"/>
        <v>3</v>
      </c>
      <c r="AR6" s="2">
        <f ca="1">IF(Einstellungen!$G$7,$I6,ROUND($I6,Einstellungen!$H$7))</f>
        <v>12</v>
      </c>
    </row>
    <row r="7" spans="1:44" s="2" customFormat="1" x14ac:dyDescent="0.2">
      <c r="A7" s="239"/>
      <c r="B7" s="1">
        <v>4</v>
      </c>
      <c r="C7" s="21">
        <f t="shared" ca="1" si="1"/>
        <v>1</v>
      </c>
      <c r="D7" s="12">
        <f t="shared" ca="1" si="2"/>
        <v>1.0069999999999999</v>
      </c>
      <c r="E7" s="252">
        <f t="shared" ca="1" si="3"/>
        <v>1</v>
      </c>
      <c r="F7" s="1" t="str">
        <f t="shared" ca="1" si="31"/>
        <v>Manchester City</v>
      </c>
      <c r="G7" s="1">
        <f t="shared" ca="1" si="4"/>
        <v>136</v>
      </c>
      <c r="H7" s="1">
        <f t="shared" ca="1" si="5"/>
        <v>125</v>
      </c>
      <c r="I7" s="12">
        <f ca="1">IF(Einstellungen!$G$7,G7-H7,IF(H7=0,IF(G7=0,0,Einstellungen!$F$7),G7/H7))</f>
        <v>11</v>
      </c>
      <c r="J7" s="1">
        <f t="shared" ca="1" si="6"/>
        <v>4</v>
      </c>
      <c r="K7" s="1">
        <f t="shared" ca="1" si="7"/>
        <v>3</v>
      </c>
      <c r="L7" s="1">
        <f t="shared" ca="1" si="8"/>
        <v>1</v>
      </c>
      <c r="M7" s="1">
        <f t="shared" ca="1" si="9"/>
        <v>2</v>
      </c>
      <c r="N7" s="1">
        <f t="shared" ca="1" si="10"/>
        <v>0</v>
      </c>
      <c r="O7" s="23"/>
      <c r="P7" s="24"/>
      <c r="V7" s="1"/>
      <c r="W7" s="583" t="str">
        <f t="shared" ca="1" si="11"/>
        <v/>
      </c>
      <c r="X7" s="584" t="str">
        <f t="shared" ca="1" si="12"/>
        <v/>
      </c>
      <c r="Y7" s="581">
        <f t="shared" ca="1" si="13"/>
        <v>99999</v>
      </c>
      <c r="Z7" s="581">
        <f t="shared" ca="1" si="14"/>
        <v>1.0507</v>
      </c>
      <c r="AA7" s="586">
        <f t="shared" ca="1" si="15"/>
        <v>4</v>
      </c>
      <c r="AB7" s="583" t="str">
        <f t="shared" ca="1" si="16"/>
        <v/>
      </c>
      <c r="AC7" s="584" t="str">
        <f t="shared" ca="1" si="17"/>
        <v/>
      </c>
      <c r="AD7" s="585">
        <f t="shared" ca="1" si="18"/>
        <v>99999</v>
      </c>
      <c r="AE7" s="581">
        <f t="shared" ca="1" si="19"/>
        <v>1.0507</v>
      </c>
      <c r="AF7" s="581">
        <f t="shared" ca="1" si="20"/>
        <v>4</v>
      </c>
      <c r="AG7" s="583" t="str">
        <f t="shared" ca="1" si="21"/>
        <v/>
      </c>
      <c r="AH7" s="584" t="str">
        <f t="shared" ca="1" si="22"/>
        <v/>
      </c>
      <c r="AI7" s="585">
        <f t="shared" ca="1" si="23"/>
        <v>99999</v>
      </c>
      <c r="AJ7" s="581">
        <f t="shared" ca="1" si="24"/>
        <v>1.0507</v>
      </c>
      <c r="AK7" s="586">
        <f t="shared" ca="1" si="25"/>
        <v>4</v>
      </c>
      <c r="AL7" s="584" t="str">
        <f t="shared" ca="1" si="26"/>
        <v/>
      </c>
      <c r="AM7" s="584" t="str">
        <f t="shared" ca="1" si="27"/>
        <v/>
      </c>
      <c r="AN7" s="585">
        <f t="shared" ca="1" si="28"/>
        <v>99999</v>
      </c>
      <c r="AO7" s="581">
        <f t="shared" ca="1" si="29"/>
        <v>1.0507</v>
      </c>
      <c r="AP7" s="586">
        <f t="shared" ca="1" si="30"/>
        <v>4</v>
      </c>
      <c r="AR7" s="2">
        <f ca="1">IF(Einstellungen!$G$7,$I7,ROUND($I7,Einstellungen!$H$7))</f>
        <v>11</v>
      </c>
    </row>
    <row r="8" spans="1:44" s="2" customFormat="1" x14ac:dyDescent="0.2">
      <c r="A8" s="239"/>
      <c r="B8" s="1">
        <v>5</v>
      </c>
      <c r="C8" s="21">
        <f t="shared" ca="1" si="1"/>
        <v>5</v>
      </c>
      <c r="D8" s="12">
        <f t="shared" ca="1" si="2"/>
        <v>15.007999999999999</v>
      </c>
      <c r="E8" s="252">
        <f t="shared" ca="1" si="3"/>
        <v>5</v>
      </c>
      <c r="F8" s="1" t="str">
        <f t="shared" si="31"/>
        <v/>
      </c>
      <c r="G8" s="1">
        <f t="shared" ca="1" si="4"/>
        <v>0</v>
      </c>
      <c r="H8" s="1">
        <f t="shared" ca="1" si="5"/>
        <v>0</v>
      </c>
      <c r="I8" s="12">
        <f ca="1">IF(Einstellungen!$G$7,G8-H8,IF(H8=0,IF(G8=0,0,Einstellungen!$F$7),G8/H8))</f>
        <v>0</v>
      </c>
      <c r="J8" s="1">
        <f ca="1">SUMPRODUCT(($V$64:$V$135=F8)*$AE$64:$AE$135*$AA$64:$AA$135)+SUMPRODUCT(($W$64:$W$135=F8)*$AF$64:$AF$135*$AA$64:$AA$135)</f>
        <v>0</v>
      </c>
      <c r="K8" s="1">
        <f t="shared" ca="1" si="7"/>
        <v>0</v>
      </c>
      <c r="L8" s="1">
        <f t="shared" ca="1" si="8"/>
        <v>0</v>
      </c>
      <c r="M8" s="1">
        <f t="shared" ca="1" si="9"/>
        <v>0</v>
      </c>
      <c r="N8" s="1">
        <f t="shared" ca="1" si="10"/>
        <v>0</v>
      </c>
      <c r="P8" s="24"/>
      <c r="W8" s="583" t="str">
        <f t="shared" ca="1" si="11"/>
        <v/>
      </c>
      <c r="X8" s="584" t="str">
        <f t="shared" ca="1" si="12"/>
        <v/>
      </c>
      <c r="Y8" s="581">
        <f t="shared" ca="1" si="13"/>
        <v>99999</v>
      </c>
      <c r="Z8" s="581">
        <f t="shared" ca="1" si="14"/>
        <v>1.0508</v>
      </c>
      <c r="AA8" s="586">
        <f t="shared" ca="1" si="15"/>
        <v>5</v>
      </c>
      <c r="AB8" s="583" t="str">
        <f t="shared" ca="1" si="16"/>
        <v/>
      </c>
      <c r="AC8" s="584" t="str">
        <f t="shared" ca="1" si="17"/>
        <v/>
      </c>
      <c r="AD8" s="585">
        <f t="shared" ca="1" si="18"/>
        <v>99999</v>
      </c>
      <c r="AE8" s="581">
        <f t="shared" ca="1" si="19"/>
        <v>1.0508</v>
      </c>
      <c r="AF8" s="581">
        <f t="shared" ca="1" si="20"/>
        <v>5</v>
      </c>
      <c r="AG8" s="583" t="str">
        <f t="shared" ca="1" si="21"/>
        <v/>
      </c>
      <c r="AH8" s="584" t="str">
        <f t="shared" ca="1" si="22"/>
        <v/>
      </c>
      <c r="AI8" s="585">
        <f t="shared" ca="1" si="23"/>
        <v>99999</v>
      </c>
      <c r="AJ8" s="581">
        <f t="shared" ca="1" si="24"/>
        <v>1.0508</v>
      </c>
      <c r="AK8" s="586">
        <f t="shared" ca="1" si="25"/>
        <v>5</v>
      </c>
      <c r="AL8" s="584" t="str">
        <f t="shared" ca="1" si="26"/>
        <v/>
      </c>
      <c r="AM8" s="584" t="str">
        <f t="shared" ca="1" si="27"/>
        <v/>
      </c>
      <c r="AN8" s="585">
        <f t="shared" ca="1" si="28"/>
        <v>99999</v>
      </c>
      <c r="AO8" s="581">
        <f t="shared" ca="1" si="29"/>
        <v>1.0508</v>
      </c>
      <c r="AP8" s="586">
        <f t="shared" ca="1" si="30"/>
        <v>5</v>
      </c>
      <c r="AR8" s="2">
        <f ca="1">IF(Einstellungen!$G$7,$I8,ROUND($I8,Einstellungen!$H$7))</f>
        <v>0</v>
      </c>
    </row>
    <row r="9" spans="1:44" s="2" customFormat="1" x14ac:dyDescent="0.2">
      <c r="A9" s="239"/>
      <c r="B9" s="1">
        <v>6</v>
      </c>
      <c r="C9" s="21">
        <f t="shared" ca="1" si="1"/>
        <v>6</v>
      </c>
      <c r="D9" s="12">
        <f t="shared" ca="1" si="2"/>
        <v>15.009</v>
      </c>
      <c r="E9" s="252">
        <f t="shared" ca="1" si="3"/>
        <v>5</v>
      </c>
      <c r="F9" s="1" t="str">
        <f t="shared" si="31"/>
        <v/>
      </c>
      <c r="G9" s="1">
        <f t="shared" ca="1" si="4"/>
        <v>0</v>
      </c>
      <c r="H9" s="1">
        <f t="shared" ca="1" si="5"/>
        <v>0</v>
      </c>
      <c r="I9" s="12">
        <f ca="1">IF(Einstellungen!$G$7,G9-H9,IF(H9=0,IF(G9=0,0,Einstellungen!$F$7),G9/H9))</f>
        <v>0</v>
      </c>
      <c r="J9" s="1">
        <f t="shared" ref="J9:J12" ca="1" si="32">SUMPRODUCT(($V$64:$V$135=F9)*$AE$64:$AE$135*$AA$64:$AA$135)+SUMPRODUCT(($W$64:$W$135=F9)*$AF$64:$AF$135*$AA$64:$AA$135)</f>
        <v>0</v>
      </c>
      <c r="K9" s="1">
        <f t="shared" ca="1" si="7"/>
        <v>0</v>
      </c>
      <c r="L9" s="1">
        <f t="shared" ca="1" si="8"/>
        <v>0</v>
      </c>
      <c r="M9" s="1">
        <f t="shared" ca="1" si="9"/>
        <v>0</v>
      </c>
      <c r="N9" s="1">
        <f t="shared" ca="1" si="10"/>
        <v>0</v>
      </c>
      <c r="P9" s="24"/>
      <c r="W9" s="583" t="str">
        <f t="shared" ca="1" si="11"/>
        <v/>
      </c>
      <c r="X9" s="584" t="str">
        <f t="shared" ca="1" si="12"/>
        <v/>
      </c>
      <c r="Y9" s="581">
        <f t="shared" ca="1" si="13"/>
        <v>99999</v>
      </c>
      <c r="Z9" s="581">
        <f t="shared" ca="1" si="14"/>
        <v>1.0508999999999999</v>
      </c>
      <c r="AA9" s="586">
        <f t="shared" ca="1" si="15"/>
        <v>6</v>
      </c>
      <c r="AB9" s="583" t="str">
        <f t="shared" ca="1" si="16"/>
        <v/>
      </c>
      <c r="AC9" s="584" t="str">
        <f t="shared" ca="1" si="17"/>
        <v/>
      </c>
      <c r="AD9" s="585">
        <f t="shared" ca="1" si="18"/>
        <v>99999</v>
      </c>
      <c r="AE9" s="581">
        <f t="shared" ca="1" si="19"/>
        <v>1.0508999999999999</v>
      </c>
      <c r="AF9" s="581">
        <f t="shared" ca="1" si="20"/>
        <v>6</v>
      </c>
      <c r="AG9" s="583" t="str">
        <f t="shared" ca="1" si="21"/>
        <v/>
      </c>
      <c r="AH9" s="584" t="str">
        <f t="shared" ca="1" si="22"/>
        <v/>
      </c>
      <c r="AI9" s="585">
        <f t="shared" ca="1" si="23"/>
        <v>99999</v>
      </c>
      <c r="AJ9" s="581">
        <f t="shared" ca="1" si="24"/>
        <v>1.0508999999999999</v>
      </c>
      <c r="AK9" s="586">
        <f t="shared" ca="1" si="25"/>
        <v>6</v>
      </c>
      <c r="AL9" s="584" t="str">
        <f t="shared" ca="1" si="26"/>
        <v/>
      </c>
      <c r="AM9" s="584" t="str">
        <f t="shared" ca="1" si="27"/>
        <v/>
      </c>
      <c r="AN9" s="585">
        <f t="shared" ca="1" si="28"/>
        <v>99999</v>
      </c>
      <c r="AO9" s="581">
        <f t="shared" ca="1" si="29"/>
        <v>1.0508999999999999</v>
      </c>
      <c r="AP9" s="586">
        <f t="shared" ca="1" si="30"/>
        <v>6</v>
      </c>
      <c r="AR9" s="2">
        <f ca="1">IF(Einstellungen!$G$7,$I9,ROUND($I9,Einstellungen!$H$7))</f>
        <v>0</v>
      </c>
    </row>
    <row r="10" spans="1:44" s="2" customFormat="1" x14ac:dyDescent="0.2">
      <c r="A10" s="239"/>
      <c r="B10" s="1">
        <v>7</v>
      </c>
      <c r="C10" s="21">
        <f t="shared" ca="1" si="1"/>
        <v>7</v>
      </c>
      <c r="D10" s="12">
        <f t="shared" ca="1" si="2"/>
        <v>15.01</v>
      </c>
      <c r="E10" s="252">
        <f t="shared" ca="1" si="3"/>
        <v>5</v>
      </c>
      <c r="F10" s="1" t="str">
        <f t="shared" si="31"/>
        <v/>
      </c>
      <c r="G10" s="1">
        <f t="shared" ca="1" si="4"/>
        <v>0</v>
      </c>
      <c r="H10" s="1">
        <f t="shared" ca="1" si="5"/>
        <v>0</v>
      </c>
      <c r="I10" s="12">
        <f ca="1">IF(Einstellungen!$G$7,G10-H10,IF(H10=0,IF(G10=0,0,Einstellungen!$F$7),G10/H10))</f>
        <v>0</v>
      </c>
      <c r="J10" s="1">
        <f t="shared" ca="1" si="32"/>
        <v>0</v>
      </c>
      <c r="K10" s="1">
        <f t="shared" ca="1" si="7"/>
        <v>0</v>
      </c>
      <c r="L10" s="1">
        <f t="shared" ca="1" si="8"/>
        <v>0</v>
      </c>
      <c r="M10" s="1">
        <f t="shared" ca="1" si="9"/>
        <v>0</v>
      </c>
      <c r="N10" s="1">
        <f t="shared" ca="1" si="10"/>
        <v>0</v>
      </c>
      <c r="P10" s="24"/>
      <c r="W10" s="583" t="str">
        <f t="shared" ca="1" si="11"/>
        <v/>
      </c>
      <c r="X10" s="584" t="str">
        <f t="shared" ca="1" si="12"/>
        <v/>
      </c>
      <c r="Y10" s="581">
        <f t="shared" ca="1" si="13"/>
        <v>99999</v>
      </c>
      <c r="Z10" s="581">
        <f t="shared" ca="1" si="14"/>
        <v>1.0509999999999999</v>
      </c>
      <c r="AA10" s="586">
        <f t="shared" ca="1" si="15"/>
        <v>7</v>
      </c>
      <c r="AB10" s="583" t="str">
        <f t="shared" ca="1" si="16"/>
        <v/>
      </c>
      <c r="AC10" s="584" t="str">
        <f t="shared" ca="1" si="17"/>
        <v/>
      </c>
      <c r="AD10" s="585">
        <f t="shared" ca="1" si="18"/>
        <v>99999</v>
      </c>
      <c r="AE10" s="581">
        <f t="shared" ca="1" si="19"/>
        <v>1.0509999999999999</v>
      </c>
      <c r="AF10" s="581">
        <f t="shared" ca="1" si="20"/>
        <v>7</v>
      </c>
      <c r="AG10" s="583" t="str">
        <f t="shared" ca="1" si="21"/>
        <v/>
      </c>
      <c r="AH10" s="584" t="str">
        <f t="shared" ca="1" si="22"/>
        <v/>
      </c>
      <c r="AI10" s="585">
        <f t="shared" ca="1" si="23"/>
        <v>99999</v>
      </c>
      <c r="AJ10" s="581">
        <f t="shared" ca="1" si="24"/>
        <v>1.0509999999999999</v>
      </c>
      <c r="AK10" s="586">
        <f t="shared" ca="1" si="25"/>
        <v>7</v>
      </c>
      <c r="AL10" s="584" t="str">
        <f t="shared" ca="1" si="26"/>
        <v/>
      </c>
      <c r="AM10" s="584" t="str">
        <f t="shared" ca="1" si="27"/>
        <v/>
      </c>
      <c r="AN10" s="585">
        <f t="shared" ca="1" si="28"/>
        <v>99999</v>
      </c>
      <c r="AO10" s="581">
        <f t="shared" ca="1" si="29"/>
        <v>1.0509999999999999</v>
      </c>
      <c r="AP10" s="586">
        <f t="shared" ca="1" si="30"/>
        <v>7</v>
      </c>
      <c r="AR10" s="2">
        <f ca="1">IF(Einstellungen!$G$7,$I10,ROUND($I10,Einstellungen!$H$7))</f>
        <v>0</v>
      </c>
    </row>
    <row r="11" spans="1:44" s="2" customFormat="1" x14ac:dyDescent="0.2">
      <c r="A11" s="239"/>
      <c r="B11" s="1">
        <v>8</v>
      </c>
      <c r="C11" s="21">
        <f t="shared" ca="1" si="1"/>
        <v>8</v>
      </c>
      <c r="D11" s="12">
        <f t="shared" ca="1" si="2"/>
        <v>15.010999999999999</v>
      </c>
      <c r="E11" s="252">
        <f t="shared" ca="1" si="3"/>
        <v>5</v>
      </c>
      <c r="F11" s="1" t="str">
        <f t="shared" si="31"/>
        <v/>
      </c>
      <c r="G11" s="1">
        <f t="shared" ca="1" si="4"/>
        <v>0</v>
      </c>
      <c r="H11" s="1">
        <f t="shared" ca="1" si="5"/>
        <v>0</v>
      </c>
      <c r="I11" s="12">
        <f ca="1">IF(Einstellungen!$G$7,G11-H11,IF(H11=0,IF(G11=0,0,Einstellungen!$F$7),G11/H11))</f>
        <v>0</v>
      </c>
      <c r="J11" s="1">
        <f t="shared" ca="1" si="32"/>
        <v>0</v>
      </c>
      <c r="K11" s="1">
        <f t="shared" ca="1" si="7"/>
        <v>0</v>
      </c>
      <c r="L11" s="1">
        <f t="shared" ca="1" si="8"/>
        <v>0</v>
      </c>
      <c r="M11" s="1">
        <f t="shared" ca="1" si="9"/>
        <v>0</v>
      </c>
      <c r="N11" s="1">
        <f t="shared" ca="1" si="10"/>
        <v>0</v>
      </c>
      <c r="O11" s="12"/>
      <c r="P11" s="12"/>
      <c r="Q11" s="12"/>
      <c r="R11" s="12"/>
      <c r="S11" s="12"/>
      <c r="T11" s="12"/>
      <c r="U11" s="12"/>
      <c r="V11" s="12"/>
      <c r="W11" s="583" t="str">
        <f t="shared" ca="1" si="11"/>
        <v/>
      </c>
      <c r="X11" s="584" t="str">
        <f t="shared" ca="1" si="12"/>
        <v/>
      </c>
      <c r="Y11" s="581">
        <f t="shared" ca="1" si="13"/>
        <v>99999</v>
      </c>
      <c r="Z11" s="581">
        <f t="shared" ca="1" si="14"/>
        <v>1.0511000000000001</v>
      </c>
      <c r="AA11" s="586">
        <f t="shared" ca="1" si="15"/>
        <v>8</v>
      </c>
      <c r="AB11" s="583" t="str">
        <f t="shared" ca="1" si="16"/>
        <v/>
      </c>
      <c r="AC11" s="584" t="str">
        <f t="shared" ca="1" si="17"/>
        <v/>
      </c>
      <c r="AD11" s="585">
        <f t="shared" ca="1" si="18"/>
        <v>99999</v>
      </c>
      <c r="AE11" s="581">
        <f t="shared" ca="1" si="19"/>
        <v>1.0511000000000001</v>
      </c>
      <c r="AF11" s="581">
        <f t="shared" ca="1" si="20"/>
        <v>8</v>
      </c>
      <c r="AG11" s="583" t="str">
        <f t="shared" ca="1" si="21"/>
        <v/>
      </c>
      <c r="AH11" s="584" t="str">
        <f t="shared" ca="1" si="22"/>
        <v/>
      </c>
      <c r="AI11" s="585">
        <f t="shared" ca="1" si="23"/>
        <v>99999</v>
      </c>
      <c r="AJ11" s="581">
        <f t="shared" ca="1" si="24"/>
        <v>1.0511000000000001</v>
      </c>
      <c r="AK11" s="586">
        <f t="shared" ca="1" si="25"/>
        <v>8</v>
      </c>
      <c r="AL11" s="584" t="str">
        <f t="shared" ca="1" si="26"/>
        <v/>
      </c>
      <c r="AM11" s="584" t="str">
        <f t="shared" ca="1" si="27"/>
        <v/>
      </c>
      <c r="AN11" s="585">
        <f t="shared" ca="1" si="28"/>
        <v>99999</v>
      </c>
      <c r="AO11" s="581">
        <f t="shared" ca="1" si="29"/>
        <v>1.0511000000000001</v>
      </c>
      <c r="AP11" s="586">
        <f t="shared" ca="1" si="30"/>
        <v>8</v>
      </c>
      <c r="AR11" s="2">
        <f ca="1">IF(Einstellungen!$G$7,$I11,ROUND($I11,Einstellungen!$H$7))</f>
        <v>0</v>
      </c>
    </row>
    <row r="12" spans="1:44" s="2" customFormat="1" ht="12.75" thickBot="1" x14ac:dyDescent="0.25">
      <c r="A12" s="239"/>
      <c r="B12" s="1">
        <v>9</v>
      </c>
      <c r="C12" s="22">
        <f t="shared" ca="1" si="1"/>
        <v>9</v>
      </c>
      <c r="D12" s="12">
        <f t="shared" ca="1" si="2"/>
        <v>15.012</v>
      </c>
      <c r="E12" s="252">
        <f t="shared" ca="1" si="3"/>
        <v>5</v>
      </c>
      <c r="F12" s="1" t="str">
        <f t="shared" si="31"/>
        <v/>
      </c>
      <c r="G12" s="1">
        <f t="shared" ca="1" si="4"/>
        <v>0</v>
      </c>
      <c r="H12" s="1">
        <f t="shared" ca="1" si="5"/>
        <v>0</v>
      </c>
      <c r="I12" s="12">
        <f ca="1">IF(Einstellungen!$G$7,G12-H12,IF(H12=0,IF(G12=0,0,Einstellungen!$F$7),G12/H12))</f>
        <v>0</v>
      </c>
      <c r="J12" s="1">
        <f t="shared" ca="1" si="32"/>
        <v>0</v>
      </c>
      <c r="K12" s="27">
        <f t="shared" ca="1" si="7"/>
        <v>0</v>
      </c>
      <c r="L12" s="1">
        <f t="shared" ca="1" si="8"/>
        <v>0</v>
      </c>
      <c r="M12" s="1">
        <f t="shared" ca="1" si="9"/>
        <v>0</v>
      </c>
      <c r="N12" s="1">
        <f t="shared" ca="1" si="10"/>
        <v>0</v>
      </c>
      <c r="O12" s="1"/>
      <c r="P12" s="1"/>
      <c r="Q12" s="1"/>
      <c r="R12" s="1"/>
      <c r="S12" s="1"/>
      <c r="T12" s="1"/>
      <c r="U12" s="1"/>
      <c r="V12" s="1"/>
      <c r="W12" s="587" t="str">
        <f t="shared" ca="1" si="11"/>
        <v/>
      </c>
      <c r="X12" s="588" t="str">
        <f t="shared" ca="1" si="12"/>
        <v/>
      </c>
      <c r="Y12" s="589">
        <f t="shared" ca="1" si="13"/>
        <v>99999</v>
      </c>
      <c r="Z12" s="589">
        <f t="shared" ca="1" si="14"/>
        <v>1.0512000000000001</v>
      </c>
      <c r="AA12" s="590">
        <f t="shared" ca="1" si="15"/>
        <v>9</v>
      </c>
      <c r="AB12" s="587" t="str">
        <f t="shared" ca="1" si="16"/>
        <v/>
      </c>
      <c r="AC12" s="588" t="str">
        <f t="shared" ca="1" si="17"/>
        <v/>
      </c>
      <c r="AD12" s="591">
        <f t="shared" ca="1" si="18"/>
        <v>99999</v>
      </c>
      <c r="AE12" s="589">
        <f t="shared" ca="1" si="19"/>
        <v>1.0512000000000001</v>
      </c>
      <c r="AF12" s="589">
        <f t="shared" ca="1" si="20"/>
        <v>9</v>
      </c>
      <c r="AG12" s="587" t="str">
        <f t="shared" ca="1" si="21"/>
        <v/>
      </c>
      <c r="AH12" s="588" t="str">
        <f t="shared" ca="1" si="22"/>
        <v/>
      </c>
      <c r="AI12" s="591">
        <f t="shared" ca="1" si="23"/>
        <v>99999</v>
      </c>
      <c r="AJ12" s="589">
        <f t="shared" ca="1" si="24"/>
        <v>1.0512000000000001</v>
      </c>
      <c r="AK12" s="590">
        <f t="shared" ca="1" si="25"/>
        <v>9</v>
      </c>
      <c r="AL12" s="588" t="str">
        <f t="shared" ca="1" si="26"/>
        <v/>
      </c>
      <c r="AM12" s="588" t="str">
        <f t="shared" ca="1" si="27"/>
        <v/>
      </c>
      <c r="AN12" s="591">
        <f t="shared" ca="1" si="28"/>
        <v>99999</v>
      </c>
      <c r="AO12" s="589">
        <f t="shared" ca="1" si="29"/>
        <v>1.0512000000000001</v>
      </c>
      <c r="AP12" s="590">
        <f t="shared" ca="1" si="30"/>
        <v>9</v>
      </c>
      <c r="AR12" s="2">
        <f ca="1">IF(Einstellungen!$G$7,$I12,ROUND($I12,Einstellungen!$H$7))</f>
        <v>0</v>
      </c>
    </row>
    <row r="13" spans="1:44" s="2" customFormat="1" ht="12.75" thickTop="1" x14ac:dyDescent="0.2">
      <c r="B13" s="12">
        <f ca="1">$F$13*($F$13-1)</f>
        <v>12</v>
      </c>
      <c r="C13" s="12"/>
      <c r="D13" s="12"/>
      <c r="E13" s="12"/>
      <c r="F13" s="12">
        <f ca="1">9-COUNTBLANK($F$4:$F$12)</f>
        <v>4</v>
      </c>
      <c r="G13" s="12"/>
      <c r="H13" s="12"/>
      <c r="I13" s="12"/>
      <c r="J13" s="12"/>
      <c r="K13" s="26">
        <f ca="1">QUOTIENT(SUM(K4:K12),2)</f>
        <v>6</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c r="AJ14" s="189"/>
    </row>
    <row r="15" spans="1:44" s="2" customFormat="1" x14ac:dyDescent="0.2">
      <c r="O15" s="11"/>
      <c r="AD15" s="928" t="s">
        <v>182</v>
      </c>
      <c r="AE15" s="929"/>
      <c r="AF15" s="929"/>
      <c r="AG15" s="929"/>
      <c r="AH15" s="930"/>
      <c r="AI15" s="2" t="b">
        <f>(Einstellungen!$B$7=Sprache!$E$105)</f>
        <v>0</v>
      </c>
      <c r="AK15" s="239"/>
    </row>
    <row r="16" spans="1:44" s="2" customFormat="1" ht="15.75" thickBot="1" x14ac:dyDescent="0.25">
      <c r="B16" s="12" t="s">
        <v>5</v>
      </c>
      <c r="C16" s="689" t="s">
        <v>97</v>
      </c>
      <c r="D16" s="689" t="s">
        <v>102</v>
      </c>
      <c r="E16" s="689" t="s">
        <v>103</v>
      </c>
      <c r="F16" s="689" t="s">
        <v>104</v>
      </c>
      <c r="G16" s="689" t="s">
        <v>105</v>
      </c>
      <c r="H16" s="689" t="s">
        <v>106</v>
      </c>
      <c r="I16" s="689" t="s">
        <v>107</v>
      </c>
      <c r="J16" s="689" t="s">
        <v>108</v>
      </c>
      <c r="K16" s="689" t="s">
        <v>109</v>
      </c>
      <c r="L16" s="10" t="s">
        <v>337</v>
      </c>
      <c r="M16" s="67" t="s">
        <v>96</v>
      </c>
      <c r="N16" s="67" t="s">
        <v>14</v>
      </c>
      <c r="O16" s="29">
        <v>1</v>
      </c>
      <c r="P16" s="1">
        <v>2</v>
      </c>
      <c r="Q16" s="1">
        <v>3</v>
      </c>
      <c r="R16" s="1">
        <v>4</v>
      </c>
      <c r="S16" s="1">
        <v>5</v>
      </c>
      <c r="T16" s="1">
        <v>6</v>
      </c>
      <c r="U16" s="1">
        <v>7</v>
      </c>
      <c r="V16" s="1">
        <v>8</v>
      </c>
      <c r="W16" s="10" t="s">
        <v>98</v>
      </c>
      <c r="X16" s="189" t="s">
        <v>169</v>
      </c>
      <c r="Y16" s="10" t="s">
        <v>208</v>
      </c>
      <c r="Z16" s="189" t="s">
        <v>209</v>
      </c>
      <c r="AA16" s="1" t="s">
        <v>109</v>
      </c>
      <c r="AB16" s="1" t="s">
        <v>108</v>
      </c>
      <c r="AC16" s="1"/>
      <c r="AD16" s="247" t="s">
        <v>109</v>
      </c>
      <c r="AE16" s="251" t="s">
        <v>108</v>
      </c>
      <c r="AF16" s="1" t="s">
        <v>108</v>
      </c>
      <c r="AG16" s="1" t="s">
        <v>181</v>
      </c>
      <c r="AH16" s="189" t="s">
        <v>169</v>
      </c>
    </row>
    <row r="17" spans="2:80" s="2" customFormat="1" ht="12.75" thickTop="1" x14ac:dyDescent="0.2">
      <c r="C17" s="2" t="str">
        <f ca="1">$Q64</f>
        <v>Maibach 1822 eV</v>
      </c>
      <c r="D17" s="1">
        <f t="shared" ref="D17:G25" ca="1" si="33">K4</f>
        <v>3</v>
      </c>
      <c r="E17" s="1">
        <f t="shared" ca="1" si="33"/>
        <v>1</v>
      </c>
      <c r="F17" s="1">
        <f t="shared" ca="1" si="33"/>
        <v>0</v>
      </c>
      <c r="G17" s="1">
        <f t="shared" ca="1" si="33"/>
        <v>2</v>
      </c>
      <c r="H17" s="1">
        <f t="shared" ref="H17:K25" ca="1" si="34">G4</f>
        <v>116</v>
      </c>
      <c r="I17" s="1">
        <f t="shared" ca="1" si="34"/>
        <v>133</v>
      </c>
      <c r="J17" s="12">
        <f t="shared" ca="1" si="34"/>
        <v>-17</v>
      </c>
      <c r="K17" s="1">
        <f t="shared" ca="1" si="34"/>
        <v>2</v>
      </c>
      <c r="L17" s="28">
        <f ca="1">K17*$F$64+(J17+$H$65)*$F$65</f>
        <v>2483000</v>
      </c>
      <c r="M17" s="13">
        <f ca="1">IF($AI$15,COUNTIF($K$17:$K$25,K17),COUNTIF($L$17:$L$25,L17))</f>
        <v>1</v>
      </c>
      <c r="N17" s="13">
        <f t="array" aca="1" ref="N17" ca="1">IF($AI$15,SUM(($K$17:$K$25&gt;=K17)/COUNTIF($K$17:$K$25,$K$17:$K$25)),SUM(($L$17:$L$25&gt;=L17)/COUNTIF($L$17:$L$25,$L$17:$L$25)))</f>
        <v>4</v>
      </c>
      <c r="O17" s="51" t="str">
        <f t="shared" ref="O17:O25" ca="1" si="35">IF(AND(M17&gt;1,N17=1),C17,"")</f>
        <v/>
      </c>
      <c r="P17" s="52" t="str">
        <f t="shared" ref="P17:P25" ca="1" si="36">IF(AND(M17&gt;1,N17=2),C17,"")</f>
        <v/>
      </c>
      <c r="Q17" s="52" t="str">
        <f t="shared" ref="Q17:Q25" ca="1" si="37">IF(AND(M17&gt;1,N17=3),C17,"")</f>
        <v/>
      </c>
      <c r="R17" s="52" t="str">
        <f t="shared" ref="R17:R25" ca="1" si="38">IF(AND(M17&gt;1,N17=4),C17,"")</f>
        <v/>
      </c>
      <c r="S17" s="52" t="str">
        <f t="shared" ref="S17:S25" ca="1" si="39">IF(AND(M17&gt;1,N17=5),C17,"")</f>
        <v/>
      </c>
      <c r="T17" s="52" t="str">
        <f t="shared" ref="T17:T25" ca="1" si="40">IF(AND($M17&gt;1,$N17=6),$C17,"")</f>
        <v/>
      </c>
      <c r="U17" s="52" t="str">
        <f t="shared" ref="U17:U25" ca="1" si="41">IF(AND($M17&gt;1,$N17=7),$C17,"")</f>
        <v/>
      </c>
      <c r="V17" s="53" t="str">
        <f t="shared" ref="V17:V25" ca="1" si="42">IF(AND($M17&gt;1,$N17=8),$C17,"")</f>
        <v/>
      </c>
      <c r="W17" s="61">
        <f ca="1">AA17*$F$64+(AB17+$H$65)*$F$65</f>
        <v>500000</v>
      </c>
      <c r="X17" s="20">
        <f ca="1">RANK($L17,$L$17:$L$25)+RANK($W17,$W$17:$W$25)/100+(9-$Y17)/10000</f>
        <v>4.0108999999999995</v>
      </c>
      <c r="Y17" s="12">
        <f ca="1">'Endrunde 4'!$AI12</f>
        <v>0</v>
      </c>
      <c r="Z17" s="1">
        <f ca="1">RANK($W17,$W$17:$W$25)+(9-$Y17)/10</f>
        <v>1.9</v>
      </c>
      <c r="AA17" s="1">
        <f ca="1">SUM(E30:BP30)</f>
        <v>0</v>
      </c>
      <c r="AB17" s="1">
        <f ca="1">SUM(E41:BP41)</f>
        <v>0</v>
      </c>
      <c r="AC17" s="1"/>
      <c r="AD17" s="246">
        <f ca="1">RANK($K17,$K$17:$K$25)</f>
        <v>4</v>
      </c>
      <c r="AE17" s="28">
        <f ca="1">(J17+$H$65)*$F$65</f>
        <v>483000</v>
      </c>
      <c r="AF17" s="1">
        <f ca="1">RANK($AE17,$AE$17:$AE$25)</f>
        <v>9</v>
      </c>
      <c r="AG17" s="1">
        <f ca="1">RANK($W17,$W$17:$W$25)</f>
        <v>1</v>
      </c>
      <c r="AH17" s="248">
        <f ca="1">AD17+AG17/100+AF17/10000+(10-Y17)/1000000</f>
        <v>4.0109099999999991</v>
      </c>
      <c r="AI17" s="1"/>
    </row>
    <row r="18" spans="2:80" s="2" customFormat="1" x14ac:dyDescent="0.2">
      <c r="C18" s="2" t="str">
        <f t="shared" ref="C18:C25" ca="1" si="43">$Q65</f>
        <v>Mainz 05</v>
      </c>
      <c r="D18" s="1">
        <f t="shared" ca="1" si="33"/>
        <v>3</v>
      </c>
      <c r="E18" s="1">
        <f t="shared" ca="1" si="33"/>
        <v>1</v>
      </c>
      <c r="F18" s="1">
        <f t="shared" ca="1" si="33"/>
        <v>1</v>
      </c>
      <c r="G18" s="1">
        <f t="shared" ca="1" si="33"/>
        <v>1</v>
      </c>
      <c r="H18" s="1">
        <f t="shared" ca="1" si="34"/>
        <v>127</v>
      </c>
      <c r="I18" s="1">
        <f t="shared" ca="1" si="34"/>
        <v>133</v>
      </c>
      <c r="J18" s="12">
        <f t="shared" ca="1" si="34"/>
        <v>-6</v>
      </c>
      <c r="K18" s="1">
        <f t="shared" ca="1" si="34"/>
        <v>3</v>
      </c>
      <c r="L18" s="28">
        <f t="shared" ref="L18:L25" ca="1" si="44">K18*$F$64+(J18+$H$65)*$F$65</f>
        <v>3494000</v>
      </c>
      <c r="M18" s="13">
        <f t="shared" ref="M18:M25" ca="1" si="45">IF($AI$15,COUNTIF($K$17:$K$25,K18),COUNTIF($L$17:$L$25,L18))</f>
        <v>1</v>
      </c>
      <c r="N18" s="13">
        <f t="array" aca="1" ref="N18" ca="1">IF($AI$15,SUM(($K$17:$K$25&gt;=K18)/COUNTIF($K$17:$K$25,$K$17:$K$25)),SUM(($L$17:$L$25&gt;=L18)/COUNTIF($L$17:$L$25,$L$17:$L$25)))</f>
        <v>3</v>
      </c>
      <c r="O18" s="5" t="str">
        <f t="shared" ca="1" si="35"/>
        <v/>
      </c>
      <c r="P18" s="3" t="str">
        <f t="shared" ca="1" si="36"/>
        <v/>
      </c>
      <c r="Q18" s="3" t="str">
        <f t="shared" ca="1" si="37"/>
        <v/>
      </c>
      <c r="R18" s="3" t="str">
        <f t="shared" ca="1" si="38"/>
        <v/>
      </c>
      <c r="S18" s="3" t="str">
        <f t="shared" ca="1" si="39"/>
        <v/>
      </c>
      <c r="T18" s="3" t="str">
        <f t="shared" ca="1" si="40"/>
        <v/>
      </c>
      <c r="U18" s="3" t="str">
        <f t="shared" ca="1" si="41"/>
        <v/>
      </c>
      <c r="V18" s="54" t="str">
        <f t="shared" ca="1" si="42"/>
        <v/>
      </c>
      <c r="W18" s="61">
        <f t="shared" ref="W18:W25" ca="1" si="46">AA18*$F$64+(AB18+$H$65)*$F$65</f>
        <v>500000</v>
      </c>
      <c r="X18" s="21">
        <f t="shared" ref="X18:X25" ca="1" si="47">RANK($L18,$L$17:$L$25)+RANK($W18,$W$17:$W$25)/100+(9-$Y18)/10000</f>
        <v>3.0108999999999999</v>
      </c>
      <c r="Y18" s="12">
        <f ca="1">'Endrunde 4'!$AI13</f>
        <v>0</v>
      </c>
      <c r="Z18" s="1">
        <f t="shared" ref="Z18:Z25" ca="1" si="48">RANK($W18,$W$17:$W$25)+(9-$Y18)/10</f>
        <v>1.9</v>
      </c>
      <c r="AA18" s="1">
        <f t="shared" ref="AA18:AA25" ca="1" si="49">SUM(E31:BP31)</f>
        <v>0</v>
      </c>
      <c r="AB18" s="1">
        <f t="shared" ref="AB18:AB25" ca="1" si="50">SUM(E42:BP42)</f>
        <v>0</v>
      </c>
      <c r="AC18" s="1"/>
      <c r="AD18" s="246">
        <f t="shared" ref="AD18:AD25" ca="1" si="51">RANK($K18,$K$17:$K$25)</f>
        <v>2</v>
      </c>
      <c r="AE18" s="28">
        <f t="shared" ref="AE18:AE25" ca="1" si="52">(J18+$H$65)*$F$65</f>
        <v>494000</v>
      </c>
      <c r="AF18" s="1">
        <f t="shared" ref="AF18:AF25" ca="1" si="53">RANK($AE18,$AE$17:$AE$25)</f>
        <v>8</v>
      </c>
      <c r="AG18" s="1">
        <f t="shared" ref="AG18:AG25" ca="1" si="54">RANK($W18,$W$17:$W$25)</f>
        <v>1</v>
      </c>
      <c r="AH18" s="249">
        <f t="shared" ref="AH18:AH25" ca="1" si="55">AD18+AG18/100+AF18/10000+(10-Y18)/1000000</f>
        <v>2.0108099999999998</v>
      </c>
      <c r="AI18" s="1"/>
    </row>
    <row r="19" spans="2:80" s="2" customFormat="1" x14ac:dyDescent="0.2">
      <c r="C19" s="2" t="str">
        <f t="shared" ca="1" si="43"/>
        <v>Eintracht Frankfurt</v>
      </c>
      <c r="D19" s="1">
        <f t="shared" ca="1" si="33"/>
        <v>3</v>
      </c>
      <c r="E19" s="1">
        <f t="shared" ca="1" si="33"/>
        <v>1</v>
      </c>
      <c r="F19" s="1">
        <f t="shared" ca="1" si="33"/>
        <v>1</v>
      </c>
      <c r="G19" s="1">
        <f t="shared" ca="1" si="33"/>
        <v>1</v>
      </c>
      <c r="H19" s="1">
        <f t="shared" ca="1" si="34"/>
        <v>135</v>
      </c>
      <c r="I19" s="1">
        <f t="shared" ca="1" si="34"/>
        <v>123</v>
      </c>
      <c r="J19" s="12">
        <f t="shared" ca="1" si="34"/>
        <v>12</v>
      </c>
      <c r="K19" s="1">
        <f t="shared" ca="1" si="34"/>
        <v>3</v>
      </c>
      <c r="L19" s="28">
        <f t="shared" ca="1" si="44"/>
        <v>3512000</v>
      </c>
      <c r="M19" s="13">
        <f t="shared" ca="1" si="45"/>
        <v>1</v>
      </c>
      <c r="N19" s="13">
        <f t="array" aca="1" ref="N19" ca="1">IF($AI$15,SUM(($K$17:$K$25&gt;=K19)/COUNTIF($K$17:$K$25,$K$17:$K$25)),SUM(($L$17:$L$25&gt;=L19)/COUNTIF($L$17:$L$25,$L$17:$L$25)))</f>
        <v>2</v>
      </c>
      <c r="O19" s="5" t="str">
        <f t="shared" ca="1" si="35"/>
        <v/>
      </c>
      <c r="P19" s="3" t="str">
        <f t="shared" ca="1" si="36"/>
        <v/>
      </c>
      <c r="Q19" s="3" t="str">
        <f t="shared" ca="1" si="37"/>
        <v/>
      </c>
      <c r="R19" s="3" t="str">
        <f t="shared" ca="1" si="38"/>
        <v/>
      </c>
      <c r="S19" s="3" t="str">
        <f t="shared" ca="1" si="39"/>
        <v/>
      </c>
      <c r="T19" s="3" t="str">
        <f t="shared" ca="1" si="40"/>
        <v/>
      </c>
      <c r="U19" s="3" t="str">
        <f t="shared" ca="1" si="41"/>
        <v/>
      </c>
      <c r="V19" s="54" t="str">
        <f t="shared" ca="1" si="42"/>
        <v/>
      </c>
      <c r="W19" s="61">
        <f t="shared" ca="1" si="46"/>
        <v>500000</v>
      </c>
      <c r="X19" s="21">
        <f t="shared" ca="1" si="47"/>
        <v>2.0108999999999999</v>
      </c>
      <c r="Y19" s="12">
        <f ca="1">'Endrunde 4'!$AI14</f>
        <v>0</v>
      </c>
      <c r="Z19" s="1">
        <f t="shared" ca="1" si="48"/>
        <v>1.9</v>
      </c>
      <c r="AA19" s="1">
        <f t="shared" ca="1" si="49"/>
        <v>0</v>
      </c>
      <c r="AB19" s="1">
        <f t="shared" ca="1" si="50"/>
        <v>0</v>
      </c>
      <c r="AC19" s="1"/>
      <c r="AD19" s="246">
        <f t="shared" ca="1" si="51"/>
        <v>2</v>
      </c>
      <c r="AE19" s="28">
        <f t="shared" ca="1" si="52"/>
        <v>512000</v>
      </c>
      <c r="AF19" s="1">
        <f t="shared" ca="1" si="53"/>
        <v>1</v>
      </c>
      <c r="AG19" s="1">
        <f t="shared" ca="1" si="54"/>
        <v>1</v>
      </c>
      <c r="AH19" s="249">
        <f t="shared" ca="1" si="55"/>
        <v>2.0101100000000001</v>
      </c>
      <c r="AI19" s="1"/>
    </row>
    <row r="20" spans="2:80" s="2" customFormat="1" x14ac:dyDescent="0.2">
      <c r="C20" s="2" t="str">
        <f t="shared" ca="1" si="43"/>
        <v>Manchester City</v>
      </c>
      <c r="D20" s="1">
        <f t="shared" ca="1" si="33"/>
        <v>3</v>
      </c>
      <c r="E20" s="1">
        <f t="shared" ca="1" si="33"/>
        <v>1</v>
      </c>
      <c r="F20" s="1">
        <f t="shared" ca="1" si="33"/>
        <v>2</v>
      </c>
      <c r="G20" s="1">
        <f t="shared" ca="1" si="33"/>
        <v>0</v>
      </c>
      <c r="H20" s="1">
        <f t="shared" ca="1" si="34"/>
        <v>136</v>
      </c>
      <c r="I20" s="1">
        <f t="shared" ca="1" si="34"/>
        <v>125</v>
      </c>
      <c r="J20" s="12">
        <f t="shared" ca="1" si="34"/>
        <v>11</v>
      </c>
      <c r="K20" s="1">
        <f t="shared" ca="1" si="34"/>
        <v>4</v>
      </c>
      <c r="L20" s="28">
        <f t="shared" ca="1" si="44"/>
        <v>4511000</v>
      </c>
      <c r="M20" s="13">
        <f t="shared" ca="1" si="45"/>
        <v>1</v>
      </c>
      <c r="N20" s="13">
        <f t="array" aca="1" ref="N20" ca="1">IF($AI$15,SUM(($K$17:$K$25&gt;=K20)/COUNTIF($K$17:$K$25,$K$17:$K$25)),SUM(($L$17:$L$25&gt;=L20)/COUNTIF($L$17:$L$25,$L$17:$L$25)))</f>
        <v>1</v>
      </c>
      <c r="O20" s="5" t="str">
        <f t="shared" ca="1" si="35"/>
        <v/>
      </c>
      <c r="P20" s="3" t="str">
        <f t="shared" ca="1" si="36"/>
        <v/>
      </c>
      <c r="Q20" s="3" t="str">
        <f t="shared" ca="1" si="37"/>
        <v/>
      </c>
      <c r="R20" s="3" t="str">
        <f t="shared" ca="1" si="38"/>
        <v/>
      </c>
      <c r="S20" s="3" t="str">
        <f t="shared" ca="1" si="39"/>
        <v/>
      </c>
      <c r="T20" s="3" t="str">
        <f t="shared" ca="1" si="40"/>
        <v/>
      </c>
      <c r="U20" s="3" t="str">
        <f t="shared" ca="1" si="41"/>
        <v/>
      </c>
      <c r="V20" s="54" t="str">
        <f t="shared" ca="1" si="42"/>
        <v/>
      </c>
      <c r="W20" s="61">
        <f t="shared" ca="1" si="46"/>
        <v>500000</v>
      </c>
      <c r="X20" s="21">
        <f t="shared" ca="1" si="47"/>
        <v>1.0108999999999999</v>
      </c>
      <c r="Y20" s="12">
        <f ca="1">'Endrunde 4'!$AI15</f>
        <v>0</v>
      </c>
      <c r="Z20" s="1">
        <f t="shared" ca="1" si="48"/>
        <v>1.9</v>
      </c>
      <c r="AA20" s="1">
        <f t="shared" ca="1" si="49"/>
        <v>0</v>
      </c>
      <c r="AB20" s="1">
        <f t="shared" ca="1" si="50"/>
        <v>0</v>
      </c>
      <c r="AC20" s="1"/>
      <c r="AD20" s="246">
        <f t="shared" ca="1" si="51"/>
        <v>1</v>
      </c>
      <c r="AE20" s="28">
        <f t="shared" ca="1" si="52"/>
        <v>511000</v>
      </c>
      <c r="AF20" s="1">
        <f t="shared" ca="1" si="53"/>
        <v>2</v>
      </c>
      <c r="AG20" s="1">
        <f t="shared" ca="1" si="54"/>
        <v>1</v>
      </c>
      <c r="AH20" s="249">
        <f t="shared" ca="1" si="55"/>
        <v>1.0102100000000001</v>
      </c>
      <c r="AI20" s="1"/>
    </row>
    <row r="21" spans="2:80" s="2" customFormat="1" x14ac:dyDescent="0.2">
      <c r="C21" s="2" t="str">
        <f t="shared" si="43"/>
        <v/>
      </c>
      <c r="D21" s="1">
        <f t="shared" ca="1" si="33"/>
        <v>0</v>
      </c>
      <c r="E21" s="1">
        <f t="shared" ca="1" si="33"/>
        <v>0</v>
      </c>
      <c r="F21" s="1">
        <f t="shared" ca="1" si="33"/>
        <v>0</v>
      </c>
      <c r="G21" s="1">
        <f t="shared" ca="1" si="33"/>
        <v>0</v>
      </c>
      <c r="H21" s="1">
        <f t="shared" ca="1" si="34"/>
        <v>0</v>
      </c>
      <c r="I21" s="1">
        <f t="shared" ca="1" si="34"/>
        <v>0</v>
      </c>
      <c r="J21" s="12">
        <f t="shared" ca="1" si="34"/>
        <v>0</v>
      </c>
      <c r="K21" s="1">
        <f t="shared" ca="1" si="34"/>
        <v>0</v>
      </c>
      <c r="L21" s="28">
        <f t="shared" ca="1" si="44"/>
        <v>500000</v>
      </c>
      <c r="M21" s="13">
        <f t="shared" ca="1" si="45"/>
        <v>5</v>
      </c>
      <c r="N21" s="13">
        <f t="array" aca="1" ref="N21" ca="1">IF($AI$15,SUM(($K$17:$K$25&gt;=K21)/COUNTIF($K$17:$K$25,$K$17:$K$25)),SUM(($L$17:$L$25&gt;=L21)/COUNTIF($L$17:$L$25,$L$17:$L$25)))</f>
        <v>5.0000000000000009</v>
      </c>
      <c r="O21" s="5" t="str">
        <f t="shared" ca="1" si="35"/>
        <v/>
      </c>
      <c r="P21" s="3" t="str">
        <f t="shared" ca="1" si="36"/>
        <v/>
      </c>
      <c r="Q21" s="3" t="str">
        <f t="shared" ca="1" si="37"/>
        <v/>
      </c>
      <c r="R21" s="3" t="str">
        <f t="shared" ca="1" si="38"/>
        <v/>
      </c>
      <c r="S21" s="3" t="str">
        <f t="shared" ca="1" si="39"/>
        <v/>
      </c>
      <c r="T21" s="3" t="str">
        <f t="shared" ca="1" si="40"/>
        <v/>
      </c>
      <c r="U21" s="3" t="str">
        <f t="shared" ca="1" si="41"/>
        <v/>
      </c>
      <c r="V21" s="54" t="str">
        <f t="shared" ca="1" si="42"/>
        <v/>
      </c>
      <c r="W21" s="61">
        <f t="shared" ca="1" si="46"/>
        <v>500000</v>
      </c>
      <c r="X21" s="21">
        <f t="shared" ca="1" si="47"/>
        <v>5.0108999999999995</v>
      </c>
      <c r="Y21" s="12">
        <v>0</v>
      </c>
      <c r="Z21" s="1">
        <f t="shared" ca="1" si="48"/>
        <v>1.9</v>
      </c>
      <c r="AA21" s="1">
        <f t="shared" ca="1" si="49"/>
        <v>0</v>
      </c>
      <c r="AB21" s="1">
        <f t="shared" ca="1" si="50"/>
        <v>0</v>
      </c>
      <c r="AC21" s="1"/>
      <c r="AD21" s="246">
        <f t="shared" ca="1" si="51"/>
        <v>5</v>
      </c>
      <c r="AE21" s="28">
        <f t="shared" ca="1" si="52"/>
        <v>500000</v>
      </c>
      <c r="AF21" s="1">
        <f t="shared" ca="1" si="53"/>
        <v>3</v>
      </c>
      <c r="AG21" s="1">
        <f t="shared" ca="1" si="54"/>
        <v>1</v>
      </c>
      <c r="AH21" s="249">
        <f t="shared" ca="1" si="55"/>
        <v>5.0103099999999996</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2">
        <f t="shared" ca="1" si="34"/>
        <v>0</v>
      </c>
      <c r="K22" s="1">
        <f t="shared" ca="1" si="34"/>
        <v>0</v>
      </c>
      <c r="L22" s="28">
        <f t="shared" ca="1" si="44"/>
        <v>500000</v>
      </c>
      <c r="M22" s="13">
        <f t="shared" ca="1" si="45"/>
        <v>5</v>
      </c>
      <c r="N22" s="13">
        <f t="array" aca="1" ref="N22" ca="1">IF($AI$15,SUM(($K$17:$K$25&gt;=K22)/COUNTIF($K$17:$K$25,$K$17:$K$25)),SUM(($L$17:$L$25&gt;=L22)/COUNTIF($L$17:$L$25,$L$17:$L$25)))</f>
        <v>5.0000000000000009</v>
      </c>
      <c r="O22" s="5" t="str">
        <f t="shared" ca="1" si="35"/>
        <v/>
      </c>
      <c r="P22" s="3" t="str">
        <f t="shared" ca="1" si="36"/>
        <v/>
      </c>
      <c r="Q22" s="3" t="str">
        <f t="shared" ca="1" si="37"/>
        <v/>
      </c>
      <c r="R22" s="3" t="str">
        <f t="shared" ca="1" si="38"/>
        <v/>
      </c>
      <c r="S22" s="3" t="str">
        <f t="shared" ca="1" si="39"/>
        <v/>
      </c>
      <c r="T22" s="3" t="str">
        <f t="shared" ca="1" si="40"/>
        <v/>
      </c>
      <c r="U22" s="3" t="str">
        <f t="shared" ca="1" si="41"/>
        <v/>
      </c>
      <c r="V22" s="54" t="str">
        <f t="shared" ca="1" si="42"/>
        <v/>
      </c>
      <c r="W22" s="61">
        <f t="shared" ca="1" si="46"/>
        <v>500000</v>
      </c>
      <c r="X22" s="21">
        <f t="shared" ca="1" si="47"/>
        <v>5.0108999999999995</v>
      </c>
      <c r="Y22" s="12">
        <v>0</v>
      </c>
      <c r="Z22" s="1">
        <f t="shared" ca="1" si="48"/>
        <v>1.9</v>
      </c>
      <c r="AA22" s="1">
        <f t="shared" ca="1" si="49"/>
        <v>0</v>
      </c>
      <c r="AB22" s="1">
        <f t="shared" ca="1" si="50"/>
        <v>0</v>
      </c>
      <c r="AC22" s="1"/>
      <c r="AD22" s="246">
        <f t="shared" ca="1" si="51"/>
        <v>5</v>
      </c>
      <c r="AE22" s="28">
        <f t="shared" ca="1" si="52"/>
        <v>500000</v>
      </c>
      <c r="AF22" s="1">
        <f t="shared" ca="1" si="53"/>
        <v>3</v>
      </c>
      <c r="AG22" s="1">
        <f t="shared" ca="1" si="54"/>
        <v>1</v>
      </c>
      <c r="AH22" s="249">
        <f t="shared" ca="1" si="55"/>
        <v>5.0103099999999996</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2">
        <f t="shared" ca="1" si="34"/>
        <v>0</v>
      </c>
      <c r="K23" s="1">
        <f t="shared" ca="1" si="34"/>
        <v>0</v>
      </c>
      <c r="L23" s="28">
        <f t="shared" ca="1" si="44"/>
        <v>500000</v>
      </c>
      <c r="M23" s="13">
        <f t="shared" ca="1" si="45"/>
        <v>5</v>
      </c>
      <c r="N23" s="13">
        <f t="array" aca="1" ref="N23" ca="1">IF($AI$15,SUM(($K$17:$K$25&gt;=K23)/COUNTIF($K$17:$K$25,$K$17:$K$25)),SUM(($L$17:$L$25&gt;=L23)/COUNTIF($L$17:$L$25,$L$17:$L$25)))</f>
        <v>5.0000000000000009</v>
      </c>
      <c r="O23" s="5" t="str">
        <f t="shared" ca="1" si="35"/>
        <v/>
      </c>
      <c r="P23" s="3" t="str">
        <f t="shared" ca="1" si="36"/>
        <v/>
      </c>
      <c r="Q23" s="3" t="str">
        <f t="shared" ca="1" si="37"/>
        <v/>
      </c>
      <c r="R23" s="3" t="str">
        <f t="shared" ca="1" si="38"/>
        <v/>
      </c>
      <c r="S23" s="3" t="str">
        <f t="shared" ca="1" si="39"/>
        <v/>
      </c>
      <c r="T23" s="3" t="str">
        <f t="shared" ca="1" si="40"/>
        <v/>
      </c>
      <c r="U23" s="3" t="str">
        <f t="shared" ca="1" si="41"/>
        <v/>
      </c>
      <c r="V23" s="54" t="str">
        <f t="shared" ca="1" si="42"/>
        <v/>
      </c>
      <c r="W23" s="61">
        <f t="shared" ca="1" si="46"/>
        <v>500000</v>
      </c>
      <c r="X23" s="21">
        <f t="shared" ca="1" si="47"/>
        <v>5.0108999999999995</v>
      </c>
      <c r="Y23" s="12">
        <v>0</v>
      </c>
      <c r="Z23" s="1">
        <f t="shared" ca="1" si="48"/>
        <v>1.9</v>
      </c>
      <c r="AA23" s="1">
        <f t="shared" ca="1" si="49"/>
        <v>0</v>
      </c>
      <c r="AB23" s="1">
        <f t="shared" ca="1" si="50"/>
        <v>0</v>
      </c>
      <c r="AC23" s="1"/>
      <c r="AD23" s="246">
        <f t="shared" ca="1" si="51"/>
        <v>5</v>
      </c>
      <c r="AE23" s="28">
        <f t="shared" ca="1" si="52"/>
        <v>500000</v>
      </c>
      <c r="AF23" s="1">
        <f t="shared" ca="1" si="53"/>
        <v>3</v>
      </c>
      <c r="AG23" s="1">
        <f t="shared" ca="1" si="54"/>
        <v>1</v>
      </c>
      <c r="AH23" s="249">
        <f t="shared" ca="1" si="55"/>
        <v>5.0103099999999996</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2">
        <f t="shared" ca="1" si="34"/>
        <v>0</v>
      </c>
      <c r="K24" s="1">
        <f t="shared" ca="1" si="34"/>
        <v>0</v>
      </c>
      <c r="L24" s="28">
        <f t="shared" ca="1" si="44"/>
        <v>500000</v>
      </c>
      <c r="M24" s="13">
        <f t="shared" ca="1" si="45"/>
        <v>5</v>
      </c>
      <c r="N24" s="13">
        <f t="array" aca="1" ref="N24" ca="1">IF($AI$15,SUM(($K$17:$K$25&gt;=K24)/COUNTIF($K$17:$K$25,$K$17:$K$25)),SUM(($L$17:$L$25&gt;=L24)/COUNTIF($L$17:$L$25,$L$17:$L$25)))</f>
        <v>5.0000000000000009</v>
      </c>
      <c r="O24" s="5" t="str">
        <f t="shared" ca="1" si="35"/>
        <v/>
      </c>
      <c r="P24" s="3" t="str">
        <f t="shared" ca="1" si="36"/>
        <v/>
      </c>
      <c r="Q24" s="3" t="str">
        <f t="shared" ca="1" si="37"/>
        <v/>
      </c>
      <c r="R24" s="3" t="str">
        <f t="shared" ca="1" si="38"/>
        <v/>
      </c>
      <c r="S24" s="3" t="str">
        <f t="shared" ca="1" si="39"/>
        <v/>
      </c>
      <c r="T24" s="3" t="str">
        <f t="shared" ca="1" si="40"/>
        <v/>
      </c>
      <c r="U24" s="3" t="str">
        <f t="shared" ca="1" si="41"/>
        <v/>
      </c>
      <c r="V24" s="54" t="str">
        <f t="shared" ca="1" si="42"/>
        <v/>
      </c>
      <c r="W24" s="61">
        <f t="shared" ca="1" si="46"/>
        <v>500000</v>
      </c>
      <c r="X24" s="21">
        <f t="shared" ca="1" si="47"/>
        <v>5.0108999999999995</v>
      </c>
      <c r="Y24" s="12">
        <v>0</v>
      </c>
      <c r="Z24" s="1">
        <f t="shared" ca="1" si="48"/>
        <v>1.9</v>
      </c>
      <c r="AA24" s="1">
        <f t="shared" ca="1" si="49"/>
        <v>0</v>
      </c>
      <c r="AB24" s="1">
        <f t="shared" ca="1" si="50"/>
        <v>0</v>
      </c>
      <c r="AC24" s="1"/>
      <c r="AD24" s="246">
        <f t="shared" ca="1" si="51"/>
        <v>5</v>
      </c>
      <c r="AE24" s="28">
        <f t="shared" ca="1" si="52"/>
        <v>500000</v>
      </c>
      <c r="AF24" s="1">
        <f t="shared" ca="1" si="53"/>
        <v>3</v>
      </c>
      <c r="AG24" s="1">
        <f t="shared" ca="1" si="54"/>
        <v>1</v>
      </c>
      <c r="AH24" s="249">
        <f t="shared" ca="1" si="55"/>
        <v>5.0103099999999996</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2">
        <f t="shared" ca="1" si="34"/>
        <v>0</v>
      </c>
      <c r="K25" s="1">
        <f t="shared" ca="1" si="34"/>
        <v>0</v>
      </c>
      <c r="L25" s="28">
        <f t="shared" ca="1" si="44"/>
        <v>500000</v>
      </c>
      <c r="M25" s="13">
        <f t="shared" ca="1" si="45"/>
        <v>5</v>
      </c>
      <c r="N25" s="13">
        <f t="array" aca="1" ref="N25" ca="1">IF($AI$15,SUM(($K$17:$K$25&gt;=K25)/COUNTIF($K$17:$K$25,$K$17:$K$25)),SUM(($L$17:$L$25&gt;=L25)/COUNTIF($L$17:$L$25,$L$17:$L$25)))</f>
        <v>5.0000000000000009</v>
      </c>
      <c r="O25" s="55" t="str">
        <f t="shared" ca="1" si="35"/>
        <v/>
      </c>
      <c r="P25" s="56" t="str">
        <f t="shared" ca="1" si="36"/>
        <v/>
      </c>
      <c r="Q25" s="56" t="str">
        <f t="shared" ca="1" si="37"/>
        <v/>
      </c>
      <c r="R25" s="56" t="str">
        <f t="shared" ca="1" si="38"/>
        <v/>
      </c>
      <c r="S25" s="56" t="str">
        <f t="shared" ca="1" si="39"/>
        <v/>
      </c>
      <c r="T25" s="56" t="str">
        <f t="shared" ca="1" si="40"/>
        <v/>
      </c>
      <c r="U25" s="56" t="str">
        <f t="shared" ca="1" si="41"/>
        <v/>
      </c>
      <c r="V25" s="57" t="str">
        <f t="shared" ca="1" si="42"/>
        <v/>
      </c>
      <c r="W25" s="61">
        <f t="shared" ca="1" si="46"/>
        <v>500000</v>
      </c>
      <c r="X25" s="22">
        <f t="shared" ca="1" si="47"/>
        <v>5.0108999999999995</v>
      </c>
      <c r="Y25" s="12">
        <v>0</v>
      </c>
      <c r="Z25" s="1">
        <f t="shared" ca="1" si="48"/>
        <v>1.9</v>
      </c>
      <c r="AA25" s="1">
        <f t="shared" ca="1" si="49"/>
        <v>0</v>
      </c>
      <c r="AB25" s="1">
        <f t="shared" ca="1" si="50"/>
        <v>0</v>
      </c>
      <c r="AC25" s="1"/>
      <c r="AD25" s="246">
        <f t="shared" ca="1" si="51"/>
        <v>5</v>
      </c>
      <c r="AE25" s="28">
        <f t="shared" ca="1" si="52"/>
        <v>500000</v>
      </c>
      <c r="AF25" s="1">
        <f t="shared" ca="1" si="53"/>
        <v>3</v>
      </c>
      <c r="AG25" s="1">
        <f t="shared" ca="1" si="54"/>
        <v>1</v>
      </c>
      <c r="AH25" s="250">
        <f t="shared" ca="1" si="55"/>
        <v>5.0103099999999996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937">
        <v>1</v>
      </c>
      <c r="F29" s="934"/>
      <c r="G29" s="934"/>
      <c r="H29" s="934"/>
      <c r="I29" s="934"/>
      <c r="J29" s="934"/>
      <c r="K29" s="934"/>
      <c r="L29" s="936"/>
      <c r="M29" s="933">
        <v>2</v>
      </c>
      <c r="N29" s="934"/>
      <c r="O29" s="934"/>
      <c r="P29" s="934"/>
      <c r="Q29" s="934"/>
      <c r="R29" s="934"/>
      <c r="S29" s="934"/>
      <c r="T29" s="936"/>
      <c r="U29" s="933">
        <v>3</v>
      </c>
      <c r="V29" s="934"/>
      <c r="W29" s="934"/>
      <c r="X29" s="934"/>
      <c r="Y29" s="934"/>
      <c r="Z29" s="934"/>
      <c r="AA29" s="934"/>
      <c r="AB29" s="936"/>
      <c r="AC29" s="933">
        <v>4</v>
      </c>
      <c r="AD29" s="934"/>
      <c r="AE29" s="934"/>
      <c r="AF29" s="934"/>
      <c r="AG29" s="934"/>
      <c r="AH29" s="934"/>
      <c r="AI29" s="934"/>
      <c r="AJ29" s="936"/>
      <c r="AK29" s="933">
        <v>5</v>
      </c>
      <c r="AL29" s="934"/>
      <c r="AM29" s="934"/>
      <c r="AN29" s="934"/>
      <c r="AO29" s="934"/>
      <c r="AP29" s="934"/>
      <c r="AQ29" s="934"/>
      <c r="AR29" s="936"/>
      <c r="AS29" s="933">
        <v>6</v>
      </c>
      <c r="AT29" s="934"/>
      <c r="AU29" s="934"/>
      <c r="AV29" s="934"/>
      <c r="AW29" s="934"/>
      <c r="AX29" s="934"/>
      <c r="AY29" s="934"/>
      <c r="AZ29" s="936"/>
      <c r="BA29" s="933">
        <v>7</v>
      </c>
      <c r="BB29" s="934"/>
      <c r="BC29" s="934"/>
      <c r="BD29" s="934"/>
      <c r="BE29" s="934"/>
      <c r="BF29" s="934"/>
      <c r="BG29" s="934"/>
      <c r="BH29" s="936"/>
      <c r="BI29" s="933">
        <v>8</v>
      </c>
      <c r="BJ29" s="934"/>
      <c r="BK29" s="934"/>
      <c r="BL29" s="934"/>
      <c r="BM29" s="934"/>
      <c r="BN29" s="934"/>
      <c r="BO29" s="934"/>
      <c r="BP29" s="935"/>
      <c r="BQ29" s="12"/>
      <c r="BR29" s="4" t="s">
        <v>94</v>
      </c>
      <c r="BS29" s="2" t="str">
        <f ca="1">$F$4</f>
        <v>Maibach 1822 eV</v>
      </c>
      <c r="BT29" s="2" t="str">
        <f ca="1">$F$5</f>
        <v>Mainz 05</v>
      </c>
      <c r="BU29" s="2" t="str">
        <f ca="1">$F$6</f>
        <v>Eintracht Frankfurt</v>
      </c>
      <c r="BV29" s="2" t="str">
        <f ca="1">$F$7</f>
        <v>Manchester City</v>
      </c>
      <c r="BW29" s="2" t="str">
        <f>$F$8</f>
        <v/>
      </c>
      <c r="BX29" s="2" t="str">
        <f>$F$9</f>
        <v/>
      </c>
      <c r="BY29" s="2" t="str">
        <f>$F$10</f>
        <v/>
      </c>
      <c r="BZ29" s="2" t="str">
        <f>$F$11</f>
        <v/>
      </c>
      <c r="CA29" s="2" t="str">
        <f>$F$12</f>
        <v/>
      </c>
      <c r="CB29" s="50"/>
    </row>
    <row r="30" spans="2:80" s="2" customFormat="1" x14ac:dyDescent="0.2">
      <c r="C30" s="2" t="str">
        <f ca="1">$Q64</f>
        <v>Maibach 1822 eV</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56">F4</f>
        <v>Maibach 1822 eV</v>
      </c>
      <c r="BS30" s="6"/>
      <c r="BT30" s="7">
        <f t="shared" ref="BT30:CA37" ca="1" si="57">SUMIFS($X$64:$X$135,$V$64:$V$135,$BR30,$W$64:$W$135,BT$29)+SUMIFS($Y$64:$Y$135,$W$64:$W$135,$BR30,$V$64:$V$135,BT$29)+SUMIFS($AG$64:$AG$135,$V$64:$V$135,$BR30,$W$64:$W$135,BT$29)+SUMIFS($AH$64:$AH$135,$W$64:$W$135,$BR30,$V$64:$V$135,BT$29)</f>
        <v>50</v>
      </c>
      <c r="BU30" s="7">
        <f t="shared" ca="1" si="57"/>
        <v>31</v>
      </c>
      <c r="BV30" s="7">
        <f t="shared" ca="1" si="57"/>
        <v>35</v>
      </c>
      <c r="BW30" s="7">
        <f t="shared" ca="1" si="57"/>
        <v>0</v>
      </c>
      <c r="BX30" s="7">
        <f t="shared" ca="1" si="57"/>
        <v>0</v>
      </c>
      <c r="BY30" s="7">
        <f t="shared" ca="1" si="57"/>
        <v>0</v>
      </c>
      <c r="BZ30" s="7">
        <f t="shared" ca="1" si="57"/>
        <v>0</v>
      </c>
      <c r="CA30" s="7">
        <f t="shared" ca="1" si="57"/>
        <v>0</v>
      </c>
      <c r="CB30" s="3"/>
    </row>
    <row r="31" spans="2:80" s="2" customFormat="1" x14ac:dyDescent="0.2">
      <c r="C31" s="2" t="str">
        <f t="shared" ref="C31:C38" ca="1" si="58">$Q65</f>
        <v>Mainz 05</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56"/>
        <v>Mainz 05</v>
      </c>
      <c r="BS31" s="8">
        <f ca="1">SUMIFS($X$64:$X$135,$V$64:$V$135,$BR31,$W$64:$W$135,BS$29)+SUMIFS($Y$64:$Y$135,$W$64:$W$135,$BR31,$V$64:$V$135,BS$29)+SUMIFS($AG$64:$AG$135,$V$64:$V$135,$BR31,$W$64:$W$135,BS$29)+SUMIFS($AH$64:$AH$135,$W$64:$W$135,$BR31,$V$64:$V$135,BS$29)</f>
        <v>33</v>
      </c>
      <c r="BT31" s="6"/>
      <c r="BU31" s="7">
        <f ca="1">SUMIFS($X$64:$X$135,$V$64:$V$135,$BR31,$W$64:$W$135,BU$29)+SUMIFS($Y$64:$Y$135,$W$64:$W$135,$BR31,$V$64:$V$135,BU$29)+SUMIFS($AG$64:$AG$135,$V$64:$V$135,$BR31,$W$64:$W$135,BU$29)+SUMIFS($AH$64:$AH$135,$W$64:$W$135,$BR31,$V$64:$V$135,BU$29)</f>
        <v>50</v>
      </c>
      <c r="BV31" s="7">
        <f t="shared" ca="1" si="57"/>
        <v>44</v>
      </c>
      <c r="BW31" s="7">
        <f t="shared" ca="1" si="57"/>
        <v>0</v>
      </c>
      <c r="BX31" s="7">
        <f t="shared" ca="1" si="57"/>
        <v>0</v>
      </c>
      <c r="BY31" s="7">
        <f t="shared" ca="1" si="57"/>
        <v>0</v>
      </c>
      <c r="BZ31" s="7">
        <f t="shared" ca="1" si="57"/>
        <v>0</v>
      </c>
      <c r="CA31" s="7">
        <f t="shared" ca="1" si="57"/>
        <v>0</v>
      </c>
      <c r="CB31" s="3"/>
    </row>
    <row r="32" spans="2:80" s="2" customFormat="1" x14ac:dyDescent="0.2">
      <c r="C32" s="2" t="str">
        <f t="shared" ca="1" si="58"/>
        <v>Eintracht Frankfurt</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56"/>
        <v>Eintracht Frankfurt</v>
      </c>
      <c r="BS32" s="8">
        <f t="shared" ref="BS32:BY38" ca="1" si="59">SUMIFS($X$64:$X$135,$V$64:$V$135,$BR32,$W$64:$W$135,BS$29)+SUMIFS($Y$64:$Y$135,$W$64:$W$135,$BR32,$V$64:$V$135,BS$29)+SUMIFS($AG$64:$AG$135,$V$64:$V$135,$BR32,$W$64:$W$135,BS$29)+SUMIFS($AH$64:$AH$135,$W$64:$W$135,$BR32,$V$64:$V$135,BS$29)</f>
        <v>50</v>
      </c>
      <c r="BT32" s="8">
        <f t="shared" ca="1" si="59"/>
        <v>39</v>
      </c>
      <c r="BU32" s="6"/>
      <c r="BV32" s="7">
        <f t="shared" ca="1" si="57"/>
        <v>46</v>
      </c>
      <c r="BW32" s="7">
        <f t="shared" ca="1" si="57"/>
        <v>0</v>
      </c>
      <c r="BX32" s="7">
        <f t="shared" ca="1" si="57"/>
        <v>0</v>
      </c>
      <c r="BY32" s="7">
        <f t="shared" ca="1" si="57"/>
        <v>0</v>
      </c>
      <c r="BZ32" s="7">
        <f t="shared" ca="1" si="57"/>
        <v>0</v>
      </c>
      <c r="CA32" s="7">
        <f t="shared" ca="1" si="57"/>
        <v>0</v>
      </c>
      <c r="CB32" s="3"/>
    </row>
    <row r="33" spans="2:80" s="2" customFormat="1" x14ac:dyDescent="0.2">
      <c r="C33" s="2" t="str">
        <f t="shared" ca="1" si="58"/>
        <v>Manchester City</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ca="1" si="56"/>
        <v>Manchester City</v>
      </c>
      <c r="BS33" s="8">
        <f t="shared" ca="1" si="59"/>
        <v>50</v>
      </c>
      <c r="BT33" s="8">
        <f t="shared" ca="1" si="59"/>
        <v>44</v>
      </c>
      <c r="BU33" s="8">
        <f t="shared" ca="1" si="59"/>
        <v>42</v>
      </c>
      <c r="BV33" s="6"/>
      <c r="BW33" s="7">
        <f t="shared" ca="1" si="57"/>
        <v>0</v>
      </c>
      <c r="BX33" s="7">
        <f t="shared" ca="1" si="57"/>
        <v>0</v>
      </c>
      <c r="BY33" s="7">
        <f t="shared" ca="1" si="57"/>
        <v>0</v>
      </c>
      <c r="BZ33" s="7">
        <f t="shared" ca="1" si="57"/>
        <v>0</v>
      </c>
      <c r="CA33" s="7">
        <f t="shared" ca="1" si="57"/>
        <v>0</v>
      </c>
      <c r="CB33" s="3"/>
    </row>
    <row r="34" spans="2:80" s="2" customFormat="1" x14ac:dyDescent="0.2">
      <c r="C34" s="2" t="str">
        <f t="shared" si="58"/>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56"/>
        <v/>
      </c>
      <c r="BS34" s="8">
        <f t="shared" ca="1" si="59"/>
        <v>0</v>
      </c>
      <c r="BT34" s="8">
        <f t="shared" ca="1" si="59"/>
        <v>0</v>
      </c>
      <c r="BU34" s="8">
        <f t="shared" ca="1" si="59"/>
        <v>0</v>
      </c>
      <c r="BV34" s="8">
        <f t="shared" ca="1" si="59"/>
        <v>0</v>
      </c>
      <c r="BW34" s="6"/>
      <c r="BX34" s="7">
        <f t="shared" ca="1" si="57"/>
        <v>0</v>
      </c>
      <c r="BY34" s="7">
        <f t="shared" ca="1" si="57"/>
        <v>0</v>
      </c>
      <c r="BZ34" s="7">
        <f t="shared" ca="1" si="57"/>
        <v>0</v>
      </c>
      <c r="CA34" s="7">
        <f t="shared" ca="1" si="57"/>
        <v>0</v>
      </c>
      <c r="CB34" s="3"/>
    </row>
    <row r="35" spans="2:80" s="2" customFormat="1" x14ac:dyDescent="0.2">
      <c r="C35" s="2" t="str">
        <f t="shared" si="58"/>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56"/>
        <v/>
      </c>
      <c r="BS35" s="8">
        <f t="shared" ca="1" si="59"/>
        <v>0</v>
      </c>
      <c r="BT35" s="8">
        <f t="shared" ca="1" si="59"/>
        <v>0</v>
      </c>
      <c r="BU35" s="8">
        <f t="shared" ca="1" si="59"/>
        <v>0</v>
      </c>
      <c r="BV35" s="8">
        <f t="shared" ca="1" si="59"/>
        <v>0</v>
      </c>
      <c r="BW35" s="8">
        <f t="shared" ca="1" si="59"/>
        <v>0</v>
      </c>
      <c r="BX35" s="6"/>
      <c r="BY35" s="7">
        <f t="shared" ca="1" si="57"/>
        <v>0</v>
      </c>
      <c r="BZ35" s="7">
        <f t="shared" ca="1" si="57"/>
        <v>0</v>
      </c>
      <c r="CA35" s="7">
        <f t="shared" ca="1" si="57"/>
        <v>0</v>
      </c>
      <c r="CB35" s="3"/>
    </row>
    <row r="36" spans="2:80" s="2" customFormat="1" x14ac:dyDescent="0.2">
      <c r="C36" s="2" t="str">
        <f t="shared" si="58"/>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56"/>
        <v/>
      </c>
      <c r="BS36" s="8">
        <f t="shared" ca="1" si="59"/>
        <v>0</v>
      </c>
      <c r="BT36" s="8">
        <f t="shared" ca="1" si="59"/>
        <v>0</v>
      </c>
      <c r="BU36" s="8">
        <f t="shared" ca="1" si="59"/>
        <v>0</v>
      </c>
      <c r="BV36" s="8">
        <f t="shared" ca="1" si="59"/>
        <v>0</v>
      </c>
      <c r="BW36" s="8">
        <f t="shared" ca="1" si="59"/>
        <v>0</v>
      </c>
      <c r="BX36" s="8">
        <f t="shared" ca="1" si="59"/>
        <v>0</v>
      </c>
      <c r="BY36" s="6"/>
      <c r="BZ36" s="7">
        <f t="shared" ca="1" si="57"/>
        <v>0</v>
      </c>
      <c r="CA36" s="7">
        <f t="shared" ca="1" si="57"/>
        <v>0</v>
      </c>
      <c r="CB36" s="3"/>
    </row>
    <row r="37" spans="2:80" s="2" customFormat="1" x14ac:dyDescent="0.2">
      <c r="C37" s="2" t="str">
        <f t="shared" si="58"/>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56"/>
        <v/>
      </c>
      <c r="BS37" s="8">
        <f t="shared" ca="1" si="59"/>
        <v>0</v>
      </c>
      <c r="BT37" s="8">
        <f t="shared" ca="1" si="59"/>
        <v>0</v>
      </c>
      <c r="BU37" s="8">
        <f t="shared" ca="1" si="59"/>
        <v>0</v>
      </c>
      <c r="BV37" s="8">
        <f t="shared" ca="1" si="59"/>
        <v>0</v>
      </c>
      <c r="BW37" s="8">
        <f t="shared" ca="1" si="59"/>
        <v>0</v>
      </c>
      <c r="BX37" s="8">
        <f t="shared" ca="1" si="59"/>
        <v>0</v>
      </c>
      <c r="BY37" s="8">
        <f t="shared" ca="1" si="59"/>
        <v>0</v>
      </c>
      <c r="BZ37" s="6"/>
      <c r="CA37" s="7">
        <f t="shared" ca="1" si="57"/>
        <v>0</v>
      </c>
      <c r="CB37" s="3"/>
    </row>
    <row r="38" spans="2:80" s="2" customFormat="1" x14ac:dyDescent="0.2">
      <c r="C38" s="2" t="str">
        <f t="shared" si="58"/>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56"/>
        <v/>
      </c>
      <c r="BS38" s="8">
        <f t="shared" ca="1" si="59"/>
        <v>0</v>
      </c>
      <c r="BT38" s="8">
        <f t="shared" ca="1" si="59"/>
        <v>0</v>
      </c>
      <c r="BU38" s="8">
        <f t="shared" ca="1" si="59"/>
        <v>0</v>
      </c>
      <c r="BV38" s="8">
        <f t="shared" ca="1" si="59"/>
        <v>0</v>
      </c>
      <c r="BW38" s="8">
        <f t="shared" ca="1" si="59"/>
        <v>0</v>
      </c>
      <c r="BX38" s="8">
        <f t="shared" ca="1" si="59"/>
        <v>0</v>
      </c>
      <c r="BY38" s="8">
        <f t="shared" ca="1" si="59"/>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101</v>
      </c>
      <c r="BS40" s="2" t="str">
        <f ca="1">$F$4</f>
        <v>Maibach 1822 eV</v>
      </c>
      <c r="BT40" s="2" t="str">
        <f ca="1">$F$5</f>
        <v>Mainz 05</v>
      </c>
      <c r="BU40" s="2" t="str">
        <f ca="1">$F$6</f>
        <v>Eintracht Frankfurt</v>
      </c>
      <c r="BV40" s="2" t="str">
        <f ca="1">$F$7</f>
        <v>Manchester City</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60">F4</f>
        <v>Maibach 1822 eV</v>
      </c>
      <c r="BS41" s="6"/>
      <c r="BT41" s="7">
        <f ca="1">BT30-BS31</f>
        <v>17</v>
      </c>
      <c r="BU41" s="7">
        <f ca="1">BU30-BS32</f>
        <v>-19</v>
      </c>
      <c r="BV41" s="7">
        <f ca="1">BV30-BS33</f>
        <v>-15</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60"/>
        <v>Mainz 05</v>
      </c>
      <c r="BS42" s="8">
        <f ca="1">IF(BT41="","",-1*BT41)</f>
        <v>-17</v>
      </c>
      <c r="BT42" s="6"/>
      <c r="BU42" s="7">
        <f ca="1">BU31-BT32</f>
        <v>11</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60"/>
        <v>Eintracht Frankfurt</v>
      </c>
      <c r="BS43" s="8">
        <f ca="1">IF(BU41="","",-1*BU41)</f>
        <v>19</v>
      </c>
      <c r="BT43" s="8">
        <f ca="1">IF(BU42="","",-1*BU42)</f>
        <v>-11</v>
      </c>
      <c r="BU43" s="6"/>
      <c r="BV43" s="7">
        <f ca="1">BV32-BU33</f>
        <v>4</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ca="1" si="60"/>
        <v>Manchester City</v>
      </c>
      <c r="BS44" s="8">
        <f ca="1">IF(BV41="","",-1*BV41)</f>
        <v>15</v>
      </c>
      <c r="BT44" s="8">
        <f ca="1">IF(BV42="","",-1*BV42)</f>
        <v>0</v>
      </c>
      <c r="BU44" s="8">
        <f ca="1">IF(BV43="","",-1*BV43)</f>
        <v>-4</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60"/>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60"/>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60"/>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60"/>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60"/>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61">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Maibach 1822 eV</v>
      </c>
      <c r="BT51" s="2" t="str">
        <f ca="1">$F$5</f>
        <v>Mainz 05</v>
      </c>
      <c r="BU51" s="2" t="str">
        <f ca="1">$F$6</f>
        <v>Eintracht Frankfurt</v>
      </c>
      <c r="BV51" s="2" t="str">
        <f ca="1">$F$7</f>
        <v>Manchester City</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62">F4</f>
        <v>Maibach 1822 eV</v>
      </c>
      <c r="BS52" s="6"/>
      <c r="BT52" s="7">
        <f t="shared" ref="BT52:CA58" ca="1" si="63">SUMIFS($AE$64:$AE$135,$V$64:$V$135,$BR52,$W$64:$W$135,BT$51)+SUMIFS($AF$64:$AF$135,$W$64:$W$135,$BR52,$V$64:$V$135,BT$51)</f>
        <v>2</v>
      </c>
      <c r="BU52" s="7">
        <f t="shared" ca="1" si="63"/>
        <v>0</v>
      </c>
      <c r="BV52" s="7">
        <f t="shared" ca="1" si="63"/>
        <v>0</v>
      </c>
      <c r="BW52" s="7">
        <f t="shared" ca="1" si="63"/>
        <v>0</v>
      </c>
      <c r="BX52" s="7">
        <f t="shared" ca="1" si="63"/>
        <v>0</v>
      </c>
      <c r="BY52" s="7">
        <f t="shared" ca="1" si="63"/>
        <v>0</v>
      </c>
      <c r="BZ52" s="7">
        <f t="shared" ca="1" si="63"/>
        <v>0</v>
      </c>
      <c r="CA52" s="7">
        <f t="shared" ca="1" si="63"/>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62"/>
        <v>Mainz 05</v>
      </c>
      <c r="BS53" s="8">
        <f t="shared" ref="BS53:BU60" ca="1" si="64">SUMIFS($AE$64:$AE$135,$V$64:$V$135,$BR53,$W$64:$W$135,BS$51)+SUMIFS($AF$64:$AF$135,$W$64:$W$135,$BR53,$V$64:$V$135,BS$51)</f>
        <v>0</v>
      </c>
      <c r="BT53" s="6"/>
      <c r="BU53" s="7">
        <f ca="1">SUMIFS($AE$64:$AE$135,$V$64:$V$135,$BR53,$W$64:$W$135,BU$51)+SUMIFS($AF$64:$AF$135,$W$64:$W$135,$BR53,$V$64:$V$135,BU$51)</f>
        <v>2</v>
      </c>
      <c r="BV53" s="7">
        <f ca="1">SUMIFS($AE$64:$AE$135,$V$64:$V$135,$BR53,$W$64:$W$135,BV$51)+SUMIFS($AF$64:$AF$135,$W$64:$W$135,$BR53,$V$64:$V$135,BV$51)</f>
        <v>1</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63"/>
        <v>0</v>
      </c>
      <c r="CA53" s="7">
        <f t="shared" ca="1" si="63"/>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62"/>
        <v>Eintracht Frankfurt</v>
      </c>
      <c r="BS54" s="8">
        <f t="shared" ca="1" si="64"/>
        <v>2</v>
      </c>
      <c r="BT54" s="8">
        <f t="shared" ca="1" si="64"/>
        <v>0</v>
      </c>
      <c r="BU54" s="6"/>
      <c r="BV54" s="7">
        <f ca="1">SUMIFS($AE$64:$AE$135,$V$64:$V$135,$BR54,$W$64:$W$135,BV$51)+SUMIFS($AF$64:$AF$135,$W$64:$W$135,$BR54,$V$64:$V$135,BV$51)</f>
        <v>1</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63"/>
        <v>0</v>
      </c>
      <c r="CA54" s="7">
        <f t="shared" ca="1" si="63"/>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ca="1" si="62"/>
        <v>Manchester City</v>
      </c>
      <c r="BS55" s="8">
        <f t="shared" ca="1" si="64"/>
        <v>2</v>
      </c>
      <c r="BT55" s="8">
        <f t="shared" ca="1" si="64"/>
        <v>1</v>
      </c>
      <c r="BU55" s="8">
        <f t="shared" ca="1" si="64"/>
        <v>1</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63"/>
        <v>0</v>
      </c>
      <c r="CA55" s="7">
        <f t="shared" ca="1" si="63"/>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62"/>
        <v/>
      </c>
      <c r="BS56" s="8">
        <f t="shared" ca="1" si="64"/>
        <v>0</v>
      </c>
      <c r="BT56" s="8">
        <f t="shared" ca="1" si="64"/>
        <v>0</v>
      </c>
      <c r="BU56" s="8">
        <f t="shared" ca="1" si="64"/>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63"/>
        <v>0</v>
      </c>
      <c r="CA56" s="7">
        <f t="shared" ca="1" si="63"/>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62"/>
        <v/>
      </c>
      <c r="BS57" s="8">
        <f t="shared" ca="1" si="64"/>
        <v>0</v>
      </c>
      <c r="BT57" s="8">
        <f t="shared" ca="1" si="64"/>
        <v>0</v>
      </c>
      <c r="BU57" s="8">
        <f t="shared" ca="1" si="64"/>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63"/>
        <v>0</v>
      </c>
      <c r="CA57" s="7">
        <f t="shared" ca="1" si="63"/>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62"/>
        <v/>
      </c>
      <c r="BS58" s="8">
        <f t="shared" ca="1" si="64"/>
        <v>0</v>
      </c>
      <c r="BT58" s="8">
        <f t="shared" ca="1" si="64"/>
        <v>0</v>
      </c>
      <c r="BU58" s="8">
        <f t="shared" ca="1" si="64"/>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63"/>
        <v>0</v>
      </c>
      <c r="CA58" s="7">
        <f t="shared" ca="1" si="63"/>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62"/>
        <v/>
      </c>
      <c r="BS59" s="8">
        <f t="shared" ca="1" si="64"/>
        <v>0</v>
      </c>
      <c r="BT59" s="8">
        <f t="shared" ca="1" si="64"/>
        <v>0</v>
      </c>
      <c r="BU59" s="8">
        <f t="shared" ca="1" si="64"/>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62"/>
        <v/>
      </c>
      <c r="BS60" s="8">
        <f t="shared" ca="1" si="64"/>
        <v>0</v>
      </c>
      <c r="BT60" s="8">
        <f t="shared" ca="1" si="64"/>
        <v>0</v>
      </c>
      <c r="BU60" s="8">
        <f t="shared" ca="1" si="64"/>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V62" s="239"/>
      <c r="AC62" s="3"/>
      <c r="AD62" s="3"/>
      <c r="AE62" s="3"/>
      <c r="AF62" s="3"/>
      <c r="AG62" s="3"/>
      <c r="AH62" s="3"/>
      <c r="AI62" s="3"/>
      <c r="AJ62" s="3"/>
      <c r="AK62" s="3"/>
      <c r="AL62" s="3"/>
      <c r="AM62" s="3"/>
      <c r="AN62" s="3"/>
      <c r="AO62" s="3"/>
      <c r="AP62" s="3"/>
      <c r="AQ62" s="3"/>
      <c r="AR62" s="3"/>
    </row>
    <row r="63" spans="5:80" s="2" customFormat="1" ht="12.75" thickBot="1" x14ac:dyDescent="0.25">
      <c r="F63" s="189" t="s">
        <v>170</v>
      </c>
      <c r="X63" s="931" t="s">
        <v>326</v>
      </c>
      <c r="Y63" s="931"/>
      <c r="Z63" s="161" t="s">
        <v>155</v>
      </c>
      <c r="AA63" s="161" t="s">
        <v>15</v>
      </c>
      <c r="AB63" s="161" t="s">
        <v>153</v>
      </c>
      <c r="AC63" s="688" t="s">
        <v>156</v>
      </c>
      <c r="AD63" s="161" t="s">
        <v>154</v>
      </c>
      <c r="AE63" s="925" t="s">
        <v>334</v>
      </c>
      <c r="AF63" s="925"/>
      <c r="AG63" s="932" t="s">
        <v>328</v>
      </c>
      <c r="AH63" s="932"/>
      <c r="AI63" s="689" t="s">
        <v>335</v>
      </c>
      <c r="AJ63" s="3"/>
      <c r="AK63" s="3"/>
      <c r="AL63" s="3"/>
      <c r="AM63" s="3"/>
      <c r="AN63" s="3"/>
      <c r="AO63" s="3"/>
      <c r="AP63" s="3"/>
      <c r="AQ63" s="3"/>
      <c r="AR63" s="3"/>
    </row>
    <row r="64" spans="5:80" s="2" customFormat="1" ht="14.25" thickTop="1" thickBot="1" x14ac:dyDescent="0.25">
      <c r="F64" s="190">
        <v>1000000</v>
      </c>
      <c r="G64" s="191" t="s">
        <v>109</v>
      </c>
      <c r="P64" s="43" t="s">
        <v>6</v>
      </c>
      <c r="Q64" s="58" t="str">
        <f ca="1">IF('Endrunde 4'!$AH12="","",'Endrunde 4'!$AH12)</f>
        <v>Maibach 1822 eV</v>
      </c>
      <c r="U64" s="63" t="s">
        <v>6</v>
      </c>
      <c r="V64" s="38" t="str">
        <f ca="1">'Endrunde 4'!$I12</f>
        <v>VFB Essenheim</v>
      </c>
      <c r="W64" s="31" t="str">
        <f ca="1">'Endrunde 4'!$K12</f>
        <v/>
      </c>
      <c r="X64" s="31" t="str">
        <f ca="1">IF($AA64=1,'Endrunde 4'!$L12,"")</f>
        <v/>
      </c>
      <c r="Y64" s="32" t="str">
        <f ca="1">IF($AA64=1,'Endrunde 4'!$N12,"")</f>
        <v/>
      </c>
      <c r="Z64" s="30" t="str">
        <f ca="1">V64&amp;W64</f>
        <v>VFB Essenheim</v>
      </c>
      <c r="AA64" s="31">
        <f ca="1">IF(AND('Endrunde 4'!$L12&lt;&gt;"",'Endrunde 4'!$N12&lt;&gt;"",'Endrunde 4'!$L12&lt;&gt;'Endrunde 4'!$N12,OR(AND('Endrunde 4'!$O12="",'Endrunde 4'!$Q12=""),AND('Endrunde 4'!$O12&lt;&gt;"",'Endrunde 4'!$Q12&lt;&gt;"",'Endrunde 4'!$O12&lt;&gt;'Endrunde 4'!$Q12)),'Endrunde 4'!$I12&lt;&gt;"",'Endrunde 4'!$K12&lt;&gt;"",'Endrunde 4'!$I12&lt;&gt;'Endrunde 4'!$K12),1,0)</f>
        <v>0</v>
      </c>
      <c r="AB64" s="139" t="str">
        <f ca="1">IF(AA64&gt;0,(X64+AG64)&amp;Sprache!$E$77&amp;(Y64+AH64),"")</f>
        <v/>
      </c>
      <c r="AD64" s="140"/>
      <c r="AE64" s="145">
        <f ca="1">IF($AA64=0,0,IF($X64&gt;$Y64,1,0)+IF($AG64&gt;$AH64,1,0))</f>
        <v>0</v>
      </c>
      <c r="AF64" s="140">
        <f ca="1">IF($AA64=0,0,IF($X64&lt;$Y64,1,0)+IF($AG64&lt;$AH64,1,0))</f>
        <v>0</v>
      </c>
      <c r="AG64" s="145" t="str">
        <f ca="1">IF($AA64=1,'Endrunde 4'!$O12,"")</f>
        <v/>
      </c>
      <c r="AH64" s="139" t="str">
        <f ca="1">IF($AA64=1,'Endrunde 4'!$Q12,"")</f>
        <v/>
      </c>
      <c r="AI64" s="598" t="str">
        <f ca="1">IF(AA64&gt;0,AE64&amp;Sprache!$E$77&amp;AF64,"")</f>
        <v/>
      </c>
      <c r="AJ64" s="3"/>
      <c r="AK64" s="3"/>
      <c r="AL64" s="3"/>
      <c r="AM64" s="3"/>
      <c r="AN64" s="3"/>
      <c r="AO64" s="3"/>
      <c r="AP64" s="3"/>
      <c r="AQ64" s="3"/>
      <c r="AR64" s="3"/>
    </row>
    <row r="65" spans="2:43" s="2" customFormat="1" ht="13.5" thickBot="1" x14ac:dyDescent="0.25">
      <c r="F65" s="192">
        <v>1000</v>
      </c>
      <c r="G65" s="193" t="s">
        <v>108</v>
      </c>
      <c r="H65" s="197">
        <v>500</v>
      </c>
      <c r="I65" s="196" t="s">
        <v>304</v>
      </c>
      <c r="P65" s="44" t="s">
        <v>7</v>
      </c>
      <c r="Q65" s="59" t="str">
        <f ca="1">IF('Endrunde 4'!$AH13="","",'Endrunde 4'!$AH13)</f>
        <v>Mainz 05</v>
      </c>
      <c r="U65" s="64" t="s">
        <v>7</v>
      </c>
      <c r="V65" s="39" t="str">
        <f ca="1">'Endrunde 4'!$I13</f>
        <v>1. FC Riedwald</v>
      </c>
      <c r="W65" s="12" t="str">
        <f ca="1">'Endrunde 4'!$K13</f>
        <v>SSV Wildbach</v>
      </c>
      <c r="X65" s="12">
        <f ca="1">IF($AA65=1,'Endrunde 4'!$L13,"")</f>
        <v>25</v>
      </c>
      <c r="Y65" s="34">
        <f ca="1">IF($AA65=1,'Endrunde 4'!$N13,"")</f>
        <v>20</v>
      </c>
      <c r="Z65" s="33" t="str">
        <f t="shared" ref="Z65:Z73" ca="1" si="65">V65&amp;W65</f>
        <v>1. FC RiedwaldSSV Wildbach</v>
      </c>
      <c r="AA65" s="12">
        <f ca="1">IF(AND('Endrunde 4'!$L13&lt;&gt;"",'Endrunde 4'!$N13&lt;&gt;"",'Endrunde 4'!$L13&lt;&gt;'Endrunde 4'!$N13,OR(AND('Endrunde 4'!$O13="",'Endrunde 4'!$Q13=""),AND('Endrunde 4'!$O13&lt;&gt;"",'Endrunde 4'!$Q13&lt;&gt;"",'Endrunde 4'!$O13&lt;&gt;'Endrunde 4'!$Q13)),'Endrunde 4'!$I13&lt;&gt;"",'Endrunde 4'!$K13&lt;&gt;"",'Endrunde 4'!$I13&lt;&gt;'Endrunde 4'!$K13),1,0)</f>
        <v>1</v>
      </c>
      <c r="AB65" s="12" t="str">
        <f ca="1">IF(AA65&gt;0,(X65+AG65)&amp;Sprache!$E$77&amp;(Y65+AH65),"")</f>
        <v>42:45</v>
      </c>
      <c r="AD65" s="141"/>
      <c r="AE65" s="146">
        <f t="shared" ref="AE65:AE81" ca="1" si="66">IF($AA65=0,0,IF($X65&gt;$Y65,1,0)+IF($AG65&gt;$AH65,1,0))</f>
        <v>1</v>
      </c>
      <c r="AF65" s="141">
        <f t="shared" ref="AF65:AF81" ca="1" si="67">IF($AA65=0,0,IF($X65&lt;$Y65,1,0)+IF($AG65&lt;$AH65,1,0))</f>
        <v>1</v>
      </c>
      <c r="AG65" s="146">
        <f ca="1">IF($AA65=1,'Endrunde 4'!$O13,"")</f>
        <v>17</v>
      </c>
      <c r="AH65" s="12">
        <f ca="1">IF($AA65=1,'Endrunde 4'!$Q13,"")</f>
        <v>25</v>
      </c>
      <c r="AI65" s="599" t="str">
        <f ca="1">IF(AA65&gt;0,AE65&amp;Sprache!$E$77&amp;AF65,"")</f>
        <v>1:1</v>
      </c>
      <c r="AJ65" s="12"/>
      <c r="AK65" s="12"/>
      <c r="AL65" s="12"/>
      <c r="AM65" s="12"/>
      <c r="AN65" s="12"/>
      <c r="AO65" s="12"/>
      <c r="AP65" s="12"/>
      <c r="AQ65" s="12"/>
    </row>
    <row r="66" spans="2:43" s="2" customFormat="1" ht="13.5" thickBot="1" x14ac:dyDescent="0.25">
      <c r="F66" s="194">
        <v>1</v>
      </c>
      <c r="G66" s="195" t="s">
        <v>106</v>
      </c>
      <c r="P66" s="44" t="s">
        <v>8</v>
      </c>
      <c r="Q66" s="59" t="str">
        <f ca="1">IF('Endrunde 4'!$AH14="","",'Endrunde 4'!$AH14)</f>
        <v>Eintracht Frankfurt</v>
      </c>
      <c r="U66" s="64" t="s">
        <v>8</v>
      </c>
      <c r="V66" s="39" t="str">
        <f ca="1">'Endrunde 4'!$I14</f>
        <v>Maibach 1822 eV</v>
      </c>
      <c r="W66" s="12" t="str">
        <f ca="1">'Endrunde 4'!$K14</f>
        <v>Manchester City</v>
      </c>
      <c r="X66" s="12">
        <f ca="1">IF($AA66=1,'Endrunde 4'!$L14,"")</f>
        <v>19</v>
      </c>
      <c r="Y66" s="34">
        <f ca="1">IF($AA66=1,'Endrunde 4'!$N14,"")</f>
        <v>25</v>
      </c>
      <c r="Z66" s="33" t="str">
        <f t="shared" ca="1" si="65"/>
        <v>Maibach 1822 eVManchester City</v>
      </c>
      <c r="AA66" s="12">
        <f ca="1">IF(AND('Endrunde 4'!$L14&lt;&gt;"",'Endrunde 4'!$N14&lt;&gt;"",'Endrunde 4'!$L14&lt;&gt;'Endrunde 4'!$N14,OR(AND('Endrunde 4'!$O14="",'Endrunde 4'!$Q14=""),AND('Endrunde 4'!$O14&lt;&gt;"",'Endrunde 4'!$Q14&lt;&gt;"",'Endrunde 4'!$O14&lt;&gt;'Endrunde 4'!$Q14)),'Endrunde 4'!$I14&lt;&gt;"",'Endrunde 4'!$K14&lt;&gt;"",'Endrunde 4'!$I14&lt;&gt;'Endrunde 4'!$K14),1,0)</f>
        <v>1</v>
      </c>
      <c r="AB66" s="12" t="str">
        <f ca="1">IF(AA66&gt;0,(X66+AG66)&amp;Sprache!$E$77&amp;(Y66+AH66),"")</f>
        <v>35:50</v>
      </c>
      <c r="AD66" s="141"/>
      <c r="AE66" s="146">
        <f t="shared" ca="1" si="66"/>
        <v>0</v>
      </c>
      <c r="AF66" s="141">
        <f t="shared" ca="1" si="67"/>
        <v>2</v>
      </c>
      <c r="AG66" s="146">
        <f ca="1">IF($AA66=1,'Endrunde 4'!$O14,"")</f>
        <v>16</v>
      </c>
      <c r="AH66" s="12">
        <f ca="1">IF($AA66=1,'Endrunde 4'!$Q14,"")</f>
        <v>25</v>
      </c>
      <c r="AI66" s="599" t="str">
        <f ca="1">IF(AA66&gt;0,AE66&amp;Sprache!$E$77&amp;AF66,"")</f>
        <v>0:2</v>
      </c>
      <c r="AJ66" s="3"/>
      <c r="AK66" s="12"/>
      <c r="AL66" s="12"/>
      <c r="AM66" s="12"/>
      <c r="AN66" s="12"/>
      <c r="AO66" s="12"/>
      <c r="AP66" s="12"/>
      <c r="AQ66" s="12"/>
    </row>
    <row r="67" spans="2:43" s="2" customFormat="1" x14ac:dyDescent="0.2">
      <c r="P67" s="44" t="s">
        <v>9</v>
      </c>
      <c r="Q67" s="59" t="str">
        <f ca="1">IF('Endrunde 4'!$AH15="","",'Endrunde 4'!$AH15)</f>
        <v>Manchester City</v>
      </c>
      <c r="U67" s="64" t="s">
        <v>9</v>
      </c>
      <c r="V67" s="39" t="str">
        <f ca="1">'Endrunde 4'!$I15</f>
        <v>Inter Mailand</v>
      </c>
      <c r="W67" s="12" t="str">
        <f ca="1">'Endrunde 4'!$K15</f>
        <v/>
      </c>
      <c r="X67" s="12" t="str">
        <f ca="1">IF($AA67=1,'Endrunde 4'!$L15,"")</f>
        <v/>
      </c>
      <c r="Y67" s="34" t="str">
        <f ca="1">IF($AA67=1,'Endrunde 4'!$N15,"")</f>
        <v/>
      </c>
      <c r="Z67" s="33" t="str">
        <f t="shared" ca="1" si="65"/>
        <v>Inter Mailand</v>
      </c>
      <c r="AA67" s="12">
        <f ca="1">IF(AND('Endrunde 4'!$L15&lt;&gt;"",'Endrunde 4'!$N15&lt;&gt;"",'Endrunde 4'!$L15&lt;&gt;'Endrunde 4'!$N15,OR(AND('Endrunde 4'!$O15="",'Endrunde 4'!$Q15=""),AND('Endrunde 4'!$O15&lt;&gt;"",'Endrunde 4'!$Q15&lt;&gt;"",'Endrunde 4'!$O15&lt;&gt;'Endrunde 4'!$Q15)),'Endrunde 4'!$I15&lt;&gt;"",'Endrunde 4'!$K15&lt;&gt;"",'Endrunde 4'!$I15&lt;&gt;'Endrunde 4'!$K15),1,0)</f>
        <v>0</v>
      </c>
      <c r="AB67" s="12" t="str">
        <f ca="1">IF(AA67&gt;0,(X67+AG67)&amp;Sprache!$E$77&amp;(Y67+AH67),"")</f>
        <v/>
      </c>
      <c r="AD67" s="141"/>
      <c r="AE67" s="146">
        <f t="shared" ca="1" si="66"/>
        <v>0</v>
      </c>
      <c r="AF67" s="141">
        <f t="shared" ca="1" si="67"/>
        <v>0</v>
      </c>
      <c r="AG67" s="146" t="str">
        <f ca="1">IF($AA67=1,'Endrunde 4'!$O15,"")</f>
        <v/>
      </c>
      <c r="AH67" s="12" t="str">
        <f ca="1">IF($AA67=1,'Endrunde 4'!$Q15,"")</f>
        <v/>
      </c>
      <c r="AI67" s="599" t="str">
        <f ca="1">IF(AA67&gt;0,AE67&amp;Sprache!$E$77&amp;AF67,"")</f>
        <v/>
      </c>
      <c r="AJ67" s="12"/>
      <c r="AK67" s="3"/>
      <c r="AL67" s="12"/>
      <c r="AM67" s="12"/>
      <c r="AN67" s="12"/>
      <c r="AO67" s="12"/>
      <c r="AP67" s="12"/>
      <c r="AQ67" s="12"/>
    </row>
    <row r="68" spans="2:43" s="2" customFormat="1" x14ac:dyDescent="0.2">
      <c r="P68" s="44"/>
      <c r="Q68" s="59" t="str">
        <f>""</f>
        <v/>
      </c>
      <c r="U68" s="64" t="s">
        <v>10</v>
      </c>
      <c r="V68" s="39" t="str">
        <f ca="1">'Endrunde 4'!$I16</f>
        <v>FC Grönlingen</v>
      </c>
      <c r="W68" s="12" t="str">
        <f ca="1">'Endrunde 4'!$K16</f>
        <v>FC Barcelona</v>
      </c>
      <c r="X68" s="12">
        <f ca="1">IF($AA68=1,'Endrunde 4'!$L16,"")</f>
        <v>25</v>
      </c>
      <c r="Y68" s="34">
        <f ca="1">IF($AA68=1,'Endrunde 4'!$N16,"")</f>
        <v>23</v>
      </c>
      <c r="Z68" s="33" t="str">
        <f t="shared" ca="1" si="65"/>
        <v>FC GrönlingenFC Barcelona</v>
      </c>
      <c r="AA68" s="12">
        <f ca="1">IF(AND('Endrunde 4'!$L16&lt;&gt;"",'Endrunde 4'!$N16&lt;&gt;"",'Endrunde 4'!$L16&lt;&gt;'Endrunde 4'!$N16,OR(AND('Endrunde 4'!$O16="",'Endrunde 4'!$Q16=""),AND('Endrunde 4'!$O16&lt;&gt;"",'Endrunde 4'!$Q16&lt;&gt;"",'Endrunde 4'!$O16&lt;&gt;'Endrunde 4'!$Q16)),'Endrunde 4'!$I16&lt;&gt;"",'Endrunde 4'!$K16&lt;&gt;"",'Endrunde 4'!$I16&lt;&gt;'Endrunde 4'!$K16),1,0)</f>
        <v>1</v>
      </c>
      <c r="AB68" s="12" t="str">
        <f ca="1">IF(AA68&gt;0,(X68+AG68)&amp;Sprache!$E$77&amp;(Y68+AH68),"")</f>
        <v>50:44</v>
      </c>
      <c r="AD68" s="141"/>
      <c r="AE68" s="146">
        <f t="shared" ca="1" si="66"/>
        <v>2</v>
      </c>
      <c r="AF68" s="141">
        <f t="shared" ca="1" si="67"/>
        <v>0</v>
      </c>
      <c r="AG68" s="146">
        <f ca="1">IF($AA68=1,'Endrunde 4'!$O16,"")</f>
        <v>25</v>
      </c>
      <c r="AH68" s="12">
        <f ca="1">IF($AA68=1,'Endrunde 4'!$Q16,"")</f>
        <v>21</v>
      </c>
      <c r="AI68" s="599" t="str">
        <f ca="1">IF(AA68&gt;0,AE68&amp;Sprache!$E$77&amp;AF68,"")</f>
        <v>2:0</v>
      </c>
      <c r="AJ68" s="12"/>
      <c r="AK68" s="12"/>
      <c r="AL68" s="3"/>
      <c r="AM68" s="12"/>
      <c r="AN68" s="12"/>
      <c r="AO68" s="12"/>
      <c r="AP68" s="12"/>
      <c r="AQ68" s="12"/>
    </row>
    <row r="69" spans="2:43" s="2" customFormat="1" x14ac:dyDescent="0.2">
      <c r="P69" s="44"/>
      <c r="Q69" s="59" t="str">
        <f>""</f>
        <v/>
      </c>
      <c r="U69" s="64" t="s">
        <v>11</v>
      </c>
      <c r="V69" s="39" t="str">
        <f ca="1">'Endrunde 4'!$I17</f>
        <v>Mainz 05</v>
      </c>
      <c r="W69" s="12" t="str">
        <f ca="1">'Endrunde 4'!$K17</f>
        <v>Eintracht Frankfurt</v>
      </c>
      <c r="X69" s="12">
        <f ca="1">IF($AA69=1,'Endrunde 4'!$L17,"")</f>
        <v>25</v>
      </c>
      <c r="Y69" s="34">
        <f ca="1">IF($AA69=1,'Endrunde 4'!$N17,"")</f>
        <v>17</v>
      </c>
      <c r="Z69" s="33" t="str">
        <f t="shared" ca="1" si="65"/>
        <v>Mainz 05Eintracht Frankfurt</v>
      </c>
      <c r="AA69" s="12">
        <f ca="1">IF(AND('Endrunde 4'!$L17&lt;&gt;"",'Endrunde 4'!$N17&lt;&gt;"",'Endrunde 4'!$L17&lt;&gt;'Endrunde 4'!$N17,OR(AND('Endrunde 4'!$O17="",'Endrunde 4'!$Q17=""),AND('Endrunde 4'!$O17&lt;&gt;"",'Endrunde 4'!$Q17&lt;&gt;"",'Endrunde 4'!$O17&lt;&gt;'Endrunde 4'!$Q17)),'Endrunde 4'!$I17&lt;&gt;"",'Endrunde 4'!$K17&lt;&gt;"",'Endrunde 4'!$I17&lt;&gt;'Endrunde 4'!$K17),1,0)</f>
        <v>1</v>
      </c>
      <c r="AB69" s="12" t="str">
        <f ca="1">IF(AA69&gt;0,(X69+AG69)&amp;Sprache!$E$77&amp;(Y69+AH69),"")</f>
        <v>50:39</v>
      </c>
      <c r="AD69" s="141"/>
      <c r="AE69" s="146">
        <f t="shared" ca="1" si="66"/>
        <v>2</v>
      </c>
      <c r="AF69" s="141">
        <f t="shared" ca="1" si="67"/>
        <v>0</v>
      </c>
      <c r="AG69" s="146">
        <f ca="1">IF($AA69=1,'Endrunde 4'!$O17,"")</f>
        <v>25</v>
      </c>
      <c r="AH69" s="12">
        <f ca="1">IF($AA69=1,'Endrunde 4'!$Q17,"")</f>
        <v>22</v>
      </c>
      <c r="AI69" s="599" t="str">
        <f ca="1">IF(AA69&gt;0,AE69&amp;Sprache!$E$77&amp;AF69,"")</f>
        <v>2:0</v>
      </c>
      <c r="AJ69" s="12"/>
      <c r="AK69" s="12"/>
      <c r="AL69" s="12"/>
      <c r="AM69" s="3"/>
      <c r="AN69" s="12"/>
      <c r="AO69" s="12"/>
      <c r="AP69" s="12"/>
      <c r="AQ69" s="12"/>
    </row>
    <row r="70" spans="2:43" s="2" customFormat="1" x14ac:dyDescent="0.2">
      <c r="P70" s="44"/>
      <c r="Q70" s="59" t="str">
        <f>""</f>
        <v/>
      </c>
      <c r="U70" s="64" t="s">
        <v>16</v>
      </c>
      <c r="V70" s="39" t="str">
        <f ca="1">'Endrunde 4'!$I18</f>
        <v>VFB Essenheim</v>
      </c>
      <c r="W70" s="12" t="str">
        <f ca="1">'Endrunde 4'!$K18</f>
        <v/>
      </c>
      <c r="X70" s="12" t="str">
        <f ca="1">IF($AA70=1,'Endrunde 4'!$L18,"")</f>
        <v/>
      </c>
      <c r="Y70" s="34" t="str">
        <f ca="1">IF($AA70=1,'Endrunde 4'!$N18,"")</f>
        <v/>
      </c>
      <c r="Z70" s="33" t="str">
        <f t="shared" ca="1" si="65"/>
        <v>VFB Essenheim</v>
      </c>
      <c r="AA70" s="12">
        <f ca="1">IF(AND('Endrunde 4'!$L18&lt;&gt;"",'Endrunde 4'!$N18&lt;&gt;"",'Endrunde 4'!$L18&lt;&gt;'Endrunde 4'!$N18,OR(AND('Endrunde 4'!$O18="",'Endrunde 4'!$Q18=""),AND('Endrunde 4'!$O18&lt;&gt;"",'Endrunde 4'!$Q18&lt;&gt;"",'Endrunde 4'!$O18&lt;&gt;'Endrunde 4'!$Q18)),'Endrunde 4'!$I18&lt;&gt;"",'Endrunde 4'!$K18&lt;&gt;"",'Endrunde 4'!$I18&lt;&gt;'Endrunde 4'!$K18),1,0)</f>
        <v>0</v>
      </c>
      <c r="AB70" s="12" t="str">
        <f ca="1">IF(AA70&gt;0,(X70+AG70)&amp;Sprache!$E$77&amp;(Y70+AH70),"")</f>
        <v/>
      </c>
      <c r="AD70" s="141"/>
      <c r="AE70" s="146">
        <f t="shared" ca="1" si="66"/>
        <v>0</v>
      </c>
      <c r="AF70" s="141">
        <f t="shared" ca="1" si="67"/>
        <v>0</v>
      </c>
      <c r="AG70" s="146" t="str">
        <f ca="1">IF($AA70=1,'Endrunde 4'!$O18,"")</f>
        <v/>
      </c>
      <c r="AH70" s="12" t="str">
        <f ca="1">IF($AA70=1,'Endrunde 4'!$Q18,"")</f>
        <v/>
      </c>
      <c r="AI70" s="599" t="str">
        <f ca="1">IF(AA70&gt;0,AE70&amp;Sprache!$E$77&amp;AF70,"")</f>
        <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4"/>
      <c r="Q71" s="59" t="str">
        <f>""</f>
        <v/>
      </c>
      <c r="U71" s="64" t="s">
        <v>17</v>
      </c>
      <c r="V71" s="39" t="str">
        <f ca="1">'Endrunde 4'!$I19</f>
        <v>1. FC Riedwald</v>
      </c>
      <c r="W71" s="12" t="str">
        <f ca="1">'Endrunde 4'!$K19</f>
        <v>FC Barcelona</v>
      </c>
      <c r="X71" s="12">
        <f ca="1">IF($AA71=1,'Endrunde 4'!$L19,"")</f>
        <v>19</v>
      </c>
      <c r="Y71" s="34">
        <f ca="1">IF($AA71=1,'Endrunde 4'!$N19,"")</f>
        <v>25</v>
      </c>
      <c r="Z71" s="33" t="str">
        <f t="shared" ca="1" si="65"/>
        <v>1. FC RiedwaldFC Barcelona</v>
      </c>
      <c r="AA71" s="12">
        <f ca="1">IF(AND('Endrunde 4'!$L19&lt;&gt;"",'Endrunde 4'!$N19&lt;&gt;"",'Endrunde 4'!$L19&lt;&gt;'Endrunde 4'!$N19,OR(AND('Endrunde 4'!$O19="",'Endrunde 4'!$Q19=""),AND('Endrunde 4'!$O19&lt;&gt;"",'Endrunde 4'!$Q19&lt;&gt;"",'Endrunde 4'!$O19&lt;&gt;'Endrunde 4'!$Q19)),'Endrunde 4'!$I19&lt;&gt;"",'Endrunde 4'!$K19&lt;&gt;"",'Endrunde 4'!$I19&lt;&gt;'Endrunde 4'!$K19),1,0)</f>
        <v>1</v>
      </c>
      <c r="AB71" s="12" t="str">
        <f ca="1">IF(AA71&gt;0,(X71+AG71)&amp;Sprache!$E$77&amp;(Y71+AH71),"")</f>
        <v>44:37</v>
      </c>
      <c r="AD71" s="141"/>
      <c r="AE71" s="146">
        <f t="shared" ca="1" si="66"/>
        <v>1</v>
      </c>
      <c r="AF71" s="141">
        <f t="shared" ca="1" si="67"/>
        <v>1</v>
      </c>
      <c r="AG71" s="146">
        <f ca="1">IF($AA71=1,'Endrunde 4'!$O19,"")</f>
        <v>25</v>
      </c>
      <c r="AH71" s="12">
        <f ca="1">IF($AA71=1,'Endrunde 4'!$Q19,"")</f>
        <v>12</v>
      </c>
      <c r="AI71" s="599" t="str">
        <f ca="1">IF(AA71&gt;0,AE71&amp;Sprache!$E$77&amp;AF71,"")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5"/>
      <c r="Q72" s="60" t="str">
        <f>""</f>
        <v/>
      </c>
      <c r="U72" s="64" t="s">
        <v>18</v>
      </c>
      <c r="V72" s="39" t="str">
        <f ca="1">'Endrunde 4'!$I20</f>
        <v>Maibach 1822 eV</v>
      </c>
      <c r="W72" s="12" t="str">
        <f ca="1">'Endrunde 4'!$K20</f>
        <v>Eintracht Frankfurt</v>
      </c>
      <c r="X72" s="12">
        <f ca="1">IF($AA72=1,'Endrunde 4'!$L20,"")</f>
        <v>13</v>
      </c>
      <c r="Y72" s="34">
        <f ca="1">IF($AA72=1,'Endrunde 4'!$N20,"")</f>
        <v>25</v>
      </c>
      <c r="Z72" s="33" t="str">
        <f t="shared" ca="1" si="65"/>
        <v>Maibach 1822 eVEintracht Frankfurt</v>
      </c>
      <c r="AA72" s="12">
        <f ca="1">IF(AND('Endrunde 4'!$L20&lt;&gt;"",'Endrunde 4'!$N20&lt;&gt;"",'Endrunde 4'!$L20&lt;&gt;'Endrunde 4'!$N20,OR(AND('Endrunde 4'!$O20="",'Endrunde 4'!$Q20=""),AND('Endrunde 4'!$O20&lt;&gt;"",'Endrunde 4'!$Q20&lt;&gt;"",'Endrunde 4'!$O20&lt;&gt;'Endrunde 4'!$Q20)),'Endrunde 4'!$I20&lt;&gt;"",'Endrunde 4'!$K20&lt;&gt;"",'Endrunde 4'!$I20&lt;&gt;'Endrunde 4'!$K20),1,0)</f>
        <v>1</v>
      </c>
      <c r="AB72" s="12" t="str">
        <f ca="1">IF(AA72&gt;0,(X72+AG72)&amp;Sprache!$E$77&amp;(Y72+AH72),"")</f>
        <v>31:50</v>
      </c>
      <c r="AD72" s="141"/>
      <c r="AE72" s="146">
        <f t="shared" ca="1" si="66"/>
        <v>0</v>
      </c>
      <c r="AF72" s="141">
        <f t="shared" ca="1" si="67"/>
        <v>2</v>
      </c>
      <c r="AG72" s="146">
        <f ca="1">IF($AA72=1,'Endrunde 4'!$O20,"")</f>
        <v>18</v>
      </c>
      <c r="AH72" s="12">
        <f ca="1">IF($AA72=1,'Endrunde 4'!$Q20,"")</f>
        <v>25</v>
      </c>
      <c r="AI72" s="599" t="str">
        <f ca="1">IF(AA72&gt;0,AE72&amp;Sprache!$E$77&amp;AF72,"")</f>
        <v>0:2</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4" t="s">
        <v>24</v>
      </c>
      <c r="V73" s="39" t="str">
        <f ca="1">'Endrunde 4'!$I21</f>
        <v>Inter Mailand</v>
      </c>
      <c r="W73" s="12" t="str">
        <f ca="1">'Endrunde 4'!$K21</f>
        <v/>
      </c>
      <c r="X73" s="12" t="str">
        <f ca="1">IF($AA73=1,'Endrunde 4'!$L21,"")</f>
        <v/>
      </c>
      <c r="Y73" s="34" t="str">
        <f ca="1">IF($AA73=1,'Endrunde 4'!$N21,"")</f>
        <v/>
      </c>
      <c r="Z73" s="33" t="str">
        <f t="shared" ca="1" si="65"/>
        <v>Inter Mailand</v>
      </c>
      <c r="AA73" s="12">
        <f ca="1">IF(AND('Endrunde 4'!$L21&lt;&gt;"",'Endrunde 4'!$N21&lt;&gt;"",'Endrunde 4'!$L21&lt;&gt;'Endrunde 4'!$N21,OR(AND('Endrunde 4'!$O21="",'Endrunde 4'!$Q21=""),AND('Endrunde 4'!$O21&lt;&gt;"",'Endrunde 4'!$Q21&lt;&gt;"",'Endrunde 4'!$O21&lt;&gt;'Endrunde 4'!$Q21)),'Endrunde 4'!$I21&lt;&gt;"",'Endrunde 4'!$K21&lt;&gt;"",'Endrunde 4'!$I21&lt;&gt;'Endrunde 4'!$K21),1,0)</f>
        <v>0</v>
      </c>
      <c r="AB73" s="12" t="str">
        <f ca="1">IF(AA73&gt;0,(X73+AG73)&amp;Sprache!$E$77&amp;(Y73+AH73),"")</f>
        <v/>
      </c>
      <c r="AD73" s="141"/>
      <c r="AE73" s="146">
        <f t="shared" ca="1" si="66"/>
        <v>0</v>
      </c>
      <c r="AF73" s="141">
        <f t="shared" ca="1" si="67"/>
        <v>0</v>
      </c>
      <c r="AG73" s="146" t="str">
        <f ca="1">IF($AA73=1,'Endrunde 4'!$O21,"")</f>
        <v/>
      </c>
      <c r="AH73" s="12" t="str">
        <f ca="1">IF($AA73=1,'Endrunde 4'!$Q21,"")</f>
        <v/>
      </c>
      <c r="AI73" s="599" t="str">
        <f ca="1">IF(AA73&gt;0,AE73&amp;Sprache!$E$77&amp;AF73,"")</f>
        <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4" t="s">
        <v>25</v>
      </c>
      <c r="V74" s="39" t="str">
        <f ca="1">'Endrunde 4'!$I22</f>
        <v>FC Grönlingen</v>
      </c>
      <c r="W74" s="12" t="str">
        <f ca="1">'Endrunde 4'!$K22</f>
        <v>SSV Wildbach</v>
      </c>
      <c r="X74" s="12">
        <f ca="1">IF($AA74=1,'Endrunde 4'!$L22,"")</f>
        <v>22</v>
      </c>
      <c r="Y74" s="34">
        <f ca="1">IF($AA74=1,'Endrunde 4'!$N22,"")</f>
        <v>25</v>
      </c>
      <c r="Z74" s="33" t="str">
        <f ca="1">V74&amp;W74</f>
        <v>FC GrönlingenSSV Wildbach</v>
      </c>
      <c r="AA74" s="12">
        <f ca="1">IF(AND('Endrunde 4'!$L22&lt;&gt;"",'Endrunde 4'!$N22&lt;&gt;"",'Endrunde 4'!$L22&lt;&gt;'Endrunde 4'!$N22,OR(AND('Endrunde 4'!$O22="",'Endrunde 4'!$Q22=""),AND('Endrunde 4'!$O22&lt;&gt;"",'Endrunde 4'!$Q22&lt;&gt;"",'Endrunde 4'!$O22&lt;&gt;'Endrunde 4'!$Q22)),'Endrunde 4'!$I22&lt;&gt;"",'Endrunde 4'!$K22&lt;&gt;"",'Endrunde 4'!$I22&lt;&gt;'Endrunde 4'!$K22),1,0)</f>
        <v>1</v>
      </c>
      <c r="AB74" s="12" t="str">
        <f ca="1">IF(AA74&gt;0,(X74+AG74)&amp;Sprache!$E$77&amp;(Y74+AH74),"")</f>
        <v>47:45</v>
      </c>
      <c r="AD74" s="141"/>
      <c r="AE74" s="146">
        <f t="shared" ca="1" si="66"/>
        <v>1</v>
      </c>
      <c r="AF74" s="141">
        <f t="shared" ca="1" si="67"/>
        <v>1</v>
      </c>
      <c r="AG74" s="146">
        <f ca="1">IF($AA74=1,'Endrunde 4'!$O22,"")</f>
        <v>25</v>
      </c>
      <c r="AH74" s="12">
        <f ca="1">IF($AA74=1,'Endrunde 4'!$Q22,"")</f>
        <v>20</v>
      </c>
      <c r="AI74" s="599" t="str">
        <f ca="1">IF(AA74&gt;0,AE74&amp;Sprache!$E$77&amp;AF74,"")</f>
        <v>1:1</v>
      </c>
    </row>
    <row r="75" spans="2:43" s="2" customFormat="1" x14ac:dyDescent="0.2">
      <c r="B75" s="3"/>
      <c r="C75" s="3"/>
      <c r="D75" s="3"/>
      <c r="E75" s="3"/>
      <c r="F75" s="12"/>
      <c r="G75" s="12"/>
      <c r="H75" s="12"/>
      <c r="I75" s="12"/>
      <c r="J75" s="12"/>
      <c r="K75" s="12"/>
      <c r="L75" s="12"/>
      <c r="M75" s="12"/>
      <c r="U75" s="64" t="s">
        <v>26</v>
      </c>
      <c r="V75" s="39" t="str">
        <f ca="1">'Endrunde 4'!$I23</f>
        <v>Mainz 05</v>
      </c>
      <c r="W75" s="12" t="str">
        <f ca="1">'Endrunde 4'!$K23</f>
        <v>Manchester City</v>
      </c>
      <c r="X75" s="12">
        <f ca="1">IF($AA75=1,'Endrunde 4'!$L23,"")</f>
        <v>19</v>
      </c>
      <c r="Y75" s="34">
        <f ca="1">IF($AA75=1,'Endrunde 4'!$N23,"")</f>
        <v>25</v>
      </c>
      <c r="Z75" s="33" t="str">
        <f t="shared" ref="Z75:Z81" ca="1" si="68">V75&amp;W75</f>
        <v>Mainz 05Manchester City</v>
      </c>
      <c r="AA75" s="12">
        <f ca="1">IF(AND('Endrunde 4'!$L23&lt;&gt;"",'Endrunde 4'!$N23&lt;&gt;"",'Endrunde 4'!$L23&lt;&gt;'Endrunde 4'!$N23,OR(AND('Endrunde 4'!$O23="",'Endrunde 4'!$Q23=""),AND('Endrunde 4'!$O23&lt;&gt;"",'Endrunde 4'!$Q23&lt;&gt;"",'Endrunde 4'!$O23&lt;&gt;'Endrunde 4'!$Q23)),'Endrunde 4'!$I23&lt;&gt;"",'Endrunde 4'!$K23&lt;&gt;"",'Endrunde 4'!$I23&lt;&gt;'Endrunde 4'!$K23),1,0)</f>
        <v>1</v>
      </c>
      <c r="AB75" s="12" t="str">
        <f ca="1">IF(AA75&gt;0,(X75+AG75)&amp;Sprache!$E$77&amp;(Y75+AH75),"")</f>
        <v>44:44</v>
      </c>
      <c r="AD75" s="141"/>
      <c r="AE75" s="146">
        <f t="shared" ca="1" si="66"/>
        <v>1</v>
      </c>
      <c r="AF75" s="141">
        <f t="shared" ca="1" si="67"/>
        <v>1</v>
      </c>
      <c r="AG75" s="146">
        <f ca="1">IF($AA75=1,'Endrunde 4'!$O23,"")</f>
        <v>25</v>
      </c>
      <c r="AH75" s="12">
        <f ca="1">IF($AA75=1,'Endrunde 4'!$Q23,"")</f>
        <v>19</v>
      </c>
      <c r="AI75" s="599" t="str">
        <f ca="1">IF(AA75&gt;0,AE75&amp;Sprache!$E$77&amp;AF75,"")</f>
        <v>1:1</v>
      </c>
    </row>
    <row r="76" spans="2:43" s="2" customFormat="1" x14ac:dyDescent="0.2">
      <c r="B76" s="3"/>
      <c r="C76" s="3"/>
      <c r="D76" s="3"/>
      <c r="E76" s="3"/>
      <c r="F76" s="12"/>
      <c r="G76" s="12"/>
      <c r="H76" s="12"/>
      <c r="I76" s="12"/>
      <c r="J76" s="12"/>
      <c r="K76" s="12"/>
      <c r="L76" s="12"/>
      <c r="M76" s="12"/>
      <c r="U76" s="64" t="s">
        <v>27</v>
      </c>
      <c r="V76" s="39" t="str">
        <f ca="1">'Endrunde 4'!$I24</f>
        <v/>
      </c>
      <c r="W76" s="12" t="str">
        <f ca="1">'Endrunde 4'!$K24</f>
        <v/>
      </c>
      <c r="X76" s="12" t="str">
        <f ca="1">IF($AA76=1,'Endrunde 4'!$L24,"")</f>
        <v/>
      </c>
      <c r="Y76" s="34" t="str">
        <f ca="1">IF($AA76=1,'Endrunde 4'!$N24,"")</f>
        <v/>
      </c>
      <c r="Z76" s="33" t="str">
        <f t="shared" ca="1" si="68"/>
        <v/>
      </c>
      <c r="AA76" s="12">
        <f ca="1">IF(AND('Endrunde 4'!$L24&lt;&gt;"",'Endrunde 4'!$N24&lt;&gt;"",'Endrunde 4'!$L24&lt;&gt;'Endrunde 4'!$N24,OR(AND('Endrunde 4'!$O24="",'Endrunde 4'!$Q24=""),AND('Endrunde 4'!$O24&lt;&gt;"",'Endrunde 4'!$Q24&lt;&gt;"",'Endrunde 4'!$O24&lt;&gt;'Endrunde 4'!$Q24)),'Endrunde 4'!$I24&lt;&gt;"",'Endrunde 4'!$K24&lt;&gt;"",'Endrunde 4'!$I24&lt;&gt;'Endrunde 4'!$K24),1,0)</f>
        <v>0</v>
      </c>
      <c r="AB76" s="12" t="str">
        <f ca="1">IF(AA76&gt;0,(X76+AG76)&amp;Sprache!$E$77&amp;(Y76+AH76),"")</f>
        <v/>
      </c>
      <c r="AD76" s="141"/>
      <c r="AE76" s="146">
        <f t="shared" ca="1" si="66"/>
        <v>0</v>
      </c>
      <c r="AF76" s="141">
        <f t="shared" ca="1" si="67"/>
        <v>0</v>
      </c>
      <c r="AG76" s="146" t="str">
        <f ca="1">IF($AA76=1,'Endrunde 4'!$O24,"")</f>
        <v/>
      </c>
      <c r="AH76" s="12" t="str">
        <f ca="1">IF($AA76=1,'Endrunde 4'!$Q24,"")</f>
        <v/>
      </c>
      <c r="AI76" s="599" t="str">
        <f ca="1">IF(AA76&gt;0,AE76&amp;Sprache!$E$77&amp;AF76,"")</f>
        <v/>
      </c>
    </row>
    <row r="77" spans="2:43" s="2" customFormat="1" x14ac:dyDescent="0.2">
      <c r="B77" s="3"/>
      <c r="C77" s="3"/>
      <c r="D77" s="3"/>
      <c r="E77" s="3"/>
      <c r="F77" s="12"/>
      <c r="G77" s="12"/>
      <c r="H77" s="12"/>
      <c r="I77" s="12"/>
      <c r="J77" s="12"/>
      <c r="K77" s="12"/>
      <c r="L77" s="12"/>
      <c r="M77" s="12"/>
      <c r="U77" s="64" t="s">
        <v>28</v>
      </c>
      <c r="V77" s="39" t="str">
        <f ca="1">'Endrunde 4'!$I25</f>
        <v>FC Barcelona</v>
      </c>
      <c r="W77" s="12" t="str">
        <f ca="1">'Endrunde 4'!$K25</f>
        <v>SSV Wildbach</v>
      </c>
      <c r="X77" s="12">
        <f ca="1">IF($AA77=1,'Endrunde 4'!$L25,"")</f>
        <v>14</v>
      </c>
      <c r="Y77" s="34">
        <f ca="1">IF($AA77=1,'Endrunde 4'!$N25,"")</f>
        <v>25</v>
      </c>
      <c r="Z77" s="33" t="str">
        <f t="shared" ca="1" si="68"/>
        <v>FC BarcelonaSSV Wildbach</v>
      </c>
      <c r="AA77" s="12">
        <f ca="1">IF(AND('Endrunde 4'!$L25&lt;&gt;"",'Endrunde 4'!$N25&lt;&gt;"",'Endrunde 4'!$L25&lt;&gt;'Endrunde 4'!$N25,OR(AND('Endrunde 4'!$O25="",'Endrunde 4'!$Q25=""),AND('Endrunde 4'!$O25&lt;&gt;"",'Endrunde 4'!$Q25&lt;&gt;"",'Endrunde 4'!$O25&lt;&gt;'Endrunde 4'!$Q25)),'Endrunde 4'!$I25&lt;&gt;"",'Endrunde 4'!$K25&lt;&gt;"",'Endrunde 4'!$I25&lt;&gt;'Endrunde 4'!$K25),1,0)</f>
        <v>1</v>
      </c>
      <c r="AB77" s="12" t="str">
        <f ca="1">IF(AA77&gt;0,(X77+AG77)&amp;Sprache!$E$77&amp;(Y77+AH77),"")</f>
        <v>39:48</v>
      </c>
      <c r="AD77" s="141"/>
      <c r="AE77" s="146">
        <f t="shared" ca="1" si="66"/>
        <v>1</v>
      </c>
      <c r="AF77" s="141">
        <f t="shared" ca="1" si="67"/>
        <v>1</v>
      </c>
      <c r="AG77" s="146">
        <f ca="1">IF($AA77=1,'Endrunde 4'!$O25,"")</f>
        <v>25</v>
      </c>
      <c r="AH77" s="12">
        <f ca="1">IF($AA77=1,'Endrunde 4'!$Q25,"")</f>
        <v>23</v>
      </c>
      <c r="AI77" s="599" t="str">
        <f ca="1">IF(AA77&gt;0,AE77&amp;Sprache!$E$77&amp;AF77,"")</f>
        <v>1:1</v>
      </c>
    </row>
    <row r="78" spans="2:43" s="2" customFormat="1" x14ac:dyDescent="0.2">
      <c r="B78" s="3"/>
      <c r="C78" s="3"/>
      <c r="D78" s="3"/>
      <c r="E78" s="3"/>
      <c r="F78" s="12"/>
      <c r="G78" s="12"/>
      <c r="H78" s="12"/>
      <c r="I78" s="12"/>
      <c r="J78" s="12"/>
      <c r="K78" s="12"/>
      <c r="L78" s="12"/>
      <c r="M78" s="12"/>
      <c r="U78" s="64" t="s">
        <v>29</v>
      </c>
      <c r="V78" s="39" t="str">
        <f ca="1">'Endrunde 4'!$I26</f>
        <v>Eintracht Frankfurt</v>
      </c>
      <c r="W78" s="12" t="str">
        <f ca="1">'Endrunde 4'!$K26</f>
        <v>Manchester City</v>
      </c>
      <c r="X78" s="12">
        <f ca="1">IF($AA78=1,'Endrunde 4'!$L26,"")</f>
        <v>21</v>
      </c>
      <c r="Y78" s="34">
        <f ca="1">IF($AA78=1,'Endrunde 4'!$N26,"")</f>
        <v>25</v>
      </c>
      <c r="Z78" s="33" t="str">
        <f t="shared" ca="1" si="68"/>
        <v>Eintracht FrankfurtManchester City</v>
      </c>
      <c r="AA78" s="12">
        <f ca="1">IF(AND('Endrunde 4'!$L26&lt;&gt;"",'Endrunde 4'!$N26&lt;&gt;"",'Endrunde 4'!$L26&lt;&gt;'Endrunde 4'!$N26,OR(AND('Endrunde 4'!$O26="",'Endrunde 4'!$Q26=""),AND('Endrunde 4'!$O26&lt;&gt;"",'Endrunde 4'!$Q26&lt;&gt;"",'Endrunde 4'!$O26&lt;&gt;'Endrunde 4'!$Q26)),'Endrunde 4'!$I26&lt;&gt;"",'Endrunde 4'!$K26&lt;&gt;"",'Endrunde 4'!$I26&lt;&gt;'Endrunde 4'!$K26),1,0)</f>
        <v>1</v>
      </c>
      <c r="AB78" s="12" t="str">
        <f ca="1">IF(AA78&gt;0,(X78+AG78)&amp;Sprache!$E$77&amp;(Y78+AH78),"")</f>
        <v>46:42</v>
      </c>
      <c r="AD78" s="141"/>
      <c r="AE78" s="146">
        <f t="shared" ca="1" si="66"/>
        <v>1</v>
      </c>
      <c r="AF78" s="141">
        <f t="shared" ca="1" si="67"/>
        <v>1</v>
      </c>
      <c r="AG78" s="146">
        <f ca="1">IF($AA78=1,'Endrunde 4'!$O26,"")</f>
        <v>25</v>
      </c>
      <c r="AH78" s="12">
        <f ca="1">IF($AA78=1,'Endrunde 4'!$Q26,"")</f>
        <v>17</v>
      </c>
      <c r="AI78" s="599" t="str">
        <f ca="1">IF(AA78&gt;0,AE78&amp;Sprache!$E$77&amp;AF78,"")</f>
        <v>1:1</v>
      </c>
    </row>
    <row r="79" spans="2:43" s="2" customFormat="1" x14ac:dyDescent="0.2">
      <c r="B79" s="3"/>
      <c r="C79" s="3"/>
      <c r="D79" s="3"/>
      <c r="E79" s="3"/>
      <c r="F79" s="12"/>
      <c r="G79" s="12"/>
      <c r="H79" s="12"/>
      <c r="I79" s="12"/>
      <c r="J79" s="12"/>
      <c r="K79" s="12"/>
      <c r="L79" s="12"/>
      <c r="M79" s="12"/>
      <c r="U79" s="64" t="s">
        <v>30</v>
      </c>
      <c r="V79" s="39" t="str">
        <f ca="1">'Endrunde 4'!$I27</f>
        <v>VFB Essenheim</v>
      </c>
      <c r="W79" s="12" t="str">
        <f ca="1">'Endrunde 4'!$K27</f>
        <v>Inter Mailand</v>
      </c>
      <c r="X79" s="12">
        <f ca="1">IF($AA79=1,'Endrunde 4'!$L27,"")</f>
        <v>20</v>
      </c>
      <c r="Y79" s="34">
        <f ca="1">IF($AA79=1,'Endrunde 4'!$N27,"")</f>
        <v>25</v>
      </c>
      <c r="Z79" s="33" t="str">
        <f t="shared" ca="1" si="68"/>
        <v>VFB EssenheimInter Mailand</v>
      </c>
      <c r="AA79" s="12">
        <f ca="1">IF(AND('Endrunde 4'!$L27&lt;&gt;"",'Endrunde 4'!$N27&lt;&gt;"",'Endrunde 4'!$L27&lt;&gt;'Endrunde 4'!$N27,OR(AND('Endrunde 4'!$O27="",'Endrunde 4'!$Q27=""),AND('Endrunde 4'!$O27&lt;&gt;"",'Endrunde 4'!$Q27&lt;&gt;"",'Endrunde 4'!$O27&lt;&gt;'Endrunde 4'!$Q27)),'Endrunde 4'!$I27&lt;&gt;"",'Endrunde 4'!$K27&lt;&gt;"",'Endrunde 4'!$I27&lt;&gt;'Endrunde 4'!$K27),1,0)</f>
        <v>1</v>
      </c>
      <c r="AB79" s="12" t="str">
        <f ca="1">IF(AA79&gt;0,(X79+AG79)&amp;Sprache!$E$77&amp;(Y79+AH79),"")</f>
        <v>38:50</v>
      </c>
      <c r="AD79" s="141"/>
      <c r="AE79" s="146">
        <f t="shared" ca="1" si="66"/>
        <v>0</v>
      </c>
      <c r="AF79" s="141">
        <f t="shared" ca="1" si="67"/>
        <v>2</v>
      </c>
      <c r="AG79" s="146">
        <f ca="1">IF($AA79=1,'Endrunde 4'!$O27,"")</f>
        <v>18</v>
      </c>
      <c r="AH79" s="12">
        <f ca="1">IF($AA79=1,'Endrunde 4'!$Q27,"")</f>
        <v>25</v>
      </c>
      <c r="AI79" s="599" t="str">
        <f ca="1">IF(AA79&gt;0,AE79&amp;Sprache!$E$77&amp;AF79,"")</f>
        <v>0:2</v>
      </c>
    </row>
    <row r="80" spans="2:43" s="2" customFormat="1" x14ac:dyDescent="0.2">
      <c r="B80" s="3"/>
      <c r="C80" s="3"/>
      <c r="D80" s="3"/>
      <c r="E80" s="3"/>
      <c r="F80" s="12"/>
      <c r="G80" s="12"/>
      <c r="H80" s="12"/>
      <c r="I80" s="12"/>
      <c r="J80" s="12"/>
      <c r="K80" s="12"/>
      <c r="L80" s="12"/>
      <c r="M80" s="12"/>
      <c r="U80" s="64" t="s">
        <v>31</v>
      </c>
      <c r="V80" s="39" t="str">
        <f ca="1">'Endrunde 4'!$I28</f>
        <v>1. FC Riedwald</v>
      </c>
      <c r="W80" s="12" t="str">
        <f ca="1">'Endrunde 4'!$K28</f>
        <v>FC Grönlingen</v>
      </c>
      <c r="X80" s="12">
        <f ca="1">IF($AA80=1,'Endrunde 4'!$L28,"")</f>
        <v>25</v>
      </c>
      <c r="Y80" s="34">
        <f ca="1">IF($AA80=1,'Endrunde 4'!$N28,"")</f>
        <v>20</v>
      </c>
      <c r="Z80" s="33" t="str">
        <f t="shared" ca="1" si="68"/>
        <v>1. FC RiedwaldFC Grönlingen</v>
      </c>
      <c r="AA80" s="12">
        <f ca="1">IF(AND('Endrunde 4'!$L28&lt;&gt;"",'Endrunde 4'!$N28&lt;&gt;"",'Endrunde 4'!$L28&lt;&gt;'Endrunde 4'!$N28,OR(AND('Endrunde 4'!$O28="",'Endrunde 4'!$Q28=""),AND('Endrunde 4'!$O28&lt;&gt;"",'Endrunde 4'!$Q28&lt;&gt;"",'Endrunde 4'!$O28&lt;&gt;'Endrunde 4'!$Q28)),'Endrunde 4'!$I28&lt;&gt;"",'Endrunde 4'!$K28&lt;&gt;"",'Endrunde 4'!$I28&lt;&gt;'Endrunde 4'!$K28),1,0)</f>
        <v>1</v>
      </c>
      <c r="AB80" s="12" t="str">
        <f ca="1">IF(AA80&gt;0,(X80+AG80)&amp;Sprache!$E$77&amp;(Y80+AH80),"")</f>
        <v>50:39</v>
      </c>
      <c r="AD80" s="141"/>
      <c r="AE80" s="146">
        <f t="shared" ca="1" si="66"/>
        <v>2</v>
      </c>
      <c r="AF80" s="141">
        <f t="shared" ca="1" si="67"/>
        <v>0</v>
      </c>
      <c r="AG80" s="146">
        <f ca="1">IF($AA80=1,'Endrunde 4'!$O28,"")</f>
        <v>25</v>
      </c>
      <c r="AH80" s="12">
        <f ca="1">IF($AA80=1,'Endrunde 4'!$Q28,"")</f>
        <v>19</v>
      </c>
      <c r="AI80" s="599" t="str">
        <f ca="1">IF(AA80&gt;0,AE80&amp;Sprache!$E$77&amp;AF80,"")</f>
        <v>2:0</v>
      </c>
    </row>
    <row r="81" spans="2:35" s="2" customFormat="1" ht="12.75" thickBot="1" x14ac:dyDescent="0.25">
      <c r="B81" s="3"/>
      <c r="C81" s="3"/>
      <c r="D81" s="3"/>
      <c r="E81" s="3"/>
      <c r="F81" s="12"/>
      <c r="G81" s="12"/>
      <c r="H81" s="12"/>
      <c r="I81" s="12"/>
      <c r="J81" s="12"/>
      <c r="K81" s="12"/>
      <c r="L81" s="12"/>
      <c r="M81" s="12"/>
      <c r="U81" s="311" t="s">
        <v>32</v>
      </c>
      <c r="V81" s="710" t="str">
        <f ca="1">'Endrunde 4'!$I29</f>
        <v>Maibach 1822 eV</v>
      </c>
      <c r="W81" s="312" t="str">
        <f ca="1">'Endrunde 4'!$K29</f>
        <v>Mainz 05</v>
      </c>
      <c r="X81" s="312">
        <f ca="1">IF($AA81=1,'Endrunde 4'!$L29,"")</f>
        <v>25</v>
      </c>
      <c r="Y81" s="711">
        <f ca="1">IF($AA81=1,'Endrunde 4'!$N29,"")</f>
        <v>13</v>
      </c>
      <c r="Z81" s="313" t="str">
        <f t="shared" ca="1" si="68"/>
        <v>Maibach 1822 eVMainz 05</v>
      </c>
      <c r="AA81" s="312">
        <f ca="1">IF(AND('Endrunde 4'!$L29&lt;&gt;"",'Endrunde 4'!$N29&lt;&gt;"",'Endrunde 4'!$L29&lt;&gt;'Endrunde 4'!$N29,OR(AND('Endrunde 4'!$O29="",'Endrunde 4'!$Q29=""),AND('Endrunde 4'!$O29&lt;&gt;"",'Endrunde 4'!$Q29&lt;&gt;"",'Endrunde 4'!$O29&lt;&gt;'Endrunde 4'!$Q29)),'Endrunde 4'!$I29&lt;&gt;"",'Endrunde 4'!$K29&lt;&gt;"",'Endrunde 4'!$I29&lt;&gt;'Endrunde 4'!$K29),1,0)</f>
        <v>1</v>
      </c>
      <c r="AB81" s="312" t="str">
        <f ca="1">IF(AA81&gt;0,(X81+AG81)&amp;Sprache!$E$77&amp;(Y81+AH81),"")</f>
        <v>50:33</v>
      </c>
      <c r="AC81" s="314"/>
      <c r="AD81" s="315"/>
      <c r="AE81" s="316">
        <f t="shared" ca="1" si="66"/>
        <v>2</v>
      </c>
      <c r="AF81" s="315">
        <f t="shared" ca="1" si="67"/>
        <v>0</v>
      </c>
      <c r="AG81" s="316">
        <f ca="1">IF($AA81=1,'Endrunde 4'!$O29,"")</f>
        <v>25</v>
      </c>
      <c r="AH81" s="312">
        <f ca="1">IF($AA81=1,'Endrunde 4'!$Q29,"")</f>
        <v>20</v>
      </c>
      <c r="AI81" s="600" t="str">
        <f ca="1">IF(AA81&gt;0,AE81&amp;Sprache!$E$77&amp;AF81,"")</f>
        <v>2:0</v>
      </c>
    </row>
    <row r="82" spans="2:35" s="2" customFormat="1" ht="12.75" thickTop="1" x14ac:dyDescent="0.2">
      <c r="B82" s="3"/>
      <c r="C82" s="3"/>
      <c r="D82" s="3"/>
      <c r="E82" s="3"/>
      <c r="F82" s="12"/>
      <c r="G82" s="12"/>
      <c r="H82" s="12"/>
      <c r="I82" s="12"/>
      <c r="J82" s="12"/>
      <c r="K82" s="12"/>
      <c r="L82" s="12"/>
      <c r="M82" s="12"/>
      <c r="U82" s="64" t="s">
        <v>33</v>
      </c>
      <c r="V82" s="39" t="str">
        <f>""</f>
        <v/>
      </c>
      <c r="W82" s="12" t="str">
        <f>""</f>
        <v/>
      </c>
      <c r="X82" s="12" t="str">
        <f>""</f>
        <v/>
      </c>
      <c r="Y82" s="34" t="str">
        <f>""</f>
        <v/>
      </c>
      <c r="Z82" s="33" t="str">
        <f>""</f>
        <v/>
      </c>
      <c r="AA82" s="12">
        <v>0</v>
      </c>
      <c r="AB82" s="12" t="str">
        <f>""</f>
        <v/>
      </c>
      <c r="AD82" s="141"/>
      <c r="AE82" s="146"/>
      <c r="AF82" s="141"/>
      <c r="AG82" s="146" t="str">
        <f>""</f>
        <v/>
      </c>
      <c r="AH82" s="12" t="str">
        <f>""</f>
        <v/>
      </c>
      <c r="AI82" s="599"/>
    </row>
    <row r="83" spans="2:35" s="2" customFormat="1" x14ac:dyDescent="0.2">
      <c r="B83" s="3"/>
      <c r="C83" s="3"/>
      <c r="D83" s="3"/>
      <c r="E83" s="3"/>
      <c r="F83" s="12"/>
      <c r="G83" s="12"/>
      <c r="H83" s="12"/>
      <c r="I83" s="12"/>
      <c r="J83" s="12"/>
      <c r="K83" s="12"/>
      <c r="L83" s="12"/>
      <c r="M83" s="12"/>
      <c r="U83" s="64" t="s">
        <v>34</v>
      </c>
      <c r="V83" s="39" t="str">
        <f>""</f>
        <v/>
      </c>
      <c r="W83" s="12" t="str">
        <f>""</f>
        <v/>
      </c>
      <c r="X83" s="12" t="str">
        <f>""</f>
        <v/>
      </c>
      <c r="Y83" s="34" t="str">
        <f>""</f>
        <v/>
      </c>
      <c r="Z83" s="33" t="str">
        <f>""</f>
        <v/>
      </c>
      <c r="AA83" s="12">
        <v>0</v>
      </c>
      <c r="AB83" s="12" t="str">
        <f>""</f>
        <v/>
      </c>
      <c r="AD83" s="141"/>
      <c r="AE83" s="146"/>
      <c r="AF83" s="141"/>
      <c r="AG83" s="146" t="str">
        <f>""</f>
        <v/>
      </c>
      <c r="AH83" s="12" t="str">
        <f>""</f>
        <v/>
      </c>
      <c r="AI83" s="599"/>
    </row>
    <row r="84" spans="2:35" s="2" customFormat="1" x14ac:dyDescent="0.2">
      <c r="B84" s="3"/>
      <c r="C84" s="3"/>
      <c r="D84" s="3"/>
      <c r="E84" s="3"/>
      <c r="F84" s="12"/>
      <c r="G84" s="12"/>
      <c r="H84" s="12"/>
      <c r="I84" s="12"/>
      <c r="J84" s="12"/>
      <c r="K84" s="12"/>
      <c r="L84" s="12"/>
      <c r="M84" s="12"/>
      <c r="U84" s="64" t="s">
        <v>35</v>
      </c>
      <c r="V84" s="39" t="str">
        <f>""</f>
        <v/>
      </c>
      <c r="W84" s="12" t="str">
        <f>""</f>
        <v/>
      </c>
      <c r="X84" s="12" t="str">
        <f>""</f>
        <v/>
      </c>
      <c r="Y84" s="34" t="str">
        <f>""</f>
        <v/>
      </c>
      <c r="Z84" s="33" t="str">
        <f>""</f>
        <v/>
      </c>
      <c r="AA84" s="12">
        <v>0</v>
      </c>
      <c r="AB84" s="12" t="str">
        <f>""</f>
        <v/>
      </c>
      <c r="AD84" s="141"/>
      <c r="AE84" s="146"/>
      <c r="AF84" s="141"/>
      <c r="AG84" s="146" t="str">
        <f>""</f>
        <v/>
      </c>
      <c r="AH84" s="12" t="str">
        <f>""</f>
        <v/>
      </c>
      <c r="AI84" s="599"/>
    </row>
    <row r="85" spans="2:35" s="2" customFormat="1" x14ac:dyDescent="0.2">
      <c r="B85" s="3"/>
      <c r="C85" s="3"/>
      <c r="D85" s="3"/>
      <c r="E85" s="3"/>
      <c r="F85" s="12"/>
      <c r="G85" s="12"/>
      <c r="H85" s="12"/>
      <c r="I85" s="12"/>
      <c r="J85" s="12"/>
      <c r="K85" s="12"/>
      <c r="L85" s="12"/>
      <c r="M85" s="12"/>
      <c r="U85" s="64" t="s">
        <v>36</v>
      </c>
      <c r="V85" s="39" t="str">
        <f>""</f>
        <v/>
      </c>
      <c r="W85" s="12" t="str">
        <f>""</f>
        <v/>
      </c>
      <c r="X85" s="12" t="str">
        <f>""</f>
        <v/>
      </c>
      <c r="Y85" s="34" t="str">
        <f>""</f>
        <v/>
      </c>
      <c r="Z85" s="33" t="str">
        <f>""</f>
        <v/>
      </c>
      <c r="AA85" s="12">
        <v>0</v>
      </c>
      <c r="AB85" s="12" t="str">
        <f>""</f>
        <v/>
      </c>
      <c r="AD85" s="141"/>
      <c r="AE85" s="146"/>
      <c r="AF85" s="141"/>
      <c r="AG85" s="146" t="str">
        <f>""</f>
        <v/>
      </c>
      <c r="AH85" s="12" t="str">
        <f>""</f>
        <v/>
      </c>
      <c r="AI85" s="599"/>
    </row>
    <row r="86" spans="2:35" s="2" customFormat="1" x14ac:dyDescent="0.2">
      <c r="B86" s="3"/>
      <c r="C86" s="3"/>
      <c r="D86" s="3"/>
      <c r="E86" s="3"/>
      <c r="F86" s="12"/>
      <c r="G86" s="12"/>
      <c r="H86" s="12"/>
      <c r="I86" s="12"/>
      <c r="J86" s="12"/>
      <c r="K86" s="12"/>
      <c r="L86" s="12"/>
      <c r="M86" s="12"/>
      <c r="U86" s="64" t="s">
        <v>37</v>
      </c>
      <c r="V86" s="39" t="str">
        <f>""</f>
        <v/>
      </c>
      <c r="W86" s="12" t="str">
        <f>""</f>
        <v/>
      </c>
      <c r="X86" s="12" t="str">
        <f>""</f>
        <v/>
      </c>
      <c r="Y86" s="34" t="str">
        <f>""</f>
        <v/>
      </c>
      <c r="Z86" s="33" t="str">
        <f>""</f>
        <v/>
      </c>
      <c r="AA86" s="12">
        <v>0</v>
      </c>
      <c r="AB86" s="12" t="str">
        <f>""</f>
        <v/>
      </c>
      <c r="AD86" s="141"/>
      <c r="AE86" s="146"/>
      <c r="AF86" s="141"/>
      <c r="AG86" s="146" t="str">
        <f>""</f>
        <v/>
      </c>
      <c r="AH86" s="12" t="str">
        <f>""</f>
        <v/>
      </c>
      <c r="AI86" s="599"/>
    </row>
    <row r="87" spans="2:35" s="2" customFormat="1" x14ac:dyDescent="0.2">
      <c r="B87" s="3"/>
      <c r="C87" s="3"/>
      <c r="D87" s="3"/>
      <c r="E87" s="3"/>
      <c r="F87" s="12"/>
      <c r="G87" s="12"/>
      <c r="H87" s="12"/>
      <c r="I87" s="12"/>
      <c r="J87" s="12"/>
      <c r="K87" s="12"/>
      <c r="L87" s="12"/>
      <c r="M87" s="12"/>
      <c r="U87" s="64" t="s">
        <v>38</v>
      </c>
      <c r="V87" s="39" t="str">
        <f>""</f>
        <v/>
      </c>
      <c r="W87" s="12" t="str">
        <f>""</f>
        <v/>
      </c>
      <c r="X87" s="12" t="str">
        <f>""</f>
        <v/>
      </c>
      <c r="Y87" s="34" t="str">
        <f>""</f>
        <v/>
      </c>
      <c r="Z87" s="33" t="str">
        <f>""</f>
        <v/>
      </c>
      <c r="AA87" s="12">
        <v>0</v>
      </c>
      <c r="AB87" s="12" t="str">
        <f>""</f>
        <v/>
      </c>
      <c r="AD87" s="141"/>
      <c r="AE87" s="146"/>
      <c r="AF87" s="141"/>
      <c r="AG87" s="146" t="str">
        <f>""</f>
        <v/>
      </c>
      <c r="AH87" s="12" t="str">
        <f>""</f>
        <v/>
      </c>
      <c r="AI87" s="599"/>
    </row>
    <row r="88" spans="2:35" s="2" customFormat="1" x14ac:dyDescent="0.2">
      <c r="B88" s="3"/>
      <c r="C88" s="3"/>
      <c r="D88" s="3"/>
      <c r="E88" s="3"/>
      <c r="F88" s="12"/>
      <c r="G88" s="12"/>
      <c r="H88" s="12"/>
      <c r="I88" s="12"/>
      <c r="J88" s="12"/>
      <c r="K88" s="12"/>
      <c r="L88" s="12"/>
      <c r="M88" s="12"/>
      <c r="U88" s="64" t="s">
        <v>39</v>
      </c>
      <c r="V88" s="39" t="str">
        <f>""</f>
        <v/>
      </c>
      <c r="W88" s="12" t="str">
        <f>""</f>
        <v/>
      </c>
      <c r="X88" s="12" t="str">
        <f>""</f>
        <v/>
      </c>
      <c r="Y88" s="34" t="str">
        <f>""</f>
        <v/>
      </c>
      <c r="Z88" s="33" t="str">
        <f>""</f>
        <v/>
      </c>
      <c r="AA88" s="12">
        <v>0</v>
      </c>
      <c r="AB88" s="12" t="str">
        <f>""</f>
        <v/>
      </c>
      <c r="AD88" s="141"/>
      <c r="AE88" s="146"/>
      <c r="AF88" s="141"/>
      <c r="AG88" s="146" t="str">
        <f>""</f>
        <v/>
      </c>
      <c r="AH88" s="12" t="str">
        <f>""</f>
        <v/>
      </c>
      <c r="AI88" s="599"/>
    </row>
    <row r="89" spans="2:35" s="2" customFormat="1" x14ac:dyDescent="0.2">
      <c r="B89" s="3"/>
      <c r="C89" s="3"/>
      <c r="D89" s="3"/>
      <c r="E89" s="3"/>
      <c r="F89" s="12"/>
      <c r="G89" s="12"/>
      <c r="H89" s="12"/>
      <c r="I89" s="12"/>
      <c r="J89" s="12"/>
      <c r="K89" s="12"/>
      <c r="L89" s="12"/>
      <c r="M89" s="12"/>
      <c r="U89" s="64" t="s">
        <v>40</v>
      </c>
      <c r="V89" s="39" t="str">
        <f>""</f>
        <v/>
      </c>
      <c r="W89" s="12" t="str">
        <f>""</f>
        <v/>
      </c>
      <c r="X89" s="12" t="str">
        <f>""</f>
        <v/>
      </c>
      <c r="Y89" s="34" t="str">
        <f>""</f>
        <v/>
      </c>
      <c r="Z89" s="33" t="str">
        <f>""</f>
        <v/>
      </c>
      <c r="AA89" s="12">
        <v>0</v>
      </c>
      <c r="AB89" s="12" t="str">
        <f>""</f>
        <v/>
      </c>
      <c r="AD89" s="141"/>
      <c r="AE89" s="146"/>
      <c r="AF89" s="141"/>
      <c r="AG89" s="146" t="str">
        <f>""</f>
        <v/>
      </c>
      <c r="AH89" s="12" t="str">
        <f>""</f>
        <v/>
      </c>
      <c r="AI89" s="599"/>
    </row>
    <row r="90" spans="2:35" s="2" customFormat="1" x14ac:dyDescent="0.2">
      <c r="B90" s="3"/>
      <c r="C90" s="3"/>
      <c r="D90" s="3"/>
      <c r="E90" s="3"/>
      <c r="F90" s="12"/>
      <c r="G90" s="12"/>
      <c r="H90" s="12"/>
      <c r="I90" s="12"/>
      <c r="J90" s="12"/>
      <c r="K90" s="12"/>
      <c r="L90" s="12"/>
      <c r="M90" s="12"/>
      <c r="U90" s="64" t="s">
        <v>41</v>
      </c>
      <c r="V90" s="39" t="str">
        <f>""</f>
        <v/>
      </c>
      <c r="W90" s="12" t="str">
        <f>""</f>
        <v/>
      </c>
      <c r="X90" s="12" t="str">
        <f>""</f>
        <v/>
      </c>
      <c r="Y90" s="34" t="str">
        <f>""</f>
        <v/>
      </c>
      <c r="Z90" s="33" t="str">
        <f>""</f>
        <v/>
      </c>
      <c r="AA90" s="12">
        <v>0</v>
      </c>
      <c r="AB90" s="12" t="str">
        <f>""</f>
        <v/>
      </c>
      <c r="AD90" s="141"/>
      <c r="AE90" s="146"/>
      <c r="AF90" s="141"/>
      <c r="AG90" s="146" t="str">
        <f>""</f>
        <v/>
      </c>
      <c r="AH90" s="12" t="str">
        <f>""</f>
        <v/>
      </c>
      <c r="AI90" s="599"/>
    </row>
    <row r="91" spans="2:35" s="2" customFormat="1" x14ac:dyDescent="0.2">
      <c r="B91" s="3"/>
      <c r="C91" s="3"/>
      <c r="D91" s="3"/>
      <c r="E91" s="3"/>
      <c r="F91" s="12"/>
      <c r="G91" s="12"/>
      <c r="H91" s="12"/>
      <c r="I91" s="12"/>
      <c r="J91" s="12"/>
      <c r="K91" s="12"/>
      <c r="L91" s="12"/>
      <c r="M91" s="12"/>
      <c r="U91" s="64" t="s">
        <v>42</v>
      </c>
      <c r="V91" s="39" t="str">
        <f>""</f>
        <v/>
      </c>
      <c r="W91" s="12" t="str">
        <f>""</f>
        <v/>
      </c>
      <c r="X91" s="12" t="str">
        <f>""</f>
        <v/>
      </c>
      <c r="Y91" s="34" t="str">
        <f>""</f>
        <v/>
      </c>
      <c r="Z91" s="33" t="str">
        <f>""</f>
        <v/>
      </c>
      <c r="AA91" s="12">
        <v>0</v>
      </c>
      <c r="AB91" s="12" t="str">
        <f>""</f>
        <v/>
      </c>
      <c r="AD91" s="141"/>
      <c r="AE91" s="146"/>
      <c r="AF91" s="141"/>
      <c r="AG91" s="146" t="str">
        <f>""</f>
        <v/>
      </c>
      <c r="AH91" s="12" t="str">
        <f>""</f>
        <v/>
      </c>
      <c r="AI91" s="599"/>
    </row>
    <row r="92" spans="2:35" s="2" customFormat="1" x14ac:dyDescent="0.2">
      <c r="B92" s="3"/>
      <c r="C92" s="3"/>
      <c r="D92" s="3"/>
      <c r="E92" s="3"/>
      <c r="F92" s="12"/>
      <c r="G92" s="12"/>
      <c r="H92" s="12"/>
      <c r="I92" s="12"/>
      <c r="J92" s="12"/>
      <c r="K92" s="12"/>
      <c r="L92" s="12"/>
      <c r="M92" s="12"/>
      <c r="U92" s="64" t="s">
        <v>43</v>
      </c>
      <c r="V92" s="39" t="str">
        <f>""</f>
        <v/>
      </c>
      <c r="W92" s="12" t="str">
        <f>""</f>
        <v/>
      </c>
      <c r="X92" s="12" t="str">
        <f>""</f>
        <v/>
      </c>
      <c r="Y92" s="34" t="str">
        <f>""</f>
        <v/>
      </c>
      <c r="Z92" s="33" t="str">
        <f>""</f>
        <v/>
      </c>
      <c r="AA92" s="12">
        <v>0</v>
      </c>
      <c r="AB92" s="12" t="str">
        <f>""</f>
        <v/>
      </c>
      <c r="AD92" s="141"/>
      <c r="AE92" s="146"/>
      <c r="AF92" s="141"/>
      <c r="AG92" s="146" t="str">
        <f>""</f>
        <v/>
      </c>
      <c r="AH92" s="12" t="str">
        <f>""</f>
        <v/>
      </c>
      <c r="AI92" s="599"/>
    </row>
    <row r="93" spans="2:35" s="2" customFormat="1" x14ac:dyDescent="0.2">
      <c r="B93" s="3"/>
      <c r="C93" s="3"/>
      <c r="D93" s="3"/>
      <c r="E93" s="3"/>
      <c r="F93" s="12"/>
      <c r="G93" s="12"/>
      <c r="H93" s="12"/>
      <c r="I93" s="12"/>
      <c r="J93" s="12"/>
      <c r="K93" s="12"/>
      <c r="L93" s="12"/>
      <c r="M93" s="12"/>
      <c r="U93" s="64" t="s">
        <v>44</v>
      </c>
      <c r="V93" s="39" t="str">
        <f>""</f>
        <v/>
      </c>
      <c r="W93" s="12" t="str">
        <f>""</f>
        <v/>
      </c>
      <c r="X93" s="12" t="str">
        <f>""</f>
        <v/>
      </c>
      <c r="Y93" s="34" t="str">
        <f>""</f>
        <v/>
      </c>
      <c r="Z93" s="33" t="str">
        <f>""</f>
        <v/>
      </c>
      <c r="AA93" s="12">
        <v>0</v>
      </c>
      <c r="AB93" s="12" t="str">
        <f>""</f>
        <v/>
      </c>
      <c r="AD93" s="141"/>
      <c r="AE93" s="146"/>
      <c r="AF93" s="141"/>
      <c r="AG93" s="146" t="str">
        <f>""</f>
        <v/>
      </c>
      <c r="AH93" s="12" t="str">
        <f>""</f>
        <v/>
      </c>
      <c r="AI93" s="599"/>
    </row>
    <row r="94" spans="2:35" s="2" customFormat="1" x14ac:dyDescent="0.2">
      <c r="B94" s="3"/>
      <c r="C94" s="3"/>
      <c r="D94" s="3"/>
      <c r="E94" s="3"/>
      <c r="F94" s="12"/>
      <c r="G94" s="12"/>
      <c r="H94" s="12"/>
      <c r="I94" s="12"/>
      <c r="J94" s="12"/>
      <c r="K94" s="12"/>
      <c r="L94" s="12"/>
      <c r="M94" s="12"/>
      <c r="U94" s="64" t="s">
        <v>45</v>
      </c>
      <c r="V94" s="39" t="str">
        <f>""</f>
        <v/>
      </c>
      <c r="W94" s="12" t="str">
        <f>""</f>
        <v/>
      </c>
      <c r="X94" s="12" t="str">
        <f>""</f>
        <v/>
      </c>
      <c r="Y94" s="34" t="str">
        <f>""</f>
        <v/>
      </c>
      <c r="Z94" s="33" t="str">
        <f>""</f>
        <v/>
      </c>
      <c r="AA94" s="12">
        <v>0</v>
      </c>
      <c r="AB94" s="12" t="str">
        <f>""</f>
        <v/>
      </c>
      <c r="AD94" s="141"/>
      <c r="AE94" s="146"/>
      <c r="AF94" s="141"/>
      <c r="AG94" s="146" t="str">
        <f>""</f>
        <v/>
      </c>
      <c r="AH94" s="12" t="str">
        <f>""</f>
        <v/>
      </c>
      <c r="AI94" s="599"/>
    </row>
    <row r="95" spans="2:35" s="2" customFormat="1" x14ac:dyDescent="0.2">
      <c r="B95" s="3"/>
      <c r="C95" s="3"/>
      <c r="D95" s="3"/>
      <c r="E95" s="3"/>
      <c r="F95" s="12"/>
      <c r="G95" s="12"/>
      <c r="H95" s="12"/>
      <c r="I95" s="12"/>
      <c r="J95" s="12"/>
      <c r="K95" s="12"/>
      <c r="L95" s="12"/>
      <c r="M95" s="12"/>
      <c r="U95" s="64" t="s">
        <v>46</v>
      </c>
      <c r="V95" s="39" t="str">
        <f>""</f>
        <v/>
      </c>
      <c r="W95" s="12" t="str">
        <f>""</f>
        <v/>
      </c>
      <c r="X95" s="12" t="str">
        <f>""</f>
        <v/>
      </c>
      <c r="Y95" s="34" t="str">
        <f>""</f>
        <v/>
      </c>
      <c r="Z95" s="33" t="str">
        <f>""</f>
        <v/>
      </c>
      <c r="AA95" s="12">
        <v>0</v>
      </c>
      <c r="AB95" s="12" t="str">
        <f>""</f>
        <v/>
      </c>
      <c r="AD95" s="141"/>
      <c r="AE95" s="146"/>
      <c r="AF95" s="141"/>
      <c r="AG95" s="596" t="str">
        <f>""</f>
        <v/>
      </c>
      <c r="AH95" s="3" t="str">
        <f>""</f>
        <v/>
      </c>
      <c r="AI95" s="601"/>
    </row>
    <row r="96" spans="2:35" s="2" customFormat="1" x14ac:dyDescent="0.2">
      <c r="B96" s="3"/>
      <c r="C96" s="3"/>
      <c r="D96" s="3"/>
      <c r="E96" s="3"/>
      <c r="F96" s="12"/>
      <c r="G96" s="12"/>
      <c r="H96" s="12"/>
      <c r="I96" s="12"/>
      <c r="J96" s="12"/>
      <c r="K96" s="12"/>
      <c r="L96" s="12"/>
      <c r="M96" s="12"/>
      <c r="U96" s="64" t="s">
        <v>47</v>
      </c>
      <c r="V96" s="39" t="str">
        <f>""</f>
        <v/>
      </c>
      <c r="W96" s="12" t="str">
        <f>""</f>
        <v/>
      </c>
      <c r="X96" s="12" t="str">
        <f>""</f>
        <v/>
      </c>
      <c r="Y96" s="34" t="str">
        <f>""</f>
        <v/>
      </c>
      <c r="Z96" s="33" t="str">
        <f>""</f>
        <v/>
      </c>
      <c r="AA96" s="12">
        <v>0</v>
      </c>
      <c r="AB96" s="12" t="str">
        <f>""</f>
        <v/>
      </c>
      <c r="AD96" s="141"/>
      <c r="AE96" s="146"/>
      <c r="AF96" s="141"/>
      <c r="AG96" s="596" t="str">
        <f>""</f>
        <v/>
      </c>
      <c r="AH96" s="3" t="str">
        <f>""</f>
        <v/>
      </c>
      <c r="AI96" s="601"/>
    </row>
    <row r="97" spans="2:35" s="2" customFormat="1" x14ac:dyDescent="0.2">
      <c r="B97" s="3"/>
      <c r="C97" s="3"/>
      <c r="D97" s="3"/>
      <c r="E97" s="3"/>
      <c r="F97" s="12"/>
      <c r="G97" s="12"/>
      <c r="H97" s="12"/>
      <c r="I97" s="12"/>
      <c r="J97" s="12"/>
      <c r="K97" s="12"/>
      <c r="L97" s="12"/>
      <c r="M97" s="12"/>
      <c r="U97" s="64" t="s">
        <v>48</v>
      </c>
      <c r="V97" s="39" t="str">
        <f>""</f>
        <v/>
      </c>
      <c r="W97" s="12" t="str">
        <f>""</f>
        <v/>
      </c>
      <c r="X97" s="12" t="str">
        <f>""</f>
        <v/>
      </c>
      <c r="Y97" s="34" t="str">
        <f>""</f>
        <v/>
      </c>
      <c r="Z97" s="33" t="str">
        <f>""</f>
        <v/>
      </c>
      <c r="AA97" s="12">
        <v>0</v>
      </c>
      <c r="AB97" s="12" t="str">
        <f>""</f>
        <v/>
      </c>
      <c r="AD97" s="141"/>
      <c r="AE97" s="146"/>
      <c r="AF97" s="141"/>
      <c r="AG97" s="596" t="str">
        <f>""</f>
        <v/>
      </c>
      <c r="AH97" s="3" t="str">
        <f>""</f>
        <v/>
      </c>
      <c r="AI97" s="601"/>
    </row>
    <row r="98" spans="2:35" s="2" customFormat="1" x14ac:dyDescent="0.2">
      <c r="B98" s="3"/>
      <c r="C98" s="3"/>
      <c r="D98" s="3"/>
      <c r="E98" s="3"/>
      <c r="F98" s="12"/>
      <c r="G98" s="12"/>
      <c r="H98" s="12"/>
      <c r="I98" s="12"/>
      <c r="J98" s="12"/>
      <c r="K98" s="12"/>
      <c r="L98" s="12"/>
      <c r="M98" s="12"/>
      <c r="U98" s="64" t="s">
        <v>49</v>
      </c>
      <c r="V98" s="39" t="str">
        <f>""</f>
        <v/>
      </c>
      <c r="W98" s="12" t="str">
        <f>""</f>
        <v/>
      </c>
      <c r="X98" s="12" t="str">
        <f>""</f>
        <v/>
      </c>
      <c r="Y98" s="34" t="str">
        <f>""</f>
        <v/>
      </c>
      <c r="Z98" s="33" t="str">
        <f>""</f>
        <v/>
      </c>
      <c r="AA98" s="12">
        <v>0</v>
      </c>
      <c r="AB98" s="12" t="str">
        <f>""</f>
        <v/>
      </c>
      <c r="AD98" s="141"/>
      <c r="AE98" s="146"/>
      <c r="AF98" s="141"/>
      <c r="AG98" s="596" t="str">
        <f>""</f>
        <v/>
      </c>
      <c r="AH98" s="3" t="str">
        <f>""</f>
        <v/>
      </c>
      <c r="AI98" s="601"/>
    </row>
    <row r="99" spans="2:35" s="2" customFormat="1" x14ac:dyDescent="0.2">
      <c r="B99" s="3"/>
      <c r="C99" s="3"/>
      <c r="D99" s="3"/>
      <c r="E99" s="3"/>
      <c r="F99" s="12"/>
      <c r="G99" s="12"/>
      <c r="H99" s="12"/>
      <c r="I99" s="12"/>
      <c r="J99" s="12"/>
      <c r="K99" s="12"/>
      <c r="L99" s="12"/>
      <c r="M99" s="12"/>
      <c r="U99" s="64" t="s">
        <v>50</v>
      </c>
      <c r="V99" s="39" t="str">
        <f>""</f>
        <v/>
      </c>
      <c r="W99" s="12" t="str">
        <f>""</f>
        <v/>
      </c>
      <c r="X99" s="12" t="str">
        <f>""</f>
        <v/>
      </c>
      <c r="Y99" s="34" t="str">
        <f>""</f>
        <v/>
      </c>
      <c r="Z99" s="33" t="str">
        <f>""</f>
        <v/>
      </c>
      <c r="AA99" s="12">
        <v>0</v>
      </c>
      <c r="AB99" s="12" t="str">
        <f>""</f>
        <v/>
      </c>
      <c r="AD99" s="141"/>
      <c r="AE99" s="146"/>
      <c r="AF99" s="141"/>
      <c r="AG99" s="596" t="str">
        <f>""</f>
        <v/>
      </c>
      <c r="AH99" s="3" t="str">
        <f>""</f>
        <v/>
      </c>
      <c r="AI99" s="601"/>
    </row>
    <row r="100" spans="2:35" s="2" customFormat="1" x14ac:dyDescent="0.2">
      <c r="B100" s="3"/>
      <c r="C100" s="3"/>
      <c r="D100" s="3"/>
      <c r="E100" s="3"/>
      <c r="F100" s="12"/>
      <c r="G100" s="12"/>
      <c r="H100" s="12"/>
      <c r="I100" s="12"/>
      <c r="J100" s="12"/>
      <c r="K100" s="12"/>
      <c r="L100" s="12"/>
      <c r="M100" s="12"/>
      <c r="U100" s="64" t="s">
        <v>58</v>
      </c>
      <c r="V100" s="39" t="str">
        <f>""</f>
        <v/>
      </c>
      <c r="W100" s="12" t="str">
        <f>""</f>
        <v/>
      </c>
      <c r="X100" s="12" t="str">
        <f>""</f>
        <v/>
      </c>
      <c r="Y100" s="34" t="str">
        <f>""</f>
        <v/>
      </c>
      <c r="Z100" s="33" t="str">
        <f>""</f>
        <v/>
      </c>
      <c r="AA100" s="12">
        <v>0</v>
      </c>
      <c r="AB100" s="12" t="str">
        <f>""</f>
        <v/>
      </c>
      <c r="AD100" s="141"/>
      <c r="AE100" s="146"/>
      <c r="AF100" s="141"/>
      <c r="AG100" s="596" t="str">
        <f>""</f>
        <v/>
      </c>
      <c r="AH100" s="3" t="str">
        <f>""</f>
        <v/>
      </c>
      <c r="AI100" s="601"/>
    </row>
    <row r="101" spans="2:35" s="2" customFormat="1" x14ac:dyDescent="0.2">
      <c r="B101" s="3"/>
      <c r="C101" s="3"/>
      <c r="D101" s="3"/>
      <c r="E101" s="3"/>
      <c r="F101" s="12"/>
      <c r="G101" s="12"/>
      <c r="H101" s="12"/>
      <c r="I101" s="12"/>
      <c r="J101" s="12"/>
      <c r="K101" s="12"/>
      <c r="L101" s="12"/>
      <c r="M101" s="12"/>
      <c r="U101" s="64" t="s">
        <v>59</v>
      </c>
      <c r="V101" s="39" t="str">
        <f>""</f>
        <v/>
      </c>
      <c r="W101" s="12" t="str">
        <f>""</f>
        <v/>
      </c>
      <c r="X101" s="12" t="str">
        <f>""</f>
        <v/>
      </c>
      <c r="Y101" s="34" t="str">
        <f>""</f>
        <v/>
      </c>
      <c r="Z101" s="33" t="str">
        <f>""</f>
        <v/>
      </c>
      <c r="AA101" s="12">
        <v>0</v>
      </c>
      <c r="AB101" s="12" t="str">
        <f>""</f>
        <v/>
      </c>
      <c r="AD101" s="141"/>
      <c r="AE101" s="146"/>
      <c r="AF101" s="141"/>
      <c r="AG101" s="596" t="str">
        <f>""</f>
        <v/>
      </c>
      <c r="AH101" s="3" t="str">
        <f>""</f>
        <v/>
      </c>
      <c r="AI101" s="601"/>
    </row>
    <row r="102" spans="2:35" s="2" customFormat="1" x14ac:dyDescent="0.2">
      <c r="B102" s="3"/>
      <c r="C102" s="3"/>
      <c r="D102" s="3"/>
      <c r="E102" s="3"/>
      <c r="F102" s="12"/>
      <c r="G102" s="12"/>
      <c r="H102" s="12"/>
      <c r="I102" s="12"/>
      <c r="J102" s="12"/>
      <c r="K102" s="12"/>
      <c r="L102" s="12"/>
      <c r="M102" s="12"/>
      <c r="U102" s="64" t="s">
        <v>60</v>
      </c>
      <c r="V102" s="39" t="str">
        <f>""</f>
        <v/>
      </c>
      <c r="W102" s="12" t="str">
        <f>""</f>
        <v/>
      </c>
      <c r="X102" s="12" t="str">
        <f>""</f>
        <v/>
      </c>
      <c r="Y102" s="34" t="str">
        <f>""</f>
        <v/>
      </c>
      <c r="Z102" s="33" t="str">
        <f>""</f>
        <v/>
      </c>
      <c r="AA102" s="12">
        <v>0</v>
      </c>
      <c r="AB102" s="12" t="str">
        <f>""</f>
        <v/>
      </c>
      <c r="AD102" s="141"/>
      <c r="AE102" s="146"/>
      <c r="AF102" s="141"/>
      <c r="AG102" s="596" t="str">
        <f>""</f>
        <v/>
      </c>
      <c r="AH102" s="3" t="str">
        <f>""</f>
        <v/>
      </c>
      <c r="AI102" s="601"/>
    </row>
    <row r="103" spans="2:35" s="2" customFormat="1" x14ac:dyDescent="0.2">
      <c r="B103" s="3"/>
      <c r="C103" s="3"/>
      <c r="D103" s="3"/>
      <c r="E103" s="3"/>
      <c r="F103" s="12"/>
      <c r="G103" s="12"/>
      <c r="H103" s="12"/>
      <c r="I103" s="12"/>
      <c r="J103" s="12"/>
      <c r="K103" s="12"/>
      <c r="L103" s="12"/>
      <c r="M103" s="12"/>
      <c r="U103" s="64" t="s">
        <v>61</v>
      </c>
      <c r="V103" s="39" t="str">
        <f>""</f>
        <v/>
      </c>
      <c r="W103" s="12" t="str">
        <f>""</f>
        <v/>
      </c>
      <c r="X103" s="12" t="str">
        <f>""</f>
        <v/>
      </c>
      <c r="Y103" s="34" t="str">
        <f>""</f>
        <v/>
      </c>
      <c r="Z103" s="33" t="str">
        <f>""</f>
        <v/>
      </c>
      <c r="AA103" s="12">
        <v>0</v>
      </c>
      <c r="AB103" s="12" t="str">
        <f>""</f>
        <v/>
      </c>
      <c r="AD103" s="141"/>
      <c r="AE103" s="146"/>
      <c r="AF103" s="141"/>
      <c r="AG103" s="596" t="str">
        <f>""</f>
        <v/>
      </c>
      <c r="AH103" s="3" t="str">
        <f>""</f>
        <v/>
      </c>
      <c r="AI103" s="601"/>
    </row>
    <row r="104" spans="2:35" s="2" customFormat="1" x14ac:dyDescent="0.2">
      <c r="B104" s="3"/>
      <c r="C104" s="3"/>
      <c r="D104" s="3"/>
      <c r="E104" s="3"/>
      <c r="F104" s="12"/>
      <c r="G104" s="12"/>
      <c r="H104" s="12"/>
      <c r="I104" s="12"/>
      <c r="J104" s="12"/>
      <c r="K104" s="12"/>
      <c r="L104" s="12"/>
      <c r="M104" s="12"/>
      <c r="U104" s="64" t="s">
        <v>62</v>
      </c>
      <c r="V104" s="39" t="str">
        <f>""</f>
        <v/>
      </c>
      <c r="W104" s="12" t="str">
        <f>""</f>
        <v/>
      </c>
      <c r="X104" s="12" t="str">
        <f>""</f>
        <v/>
      </c>
      <c r="Y104" s="34" t="str">
        <f>""</f>
        <v/>
      </c>
      <c r="Z104" s="33" t="str">
        <f>""</f>
        <v/>
      </c>
      <c r="AA104" s="12">
        <v>0</v>
      </c>
      <c r="AB104" s="12" t="str">
        <f>""</f>
        <v/>
      </c>
      <c r="AD104" s="141"/>
      <c r="AE104" s="146"/>
      <c r="AF104" s="141"/>
      <c r="AG104" s="596" t="str">
        <f>""</f>
        <v/>
      </c>
      <c r="AH104" s="3" t="str">
        <f>""</f>
        <v/>
      </c>
      <c r="AI104" s="601"/>
    </row>
    <row r="105" spans="2:35" s="2" customFormat="1" x14ac:dyDescent="0.2">
      <c r="B105" s="3"/>
      <c r="C105" s="3"/>
      <c r="D105" s="3"/>
      <c r="E105" s="3"/>
      <c r="F105" s="12"/>
      <c r="G105" s="12"/>
      <c r="H105" s="12"/>
      <c r="I105" s="12"/>
      <c r="J105" s="12"/>
      <c r="K105" s="12"/>
      <c r="L105" s="12"/>
      <c r="M105" s="12"/>
      <c r="U105" s="64" t="s">
        <v>63</v>
      </c>
      <c r="V105" s="39" t="str">
        <f>""</f>
        <v/>
      </c>
      <c r="W105" s="12" t="str">
        <f>""</f>
        <v/>
      </c>
      <c r="X105" s="12" t="str">
        <f>""</f>
        <v/>
      </c>
      <c r="Y105" s="34" t="str">
        <f>""</f>
        <v/>
      </c>
      <c r="Z105" s="33" t="str">
        <f>""</f>
        <v/>
      </c>
      <c r="AA105" s="12">
        <v>0</v>
      </c>
      <c r="AB105" s="12" t="str">
        <f>""</f>
        <v/>
      </c>
      <c r="AD105" s="141"/>
      <c r="AE105" s="146"/>
      <c r="AF105" s="141"/>
      <c r="AG105" s="596" t="str">
        <f>""</f>
        <v/>
      </c>
      <c r="AH105" s="3" t="str">
        <f>""</f>
        <v/>
      </c>
      <c r="AI105" s="601"/>
    </row>
    <row r="106" spans="2:35" s="2" customFormat="1" x14ac:dyDescent="0.2">
      <c r="B106" s="3"/>
      <c r="C106" s="3"/>
      <c r="D106" s="3"/>
      <c r="E106" s="3"/>
      <c r="F106" s="12"/>
      <c r="G106" s="12"/>
      <c r="H106" s="12"/>
      <c r="I106" s="12"/>
      <c r="J106" s="12"/>
      <c r="K106" s="12"/>
      <c r="L106" s="12"/>
      <c r="M106" s="12"/>
      <c r="U106" s="64" t="s">
        <v>64</v>
      </c>
      <c r="V106" s="39" t="str">
        <f>""</f>
        <v/>
      </c>
      <c r="W106" s="12" t="str">
        <f>""</f>
        <v/>
      </c>
      <c r="X106" s="12" t="str">
        <f>""</f>
        <v/>
      </c>
      <c r="Y106" s="34" t="str">
        <f>""</f>
        <v/>
      </c>
      <c r="Z106" s="33" t="str">
        <f>""</f>
        <v/>
      </c>
      <c r="AA106" s="12">
        <v>0</v>
      </c>
      <c r="AB106" s="12" t="str">
        <f>""</f>
        <v/>
      </c>
      <c r="AD106" s="141"/>
      <c r="AE106" s="146"/>
      <c r="AF106" s="141"/>
      <c r="AG106" s="596" t="str">
        <f>""</f>
        <v/>
      </c>
      <c r="AH106" s="3" t="str">
        <f>""</f>
        <v/>
      </c>
      <c r="AI106" s="601"/>
    </row>
    <row r="107" spans="2:35" s="2" customFormat="1" x14ac:dyDescent="0.2">
      <c r="B107" s="3"/>
      <c r="C107" s="3"/>
      <c r="D107" s="3"/>
      <c r="E107" s="3"/>
      <c r="F107" s="12"/>
      <c r="G107" s="12"/>
      <c r="H107" s="12"/>
      <c r="I107" s="12"/>
      <c r="J107" s="12"/>
      <c r="K107" s="12"/>
      <c r="L107" s="12"/>
      <c r="M107" s="12"/>
      <c r="U107" s="64" t="s">
        <v>65</v>
      </c>
      <c r="V107" s="39" t="str">
        <f>""</f>
        <v/>
      </c>
      <c r="W107" s="12" t="str">
        <f>""</f>
        <v/>
      </c>
      <c r="X107" s="12" t="str">
        <f>""</f>
        <v/>
      </c>
      <c r="Y107" s="34" t="str">
        <f>""</f>
        <v/>
      </c>
      <c r="Z107" s="33" t="str">
        <f>""</f>
        <v/>
      </c>
      <c r="AA107" s="12">
        <v>0</v>
      </c>
      <c r="AB107" s="12" t="str">
        <f>""</f>
        <v/>
      </c>
      <c r="AD107" s="141"/>
      <c r="AE107" s="146"/>
      <c r="AF107" s="141"/>
      <c r="AG107" s="596" t="str">
        <f>""</f>
        <v/>
      </c>
      <c r="AH107" s="3" t="str">
        <f>""</f>
        <v/>
      </c>
      <c r="AI107" s="601"/>
    </row>
    <row r="108" spans="2:35" s="2" customFormat="1" x14ac:dyDescent="0.2">
      <c r="B108" s="3"/>
      <c r="C108" s="3"/>
      <c r="D108" s="3"/>
      <c r="E108" s="3"/>
      <c r="F108" s="12"/>
      <c r="G108" s="12"/>
      <c r="H108" s="12"/>
      <c r="I108" s="12"/>
      <c r="J108" s="12"/>
      <c r="K108" s="12"/>
      <c r="L108" s="12"/>
      <c r="M108" s="12"/>
      <c r="U108" s="64" t="s">
        <v>66</v>
      </c>
      <c r="V108" s="39" t="str">
        <f>""</f>
        <v/>
      </c>
      <c r="W108" s="12" t="str">
        <f>""</f>
        <v/>
      </c>
      <c r="X108" s="12" t="str">
        <f>""</f>
        <v/>
      </c>
      <c r="Y108" s="34" t="str">
        <f>""</f>
        <v/>
      </c>
      <c r="Z108" s="33" t="str">
        <f>""</f>
        <v/>
      </c>
      <c r="AA108" s="12">
        <v>0</v>
      </c>
      <c r="AB108" s="12" t="str">
        <f>""</f>
        <v/>
      </c>
      <c r="AD108" s="141"/>
      <c r="AE108" s="146"/>
      <c r="AF108" s="141"/>
      <c r="AG108" s="596" t="str">
        <f>""</f>
        <v/>
      </c>
      <c r="AH108" s="3" t="str">
        <f>""</f>
        <v/>
      </c>
      <c r="AI108" s="601"/>
    </row>
    <row r="109" spans="2:35" s="2" customFormat="1" x14ac:dyDescent="0.2">
      <c r="B109" s="3"/>
      <c r="C109" s="3"/>
      <c r="D109" s="3"/>
      <c r="E109" s="3"/>
      <c r="F109" s="12"/>
      <c r="G109" s="12"/>
      <c r="H109" s="12"/>
      <c r="I109" s="12"/>
      <c r="J109" s="12"/>
      <c r="K109" s="12"/>
      <c r="L109" s="12"/>
      <c r="M109" s="12"/>
      <c r="U109" s="64" t="s">
        <v>67</v>
      </c>
      <c r="V109" s="39" t="str">
        <f>""</f>
        <v/>
      </c>
      <c r="W109" s="12" t="str">
        <f>""</f>
        <v/>
      </c>
      <c r="X109" s="12" t="str">
        <f>""</f>
        <v/>
      </c>
      <c r="Y109" s="34" t="str">
        <f>""</f>
        <v/>
      </c>
      <c r="Z109" s="33" t="str">
        <f>""</f>
        <v/>
      </c>
      <c r="AA109" s="12">
        <v>0</v>
      </c>
      <c r="AB109" s="12" t="str">
        <f>""</f>
        <v/>
      </c>
      <c r="AD109" s="141"/>
      <c r="AE109" s="146"/>
      <c r="AF109" s="141"/>
      <c r="AG109" s="596" t="str">
        <f>""</f>
        <v/>
      </c>
      <c r="AH109" s="3" t="str">
        <f>""</f>
        <v/>
      </c>
      <c r="AI109" s="601"/>
    </row>
    <row r="110" spans="2:35" s="2" customFormat="1" x14ac:dyDescent="0.2">
      <c r="B110" s="3"/>
      <c r="C110" s="3"/>
      <c r="D110" s="3"/>
      <c r="E110" s="3"/>
      <c r="F110" s="12"/>
      <c r="G110" s="12"/>
      <c r="H110" s="12"/>
      <c r="I110" s="12"/>
      <c r="J110" s="12"/>
      <c r="K110" s="12"/>
      <c r="L110" s="12"/>
      <c r="M110" s="12"/>
      <c r="U110" s="64" t="s">
        <v>68</v>
      </c>
      <c r="V110" s="39" t="str">
        <f>""</f>
        <v/>
      </c>
      <c r="W110" s="12" t="str">
        <f>""</f>
        <v/>
      </c>
      <c r="X110" s="12" t="str">
        <f>""</f>
        <v/>
      </c>
      <c r="Y110" s="34" t="str">
        <f>""</f>
        <v/>
      </c>
      <c r="Z110" s="33" t="str">
        <f>""</f>
        <v/>
      </c>
      <c r="AA110" s="12">
        <v>0</v>
      </c>
      <c r="AB110" s="12" t="str">
        <f>""</f>
        <v/>
      </c>
      <c r="AD110" s="141"/>
      <c r="AE110" s="146"/>
      <c r="AF110" s="141"/>
      <c r="AG110" s="596" t="str">
        <f>""</f>
        <v/>
      </c>
      <c r="AH110" s="3" t="str">
        <f>""</f>
        <v/>
      </c>
      <c r="AI110" s="601"/>
    </row>
    <row r="111" spans="2:35" s="2" customFormat="1" x14ac:dyDescent="0.2">
      <c r="B111" s="3"/>
      <c r="C111" s="3"/>
      <c r="D111" s="3"/>
      <c r="E111" s="3"/>
      <c r="F111" s="12"/>
      <c r="G111" s="12"/>
      <c r="H111" s="12"/>
      <c r="I111" s="12"/>
      <c r="J111" s="12"/>
      <c r="K111" s="12"/>
      <c r="L111" s="12"/>
      <c r="M111" s="12"/>
      <c r="U111" s="64" t="s">
        <v>69</v>
      </c>
      <c r="V111" s="39" t="str">
        <f>""</f>
        <v/>
      </c>
      <c r="W111" s="12" t="str">
        <f>""</f>
        <v/>
      </c>
      <c r="X111" s="12" t="str">
        <f>""</f>
        <v/>
      </c>
      <c r="Y111" s="34" t="str">
        <f>""</f>
        <v/>
      </c>
      <c r="Z111" s="33" t="str">
        <f>""</f>
        <v/>
      </c>
      <c r="AA111" s="12">
        <v>0</v>
      </c>
      <c r="AB111" s="12" t="str">
        <f>""</f>
        <v/>
      </c>
      <c r="AD111" s="141"/>
      <c r="AE111" s="146"/>
      <c r="AF111" s="141"/>
      <c r="AG111" s="596" t="str">
        <f>""</f>
        <v/>
      </c>
      <c r="AH111" s="3" t="str">
        <f>""</f>
        <v/>
      </c>
      <c r="AI111" s="601"/>
    </row>
    <row r="112" spans="2:35" s="2" customFormat="1" x14ac:dyDescent="0.2">
      <c r="B112" s="3"/>
      <c r="C112" s="3"/>
      <c r="D112" s="3"/>
      <c r="E112" s="3"/>
      <c r="F112" s="12"/>
      <c r="G112" s="12"/>
      <c r="H112" s="12"/>
      <c r="I112" s="12"/>
      <c r="J112" s="12"/>
      <c r="K112" s="12"/>
      <c r="L112" s="12"/>
      <c r="M112" s="12"/>
      <c r="U112" s="64" t="s">
        <v>70</v>
      </c>
      <c r="V112" s="39" t="str">
        <f>""</f>
        <v/>
      </c>
      <c r="W112" s="12" t="str">
        <f>""</f>
        <v/>
      </c>
      <c r="X112" s="12" t="str">
        <f>""</f>
        <v/>
      </c>
      <c r="Y112" s="34" t="str">
        <f>""</f>
        <v/>
      </c>
      <c r="Z112" s="33" t="str">
        <f>""</f>
        <v/>
      </c>
      <c r="AA112" s="12">
        <v>0</v>
      </c>
      <c r="AB112" s="12" t="str">
        <f>""</f>
        <v/>
      </c>
      <c r="AD112" s="141"/>
      <c r="AE112" s="146"/>
      <c r="AF112" s="141"/>
      <c r="AG112" s="596" t="str">
        <f>""</f>
        <v/>
      </c>
      <c r="AH112" s="3" t="str">
        <f>""</f>
        <v/>
      </c>
      <c r="AI112" s="601"/>
    </row>
    <row r="113" spans="2:35" s="2" customFormat="1" x14ac:dyDescent="0.2">
      <c r="B113" s="3"/>
      <c r="C113" s="3"/>
      <c r="D113" s="3"/>
      <c r="E113" s="3"/>
      <c r="F113" s="12"/>
      <c r="G113" s="12"/>
      <c r="H113" s="12"/>
      <c r="I113" s="12"/>
      <c r="J113" s="12"/>
      <c r="K113" s="12"/>
      <c r="L113" s="12"/>
      <c r="M113" s="12"/>
      <c r="U113" s="64" t="s">
        <v>71</v>
      </c>
      <c r="V113" s="39" t="str">
        <f>""</f>
        <v/>
      </c>
      <c r="W113" s="12" t="str">
        <f>""</f>
        <v/>
      </c>
      <c r="X113" s="12" t="str">
        <f>""</f>
        <v/>
      </c>
      <c r="Y113" s="34" t="str">
        <f>""</f>
        <v/>
      </c>
      <c r="Z113" s="33" t="str">
        <f>""</f>
        <v/>
      </c>
      <c r="AA113" s="12">
        <v>0</v>
      </c>
      <c r="AB113" s="12" t="str">
        <f>""</f>
        <v/>
      </c>
      <c r="AD113" s="141"/>
      <c r="AE113" s="146"/>
      <c r="AF113" s="141"/>
      <c r="AG113" s="596" t="str">
        <f>""</f>
        <v/>
      </c>
      <c r="AH113" s="3" t="str">
        <f>""</f>
        <v/>
      </c>
      <c r="AI113" s="601"/>
    </row>
    <row r="114" spans="2:35" s="2" customFormat="1" x14ac:dyDescent="0.2">
      <c r="B114" s="3"/>
      <c r="C114" s="3"/>
      <c r="D114" s="3"/>
      <c r="E114" s="3"/>
      <c r="F114" s="12"/>
      <c r="G114" s="12"/>
      <c r="H114" s="12"/>
      <c r="I114" s="12"/>
      <c r="J114" s="12"/>
      <c r="K114" s="12"/>
      <c r="L114" s="12"/>
      <c r="M114" s="12"/>
      <c r="U114" s="64" t="s">
        <v>72</v>
      </c>
      <c r="V114" s="39" t="str">
        <f>""</f>
        <v/>
      </c>
      <c r="W114" s="12" t="str">
        <f>""</f>
        <v/>
      </c>
      <c r="X114" s="12" t="str">
        <f>""</f>
        <v/>
      </c>
      <c r="Y114" s="34" t="str">
        <f>""</f>
        <v/>
      </c>
      <c r="Z114" s="33" t="str">
        <f>""</f>
        <v/>
      </c>
      <c r="AA114" s="12">
        <v>0</v>
      </c>
      <c r="AB114" s="12" t="str">
        <f>""</f>
        <v/>
      </c>
      <c r="AD114" s="141"/>
      <c r="AE114" s="146"/>
      <c r="AF114" s="141"/>
      <c r="AG114" s="596" t="str">
        <f>""</f>
        <v/>
      </c>
      <c r="AH114" s="3" t="str">
        <f>""</f>
        <v/>
      </c>
      <c r="AI114" s="601"/>
    </row>
    <row r="115" spans="2:35" s="2" customFormat="1" x14ac:dyDescent="0.2">
      <c r="B115" s="3"/>
      <c r="C115" s="3"/>
      <c r="D115" s="3"/>
      <c r="E115" s="3"/>
      <c r="F115" s="12"/>
      <c r="G115" s="12"/>
      <c r="H115" s="12"/>
      <c r="I115" s="12"/>
      <c r="J115" s="12"/>
      <c r="K115" s="12"/>
      <c r="L115" s="12"/>
      <c r="M115" s="12"/>
      <c r="U115" s="64" t="s">
        <v>73</v>
      </c>
      <c r="V115" s="39" t="str">
        <f>""</f>
        <v/>
      </c>
      <c r="W115" s="12" t="str">
        <f>""</f>
        <v/>
      </c>
      <c r="X115" s="12" t="str">
        <f>""</f>
        <v/>
      </c>
      <c r="Y115" s="34" t="str">
        <f>""</f>
        <v/>
      </c>
      <c r="Z115" s="33" t="str">
        <f>""</f>
        <v/>
      </c>
      <c r="AA115" s="12">
        <v>0</v>
      </c>
      <c r="AB115" s="12" t="str">
        <f>""</f>
        <v/>
      </c>
      <c r="AD115" s="141"/>
      <c r="AE115" s="146"/>
      <c r="AF115" s="141"/>
      <c r="AG115" s="596" t="str">
        <f>""</f>
        <v/>
      </c>
      <c r="AH115" s="3" t="str">
        <f>""</f>
        <v/>
      </c>
      <c r="AI115" s="601"/>
    </row>
    <row r="116" spans="2:35" s="2" customFormat="1" x14ac:dyDescent="0.2">
      <c r="B116" s="3"/>
      <c r="C116" s="3"/>
      <c r="D116" s="3"/>
      <c r="E116" s="3"/>
      <c r="F116" s="12"/>
      <c r="G116" s="12"/>
      <c r="H116" s="12"/>
      <c r="I116" s="12"/>
      <c r="J116" s="12"/>
      <c r="K116" s="12"/>
      <c r="L116" s="12"/>
      <c r="M116" s="12"/>
      <c r="U116" s="64" t="s">
        <v>74</v>
      </c>
      <c r="V116" s="39" t="str">
        <f>""</f>
        <v/>
      </c>
      <c r="W116" s="12" t="str">
        <f>""</f>
        <v/>
      </c>
      <c r="X116" s="12" t="str">
        <f>""</f>
        <v/>
      </c>
      <c r="Y116" s="34" t="str">
        <f>""</f>
        <v/>
      </c>
      <c r="Z116" s="33" t="str">
        <f>""</f>
        <v/>
      </c>
      <c r="AA116" s="12">
        <v>0</v>
      </c>
      <c r="AB116" s="12" t="str">
        <f>""</f>
        <v/>
      </c>
      <c r="AD116" s="141"/>
      <c r="AE116" s="146"/>
      <c r="AF116" s="141"/>
      <c r="AG116" s="596" t="str">
        <f>""</f>
        <v/>
      </c>
      <c r="AH116" s="3" t="str">
        <f>""</f>
        <v/>
      </c>
      <c r="AI116" s="601"/>
    </row>
    <row r="117" spans="2:35" s="2" customFormat="1" x14ac:dyDescent="0.2">
      <c r="B117" s="3"/>
      <c r="C117" s="3"/>
      <c r="D117" s="3"/>
      <c r="E117" s="3"/>
      <c r="F117" s="12"/>
      <c r="G117" s="12"/>
      <c r="H117" s="12"/>
      <c r="I117" s="12"/>
      <c r="J117" s="12"/>
      <c r="K117" s="12"/>
      <c r="L117" s="12"/>
      <c r="M117" s="12"/>
      <c r="U117" s="64" t="s">
        <v>75</v>
      </c>
      <c r="V117" s="39" t="str">
        <f>""</f>
        <v/>
      </c>
      <c r="W117" s="12" t="str">
        <f>""</f>
        <v/>
      </c>
      <c r="X117" s="12" t="str">
        <f>""</f>
        <v/>
      </c>
      <c r="Y117" s="34" t="str">
        <f>""</f>
        <v/>
      </c>
      <c r="Z117" s="33" t="str">
        <f>""</f>
        <v/>
      </c>
      <c r="AA117" s="12">
        <v>0</v>
      </c>
      <c r="AB117" s="12" t="str">
        <f>""</f>
        <v/>
      </c>
      <c r="AD117" s="141"/>
      <c r="AE117" s="146"/>
      <c r="AF117" s="141"/>
      <c r="AG117" s="596" t="str">
        <f>""</f>
        <v/>
      </c>
      <c r="AH117" s="3" t="str">
        <f>""</f>
        <v/>
      </c>
      <c r="AI117" s="601"/>
    </row>
    <row r="118" spans="2:35" s="2" customFormat="1" x14ac:dyDescent="0.2">
      <c r="B118" s="3"/>
      <c r="C118" s="3"/>
      <c r="D118" s="3"/>
      <c r="E118" s="3"/>
      <c r="F118" s="12"/>
      <c r="G118" s="12"/>
      <c r="H118" s="12"/>
      <c r="I118" s="12"/>
      <c r="J118" s="12"/>
      <c r="K118" s="12"/>
      <c r="L118" s="12"/>
      <c r="M118" s="12"/>
      <c r="U118" s="64" t="s">
        <v>76</v>
      </c>
      <c r="V118" s="39" t="str">
        <f>""</f>
        <v/>
      </c>
      <c r="W118" s="12" t="str">
        <f>""</f>
        <v/>
      </c>
      <c r="X118" s="12" t="str">
        <f>""</f>
        <v/>
      </c>
      <c r="Y118" s="34" t="str">
        <f>""</f>
        <v/>
      </c>
      <c r="Z118" s="33" t="str">
        <f>""</f>
        <v/>
      </c>
      <c r="AA118" s="12">
        <v>0</v>
      </c>
      <c r="AB118" s="12" t="str">
        <f>""</f>
        <v/>
      </c>
      <c r="AD118" s="141"/>
      <c r="AE118" s="146"/>
      <c r="AF118" s="141"/>
      <c r="AG118" s="596" t="str">
        <f>""</f>
        <v/>
      </c>
      <c r="AH118" s="3" t="str">
        <f>""</f>
        <v/>
      </c>
      <c r="AI118" s="601"/>
    </row>
    <row r="119" spans="2:35" s="2" customFormat="1" x14ac:dyDescent="0.2">
      <c r="B119" s="3"/>
      <c r="C119" s="3"/>
      <c r="D119" s="3"/>
      <c r="E119" s="3"/>
      <c r="F119" s="12"/>
      <c r="G119" s="12"/>
      <c r="H119" s="12"/>
      <c r="I119" s="12"/>
      <c r="J119" s="12"/>
      <c r="K119" s="12"/>
      <c r="L119" s="12"/>
      <c r="M119" s="12"/>
      <c r="U119" s="64" t="s">
        <v>77</v>
      </c>
      <c r="V119" s="39" t="str">
        <f>""</f>
        <v/>
      </c>
      <c r="W119" s="12" t="str">
        <f>""</f>
        <v/>
      </c>
      <c r="X119" s="12" t="str">
        <f>""</f>
        <v/>
      </c>
      <c r="Y119" s="34" t="str">
        <f>""</f>
        <v/>
      </c>
      <c r="Z119" s="33" t="str">
        <f>""</f>
        <v/>
      </c>
      <c r="AA119" s="12">
        <v>0</v>
      </c>
      <c r="AB119" s="12" t="str">
        <f>""</f>
        <v/>
      </c>
      <c r="AD119" s="141"/>
      <c r="AE119" s="146"/>
      <c r="AF119" s="141"/>
      <c r="AG119" s="596" t="str">
        <f>""</f>
        <v/>
      </c>
      <c r="AH119" s="3" t="str">
        <f>""</f>
        <v/>
      </c>
      <c r="AI119" s="601"/>
    </row>
    <row r="120" spans="2:35" s="2" customFormat="1" x14ac:dyDescent="0.2">
      <c r="B120" s="3"/>
      <c r="C120" s="3"/>
      <c r="D120" s="3"/>
      <c r="E120" s="3"/>
      <c r="F120" s="12"/>
      <c r="G120" s="12"/>
      <c r="H120" s="12"/>
      <c r="I120" s="12"/>
      <c r="J120" s="12"/>
      <c r="K120" s="12"/>
      <c r="L120" s="12"/>
      <c r="M120" s="12"/>
      <c r="U120" s="64" t="s">
        <v>78</v>
      </c>
      <c r="V120" s="39" t="str">
        <f>""</f>
        <v/>
      </c>
      <c r="W120" s="12" t="str">
        <f>""</f>
        <v/>
      </c>
      <c r="X120" s="12" t="str">
        <f>""</f>
        <v/>
      </c>
      <c r="Y120" s="34" t="str">
        <f>""</f>
        <v/>
      </c>
      <c r="Z120" s="33" t="str">
        <f>""</f>
        <v/>
      </c>
      <c r="AA120" s="12">
        <v>0</v>
      </c>
      <c r="AB120" s="12" t="str">
        <f>""</f>
        <v/>
      </c>
      <c r="AD120" s="141"/>
      <c r="AE120" s="146"/>
      <c r="AF120" s="141"/>
      <c r="AG120" s="596" t="str">
        <f>""</f>
        <v/>
      </c>
      <c r="AH120" s="3" t="str">
        <f>""</f>
        <v/>
      </c>
      <c r="AI120" s="601"/>
    </row>
    <row r="121" spans="2:35" s="2" customFormat="1" x14ac:dyDescent="0.2">
      <c r="B121" s="3"/>
      <c r="C121" s="3"/>
      <c r="D121" s="3"/>
      <c r="E121" s="3"/>
      <c r="F121" s="12"/>
      <c r="G121" s="12"/>
      <c r="H121" s="12"/>
      <c r="I121" s="12"/>
      <c r="J121" s="12"/>
      <c r="K121" s="12"/>
      <c r="L121" s="12"/>
      <c r="M121" s="12"/>
      <c r="U121" s="64" t="s">
        <v>79</v>
      </c>
      <c r="V121" s="39" t="str">
        <f>""</f>
        <v/>
      </c>
      <c r="W121" s="12" t="str">
        <f>""</f>
        <v/>
      </c>
      <c r="X121" s="12" t="str">
        <f>""</f>
        <v/>
      </c>
      <c r="Y121" s="34" t="str">
        <f>""</f>
        <v/>
      </c>
      <c r="Z121" s="33" t="str">
        <f>""</f>
        <v/>
      </c>
      <c r="AA121" s="12">
        <v>0</v>
      </c>
      <c r="AB121" s="12" t="str">
        <f>""</f>
        <v/>
      </c>
      <c r="AD121" s="141"/>
      <c r="AE121" s="146"/>
      <c r="AF121" s="141"/>
      <c r="AG121" s="596" t="str">
        <f>""</f>
        <v/>
      </c>
      <c r="AH121" s="3" t="str">
        <f>""</f>
        <v/>
      </c>
      <c r="AI121" s="601"/>
    </row>
    <row r="122" spans="2:35" s="2" customFormat="1" x14ac:dyDescent="0.2">
      <c r="B122" s="3"/>
      <c r="C122" s="3"/>
      <c r="D122" s="3"/>
      <c r="E122" s="3"/>
      <c r="F122" s="12"/>
      <c r="G122" s="12"/>
      <c r="H122" s="12"/>
      <c r="I122" s="12"/>
      <c r="J122" s="12"/>
      <c r="K122" s="12"/>
      <c r="L122" s="12"/>
      <c r="M122" s="12"/>
      <c r="U122" s="64" t="s">
        <v>80</v>
      </c>
      <c r="V122" s="39" t="str">
        <f>""</f>
        <v/>
      </c>
      <c r="W122" s="12" t="str">
        <f>""</f>
        <v/>
      </c>
      <c r="X122" s="12" t="str">
        <f>""</f>
        <v/>
      </c>
      <c r="Y122" s="34" t="str">
        <f>""</f>
        <v/>
      </c>
      <c r="Z122" s="33" t="str">
        <f>""</f>
        <v/>
      </c>
      <c r="AA122" s="12">
        <v>0</v>
      </c>
      <c r="AB122" s="12" t="str">
        <f>""</f>
        <v/>
      </c>
      <c r="AD122" s="141"/>
      <c r="AE122" s="146"/>
      <c r="AF122" s="141"/>
      <c r="AG122" s="596" t="str">
        <f>""</f>
        <v/>
      </c>
      <c r="AH122" s="3" t="str">
        <f>""</f>
        <v/>
      </c>
      <c r="AI122" s="601"/>
    </row>
    <row r="123" spans="2:35" s="2" customFormat="1" x14ac:dyDescent="0.2">
      <c r="B123" s="3"/>
      <c r="C123" s="3"/>
      <c r="D123" s="3"/>
      <c r="E123" s="3"/>
      <c r="F123" s="12"/>
      <c r="G123" s="12"/>
      <c r="H123" s="12"/>
      <c r="I123" s="12"/>
      <c r="J123" s="12"/>
      <c r="K123" s="12"/>
      <c r="L123" s="12"/>
      <c r="M123" s="12"/>
      <c r="U123" s="64" t="s">
        <v>81</v>
      </c>
      <c r="V123" s="39" t="str">
        <f>""</f>
        <v/>
      </c>
      <c r="W123" s="12" t="str">
        <f>""</f>
        <v/>
      </c>
      <c r="X123" s="12" t="str">
        <f>""</f>
        <v/>
      </c>
      <c r="Y123" s="34" t="str">
        <f>""</f>
        <v/>
      </c>
      <c r="Z123" s="33" t="str">
        <f>""</f>
        <v/>
      </c>
      <c r="AA123" s="12">
        <v>0</v>
      </c>
      <c r="AB123" s="12" t="str">
        <f>""</f>
        <v/>
      </c>
      <c r="AD123" s="141"/>
      <c r="AE123" s="146"/>
      <c r="AF123" s="141"/>
      <c r="AG123" s="596" t="str">
        <f>""</f>
        <v/>
      </c>
      <c r="AH123" s="3" t="str">
        <f>""</f>
        <v/>
      </c>
      <c r="AI123" s="601"/>
    </row>
    <row r="124" spans="2:35" s="2" customFormat="1" x14ac:dyDescent="0.2">
      <c r="B124" s="3"/>
      <c r="C124" s="3"/>
      <c r="D124" s="3"/>
      <c r="E124" s="3"/>
      <c r="F124" s="12"/>
      <c r="G124" s="12"/>
      <c r="H124" s="12"/>
      <c r="I124" s="12"/>
      <c r="J124" s="12"/>
      <c r="K124" s="12"/>
      <c r="L124" s="12"/>
      <c r="M124" s="12"/>
      <c r="U124" s="64" t="s">
        <v>82</v>
      </c>
      <c r="V124" s="39" t="str">
        <f>""</f>
        <v/>
      </c>
      <c r="W124" s="12" t="str">
        <f>""</f>
        <v/>
      </c>
      <c r="X124" s="12" t="str">
        <f>""</f>
        <v/>
      </c>
      <c r="Y124" s="34" t="str">
        <f>""</f>
        <v/>
      </c>
      <c r="Z124" s="33" t="str">
        <f>""</f>
        <v/>
      </c>
      <c r="AA124" s="12">
        <v>0</v>
      </c>
      <c r="AB124" s="12" t="str">
        <f>""</f>
        <v/>
      </c>
      <c r="AD124" s="141"/>
      <c r="AE124" s="146"/>
      <c r="AF124" s="141"/>
      <c r="AG124" s="596" t="str">
        <f>""</f>
        <v/>
      </c>
      <c r="AH124" s="3" t="str">
        <f>""</f>
        <v/>
      </c>
      <c r="AI124" s="601"/>
    </row>
    <row r="125" spans="2:35" s="2" customFormat="1" x14ac:dyDescent="0.2">
      <c r="B125" s="3"/>
      <c r="C125" s="3"/>
      <c r="D125" s="3"/>
      <c r="E125" s="3"/>
      <c r="F125" s="12"/>
      <c r="G125" s="12"/>
      <c r="H125" s="12"/>
      <c r="I125" s="12"/>
      <c r="J125" s="12"/>
      <c r="K125" s="12"/>
      <c r="L125" s="12"/>
      <c r="M125" s="12"/>
      <c r="U125" s="64" t="s">
        <v>83</v>
      </c>
      <c r="V125" s="39" t="str">
        <f>""</f>
        <v/>
      </c>
      <c r="W125" s="12" t="str">
        <f>""</f>
        <v/>
      </c>
      <c r="X125" s="12" t="str">
        <f>""</f>
        <v/>
      </c>
      <c r="Y125" s="34" t="str">
        <f>""</f>
        <v/>
      </c>
      <c r="Z125" s="33" t="str">
        <f>""</f>
        <v/>
      </c>
      <c r="AA125" s="12">
        <v>0</v>
      </c>
      <c r="AB125" s="12" t="str">
        <f>""</f>
        <v/>
      </c>
      <c r="AD125" s="141"/>
      <c r="AE125" s="146"/>
      <c r="AF125" s="141"/>
      <c r="AG125" s="596" t="str">
        <f>""</f>
        <v/>
      </c>
      <c r="AH125" s="3" t="str">
        <f>""</f>
        <v/>
      </c>
      <c r="AI125" s="601"/>
    </row>
    <row r="126" spans="2:35" s="2" customFormat="1" x14ac:dyDescent="0.2">
      <c r="B126" s="3"/>
      <c r="C126" s="3"/>
      <c r="D126" s="3"/>
      <c r="E126" s="3"/>
      <c r="F126" s="12"/>
      <c r="G126" s="12"/>
      <c r="H126" s="12"/>
      <c r="I126" s="12"/>
      <c r="J126" s="12"/>
      <c r="K126" s="12"/>
      <c r="L126" s="12"/>
      <c r="M126" s="12"/>
      <c r="U126" s="64" t="s">
        <v>84</v>
      </c>
      <c r="V126" s="39" t="str">
        <f>""</f>
        <v/>
      </c>
      <c r="W126" s="12" t="str">
        <f>""</f>
        <v/>
      </c>
      <c r="X126" s="12" t="str">
        <f>""</f>
        <v/>
      </c>
      <c r="Y126" s="34" t="str">
        <f>""</f>
        <v/>
      </c>
      <c r="Z126" s="33" t="str">
        <f>""</f>
        <v/>
      </c>
      <c r="AA126" s="12">
        <v>0</v>
      </c>
      <c r="AB126" s="12" t="str">
        <f>""</f>
        <v/>
      </c>
      <c r="AD126" s="141"/>
      <c r="AE126" s="146"/>
      <c r="AF126" s="141"/>
      <c r="AG126" s="596" t="str">
        <f>""</f>
        <v/>
      </c>
      <c r="AH126" s="3" t="str">
        <f>""</f>
        <v/>
      </c>
      <c r="AI126" s="601"/>
    </row>
    <row r="127" spans="2:35" s="2" customFormat="1" x14ac:dyDescent="0.2">
      <c r="B127" s="3"/>
      <c r="C127" s="3"/>
      <c r="D127" s="3"/>
      <c r="E127" s="3"/>
      <c r="F127" s="12"/>
      <c r="G127" s="12"/>
      <c r="H127" s="12"/>
      <c r="I127" s="12"/>
      <c r="J127" s="12"/>
      <c r="K127" s="12"/>
      <c r="L127" s="12"/>
      <c r="M127" s="12"/>
      <c r="U127" s="64" t="s">
        <v>85</v>
      </c>
      <c r="V127" s="39" t="str">
        <f>""</f>
        <v/>
      </c>
      <c r="W127" s="12" t="str">
        <f>""</f>
        <v/>
      </c>
      <c r="X127" s="12" t="str">
        <f>""</f>
        <v/>
      </c>
      <c r="Y127" s="34" t="str">
        <f>""</f>
        <v/>
      </c>
      <c r="Z127" s="33" t="str">
        <f>""</f>
        <v/>
      </c>
      <c r="AA127" s="12">
        <v>0</v>
      </c>
      <c r="AB127" s="12" t="str">
        <f>""</f>
        <v/>
      </c>
      <c r="AD127" s="141"/>
      <c r="AE127" s="146"/>
      <c r="AF127" s="141"/>
      <c r="AG127" s="596" t="str">
        <f>""</f>
        <v/>
      </c>
      <c r="AH127" s="3" t="str">
        <f>""</f>
        <v/>
      </c>
      <c r="AI127" s="601"/>
    </row>
    <row r="128" spans="2:35" s="2" customFormat="1" x14ac:dyDescent="0.2">
      <c r="B128" s="3"/>
      <c r="C128" s="3"/>
      <c r="D128" s="3"/>
      <c r="E128" s="3"/>
      <c r="F128" s="12"/>
      <c r="G128" s="12"/>
      <c r="H128" s="12"/>
      <c r="I128" s="12"/>
      <c r="J128" s="12"/>
      <c r="K128" s="12"/>
      <c r="L128" s="12"/>
      <c r="M128" s="12"/>
      <c r="U128" s="64" t="s">
        <v>86</v>
      </c>
      <c r="V128" s="39" t="str">
        <f>""</f>
        <v/>
      </c>
      <c r="W128" s="12" t="str">
        <f>""</f>
        <v/>
      </c>
      <c r="X128" s="12" t="str">
        <f>""</f>
        <v/>
      </c>
      <c r="Y128" s="34" t="str">
        <f>""</f>
        <v/>
      </c>
      <c r="Z128" s="33" t="str">
        <f>""</f>
        <v/>
      </c>
      <c r="AA128" s="12">
        <v>0</v>
      </c>
      <c r="AB128" s="12" t="str">
        <f>""</f>
        <v/>
      </c>
      <c r="AD128" s="141"/>
      <c r="AE128" s="146"/>
      <c r="AF128" s="141"/>
      <c r="AG128" s="596" t="str">
        <f>""</f>
        <v/>
      </c>
      <c r="AH128" s="3" t="str">
        <f>""</f>
        <v/>
      </c>
      <c r="AI128" s="601"/>
    </row>
    <row r="129" spans="2:35" s="2" customFormat="1" x14ac:dyDescent="0.2">
      <c r="B129" s="3"/>
      <c r="C129" s="3"/>
      <c r="D129" s="3"/>
      <c r="E129" s="3"/>
      <c r="F129" s="12"/>
      <c r="G129" s="12"/>
      <c r="H129" s="12"/>
      <c r="I129" s="12"/>
      <c r="J129" s="12"/>
      <c r="K129" s="12"/>
      <c r="L129" s="12"/>
      <c r="M129" s="12"/>
      <c r="U129" s="64" t="s">
        <v>87</v>
      </c>
      <c r="V129" s="39" t="str">
        <f>""</f>
        <v/>
      </c>
      <c r="W129" s="12" t="str">
        <f>""</f>
        <v/>
      </c>
      <c r="X129" s="12" t="str">
        <f>""</f>
        <v/>
      </c>
      <c r="Y129" s="34" t="str">
        <f>""</f>
        <v/>
      </c>
      <c r="Z129" s="33" t="str">
        <f>""</f>
        <v/>
      </c>
      <c r="AA129" s="12">
        <v>0</v>
      </c>
      <c r="AB129" s="12" t="str">
        <f>""</f>
        <v/>
      </c>
      <c r="AD129" s="141"/>
      <c r="AE129" s="146"/>
      <c r="AF129" s="141"/>
      <c r="AG129" s="596" t="str">
        <f>""</f>
        <v/>
      </c>
      <c r="AH129" s="3" t="str">
        <f>""</f>
        <v/>
      </c>
      <c r="AI129" s="601"/>
    </row>
    <row r="130" spans="2:35" s="2" customFormat="1" x14ac:dyDescent="0.2">
      <c r="B130" s="3"/>
      <c r="C130" s="3"/>
      <c r="D130" s="3"/>
      <c r="E130" s="3"/>
      <c r="F130" s="12"/>
      <c r="G130" s="12"/>
      <c r="H130" s="12"/>
      <c r="I130" s="12"/>
      <c r="J130" s="12"/>
      <c r="K130" s="12"/>
      <c r="L130" s="12"/>
      <c r="M130" s="12"/>
      <c r="U130" s="64" t="s">
        <v>88</v>
      </c>
      <c r="V130" s="39" t="str">
        <f>""</f>
        <v/>
      </c>
      <c r="W130" s="12" t="str">
        <f>""</f>
        <v/>
      </c>
      <c r="X130" s="12" t="str">
        <f>""</f>
        <v/>
      </c>
      <c r="Y130" s="34" t="str">
        <f>""</f>
        <v/>
      </c>
      <c r="Z130" s="33" t="str">
        <f>""</f>
        <v/>
      </c>
      <c r="AA130" s="12">
        <v>0</v>
      </c>
      <c r="AB130" s="12" t="str">
        <f>""</f>
        <v/>
      </c>
      <c r="AD130" s="141"/>
      <c r="AE130" s="146"/>
      <c r="AF130" s="141"/>
      <c r="AG130" s="596" t="str">
        <f>""</f>
        <v/>
      </c>
      <c r="AH130" s="3" t="str">
        <f>""</f>
        <v/>
      </c>
      <c r="AI130" s="601"/>
    </row>
    <row r="131" spans="2:35" s="2" customFormat="1" x14ac:dyDescent="0.2">
      <c r="B131" s="3"/>
      <c r="C131" s="3"/>
      <c r="D131" s="3"/>
      <c r="E131" s="3"/>
      <c r="F131" s="12"/>
      <c r="G131" s="12"/>
      <c r="H131" s="12"/>
      <c r="I131" s="12"/>
      <c r="J131" s="12"/>
      <c r="K131" s="12"/>
      <c r="L131" s="12"/>
      <c r="M131" s="12"/>
      <c r="U131" s="64" t="s">
        <v>89</v>
      </c>
      <c r="V131" s="39" t="str">
        <f>""</f>
        <v/>
      </c>
      <c r="W131" s="12" t="str">
        <f>""</f>
        <v/>
      </c>
      <c r="X131" s="12" t="str">
        <f>""</f>
        <v/>
      </c>
      <c r="Y131" s="34" t="str">
        <f>""</f>
        <v/>
      </c>
      <c r="Z131" s="33" t="str">
        <f>""</f>
        <v/>
      </c>
      <c r="AA131" s="12">
        <v>0</v>
      </c>
      <c r="AB131" s="12" t="str">
        <f>""</f>
        <v/>
      </c>
      <c r="AD131" s="141"/>
      <c r="AE131" s="146"/>
      <c r="AF131" s="141"/>
      <c r="AG131" s="596" t="str">
        <f>""</f>
        <v/>
      </c>
      <c r="AH131" s="3" t="str">
        <f>""</f>
        <v/>
      </c>
      <c r="AI131" s="601"/>
    </row>
    <row r="132" spans="2:35" s="2" customFormat="1" x14ac:dyDescent="0.2">
      <c r="B132" s="3"/>
      <c r="C132" s="3"/>
      <c r="D132" s="3"/>
      <c r="E132" s="3"/>
      <c r="F132" s="12"/>
      <c r="G132" s="12"/>
      <c r="H132" s="12"/>
      <c r="I132" s="12"/>
      <c r="J132" s="12"/>
      <c r="K132" s="12"/>
      <c r="L132" s="12"/>
      <c r="M132" s="12"/>
      <c r="U132" s="64" t="s">
        <v>90</v>
      </c>
      <c r="V132" s="39" t="str">
        <f>""</f>
        <v/>
      </c>
      <c r="W132" s="12" t="str">
        <f>""</f>
        <v/>
      </c>
      <c r="X132" s="12" t="str">
        <f>""</f>
        <v/>
      </c>
      <c r="Y132" s="34" t="str">
        <f>""</f>
        <v/>
      </c>
      <c r="Z132" s="33" t="str">
        <f>""</f>
        <v/>
      </c>
      <c r="AA132" s="12">
        <v>0</v>
      </c>
      <c r="AB132" s="12" t="str">
        <f>""</f>
        <v/>
      </c>
      <c r="AD132" s="141"/>
      <c r="AE132" s="146"/>
      <c r="AF132" s="141"/>
      <c r="AG132" s="596" t="str">
        <f>""</f>
        <v/>
      </c>
      <c r="AH132" s="3" t="str">
        <f>""</f>
        <v/>
      </c>
      <c r="AI132" s="601"/>
    </row>
    <row r="133" spans="2:35" s="2" customFormat="1" x14ac:dyDescent="0.2">
      <c r="B133" s="3"/>
      <c r="C133" s="3"/>
      <c r="D133" s="3"/>
      <c r="E133" s="3"/>
      <c r="F133" s="12"/>
      <c r="G133" s="12"/>
      <c r="H133" s="12"/>
      <c r="I133" s="12"/>
      <c r="J133" s="12"/>
      <c r="K133" s="12"/>
      <c r="L133" s="12"/>
      <c r="M133" s="12"/>
      <c r="U133" s="64" t="s">
        <v>91</v>
      </c>
      <c r="V133" s="39" t="str">
        <f>""</f>
        <v/>
      </c>
      <c r="W133" s="12" t="str">
        <f>""</f>
        <v/>
      </c>
      <c r="X133" s="12" t="str">
        <f>""</f>
        <v/>
      </c>
      <c r="Y133" s="34" t="str">
        <f>""</f>
        <v/>
      </c>
      <c r="Z133" s="33" t="str">
        <f>""</f>
        <v/>
      </c>
      <c r="AA133" s="12">
        <v>0</v>
      </c>
      <c r="AB133" s="12" t="str">
        <f>""</f>
        <v/>
      </c>
      <c r="AD133" s="141"/>
      <c r="AE133" s="146"/>
      <c r="AF133" s="141"/>
      <c r="AG133" s="596" t="str">
        <f>""</f>
        <v/>
      </c>
      <c r="AH133" s="3" t="str">
        <f>""</f>
        <v/>
      </c>
      <c r="AI133" s="601"/>
    </row>
    <row r="134" spans="2:35" s="2" customFormat="1" x14ac:dyDescent="0.2">
      <c r="B134" s="3"/>
      <c r="C134" s="3"/>
      <c r="D134" s="3"/>
      <c r="E134" s="3"/>
      <c r="F134" s="12"/>
      <c r="G134" s="12"/>
      <c r="H134" s="12"/>
      <c r="I134" s="12"/>
      <c r="J134" s="12"/>
      <c r="K134" s="12"/>
      <c r="L134" s="12"/>
      <c r="M134" s="12"/>
      <c r="U134" s="64" t="s">
        <v>92</v>
      </c>
      <c r="V134" s="39" t="str">
        <f>""</f>
        <v/>
      </c>
      <c r="W134" s="12" t="str">
        <f>""</f>
        <v/>
      </c>
      <c r="X134" s="12" t="str">
        <f>""</f>
        <v/>
      </c>
      <c r="Y134" s="34" t="str">
        <f>""</f>
        <v/>
      </c>
      <c r="Z134" s="33" t="str">
        <f>""</f>
        <v/>
      </c>
      <c r="AA134" s="12">
        <v>0</v>
      </c>
      <c r="AB134" s="12" t="str">
        <f>""</f>
        <v/>
      </c>
      <c r="AD134" s="141"/>
      <c r="AE134" s="146"/>
      <c r="AF134" s="141"/>
      <c r="AG134" s="596" t="str">
        <f>""</f>
        <v/>
      </c>
      <c r="AH134" s="3" t="str">
        <f>""</f>
        <v/>
      </c>
      <c r="AI134" s="601"/>
    </row>
    <row r="135" spans="2:35" s="2" customFormat="1" ht="12.75" thickBot="1" x14ac:dyDescent="0.25">
      <c r="B135" s="3"/>
      <c r="C135" s="3"/>
      <c r="D135" s="3"/>
      <c r="E135" s="3"/>
      <c r="F135" s="12"/>
      <c r="G135" s="12"/>
      <c r="H135" s="12"/>
      <c r="I135" s="12"/>
      <c r="J135" s="12"/>
      <c r="K135" s="12"/>
      <c r="L135" s="12"/>
      <c r="M135" s="12"/>
      <c r="U135" s="65" t="s">
        <v>93</v>
      </c>
      <c r="V135" s="40" t="str">
        <f>""</f>
        <v/>
      </c>
      <c r="W135" s="36" t="str">
        <f>""</f>
        <v/>
      </c>
      <c r="X135" s="36" t="str">
        <f>""</f>
        <v/>
      </c>
      <c r="Y135" s="37" t="str">
        <f>""</f>
        <v/>
      </c>
      <c r="Z135" s="33" t="str">
        <f>""</f>
        <v/>
      </c>
      <c r="AA135" s="36">
        <v>0</v>
      </c>
      <c r="AB135" s="142" t="str">
        <f>""</f>
        <v/>
      </c>
      <c r="AC135" s="144"/>
      <c r="AD135" s="143"/>
      <c r="AE135" s="147"/>
      <c r="AF135" s="143"/>
      <c r="AG135" s="597" t="str">
        <f>""</f>
        <v/>
      </c>
      <c r="AH135" s="144" t="str">
        <f>""</f>
        <v/>
      </c>
      <c r="AI135" s="602"/>
    </row>
    <row r="136" spans="2:35" s="2" customFormat="1" ht="12.75" thickTop="1" x14ac:dyDescent="0.2">
      <c r="B136" s="3"/>
      <c r="C136" s="3"/>
      <c r="D136" s="3"/>
      <c r="E136" s="3"/>
      <c r="F136" s="12"/>
      <c r="G136" s="12"/>
      <c r="H136" s="12"/>
      <c r="I136" s="12"/>
      <c r="J136" s="12"/>
      <c r="K136" s="12"/>
      <c r="L136" s="12"/>
      <c r="M136" s="12"/>
      <c r="Y136" s="63" t="s">
        <v>6</v>
      </c>
      <c r="Z136" s="30" t="str">
        <f ca="1">W64&amp;V64</f>
        <v>VFB Essenheim</v>
      </c>
      <c r="AA136" s="31">
        <f ca="1">AA64</f>
        <v>0</v>
      </c>
      <c r="AB136" s="12" t="str">
        <f ca="1">IF(AA136&gt;0,(Y64+AH64)&amp;Sprache!$E$77&amp;(X64+AG64),"")</f>
        <v/>
      </c>
      <c r="AD136" s="141"/>
      <c r="AE136" s="604"/>
      <c r="AF136" s="605"/>
      <c r="AG136" s="605"/>
      <c r="AH136" s="605"/>
      <c r="AI136" s="140" t="str">
        <f ca="1">IF(AA64&gt;0,AF64&amp;Sprache!$E$77&amp;AE64,"")</f>
        <v/>
      </c>
    </row>
    <row r="137" spans="2:35" x14ac:dyDescent="0.2">
      <c r="Y137" s="64" t="s">
        <v>7</v>
      </c>
      <c r="Z137" s="33" t="str">
        <f ca="1">W65&amp;V65</f>
        <v>SSV Wildbach1. FC Riedwald</v>
      </c>
      <c r="AA137" s="12">
        <f t="shared" ref="AA137:AA153" ca="1" si="69">AA65</f>
        <v>1</v>
      </c>
      <c r="AB137" s="12" t="str">
        <f ca="1">IF(AA137&gt;0,(Y65+AH65)&amp;Sprache!$E$77&amp;(X65+AG65),"")</f>
        <v>45:42</v>
      </c>
      <c r="AC137" s="2"/>
      <c r="AD137" s="141"/>
      <c r="AE137" s="606"/>
      <c r="AF137" s="607"/>
      <c r="AG137" s="607"/>
      <c r="AH137" s="607"/>
      <c r="AI137" s="615" t="str">
        <f ca="1">IF(AA65&gt;0,AF65&amp;Sprache!$E$77&amp;AE65,"")</f>
        <v>1:1</v>
      </c>
    </row>
    <row r="138" spans="2:35" x14ac:dyDescent="0.2">
      <c r="Y138" s="64" t="s">
        <v>8</v>
      </c>
      <c r="Z138" s="33" t="str">
        <f t="shared" ref="Z138:Z153" ca="1" si="70">W66&amp;V66</f>
        <v>Manchester CityMaibach 1822 eV</v>
      </c>
      <c r="AA138" s="12">
        <f t="shared" ca="1" si="69"/>
        <v>1</v>
      </c>
      <c r="AB138" s="12" t="str">
        <f ca="1">IF(AA138&gt;0,(Y66+AH66)&amp;Sprache!$E$77&amp;(X66+AG66),"")</f>
        <v>50:35</v>
      </c>
      <c r="AC138" s="2"/>
      <c r="AD138" s="141"/>
      <c r="AE138" s="606"/>
      <c r="AF138" s="607"/>
      <c r="AG138" s="607"/>
      <c r="AH138" s="607"/>
      <c r="AI138" s="615" t="str">
        <f ca="1">IF(AA66&gt;0,AF66&amp;Sprache!$E$77&amp;AE66,"")</f>
        <v>2:0</v>
      </c>
    </row>
    <row r="139" spans="2:35" x14ac:dyDescent="0.2">
      <c r="Y139" s="64" t="s">
        <v>9</v>
      </c>
      <c r="Z139" s="33" t="str">
        <f t="shared" ca="1" si="70"/>
        <v>Inter Mailand</v>
      </c>
      <c r="AA139" s="12">
        <f t="shared" ca="1" si="69"/>
        <v>0</v>
      </c>
      <c r="AB139" s="12" t="str">
        <f ca="1">IF(AA139&gt;0,(Y67+AH67)&amp;Sprache!$E$77&amp;(X67+AG67),"")</f>
        <v/>
      </c>
      <c r="AC139" s="2"/>
      <c r="AD139" s="141"/>
      <c r="AE139" s="606"/>
      <c r="AF139" s="607"/>
      <c r="AG139" s="607"/>
      <c r="AH139" s="607"/>
      <c r="AI139" s="615" t="str">
        <f ca="1">IF(AA67&gt;0,AF67&amp;Sprache!$E$77&amp;AE67,"")</f>
        <v/>
      </c>
    </row>
    <row r="140" spans="2:35" x14ac:dyDescent="0.2">
      <c r="Y140" s="64" t="s">
        <v>10</v>
      </c>
      <c r="Z140" s="33" t="str">
        <f t="shared" ca="1" si="70"/>
        <v>FC BarcelonaFC Grönlingen</v>
      </c>
      <c r="AA140" s="12">
        <f t="shared" ca="1" si="69"/>
        <v>1</v>
      </c>
      <c r="AB140" s="12" t="str">
        <f ca="1">IF(AA140&gt;0,(Y68+AH68)&amp;Sprache!$E$77&amp;(X68+AG68),"")</f>
        <v>44:50</v>
      </c>
      <c r="AC140" s="2"/>
      <c r="AD140" s="141"/>
      <c r="AE140" s="606"/>
      <c r="AF140" s="607"/>
      <c r="AG140" s="607"/>
      <c r="AH140" s="607"/>
      <c r="AI140" s="615" t="str">
        <f ca="1">IF(AA68&gt;0,AF68&amp;Sprache!$E$77&amp;AE68,"")</f>
        <v>0:2</v>
      </c>
    </row>
    <row r="141" spans="2:35" x14ac:dyDescent="0.2">
      <c r="Y141" s="64" t="s">
        <v>11</v>
      </c>
      <c r="Z141" s="33" t="str">
        <f t="shared" ca="1" si="70"/>
        <v>Eintracht FrankfurtMainz 05</v>
      </c>
      <c r="AA141" s="12">
        <f t="shared" ca="1" si="69"/>
        <v>1</v>
      </c>
      <c r="AB141" s="12" t="str">
        <f ca="1">IF(AA141&gt;0,(Y69+AH69)&amp;Sprache!$E$77&amp;(X69+AG69),"")</f>
        <v>39:50</v>
      </c>
      <c r="AC141" s="2"/>
      <c r="AD141" s="141"/>
      <c r="AE141" s="606"/>
      <c r="AF141" s="607"/>
      <c r="AG141" s="607"/>
      <c r="AH141" s="607"/>
      <c r="AI141" s="615" t="str">
        <f ca="1">IF(AA69&gt;0,AF69&amp;Sprache!$E$77&amp;AE69,"")</f>
        <v>0:2</v>
      </c>
    </row>
    <row r="142" spans="2:35" x14ac:dyDescent="0.2">
      <c r="Y142" s="64" t="s">
        <v>16</v>
      </c>
      <c r="Z142" s="33" t="str">
        <f t="shared" ca="1" si="70"/>
        <v>VFB Essenheim</v>
      </c>
      <c r="AA142" s="12">
        <f t="shared" ca="1" si="69"/>
        <v>0</v>
      </c>
      <c r="AB142" s="12" t="str">
        <f ca="1">IF(AA142&gt;0,(Y70+AH70)&amp;Sprache!$E$77&amp;(X70+AG70),"")</f>
        <v/>
      </c>
      <c r="AC142" s="2"/>
      <c r="AD142" s="141"/>
      <c r="AE142" s="606"/>
      <c r="AF142" s="607"/>
      <c r="AG142" s="607"/>
      <c r="AH142" s="607"/>
      <c r="AI142" s="615" t="str">
        <f ca="1">IF(AA70&gt;0,AF70&amp;Sprache!$E$77&amp;AE70,"")</f>
        <v/>
      </c>
    </row>
    <row r="143" spans="2:35" x14ac:dyDescent="0.2">
      <c r="Y143" s="64" t="s">
        <v>17</v>
      </c>
      <c r="Z143" s="33" t="str">
        <f t="shared" ca="1" si="70"/>
        <v>FC Barcelona1. FC Riedwald</v>
      </c>
      <c r="AA143" s="12">
        <f t="shared" ca="1" si="69"/>
        <v>1</v>
      </c>
      <c r="AB143" s="12" t="str">
        <f ca="1">IF(AA143&gt;0,(Y71+AH71)&amp;Sprache!$E$77&amp;(X71+AG71),"")</f>
        <v>37:44</v>
      </c>
      <c r="AC143" s="2"/>
      <c r="AD143" s="141"/>
      <c r="AE143" s="606"/>
      <c r="AF143" s="607"/>
      <c r="AG143" s="607"/>
      <c r="AH143" s="607"/>
      <c r="AI143" s="615" t="str">
        <f ca="1">IF(AA71&gt;0,AF71&amp;Sprache!$E$77&amp;AE71,"")</f>
        <v>1:1</v>
      </c>
    </row>
    <row r="144" spans="2:35" x14ac:dyDescent="0.2">
      <c r="Y144" s="64" t="s">
        <v>18</v>
      </c>
      <c r="Z144" s="33" t="str">
        <f t="shared" ca="1" si="70"/>
        <v>Eintracht FrankfurtMaibach 1822 eV</v>
      </c>
      <c r="AA144" s="12">
        <f t="shared" ca="1" si="69"/>
        <v>1</v>
      </c>
      <c r="AB144" s="12" t="str">
        <f ca="1">IF(AA144&gt;0,(Y72+AH72)&amp;Sprache!$E$77&amp;(X72+AG72),"")</f>
        <v>50:31</v>
      </c>
      <c r="AC144" s="2"/>
      <c r="AD144" s="141"/>
      <c r="AE144" s="606"/>
      <c r="AF144" s="607"/>
      <c r="AG144" s="607"/>
      <c r="AH144" s="607"/>
      <c r="AI144" s="615" t="str">
        <f ca="1">IF(AA72&gt;0,AF72&amp;Sprache!$E$77&amp;AE72,"")</f>
        <v>2:0</v>
      </c>
    </row>
    <row r="145" spans="25:35" x14ac:dyDescent="0.2">
      <c r="Y145" s="64" t="s">
        <v>24</v>
      </c>
      <c r="Z145" s="33" t="str">
        <f t="shared" ca="1" si="70"/>
        <v>Inter Mailand</v>
      </c>
      <c r="AA145" s="12">
        <f t="shared" ca="1" si="69"/>
        <v>0</v>
      </c>
      <c r="AB145" s="12" t="str">
        <f ca="1">IF(AA145&gt;0,(Y73+AH73)&amp;Sprache!$E$77&amp;(X73+AG73),"")</f>
        <v/>
      </c>
      <c r="AC145" s="2"/>
      <c r="AD145" s="141"/>
      <c r="AE145" s="606"/>
      <c r="AF145" s="607"/>
      <c r="AG145" s="607"/>
      <c r="AH145" s="607"/>
      <c r="AI145" s="615" t="str">
        <f ca="1">IF(AA73&gt;0,AF73&amp;Sprache!$E$77&amp;AE73,"")</f>
        <v/>
      </c>
    </row>
    <row r="146" spans="25:35" x14ac:dyDescent="0.2">
      <c r="Y146" s="64" t="s">
        <v>25</v>
      </c>
      <c r="Z146" s="33" t="str">
        <f t="shared" ca="1" si="70"/>
        <v>SSV WildbachFC Grönlingen</v>
      </c>
      <c r="AA146" s="12">
        <f t="shared" ca="1" si="69"/>
        <v>1</v>
      </c>
      <c r="AB146" s="12" t="str">
        <f ca="1">IF(AA146&gt;0,(Y74+AH74)&amp;Sprache!$E$77&amp;(X74+AG74),"")</f>
        <v>45:47</v>
      </c>
      <c r="AC146" s="2"/>
      <c r="AD146" s="141"/>
      <c r="AE146" s="606"/>
      <c r="AF146" s="607"/>
      <c r="AG146" s="607"/>
      <c r="AH146" s="607"/>
      <c r="AI146" s="615" t="str">
        <f ca="1">IF(AA74&gt;0,AF74&amp;Sprache!$E$77&amp;AE74,"")</f>
        <v>1:1</v>
      </c>
    </row>
    <row r="147" spans="25:35" x14ac:dyDescent="0.2">
      <c r="Y147" s="64" t="s">
        <v>26</v>
      </c>
      <c r="Z147" s="33" t="str">
        <f t="shared" ca="1" si="70"/>
        <v>Manchester CityMainz 05</v>
      </c>
      <c r="AA147" s="12">
        <f t="shared" ca="1" si="69"/>
        <v>1</v>
      </c>
      <c r="AB147" s="12" t="str">
        <f ca="1">IF(AA147&gt;0,(Y75+AH75)&amp;Sprache!$E$77&amp;(X75+AG75),"")</f>
        <v>44:44</v>
      </c>
      <c r="AC147" s="2"/>
      <c r="AD147" s="141"/>
      <c r="AE147" s="606"/>
      <c r="AF147" s="607"/>
      <c r="AG147" s="607"/>
      <c r="AH147" s="607"/>
      <c r="AI147" s="615" t="str">
        <f ca="1">IF(AA75&gt;0,AF75&amp;Sprache!$E$77&amp;AE75,"")</f>
        <v>1:1</v>
      </c>
    </row>
    <row r="148" spans="25:35" x14ac:dyDescent="0.2">
      <c r="Y148" s="64" t="s">
        <v>27</v>
      </c>
      <c r="Z148" s="33" t="str">
        <f t="shared" ca="1" si="70"/>
        <v/>
      </c>
      <c r="AA148" s="12">
        <f t="shared" ca="1" si="69"/>
        <v>0</v>
      </c>
      <c r="AB148" s="12" t="str">
        <f ca="1">IF(AA148&gt;0,(Y76+AH76)&amp;Sprache!$E$77&amp;(X76+AG76),"")</f>
        <v/>
      </c>
      <c r="AC148" s="2"/>
      <c r="AD148" s="141"/>
      <c r="AE148" s="606"/>
      <c r="AF148" s="607"/>
      <c r="AG148" s="607"/>
      <c r="AH148" s="607"/>
      <c r="AI148" s="615" t="str">
        <f ca="1">IF(AA76&gt;0,AF76&amp;Sprache!$E$77&amp;AE76,"")</f>
        <v/>
      </c>
    </row>
    <row r="149" spans="25:35" x14ac:dyDescent="0.2">
      <c r="Y149" s="64" t="s">
        <v>28</v>
      </c>
      <c r="Z149" s="33" t="str">
        <f t="shared" ca="1" si="70"/>
        <v>SSV WildbachFC Barcelona</v>
      </c>
      <c r="AA149" s="12">
        <f t="shared" ca="1" si="69"/>
        <v>1</v>
      </c>
      <c r="AB149" s="12" t="str">
        <f ca="1">IF(AA149&gt;0,(Y77+AH77)&amp;Sprache!$E$77&amp;(X77+AG77),"")</f>
        <v>48:39</v>
      </c>
      <c r="AC149" s="2"/>
      <c r="AD149" s="141"/>
      <c r="AE149" s="606"/>
      <c r="AF149" s="607"/>
      <c r="AG149" s="607"/>
      <c r="AH149" s="607"/>
      <c r="AI149" s="615" t="str">
        <f ca="1">IF(AA77&gt;0,AF77&amp;Sprache!$E$77&amp;AE77,"")</f>
        <v>1:1</v>
      </c>
    </row>
    <row r="150" spans="25:35" x14ac:dyDescent="0.2">
      <c r="Y150" s="64" t="s">
        <v>29</v>
      </c>
      <c r="Z150" s="33" t="str">
        <f t="shared" ca="1" si="70"/>
        <v>Manchester CityEintracht Frankfurt</v>
      </c>
      <c r="AA150" s="12">
        <f t="shared" ca="1" si="69"/>
        <v>1</v>
      </c>
      <c r="AB150" s="12" t="str">
        <f ca="1">IF(AA150&gt;0,(Y78+AH78)&amp;Sprache!$E$77&amp;(X78+AG78),"")</f>
        <v>42:46</v>
      </c>
      <c r="AC150" s="2"/>
      <c r="AD150" s="141"/>
      <c r="AE150" s="606"/>
      <c r="AF150" s="607"/>
      <c r="AG150" s="607"/>
      <c r="AH150" s="607"/>
      <c r="AI150" s="615" t="str">
        <f ca="1">IF(AA78&gt;0,AF78&amp;Sprache!$E$77&amp;AE78,"")</f>
        <v>1:1</v>
      </c>
    </row>
    <row r="151" spans="25:35" x14ac:dyDescent="0.2">
      <c r="Y151" s="64" t="s">
        <v>30</v>
      </c>
      <c r="Z151" s="33" t="str">
        <f t="shared" ca="1" si="70"/>
        <v>Inter MailandVFB Essenheim</v>
      </c>
      <c r="AA151" s="12">
        <f t="shared" ca="1" si="69"/>
        <v>1</v>
      </c>
      <c r="AB151" s="12" t="str">
        <f ca="1">IF(AA151&gt;0,(Y79+AH79)&amp;Sprache!$E$77&amp;(X79+AG79),"")</f>
        <v>50:38</v>
      </c>
      <c r="AC151" s="2"/>
      <c r="AD151" s="141"/>
      <c r="AE151" s="606"/>
      <c r="AF151" s="607"/>
      <c r="AG151" s="607"/>
      <c r="AH151" s="607"/>
      <c r="AI151" s="615" t="str">
        <f ca="1">IF(AA79&gt;0,AF79&amp;Sprache!$E$77&amp;AE79,"")</f>
        <v>2:0</v>
      </c>
    </row>
    <row r="152" spans="25:35" x14ac:dyDescent="0.2">
      <c r="Y152" s="64" t="s">
        <v>31</v>
      </c>
      <c r="Z152" s="33" t="str">
        <f t="shared" ca="1" si="70"/>
        <v>FC Grönlingen1. FC Riedwald</v>
      </c>
      <c r="AA152" s="12">
        <f t="shared" ca="1" si="69"/>
        <v>1</v>
      </c>
      <c r="AB152" s="12" t="str">
        <f ca="1">IF(AA152&gt;0,(Y80+AH80)&amp;Sprache!$E$77&amp;(X80+AG80),"")</f>
        <v>39:50</v>
      </c>
      <c r="AC152" s="2"/>
      <c r="AD152" s="141"/>
      <c r="AE152" s="606"/>
      <c r="AF152" s="607"/>
      <c r="AG152" s="607"/>
      <c r="AH152" s="607"/>
      <c r="AI152" s="615" t="str">
        <f ca="1">IF(AA80&gt;0,AF80&amp;Sprache!$E$77&amp;AE80,"")</f>
        <v>0:2</v>
      </c>
    </row>
    <row r="153" spans="25:35" ht="12.75" thickBot="1" x14ac:dyDescent="0.25">
      <c r="Y153" s="311" t="s">
        <v>32</v>
      </c>
      <c r="Z153" s="313" t="str">
        <f t="shared" ca="1" si="70"/>
        <v>Mainz 05Maibach 1822 eV</v>
      </c>
      <c r="AA153" s="312">
        <f t="shared" ca="1" si="69"/>
        <v>1</v>
      </c>
      <c r="AB153" s="312" t="str">
        <f ca="1">IF(AA153&gt;0,(Y81+AH81)&amp;Sprache!$E$77&amp;(X81+AG81),"")</f>
        <v>33:50</v>
      </c>
      <c r="AC153" s="314"/>
      <c r="AD153" s="315"/>
      <c r="AE153" s="609"/>
      <c r="AF153" s="603"/>
      <c r="AG153" s="603"/>
      <c r="AH153" s="603"/>
      <c r="AI153" s="616" t="str">
        <f ca="1">IF(AA81&gt;0,AF81&amp;Sprache!$E$77&amp;AE81,"")</f>
        <v>0:2</v>
      </c>
    </row>
    <row r="154" spans="25:35" ht="12.75" thickTop="1" x14ac:dyDescent="0.2">
      <c r="Y154" s="64" t="s">
        <v>33</v>
      </c>
      <c r="Z154" s="33" t="str">
        <f>""</f>
        <v/>
      </c>
      <c r="AA154" s="12">
        <v>0</v>
      </c>
      <c r="AB154" s="12" t="str">
        <f>""</f>
        <v/>
      </c>
      <c r="AC154" s="2"/>
      <c r="AD154" s="141"/>
      <c r="AE154" s="606"/>
      <c r="AF154" s="607"/>
      <c r="AG154" s="607"/>
      <c r="AH154" s="607"/>
      <c r="AI154" s="615"/>
    </row>
    <row r="155" spans="25:35" x14ac:dyDescent="0.2">
      <c r="Y155" s="64" t="s">
        <v>34</v>
      </c>
      <c r="Z155" s="33" t="str">
        <f>""</f>
        <v/>
      </c>
      <c r="AA155" s="12">
        <v>0</v>
      </c>
      <c r="AB155" s="12" t="str">
        <f>""</f>
        <v/>
      </c>
      <c r="AC155" s="2"/>
      <c r="AD155" s="141"/>
      <c r="AE155" s="606"/>
      <c r="AF155" s="607"/>
      <c r="AG155" s="607"/>
      <c r="AH155" s="607"/>
      <c r="AI155" s="615"/>
    </row>
    <row r="156" spans="25:35" x14ac:dyDescent="0.2">
      <c r="Y156" s="64" t="s">
        <v>35</v>
      </c>
      <c r="Z156" s="33" t="str">
        <f>""</f>
        <v/>
      </c>
      <c r="AA156" s="12">
        <v>0</v>
      </c>
      <c r="AB156" s="12" t="str">
        <f>""</f>
        <v/>
      </c>
      <c r="AC156" s="2"/>
      <c r="AD156" s="141"/>
      <c r="AE156" s="606"/>
      <c r="AF156" s="607"/>
      <c r="AG156" s="607"/>
      <c r="AH156" s="607"/>
      <c r="AI156" s="615"/>
    </row>
    <row r="157" spans="25:35" x14ac:dyDescent="0.2">
      <c r="Y157" s="64" t="s">
        <v>36</v>
      </c>
      <c r="Z157" s="33" t="str">
        <f>""</f>
        <v/>
      </c>
      <c r="AA157" s="12">
        <v>0</v>
      </c>
      <c r="AB157" s="12" t="str">
        <f>""</f>
        <v/>
      </c>
      <c r="AC157" s="2"/>
      <c r="AD157" s="141"/>
      <c r="AE157" s="606"/>
      <c r="AF157" s="607"/>
      <c r="AG157" s="607"/>
      <c r="AH157" s="607"/>
      <c r="AI157" s="615"/>
    </row>
    <row r="158" spans="25:35" x14ac:dyDescent="0.2">
      <c r="Y158" s="64" t="s">
        <v>37</v>
      </c>
      <c r="Z158" s="33" t="str">
        <f>""</f>
        <v/>
      </c>
      <c r="AA158" s="12">
        <v>0</v>
      </c>
      <c r="AB158" s="12" t="str">
        <f>""</f>
        <v/>
      </c>
      <c r="AC158" s="2"/>
      <c r="AD158" s="141"/>
      <c r="AE158" s="606"/>
      <c r="AF158" s="607"/>
      <c r="AG158" s="607"/>
      <c r="AH158" s="607"/>
      <c r="AI158" s="615"/>
    </row>
    <row r="159" spans="25:35" x14ac:dyDescent="0.2">
      <c r="Y159" s="64" t="s">
        <v>38</v>
      </c>
      <c r="Z159" s="33" t="str">
        <f>""</f>
        <v/>
      </c>
      <c r="AA159" s="12">
        <v>0</v>
      </c>
      <c r="AB159" s="12" t="str">
        <f>""</f>
        <v/>
      </c>
      <c r="AC159" s="2"/>
      <c r="AD159" s="141"/>
      <c r="AE159" s="606"/>
      <c r="AF159" s="607"/>
      <c r="AG159" s="607"/>
      <c r="AH159" s="607"/>
      <c r="AI159" s="615"/>
    </row>
    <row r="160" spans="25:35" x14ac:dyDescent="0.2">
      <c r="Y160" s="64" t="s">
        <v>39</v>
      </c>
      <c r="Z160" s="33" t="str">
        <f>""</f>
        <v/>
      </c>
      <c r="AA160" s="12">
        <v>0</v>
      </c>
      <c r="AB160" s="12" t="str">
        <f>""</f>
        <v/>
      </c>
      <c r="AC160" s="2"/>
      <c r="AD160" s="141"/>
      <c r="AE160" s="606"/>
      <c r="AF160" s="607"/>
      <c r="AG160" s="607"/>
      <c r="AH160" s="607"/>
      <c r="AI160" s="615"/>
    </row>
    <row r="161" spans="25:35" x14ac:dyDescent="0.2">
      <c r="Y161" s="64" t="s">
        <v>40</v>
      </c>
      <c r="Z161" s="33" t="str">
        <f>""</f>
        <v/>
      </c>
      <c r="AA161" s="12">
        <v>0</v>
      </c>
      <c r="AB161" s="12" t="str">
        <f>""</f>
        <v/>
      </c>
      <c r="AC161" s="2"/>
      <c r="AD161" s="141"/>
      <c r="AE161" s="606"/>
      <c r="AF161" s="607"/>
      <c r="AG161" s="607"/>
      <c r="AH161" s="607"/>
      <c r="AI161" s="615"/>
    </row>
    <row r="162" spans="25:35" x14ac:dyDescent="0.2">
      <c r="Y162" s="64" t="s">
        <v>41</v>
      </c>
      <c r="Z162" s="33" t="str">
        <f>""</f>
        <v/>
      </c>
      <c r="AA162" s="12">
        <v>0</v>
      </c>
      <c r="AB162" s="12" t="str">
        <f>""</f>
        <v/>
      </c>
      <c r="AC162" s="2"/>
      <c r="AD162" s="141"/>
      <c r="AE162" s="606"/>
      <c r="AF162" s="607"/>
      <c r="AG162" s="607"/>
      <c r="AH162" s="607"/>
      <c r="AI162" s="615"/>
    </row>
    <row r="163" spans="25:35" x14ac:dyDescent="0.2">
      <c r="Y163" s="64" t="s">
        <v>42</v>
      </c>
      <c r="Z163" s="33" t="str">
        <f>""</f>
        <v/>
      </c>
      <c r="AA163" s="12">
        <v>0</v>
      </c>
      <c r="AB163" s="12" t="str">
        <f>""</f>
        <v/>
      </c>
      <c r="AC163" s="2"/>
      <c r="AD163" s="141"/>
      <c r="AE163" s="606"/>
      <c r="AF163" s="607"/>
      <c r="AG163" s="607"/>
      <c r="AH163" s="607"/>
      <c r="AI163" s="615"/>
    </row>
    <row r="164" spans="25:35" x14ac:dyDescent="0.2">
      <c r="Y164" s="64" t="s">
        <v>43</v>
      </c>
      <c r="Z164" s="33" t="str">
        <f>""</f>
        <v/>
      </c>
      <c r="AA164" s="12">
        <v>0</v>
      </c>
      <c r="AB164" s="12" t="str">
        <f>""</f>
        <v/>
      </c>
      <c r="AC164" s="2"/>
      <c r="AD164" s="141"/>
      <c r="AE164" s="606"/>
      <c r="AF164" s="607"/>
      <c r="AG164" s="607"/>
      <c r="AH164" s="607"/>
      <c r="AI164" s="615"/>
    </row>
    <row r="165" spans="25:35" x14ac:dyDescent="0.2">
      <c r="Y165" s="64" t="s">
        <v>44</v>
      </c>
      <c r="Z165" s="33" t="str">
        <f>""</f>
        <v/>
      </c>
      <c r="AA165" s="12">
        <v>0</v>
      </c>
      <c r="AB165" s="12" t="str">
        <f>""</f>
        <v/>
      </c>
      <c r="AC165" s="2"/>
      <c r="AD165" s="141"/>
      <c r="AE165" s="606"/>
      <c r="AF165" s="607"/>
      <c r="AG165" s="607"/>
      <c r="AH165" s="607"/>
      <c r="AI165" s="615"/>
    </row>
    <row r="166" spans="25:35" x14ac:dyDescent="0.2">
      <c r="Y166" s="64" t="s">
        <v>45</v>
      </c>
      <c r="Z166" s="33" t="str">
        <f>""</f>
        <v/>
      </c>
      <c r="AA166" s="12">
        <v>0</v>
      </c>
      <c r="AB166" s="12" t="str">
        <f>""</f>
        <v/>
      </c>
      <c r="AC166" s="2"/>
      <c r="AD166" s="141"/>
      <c r="AE166" s="606"/>
      <c r="AF166" s="607"/>
      <c r="AG166" s="607"/>
      <c r="AH166" s="607"/>
      <c r="AI166" s="615"/>
    </row>
    <row r="167" spans="25:35" x14ac:dyDescent="0.2">
      <c r="Y167" s="64" t="s">
        <v>46</v>
      </c>
      <c r="Z167" s="33" t="str">
        <f>""</f>
        <v/>
      </c>
      <c r="AA167" s="12">
        <v>0</v>
      </c>
      <c r="AB167" s="12" t="str">
        <f>""</f>
        <v/>
      </c>
      <c r="AC167" s="2"/>
      <c r="AD167" s="141"/>
      <c r="AE167" s="606"/>
      <c r="AF167" s="607"/>
      <c r="AG167" s="607"/>
      <c r="AH167" s="607"/>
      <c r="AI167" s="608"/>
    </row>
    <row r="168" spans="25:35" x14ac:dyDescent="0.2">
      <c r="Y168" s="64" t="s">
        <v>47</v>
      </c>
      <c r="Z168" s="33" t="str">
        <f>""</f>
        <v/>
      </c>
      <c r="AA168" s="12">
        <v>0</v>
      </c>
      <c r="AB168" s="12" t="str">
        <f>""</f>
        <v/>
      </c>
      <c r="AC168" s="2"/>
      <c r="AD168" s="141"/>
      <c r="AE168" s="606"/>
      <c r="AF168" s="607"/>
      <c r="AG168" s="607"/>
      <c r="AH168" s="607"/>
      <c r="AI168" s="608"/>
    </row>
    <row r="169" spans="25:35" x14ac:dyDescent="0.2">
      <c r="Y169" s="64" t="s">
        <v>48</v>
      </c>
      <c r="Z169" s="33" t="str">
        <f>""</f>
        <v/>
      </c>
      <c r="AA169" s="12">
        <v>0</v>
      </c>
      <c r="AB169" s="12" t="str">
        <f>""</f>
        <v/>
      </c>
      <c r="AC169" s="2"/>
      <c r="AD169" s="141"/>
      <c r="AE169" s="606"/>
      <c r="AF169" s="607"/>
      <c r="AG169" s="607"/>
      <c r="AH169" s="607"/>
      <c r="AI169" s="608"/>
    </row>
    <row r="170" spans="25:35" x14ac:dyDescent="0.2">
      <c r="Y170" s="64" t="s">
        <v>49</v>
      </c>
      <c r="Z170" s="33" t="str">
        <f>""</f>
        <v/>
      </c>
      <c r="AA170" s="12">
        <v>0</v>
      </c>
      <c r="AB170" s="12" t="str">
        <f>""</f>
        <v/>
      </c>
      <c r="AC170" s="2"/>
      <c r="AD170" s="141"/>
      <c r="AE170" s="606"/>
      <c r="AF170" s="607"/>
      <c r="AG170" s="607"/>
      <c r="AH170" s="607"/>
      <c r="AI170" s="608"/>
    </row>
    <row r="171" spans="25:35" x14ac:dyDescent="0.2">
      <c r="Y171" s="64" t="s">
        <v>50</v>
      </c>
      <c r="Z171" s="33" t="str">
        <f>""</f>
        <v/>
      </c>
      <c r="AA171" s="12">
        <v>0</v>
      </c>
      <c r="AB171" s="12" t="str">
        <f>""</f>
        <v/>
      </c>
      <c r="AC171" s="2"/>
      <c r="AD171" s="141"/>
      <c r="AE171" s="606"/>
      <c r="AF171" s="607"/>
      <c r="AG171" s="607"/>
      <c r="AH171" s="607"/>
      <c r="AI171" s="608"/>
    </row>
    <row r="172" spans="25:35" x14ac:dyDescent="0.2">
      <c r="Y172" s="64" t="s">
        <v>58</v>
      </c>
      <c r="Z172" s="33" t="str">
        <f>""</f>
        <v/>
      </c>
      <c r="AA172" s="12">
        <v>0</v>
      </c>
      <c r="AB172" s="12" t="str">
        <f>""</f>
        <v/>
      </c>
      <c r="AC172" s="2"/>
      <c r="AD172" s="141"/>
      <c r="AE172" s="606"/>
      <c r="AF172" s="607"/>
      <c r="AG172" s="607"/>
      <c r="AH172" s="607"/>
      <c r="AI172" s="608"/>
    </row>
    <row r="173" spans="25:35" x14ac:dyDescent="0.2">
      <c r="Y173" s="64" t="s">
        <v>59</v>
      </c>
      <c r="Z173" s="33" t="str">
        <f>""</f>
        <v/>
      </c>
      <c r="AA173" s="12">
        <v>0</v>
      </c>
      <c r="AB173" s="12" t="str">
        <f>""</f>
        <v/>
      </c>
      <c r="AC173" s="2"/>
      <c r="AD173" s="141"/>
      <c r="AE173" s="606"/>
      <c r="AF173" s="607"/>
      <c r="AG173" s="607"/>
      <c r="AH173" s="607"/>
      <c r="AI173" s="608"/>
    </row>
    <row r="174" spans="25:35" x14ac:dyDescent="0.2">
      <c r="Y174" s="64" t="s">
        <v>60</v>
      </c>
      <c r="Z174" s="33" t="str">
        <f>""</f>
        <v/>
      </c>
      <c r="AA174" s="12">
        <v>0</v>
      </c>
      <c r="AB174" s="12" t="str">
        <f>""</f>
        <v/>
      </c>
      <c r="AC174" s="2"/>
      <c r="AD174" s="141"/>
      <c r="AE174" s="606"/>
      <c r="AF174" s="607"/>
      <c r="AG174" s="607"/>
      <c r="AH174" s="607"/>
      <c r="AI174" s="608"/>
    </row>
    <row r="175" spans="25:35" x14ac:dyDescent="0.2">
      <c r="Y175" s="64" t="s">
        <v>61</v>
      </c>
      <c r="Z175" s="33" t="str">
        <f>""</f>
        <v/>
      </c>
      <c r="AA175" s="12">
        <v>0</v>
      </c>
      <c r="AB175" s="12" t="str">
        <f>""</f>
        <v/>
      </c>
      <c r="AC175" s="2"/>
      <c r="AD175" s="141"/>
      <c r="AE175" s="606"/>
      <c r="AF175" s="607"/>
      <c r="AG175" s="607"/>
      <c r="AH175" s="607"/>
      <c r="AI175" s="608"/>
    </row>
    <row r="176" spans="25:35" x14ac:dyDescent="0.2">
      <c r="Y176" s="64" t="s">
        <v>62</v>
      </c>
      <c r="Z176" s="33" t="str">
        <f>""</f>
        <v/>
      </c>
      <c r="AA176" s="12">
        <v>0</v>
      </c>
      <c r="AB176" s="12" t="str">
        <f>""</f>
        <v/>
      </c>
      <c r="AC176" s="2"/>
      <c r="AD176" s="141"/>
      <c r="AE176" s="606"/>
      <c r="AF176" s="607"/>
      <c r="AG176" s="607"/>
      <c r="AH176" s="607"/>
      <c r="AI176" s="608"/>
    </row>
    <row r="177" spans="25:35" x14ac:dyDescent="0.2">
      <c r="Y177" s="64" t="s">
        <v>63</v>
      </c>
      <c r="Z177" s="33" t="str">
        <f>""</f>
        <v/>
      </c>
      <c r="AA177" s="12">
        <v>0</v>
      </c>
      <c r="AB177" s="12" t="str">
        <f>""</f>
        <v/>
      </c>
      <c r="AC177" s="2"/>
      <c r="AD177" s="141"/>
      <c r="AE177" s="606"/>
      <c r="AF177" s="607"/>
      <c r="AG177" s="607"/>
      <c r="AH177" s="607"/>
      <c r="AI177" s="608"/>
    </row>
    <row r="178" spans="25:35" x14ac:dyDescent="0.2">
      <c r="Y178" s="64" t="s">
        <v>64</v>
      </c>
      <c r="Z178" s="33" t="str">
        <f>""</f>
        <v/>
      </c>
      <c r="AA178" s="12">
        <v>0</v>
      </c>
      <c r="AB178" s="12" t="str">
        <f>""</f>
        <v/>
      </c>
      <c r="AC178" s="2"/>
      <c r="AD178" s="141"/>
      <c r="AE178" s="606"/>
      <c r="AF178" s="607"/>
      <c r="AG178" s="607"/>
      <c r="AH178" s="607"/>
      <c r="AI178" s="608"/>
    </row>
    <row r="179" spans="25:35" x14ac:dyDescent="0.2">
      <c r="Y179" s="64" t="s">
        <v>65</v>
      </c>
      <c r="Z179" s="33" t="str">
        <f>""</f>
        <v/>
      </c>
      <c r="AA179" s="12">
        <v>0</v>
      </c>
      <c r="AB179" s="12" t="str">
        <f>""</f>
        <v/>
      </c>
      <c r="AC179" s="2"/>
      <c r="AD179" s="141"/>
      <c r="AE179" s="606"/>
      <c r="AF179" s="607"/>
      <c r="AG179" s="607"/>
      <c r="AH179" s="607"/>
      <c r="AI179" s="608"/>
    </row>
    <row r="180" spans="25:35" x14ac:dyDescent="0.2">
      <c r="Y180" s="64" t="s">
        <v>66</v>
      </c>
      <c r="Z180" s="33" t="str">
        <f>""</f>
        <v/>
      </c>
      <c r="AA180" s="12">
        <v>0</v>
      </c>
      <c r="AB180" s="12" t="str">
        <f>""</f>
        <v/>
      </c>
      <c r="AC180" s="2"/>
      <c r="AD180" s="141"/>
      <c r="AE180" s="606"/>
      <c r="AF180" s="607"/>
      <c r="AG180" s="607"/>
      <c r="AH180" s="607"/>
      <c r="AI180" s="608"/>
    </row>
    <row r="181" spans="25:35" x14ac:dyDescent="0.2">
      <c r="Y181" s="64" t="s">
        <v>67</v>
      </c>
      <c r="Z181" s="33" t="str">
        <f>""</f>
        <v/>
      </c>
      <c r="AA181" s="12">
        <v>0</v>
      </c>
      <c r="AB181" s="12" t="str">
        <f>""</f>
        <v/>
      </c>
      <c r="AC181" s="2"/>
      <c r="AD181" s="141"/>
      <c r="AE181" s="606"/>
      <c r="AF181" s="607"/>
      <c r="AG181" s="607"/>
      <c r="AH181" s="607"/>
      <c r="AI181" s="608"/>
    </row>
    <row r="182" spans="25:35" x14ac:dyDescent="0.2">
      <c r="Y182" s="64" t="s">
        <v>68</v>
      </c>
      <c r="Z182" s="33" t="str">
        <f>""</f>
        <v/>
      </c>
      <c r="AA182" s="12">
        <v>0</v>
      </c>
      <c r="AB182" s="12" t="str">
        <f>""</f>
        <v/>
      </c>
      <c r="AC182" s="2"/>
      <c r="AD182" s="141"/>
      <c r="AE182" s="606"/>
      <c r="AF182" s="607"/>
      <c r="AG182" s="607"/>
      <c r="AH182" s="607"/>
      <c r="AI182" s="608"/>
    </row>
    <row r="183" spans="25:35" x14ac:dyDescent="0.2">
      <c r="Y183" s="64" t="s">
        <v>69</v>
      </c>
      <c r="Z183" s="33" t="str">
        <f>""</f>
        <v/>
      </c>
      <c r="AA183" s="12">
        <v>0</v>
      </c>
      <c r="AB183" s="12" t="str">
        <f>""</f>
        <v/>
      </c>
      <c r="AC183" s="2"/>
      <c r="AD183" s="141"/>
      <c r="AE183" s="606"/>
      <c r="AF183" s="607"/>
      <c r="AG183" s="607"/>
      <c r="AH183" s="607"/>
      <c r="AI183" s="608"/>
    </row>
    <row r="184" spans="25:35" x14ac:dyDescent="0.2">
      <c r="Y184" s="64" t="s">
        <v>70</v>
      </c>
      <c r="Z184" s="33" t="str">
        <f>""</f>
        <v/>
      </c>
      <c r="AA184" s="12">
        <v>0</v>
      </c>
      <c r="AB184" s="12" t="str">
        <f>""</f>
        <v/>
      </c>
      <c r="AC184" s="2"/>
      <c r="AD184" s="141"/>
      <c r="AE184" s="606"/>
      <c r="AF184" s="607"/>
      <c r="AG184" s="607"/>
      <c r="AH184" s="607"/>
      <c r="AI184" s="608"/>
    </row>
    <row r="185" spans="25:35" x14ac:dyDescent="0.2">
      <c r="Y185" s="64" t="s">
        <v>71</v>
      </c>
      <c r="Z185" s="33" t="str">
        <f>""</f>
        <v/>
      </c>
      <c r="AA185" s="12">
        <v>0</v>
      </c>
      <c r="AB185" s="12" t="str">
        <f>""</f>
        <v/>
      </c>
      <c r="AC185" s="2"/>
      <c r="AD185" s="141"/>
      <c r="AE185" s="606"/>
      <c r="AF185" s="607"/>
      <c r="AG185" s="607"/>
      <c r="AH185" s="607"/>
      <c r="AI185" s="608"/>
    </row>
    <row r="186" spans="25:35" x14ac:dyDescent="0.2">
      <c r="Y186" s="64" t="s">
        <v>72</v>
      </c>
      <c r="Z186" s="33" t="str">
        <f>""</f>
        <v/>
      </c>
      <c r="AA186" s="12">
        <v>0</v>
      </c>
      <c r="AB186" s="12" t="str">
        <f>""</f>
        <v/>
      </c>
      <c r="AC186" s="2"/>
      <c r="AD186" s="141"/>
      <c r="AE186" s="606"/>
      <c r="AF186" s="607"/>
      <c r="AG186" s="607"/>
      <c r="AH186" s="607"/>
      <c r="AI186" s="608"/>
    </row>
    <row r="187" spans="25:35" x14ac:dyDescent="0.2">
      <c r="Y187" s="64" t="s">
        <v>73</v>
      </c>
      <c r="Z187" s="33" t="str">
        <f>""</f>
        <v/>
      </c>
      <c r="AA187" s="12">
        <v>0</v>
      </c>
      <c r="AB187" s="12" t="str">
        <f>""</f>
        <v/>
      </c>
      <c r="AC187" s="2"/>
      <c r="AD187" s="141"/>
      <c r="AE187" s="606"/>
      <c r="AF187" s="607"/>
      <c r="AG187" s="607"/>
      <c r="AH187" s="607"/>
      <c r="AI187" s="608"/>
    </row>
    <row r="188" spans="25:35" x14ac:dyDescent="0.2">
      <c r="Y188" s="64" t="s">
        <v>74</v>
      </c>
      <c r="Z188" s="33" t="str">
        <f>""</f>
        <v/>
      </c>
      <c r="AA188" s="12">
        <v>0</v>
      </c>
      <c r="AB188" s="12" t="str">
        <f>""</f>
        <v/>
      </c>
      <c r="AC188" s="2"/>
      <c r="AD188" s="141"/>
      <c r="AE188" s="606"/>
      <c r="AF188" s="607"/>
      <c r="AG188" s="607"/>
      <c r="AH188" s="607"/>
      <c r="AI188" s="608"/>
    </row>
    <row r="189" spans="25:35" x14ac:dyDescent="0.2">
      <c r="Y189" s="64" t="s">
        <v>75</v>
      </c>
      <c r="Z189" s="33" t="str">
        <f>""</f>
        <v/>
      </c>
      <c r="AA189" s="12">
        <v>0</v>
      </c>
      <c r="AB189" s="12" t="str">
        <f>""</f>
        <v/>
      </c>
      <c r="AC189" s="2"/>
      <c r="AD189" s="141"/>
      <c r="AE189" s="606"/>
      <c r="AF189" s="607"/>
      <c r="AG189" s="607"/>
      <c r="AH189" s="607"/>
      <c r="AI189" s="608"/>
    </row>
    <row r="190" spans="25:35" x14ac:dyDescent="0.2">
      <c r="Y190" s="64" t="s">
        <v>76</v>
      </c>
      <c r="Z190" s="33" t="str">
        <f>""</f>
        <v/>
      </c>
      <c r="AA190" s="12">
        <v>0</v>
      </c>
      <c r="AB190" s="12" t="str">
        <f>""</f>
        <v/>
      </c>
      <c r="AC190" s="2"/>
      <c r="AD190" s="141"/>
      <c r="AE190" s="606"/>
      <c r="AF190" s="607"/>
      <c r="AG190" s="607"/>
      <c r="AH190" s="607"/>
      <c r="AI190" s="608"/>
    </row>
    <row r="191" spans="25:35" x14ac:dyDescent="0.2">
      <c r="Y191" s="64" t="s">
        <v>77</v>
      </c>
      <c r="Z191" s="33" t="str">
        <f>""</f>
        <v/>
      </c>
      <c r="AA191" s="12">
        <v>0</v>
      </c>
      <c r="AB191" s="12" t="str">
        <f>""</f>
        <v/>
      </c>
      <c r="AC191" s="2"/>
      <c r="AD191" s="141"/>
      <c r="AE191" s="606"/>
      <c r="AF191" s="607"/>
      <c r="AG191" s="607"/>
      <c r="AH191" s="607"/>
      <c r="AI191" s="608"/>
    </row>
    <row r="192" spans="25:35" x14ac:dyDescent="0.2">
      <c r="Y192" s="64" t="s">
        <v>78</v>
      </c>
      <c r="Z192" s="33" t="str">
        <f>""</f>
        <v/>
      </c>
      <c r="AA192" s="12">
        <v>0</v>
      </c>
      <c r="AB192" s="12" t="str">
        <f>""</f>
        <v/>
      </c>
      <c r="AC192" s="2"/>
      <c r="AD192" s="141"/>
      <c r="AE192" s="606"/>
      <c r="AF192" s="607"/>
      <c r="AG192" s="607"/>
      <c r="AH192" s="607"/>
      <c r="AI192" s="608"/>
    </row>
    <row r="193" spans="25:35" x14ac:dyDescent="0.2">
      <c r="Y193" s="64" t="s">
        <v>79</v>
      </c>
      <c r="Z193" s="33" t="str">
        <f>""</f>
        <v/>
      </c>
      <c r="AA193" s="12">
        <v>0</v>
      </c>
      <c r="AB193" s="12" t="str">
        <f>""</f>
        <v/>
      </c>
      <c r="AC193" s="2"/>
      <c r="AD193" s="141"/>
      <c r="AE193" s="606"/>
      <c r="AF193" s="607"/>
      <c r="AG193" s="607"/>
      <c r="AH193" s="607"/>
      <c r="AI193" s="608"/>
    </row>
    <row r="194" spans="25:35" x14ac:dyDescent="0.2">
      <c r="Y194" s="64" t="s">
        <v>80</v>
      </c>
      <c r="Z194" s="33" t="str">
        <f>""</f>
        <v/>
      </c>
      <c r="AA194" s="12">
        <v>0</v>
      </c>
      <c r="AB194" s="12" t="str">
        <f>""</f>
        <v/>
      </c>
      <c r="AC194" s="2"/>
      <c r="AD194" s="141"/>
      <c r="AE194" s="606"/>
      <c r="AF194" s="607"/>
      <c r="AG194" s="607"/>
      <c r="AH194" s="607"/>
      <c r="AI194" s="608"/>
    </row>
    <row r="195" spans="25:35" x14ac:dyDescent="0.2">
      <c r="Y195" s="64" t="s">
        <v>81</v>
      </c>
      <c r="Z195" s="33" t="str">
        <f>""</f>
        <v/>
      </c>
      <c r="AA195" s="12">
        <v>0</v>
      </c>
      <c r="AB195" s="12" t="str">
        <f>""</f>
        <v/>
      </c>
      <c r="AC195" s="2"/>
      <c r="AD195" s="141"/>
      <c r="AE195" s="606"/>
      <c r="AF195" s="607"/>
      <c r="AG195" s="607"/>
      <c r="AH195" s="607"/>
      <c r="AI195" s="608"/>
    </row>
    <row r="196" spans="25:35" x14ac:dyDescent="0.2">
      <c r="Y196" s="64" t="s">
        <v>82</v>
      </c>
      <c r="Z196" s="33" t="str">
        <f>""</f>
        <v/>
      </c>
      <c r="AA196" s="12">
        <v>0</v>
      </c>
      <c r="AB196" s="12" t="str">
        <f>""</f>
        <v/>
      </c>
      <c r="AC196" s="2"/>
      <c r="AD196" s="141"/>
      <c r="AE196" s="606"/>
      <c r="AF196" s="607"/>
      <c r="AG196" s="607"/>
      <c r="AH196" s="607"/>
      <c r="AI196" s="608"/>
    </row>
    <row r="197" spans="25:35" x14ac:dyDescent="0.2">
      <c r="Y197" s="64" t="s">
        <v>83</v>
      </c>
      <c r="Z197" s="33" t="str">
        <f>""</f>
        <v/>
      </c>
      <c r="AA197" s="12">
        <v>0</v>
      </c>
      <c r="AB197" s="12" t="str">
        <f>""</f>
        <v/>
      </c>
      <c r="AC197" s="2"/>
      <c r="AD197" s="141"/>
      <c r="AE197" s="606"/>
      <c r="AF197" s="607"/>
      <c r="AG197" s="607"/>
      <c r="AH197" s="607"/>
      <c r="AI197" s="608"/>
    </row>
    <row r="198" spans="25:35" x14ac:dyDescent="0.2">
      <c r="Y198" s="64" t="s">
        <v>84</v>
      </c>
      <c r="Z198" s="33" t="str">
        <f>""</f>
        <v/>
      </c>
      <c r="AA198" s="12">
        <v>0</v>
      </c>
      <c r="AB198" s="12" t="str">
        <f>""</f>
        <v/>
      </c>
      <c r="AC198" s="2"/>
      <c r="AD198" s="141"/>
      <c r="AE198" s="606"/>
      <c r="AF198" s="607"/>
      <c r="AG198" s="607"/>
      <c r="AH198" s="607"/>
      <c r="AI198" s="608"/>
    </row>
    <row r="199" spans="25:35" x14ac:dyDescent="0.2">
      <c r="Y199" s="64" t="s">
        <v>85</v>
      </c>
      <c r="Z199" s="33" t="str">
        <f>""</f>
        <v/>
      </c>
      <c r="AA199" s="12">
        <v>0</v>
      </c>
      <c r="AB199" s="12" t="str">
        <f>""</f>
        <v/>
      </c>
      <c r="AC199" s="2"/>
      <c r="AD199" s="141"/>
      <c r="AE199" s="606"/>
      <c r="AF199" s="607"/>
      <c r="AG199" s="607"/>
      <c r="AH199" s="607"/>
      <c r="AI199" s="608"/>
    </row>
    <row r="200" spans="25:35" x14ac:dyDescent="0.2">
      <c r="Y200" s="64" t="s">
        <v>86</v>
      </c>
      <c r="Z200" s="33" t="str">
        <f>""</f>
        <v/>
      </c>
      <c r="AA200" s="12">
        <v>0</v>
      </c>
      <c r="AB200" s="12" t="str">
        <f>""</f>
        <v/>
      </c>
      <c r="AC200" s="2"/>
      <c r="AD200" s="141"/>
      <c r="AE200" s="606"/>
      <c r="AF200" s="607"/>
      <c r="AG200" s="607"/>
      <c r="AH200" s="607"/>
      <c r="AI200" s="608"/>
    </row>
    <row r="201" spans="25:35" x14ac:dyDescent="0.2">
      <c r="Y201" s="64" t="s">
        <v>87</v>
      </c>
      <c r="Z201" s="33" t="str">
        <f>""</f>
        <v/>
      </c>
      <c r="AA201" s="12">
        <v>0</v>
      </c>
      <c r="AB201" s="12" t="str">
        <f>""</f>
        <v/>
      </c>
      <c r="AC201" s="2"/>
      <c r="AD201" s="141"/>
      <c r="AE201" s="606"/>
      <c r="AF201" s="607"/>
      <c r="AG201" s="607"/>
      <c r="AH201" s="607"/>
      <c r="AI201" s="608"/>
    </row>
    <row r="202" spans="25:35" x14ac:dyDescent="0.2">
      <c r="Y202" s="64" t="s">
        <v>88</v>
      </c>
      <c r="Z202" s="33" t="str">
        <f>""</f>
        <v/>
      </c>
      <c r="AA202" s="12">
        <v>0</v>
      </c>
      <c r="AB202" s="12" t="str">
        <f>""</f>
        <v/>
      </c>
      <c r="AC202" s="2"/>
      <c r="AD202" s="141"/>
      <c r="AE202" s="606"/>
      <c r="AF202" s="607"/>
      <c r="AG202" s="607"/>
      <c r="AH202" s="607"/>
      <c r="AI202" s="608"/>
    </row>
    <row r="203" spans="25:35" x14ac:dyDescent="0.2">
      <c r="Y203" s="64" t="s">
        <v>89</v>
      </c>
      <c r="Z203" s="33" t="str">
        <f>""</f>
        <v/>
      </c>
      <c r="AA203" s="12">
        <v>0</v>
      </c>
      <c r="AB203" s="12" t="str">
        <f>""</f>
        <v/>
      </c>
      <c r="AC203" s="2"/>
      <c r="AD203" s="141"/>
      <c r="AE203" s="606"/>
      <c r="AF203" s="607"/>
      <c r="AG203" s="607"/>
      <c r="AH203" s="607"/>
      <c r="AI203" s="608"/>
    </row>
    <row r="204" spans="25:35" x14ac:dyDescent="0.2">
      <c r="Y204" s="64" t="s">
        <v>90</v>
      </c>
      <c r="Z204" s="33" t="str">
        <f>""</f>
        <v/>
      </c>
      <c r="AA204" s="12">
        <v>0</v>
      </c>
      <c r="AB204" s="12" t="str">
        <f>""</f>
        <v/>
      </c>
      <c r="AC204" s="2"/>
      <c r="AD204" s="141"/>
      <c r="AE204" s="606"/>
      <c r="AF204" s="607"/>
      <c r="AG204" s="607"/>
      <c r="AH204" s="607"/>
      <c r="AI204" s="608"/>
    </row>
    <row r="205" spans="25:35" x14ac:dyDescent="0.2">
      <c r="Y205" s="64" t="s">
        <v>91</v>
      </c>
      <c r="Z205" s="33" t="str">
        <f>""</f>
        <v/>
      </c>
      <c r="AA205" s="12">
        <v>0</v>
      </c>
      <c r="AB205" s="12" t="str">
        <f>""</f>
        <v/>
      </c>
      <c r="AC205" s="2"/>
      <c r="AD205" s="141"/>
      <c r="AE205" s="606"/>
      <c r="AF205" s="607"/>
      <c r="AG205" s="607"/>
      <c r="AH205" s="607"/>
      <c r="AI205" s="608"/>
    </row>
    <row r="206" spans="25:35" x14ac:dyDescent="0.2">
      <c r="Y206" s="64" t="s">
        <v>92</v>
      </c>
      <c r="Z206" s="33" t="str">
        <f>""</f>
        <v/>
      </c>
      <c r="AA206" s="12">
        <v>0</v>
      </c>
      <c r="AB206" s="12" t="str">
        <f>""</f>
        <v/>
      </c>
      <c r="AC206" s="2"/>
      <c r="AD206" s="141"/>
      <c r="AE206" s="606"/>
      <c r="AF206" s="607"/>
      <c r="AG206" s="607"/>
      <c r="AH206" s="607"/>
      <c r="AI206" s="608"/>
    </row>
    <row r="207" spans="25:35" ht="12.75" thickBot="1" x14ac:dyDescent="0.25">
      <c r="Y207" s="65" t="s">
        <v>93</v>
      </c>
      <c r="Z207" s="35" t="str">
        <f>""</f>
        <v/>
      </c>
      <c r="AA207" s="36">
        <v>0</v>
      </c>
      <c r="AB207" s="142" t="str">
        <f>""</f>
        <v/>
      </c>
      <c r="AC207" s="144"/>
      <c r="AD207" s="143"/>
      <c r="AE207" s="610"/>
      <c r="AF207" s="611"/>
      <c r="AG207" s="611"/>
      <c r="AH207" s="611"/>
      <c r="AI207" s="612"/>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1DC9-F0AC-42FA-9808-2B76ABCEF7E0}">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336</v>
      </c>
      <c r="K2" s="1"/>
      <c r="L2" s="1"/>
      <c r="M2" s="1"/>
      <c r="N2" s="12"/>
      <c r="O2" s="1"/>
      <c r="P2" s="1"/>
      <c r="Q2" s="1"/>
      <c r="W2" s="2" t="s">
        <v>150</v>
      </c>
    </row>
    <row r="3" spans="1:44" s="2" customFormat="1" ht="13.5" customHeight="1" thickBot="1" x14ac:dyDescent="0.25">
      <c r="B3" s="1"/>
      <c r="C3" s="12"/>
      <c r="D3" s="12"/>
      <c r="E3" s="12"/>
      <c r="F3" s="12"/>
      <c r="G3" s="67" t="s">
        <v>106</v>
      </c>
      <c r="H3" s="67" t="s">
        <v>107</v>
      </c>
      <c r="I3" s="729" t="s">
        <v>108</v>
      </c>
      <c r="J3" s="729" t="s">
        <v>109</v>
      </c>
      <c r="K3" s="729" t="s">
        <v>102</v>
      </c>
      <c r="L3" s="26" t="s">
        <v>103</v>
      </c>
      <c r="M3" s="26" t="s">
        <v>104</v>
      </c>
      <c r="N3" s="26" t="s">
        <v>105</v>
      </c>
      <c r="O3" s="108">
        <f t="shared" ref="O3:V3" ca="1" si="0">IF(9-COUNTIF(O$17:O$25,"")&gt;1,O$16,99999)</f>
        <v>99999</v>
      </c>
      <c r="P3" s="109">
        <f t="shared" ca="1" si="0"/>
        <v>99999</v>
      </c>
      <c r="Q3" s="109">
        <f t="shared" ca="1" si="0"/>
        <v>99999</v>
      </c>
      <c r="R3" s="109">
        <f t="shared" ca="1" si="0"/>
        <v>99999</v>
      </c>
      <c r="S3" s="109">
        <f t="shared" ca="1" si="0"/>
        <v>99999</v>
      </c>
      <c r="T3" s="109">
        <f t="shared" ca="1" si="0"/>
        <v>99999</v>
      </c>
      <c r="U3" s="109">
        <f t="shared" ca="1" si="0"/>
        <v>99999</v>
      </c>
      <c r="V3" s="109">
        <f t="shared" ca="1" si="0"/>
        <v>99999</v>
      </c>
      <c r="W3" s="926">
        <f ca="1">IF($O$4&lt;10,$O$4,0)</f>
        <v>0</v>
      </c>
      <c r="X3" s="927"/>
      <c r="Y3" s="927"/>
      <c r="Z3" s="927"/>
      <c r="AA3" s="927"/>
      <c r="AB3" s="926">
        <f ca="1">IF($P$4&lt;10,$P$4,0)</f>
        <v>0</v>
      </c>
      <c r="AC3" s="927"/>
      <c r="AD3" s="927"/>
      <c r="AE3" s="927"/>
      <c r="AF3" s="927"/>
      <c r="AG3" s="926">
        <f ca="1">IF($Q$4&lt;10,$Q$4,0)</f>
        <v>0</v>
      </c>
      <c r="AH3" s="927"/>
      <c r="AI3" s="927"/>
      <c r="AJ3" s="927"/>
      <c r="AK3" s="927"/>
      <c r="AL3" s="926">
        <f ca="1">IF($R$4&lt;10,$R$4,0)</f>
        <v>0</v>
      </c>
      <c r="AM3" s="927"/>
      <c r="AN3" s="927"/>
      <c r="AO3" s="927"/>
      <c r="AP3" s="927"/>
    </row>
    <row r="4" spans="1:44" s="2" customFormat="1" ht="12.75" thickTop="1" x14ac:dyDescent="0.2">
      <c r="A4" s="239"/>
      <c r="B4" s="1">
        <v>1</v>
      </c>
      <c r="C4" s="20">
        <f t="shared" ref="C4:C12" ca="1" si="1">RANK(D4,$D$4:$D$12,1)</f>
        <v>1</v>
      </c>
      <c r="D4" s="12">
        <f t="shared" ref="D4:D12" ca="1" si="2">E4+ROW()/1000+(F4="")*10</f>
        <v>1.004</v>
      </c>
      <c r="E4" s="252">
        <f t="shared" ref="E4:E12" ca="1" si="3">IF($AI$15,RANK(AH17,AH$17:AH$25,1),RANK(X17,X$17:X$25,1))</f>
        <v>1</v>
      </c>
      <c r="F4" s="1" t="str">
        <f ca="1">$Q64</f>
        <v>1. FC Riedwald</v>
      </c>
      <c r="G4" s="1">
        <f t="shared" ref="G4:G12" ca="1" si="4">SUMIFS($X$64:$X$135,$V$64:$V$135,$F4)+SUMIFS($Y$64:$Y$135,$W$64:$W$135,$F4)+SUMIFS($AG$64:$AG$135,$V$64:$V$135,$F4)+SUMIFS($AH$64:$AH$135,$W$64:$W$135,$F4)</f>
        <v>136</v>
      </c>
      <c r="H4" s="1">
        <f t="shared" ref="H4:H12" ca="1" si="5">SUMIFS($Y$64:$Y$135,$V$64:$V$135,$F4)+SUMIFS($X$64:$X$135,$W$64:$W$135,$F4)+SUMIFS($AH$64:$AH$135,$V$64:$V$135,$F4)+SUMIFS($AG$64:$AG$135,$W$64:$W$135,$F4)</f>
        <v>121</v>
      </c>
      <c r="I4" s="12">
        <f ca="1">IF(Einstellungen!$G$7,G4-H4,IF(H4=0,IF(G4=0,0,Einstellungen!$F$7),G4/H4))</f>
        <v>15</v>
      </c>
      <c r="J4" s="1">
        <f t="shared" ref="J4:J7" ca="1" si="6">SUMPRODUCT(($V$64:$V$135=F4)*$AE$64:$AE$135*$AA$64:$AA$135)+SUMPRODUCT(($W$64:$W$135=F4)*$AF$64:$AF$135*$AA$64:$AA$135)</f>
        <v>4</v>
      </c>
      <c r="K4" s="1">
        <f t="shared" ref="K4:K12" ca="1" si="7">SUMPRODUCT(($V$64:$V$135=F4)*$AA$64:$AA$135)+SUMPRODUCT(($W$64:$W$135=F4)*$AA$64:$AA$135)</f>
        <v>3</v>
      </c>
      <c r="L4" s="1">
        <f t="shared" ref="L4:L12" ca="1" si="8">K4-M4-N4</f>
        <v>1</v>
      </c>
      <c r="M4" s="1">
        <f t="shared" ref="M4:M12" ca="1" si="9">SUMPRODUCT(($V$64:$W$135=F4)*($AE$64:$AE$135=$AF$64:$AF$135)*$AA$64:$AA$135)</f>
        <v>2</v>
      </c>
      <c r="N4" s="1">
        <f t="shared" ref="N4:N12" ca="1" si="10">SUMPRODUCT(($V$64:$V$135=F4)*($AE$64:$AE$135&lt;$AF$64:$AF$135)*$AA$64:$AA$135)+SUMPRODUCT(($W$64:$W$135=F4)*($AE$64:$AE$135&gt;$AF$64:$AF$135)*$AA$64:$AA$135)</f>
        <v>0</v>
      </c>
      <c r="O4" s="117">
        <f ca="1">SMALL($O$3:$V$3,1)</f>
        <v>99999</v>
      </c>
      <c r="P4" s="117">
        <f ca="1">SMALL($O$3:$V$3,2)</f>
        <v>99999</v>
      </c>
      <c r="Q4" s="117">
        <f ca="1">SMALL($O$3:$V$3,3)</f>
        <v>99999</v>
      </c>
      <c r="R4" s="117">
        <f ca="1">SMALL($O$3:$V$3,4)</f>
        <v>99999</v>
      </c>
      <c r="V4" s="1"/>
      <c r="W4" s="578" t="str">
        <f t="shared" ref="W4:W12" ca="1" si="11">IFERROR(INDEX($O$17:$V$25,ROW(A1),$W$3),"")</f>
        <v/>
      </c>
      <c r="X4" s="579" t="str">
        <f t="shared" ref="X4:X12" ca="1" si="12">INDEX($W$4:$W$12,MATCH(ROW(A1),$AA$4:$AA$12,0))</f>
        <v/>
      </c>
      <c r="Y4" s="580">
        <f t="shared" ref="Y4:Y12" ca="1" si="13">IF($W4="",99999,VLOOKUP($W4,$C$17:$Z$25,24,0))</f>
        <v>99999</v>
      </c>
      <c r="Z4" s="581">
        <f t="shared" ref="Z4:Z12" ca="1" si="14">RANK(Y4,Y$4:Y$12,1)+INDEX($E$4:$E$12,MATCH(W4,$F$4:$F$12,0))/100+ROW()/10000</f>
        <v>1.0504</v>
      </c>
      <c r="AA4" s="582">
        <f t="shared" ref="AA4:AA12" ca="1" si="15">RANK($Z4,$Z$4:$Z$12,1)</f>
        <v>1</v>
      </c>
      <c r="AB4" s="583" t="str">
        <f t="shared" ref="AB4:AB12" ca="1" si="16">IFERROR(INDEX($O$17:$V$25,ROW(A1),$AB$3),"")</f>
        <v/>
      </c>
      <c r="AC4" s="584" t="str">
        <f t="shared" ref="AC4:AC12" ca="1" si="17">INDEX($AB$4:$AB$12,MATCH(ROW(A1),$AF$4:$AF$12,0))</f>
        <v/>
      </c>
      <c r="AD4" s="585">
        <f t="shared" ref="AD4:AD12" ca="1" si="18">IF($AB4="",99999,VLOOKUP($AB4,$C$17:$Z$25,24,0))</f>
        <v>99999</v>
      </c>
      <c r="AE4" s="581">
        <f t="shared" ref="AE4:AE12" ca="1" si="19">RANK(AD4,AD$4:AD$12,1)+INDEX($E$4:$E$12,MATCH(AB4,$F$4:$F$12,0))/100+ROW()/10000</f>
        <v>1.0504</v>
      </c>
      <c r="AF4" s="581">
        <f t="shared" ref="AF4:AF12" ca="1" si="20">RANK($AE4,$AE$4:$AE$12,1)</f>
        <v>1</v>
      </c>
      <c r="AG4" s="583" t="str">
        <f t="shared" ref="AG4:AG12" ca="1" si="21">IFERROR(INDEX($O$17:$V$25,ROW(C1),$AG$3),"")</f>
        <v/>
      </c>
      <c r="AH4" s="584" t="str">
        <f t="shared" ref="AH4:AH12" ca="1" si="22">INDEX($AG$4:$AG$12,MATCH(ROW(A1),$AK$4:$AK$12,0))</f>
        <v/>
      </c>
      <c r="AI4" s="585">
        <f t="shared" ref="AI4:AI12" ca="1" si="23">IF($AG4="",99999,VLOOKUP($AG4,$C$17:$Z$25,24,0))</f>
        <v>99999</v>
      </c>
      <c r="AJ4" s="581">
        <f t="shared" ref="AJ4:AJ12" ca="1" si="24">RANK(AI4,AI$4:AI$12,1)+INDEX($E$4:$E$12,MATCH(AG4,$F$4:$F$12,0))/100+ROW()/10000</f>
        <v>1.0504</v>
      </c>
      <c r="AK4" s="586">
        <f t="shared" ref="AK4:AK12" ca="1" si="25">RANK($AJ4,$AJ$4:$AJ$12,1)</f>
        <v>1</v>
      </c>
      <c r="AL4" s="584" t="str">
        <f t="shared" ref="AL4:AL12" ca="1" si="26">IFERROR(INDEX($O$17:$V$25,ROW(E1),$AL$3),"")</f>
        <v/>
      </c>
      <c r="AM4" s="584" t="str">
        <f t="shared" ref="AM4:AM12" ca="1" si="27">INDEX($AL$4:$AL$12,MATCH(ROW(A1),$AP$4:$AP$12,0))</f>
        <v/>
      </c>
      <c r="AN4" s="585">
        <f t="shared" ref="AN4:AN12" ca="1" si="28">IF($AL4="",99999,VLOOKUP($AL4,$C$17:$Z$25,24,0))</f>
        <v>99999</v>
      </c>
      <c r="AO4" s="581">
        <f t="shared" ref="AO4:AO12" ca="1" si="29">RANK(AN4,AN$4:AN$12,1)+INDEX($E$4:$E$12,MATCH(AL4,$F$4:$F$12,0))/100+ROW()/10000</f>
        <v>1.0504</v>
      </c>
      <c r="AP4" s="586">
        <f t="shared" ref="AP4:AP12" ca="1" si="30">RANK($AO4,$AO$4:$AO$12,1)</f>
        <v>1</v>
      </c>
      <c r="AR4" s="2">
        <f ca="1">IF(Einstellungen!$G$7,$I4,ROUND($I4,Einstellungen!$H$7))</f>
        <v>15</v>
      </c>
    </row>
    <row r="5" spans="1:44" s="2" customFormat="1" x14ac:dyDescent="0.2">
      <c r="A5" s="239"/>
      <c r="B5" s="1">
        <v>2</v>
      </c>
      <c r="C5" s="21">
        <f t="shared" ca="1" si="1"/>
        <v>3</v>
      </c>
      <c r="D5" s="12">
        <f t="shared" ca="1" si="2"/>
        <v>3.0049999999999999</v>
      </c>
      <c r="E5" s="252">
        <f t="shared" ca="1" si="3"/>
        <v>3</v>
      </c>
      <c r="F5" s="1" t="str">
        <f t="shared" ref="F5:F12" ca="1" si="31">$Q65</f>
        <v>FC Grönlingen</v>
      </c>
      <c r="G5" s="1">
        <f t="shared" ca="1" si="4"/>
        <v>136</v>
      </c>
      <c r="H5" s="1">
        <f t="shared" ca="1" si="5"/>
        <v>139</v>
      </c>
      <c r="I5" s="12">
        <f ca="1">IF(Einstellungen!$G$7,G5-H5,IF(H5=0,IF(G5=0,0,Einstellungen!$F$7),G5/H5))</f>
        <v>-3</v>
      </c>
      <c r="J5" s="1">
        <f t="shared" ca="1" si="6"/>
        <v>3</v>
      </c>
      <c r="K5" s="1">
        <f t="shared" ca="1" si="7"/>
        <v>3</v>
      </c>
      <c r="L5" s="1">
        <f t="shared" ca="1" si="8"/>
        <v>1</v>
      </c>
      <c r="M5" s="1">
        <f t="shared" ca="1" si="9"/>
        <v>1</v>
      </c>
      <c r="N5" s="1">
        <f t="shared" ca="1" si="10"/>
        <v>1</v>
      </c>
      <c r="O5" s="23"/>
      <c r="P5" s="24"/>
      <c r="V5" s="1"/>
      <c r="W5" s="583" t="str">
        <f t="shared" ca="1" si="11"/>
        <v/>
      </c>
      <c r="X5" s="584" t="str">
        <f t="shared" ca="1" si="12"/>
        <v/>
      </c>
      <c r="Y5" s="581">
        <f t="shared" ca="1" si="13"/>
        <v>99999</v>
      </c>
      <c r="Z5" s="581">
        <f t="shared" ca="1" si="14"/>
        <v>1.0505</v>
      </c>
      <c r="AA5" s="586">
        <f t="shared" ca="1" si="15"/>
        <v>2</v>
      </c>
      <c r="AB5" s="583" t="str">
        <f t="shared" ca="1" si="16"/>
        <v/>
      </c>
      <c r="AC5" s="584" t="str">
        <f t="shared" ca="1" si="17"/>
        <v/>
      </c>
      <c r="AD5" s="585">
        <f t="shared" ca="1" si="18"/>
        <v>99999</v>
      </c>
      <c r="AE5" s="581">
        <f t="shared" ca="1" si="19"/>
        <v>1.0505</v>
      </c>
      <c r="AF5" s="581">
        <f t="shared" ca="1" si="20"/>
        <v>2</v>
      </c>
      <c r="AG5" s="583" t="str">
        <f t="shared" ca="1" si="21"/>
        <v/>
      </c>
      <c r="AH5" s="584" t="str">
        <f t="shared" ca="1" si="22"/>
        <v/>
      </c>
      <c r="AI5" s="585">
        <f t="shared" ca="1" si="23"/>
        <v>99999</v>
      </c>
      <c r="AJ5" s="581">
        <f t="shared" ca="1" si="24"/>
        <v>1.0505</v>
      </c>
      <c r="AK5" s="586">
        <f t="shared" ca="1" si="25"/>
        <v>2</v>
      </c>
      <c r="AL5" s="584" t="str">
        <f t="shared" ca="1" si="26"/>
        <v/>
      </c>
      <c r="AM5" s="584" t="str">
        <f t="shared" ca="1" si="27"/>
        <v/>
      </c>
      <c r="AN5" s="585">
        <f t="shared" ca="1" si="28"/>
        <v>99999</v>
      </c>
      <c r="AO5" s="581">
        <f t="shared" ca="1" si="29"/>
        <v>1.0505</v>
      </c>
      <c r="AP5" s="586">
        <f t="shared" ca="1" si="30"/>
        <v>2</v>
      </c>
      <c r="AR5" s="2">
        <f ca="1">IF(Einstellungen!$G$7,$I5,ROUND($I5,Einstellungen!$H$7))</f>
        <v>-3</v>
      </c>
    </row>
    <row r="6" spans="1:44" s="2" customFormat="1" x14ac:dyDescent="0.2">
      <c r="A6" s="239"/>
      <c r="B6" s="1">
        <v>3</v>
      </c>
      <c r="C6" s="21">
        <f t="shared" ca="1" si="1"/>
        <v>4</v>
      </c>
      <c r="D6" s="12">
        <f t="shared" ca="1" si="2"/>
        <v>4.0060000000000002</v>
      </c>
      <c r="E6" s="252">
        <f t="shared" ca="1" si="3"/>
        <v>4</v>
      </c>
      <c r="F6" s="1" t="str">
        <f t="shared" ca="1" si="31"/>
        <v>FC Barcelona</v>
      </c>
      <c r="G6" s="1">
        <f t="shared" ca="1" si="4"/>
        <v>120</v>
      </c>
      <c r="H6" s="1">
        <f t="shared" ca="1" si="5"/>
        <v>142</v>
      </c>
      <c r="I6" s="12">
        <f ca="1">IF(Einstellungen!$G$7,G6-H6,IF(H6=0,IF(G6=0,0,Einstellungen!$F$7),G6/H6))</f>
        <v>-22</v>
      </c>
      <c r="J6" s="1">
        <f t="shared" ca="1" si="6"/>
        <v>2</v>
      </c>
      <c r="K6" s="1">
        <f t="shared" ca="1" si="7"/>
        <v>3</v>
      </c>
      <c r="L6" s="1">
        <f t="shared" ca="1" si="8"/>
        <v>0</v>
      </c>
      <c r="M6" s="1">
        <f t="shared" ca="1" si="9"/>
        <v>2</v>
      </c>
      <c r="N6" s="1">
        <f t="shared" ca="1" si="10"/>
        <v>1</v>
      </c>
      <c r="O6" s="23"/>
      <c r="P6" s="24"/>
      <c r="V6" s="1"/>
      <c r="W6" s="583" t="str">
        <f t="shared" ca="1" si="11"/>
        <v/>
      </c>
      <c r="X6" s="584" t="str">
        <f t="shared" ca="1" si="12"/>
        <v/>
      </c>
      <c r="Y6" s="581">
        <f t="shared" ca="1" si="13"/>
        <v>99999</v>
      </c>
      <c r="Z6" s="581">
        <f t="shared" ca="1" si="14"/>
        <v>1.0506</v>
      </c>
      <c r="AA6" s="586">
        <f t="shared" ca="1" si="15"/>
        <v>3</v>
      </c>
      <c r="AB6" s="583" t="str">
        <f t="shared" ca="1" si="16"/>
        <v/>
      </c>
      <c r="AC6" s="584" t="str">
        <f t="shared" ca="1" si="17"/>
        <v/>
      </c>
      <c r="AD6" s="585">
        <f t="shared" ca="1" si="18"/>
        <v>99999</v>
      </c>
      <c r="AE6" s="581">
        <f t="shared" ca="1" si="19"/>
        <v>1.0506</v>
      </c>
      <c r="AF6" s="581">
        <f t="shared" ca="1" si="20"/>
        <v>3</v>
      </c>
      <c r="AG6" s="583" t="str">
        <f t="shared" ca="1" si="21"/>
        <v/>
      </c>
      <c r="AH6" s="584" t="str">
        <f t="shared" ca="1" si="22"/>
        <v/>
      </c>
      <c r="AI6" s="585">
        <f t="shared" ca="1" si="23"/>
        <v>99999</v>
      </c>
      <c r="AJ6" s="581">
        <f t="shared" ca="1" si="24"/>
        <v>1.0506</v>
      </c>
      <c r="AK6" s="586">
        <f t="shared" ca="1" si="25"/>
        <v>3</v>
      </c>
      <c r="AL6" s="584" t="str">
        <f t="shared" ca="1" si="26"/>
        <v/>
      </c>
      <c r="AM6" s="584" t="str">
        <f t="shared" ca="1" si="27"/>
        <v/>
      </c>
      <c r="AN6" s="585">
        <f t="shared" ca="1" si="28"/>
        <v>99999</v>
      </c>
      <c r="AO6" s="581">
        <f t="shared" ca="1" si="29"/>
        <v>1.0506</v>
      </c>
      <c r="AP6" s="586">
        <f t="shared" ca="1" si="30"/>
        <v>3</v>
      </c>
      <c r="AR6" s="2">
        <f ca="1">IF(Einstellungen!$G$7,$I6,ROUND($I6,Einstellungen!$H$7))</f>
        <v>-22</v>
      </c>
    </row>
    <row r="7" spans="1:44" s="2" customFormat="1" x14ac:dyDescent="0.2">
      <c r="A7" s="239"/>
      <c r="B7" s="1">
        <v>4</v>
      </c>
      <c r="C7" s="21">
        <f t="shared" ca="1" si="1"/>
        <v>2</v>
      </c>
      <c r="D7" s="12">
        <f t="shared" ca="1" si="2"/>
        <v>2.0070000000000001</v>
      </c>
      <c r="E7" s="252">
        <f t="shared" ca="1" si="3"/>
        <v>2</v>
      </c>
      <c r="F7" s="1" t="str">
        <f t="shared" ca="1" si="31"/>
        <v>SSV Wildbach</v>
      </c>
      <c r="G7" s="1">
        <f t="shared" ca="1" si="4"/>
        <v>138</v>
      </c>
      <c r="H7" s="1">
        <f t="shared" ca="1" si="5"/>
        <v>128</v>
      </c>
      <c r="I7" s="12">
        <f ca="1">IF(Einstellungen!$G$7,G7-H7,IF(H7=0,IF(G7=0,0,Einstellungen!$F$7),G7/H7))</f>
        <v>10</v>
      </c>
      <c r="J7" s="1">
        <f t="shared" ca="1" si="6"/>
        <v>3</v>
      </c>
      <c r="K7" s="1">
        <f t="shared" ca="1" si="7"/>
        <v>3</v>
      </c>
      <c r="L7" s="1">
        <f t="shared" ca="1" si="8"/>
        <v>0</v>
      </c>
      <c r="M7" s="1">
        <f t="shared" ca="1" si="9"/>
        <v>3</v>
      </c>
      <c r="N7" s="1">
        <f t="shared" ca="1" si="10"/>
        <v>0</v>
      </c>
      <c r="O7" s="23"/>
      <c r="P7" s="24"/>
      <c r="V7" s="1"/>
      <c r="W7" s="583" t="str">
        <f t="shared" ca="1" si="11"/>
        <v/>
      </c>
      <c r="X7" s="584" t="str">
        <f t="shared" ca="1" si="12"/>
        <v/>
      </c>
      <c r="Y7" s="581">
        <f t="shared" ca="1" si="13"/>
        <v>99999</v>
      </c>
      <c r="Z7" s="581">
        <f t="shared" ca="1" si="14"/>
        <v>1.0507</v>
      </c>
      <c r="AA7" s="586">
        <f t="shared" ca="1" si="15"/>
        <v>4</v>
      </c>
      <c r="AB7" s="583" t="str">
        <f t="shared" ca="1" si="16"/>
        <v/>
      </c>
      <c r="AC7" s="584" t="str">
        <f t="shared" ca="1" si="17"/>
        <v/>
      </c>
      <c r="AD7" s="585">
        <f t="shared" ca="1" si="18"/>
        <v>99999</v>
      </c>
      <c r="AE7" s="581">
        <f t="shared" ca="1" si="19"/>
        <v>1.0507</v>
      </c>
      <c r="AF7" s="581">
        <f t="shared" ca="1" si="20"/>
        <v>4</v>
      </c>
      <c r="AG7" s="583" t="str">
        <f t="shared" ca="1" si="21"/>
        <v/>
      </c>
      <c r="AH7" s="584" t="str">
        <f t="shared" ca="1" si="22"/>
        <v/>
      </c>
      <c r="AI7" s="585">
        <f t="shared" ca="1" si="23"/>
        <v>99999</v>
      </c>
      <c r="AJ7" s="581">
        <f t="shared" ca="1" si="24"/>
        <v>1.0507</v>
      </c>
      <c r="AK7" s="586">
        <f t="shared" ca="1" si="25"/>
        <v>4</v>
      </c>
      <c r="AL7" s="584" t="str">
        <f t="shared" ca="1" si="26"/>
        <v/>
      </c>
      <c r="AM7" s="584" t="str">
        <f t="shared" ca="1" si="27"/>
        <v/>
      </c>
      <c r="AN7" s="585">
        <f t="shared" ca="1" si="28"/>
        <v>99999</v>
      </c>
      <c r="AO7" s="581">
        <f t="shared" ca="1" si="29"/>
        <v>1.0507</v>
      </c>
      <c r="AP7" s="586">
        <f t="shared" ca="1" si="30"/>
        <v>4</v>
      </c>
      <c r="AR7" s="2">
        <f ca="1">IF(Einstellungen!$G$7,$I7,ROUND($I7,Einstellungen!$H$7))</f>
        <v>10</v>
      </c>
    </row>
    <row r="8" spans="1:44" s="2" customFormat="1" x14ac:dyDescent="0.2">
      <c r="A8" s="239"/>
      <c r="B8" s="1">
        <v>5</v>
      </c>
      <c r="C8" s="21">
        <f t="shared" ca="1" si="1"/>
        <v>5</v>
      </c>
      <c r="D8" s="12">
        <f t="shared" ca="1" si="2"/>
        <v>15.007999999999999</v>
      </c>
      <c r="E8" s="252">
        <f t="shared" ca="1" si="3"/>
        <v>5</v>
      </c>
      <c r="F8" s="1" t="str">
        <f t="shared" si="31"/>
        <v/>
      </c>
      <c r="G8" s="1">
        <f t="shared" ca="1" si="4"/>
        <v>0</v>
      </c>
      <c r="H8" s="1">
        <f t="shared" ca="1" si="5"/>
        <v>0</v>
      </c>
      <c r="I8" s="12">
        <f ca="1">IF(Einstellungen!$G$7,G8-H8,IF(H8=0,IF(G8=0,0,Einstellungen!$F$7),G8/H8))</f>
        <v>0</v>
      </c>
      <c r="J8" s="1">
        <f ca="1">SUMPRODUCT(($V$64:$V$135=F8)*$AE$64:$AE$135*$AA$64:$AA$135)+SUMPRODUCT(($W$64:$W$135=F8)*$AF$64:$AF$135*$AA$64:$AA$135)</f>
        <v>0</v>
      </c>
      <c r="K8" s="1">
        <f t="shared" ca="1" si="7"/>
        <v>0</v>
      </c>
      <c r="L8" s="1">
        <f t="shared" ca="1" si="8"/>
        <v>0</v>
      </c>
      <c r="M8" s="1">
        <f t="shared" ca="1" si="9"/>
        <v>0</v>
      </c>
      <c r="N8" s="1">
        <f t="shared" ca="1" si="10"/>
        <v>0</v>
      </c>
      <c r="P8" s="24"/>
      <c r="W8" s="583" t="str">
        <f t="shared" ca="1" si="11"/>
        <v/>
      </c>
      <c r="X8" s="584" t="str">
        <f t="shared" ca="1" si="12"/>
        <v/>
      </c>
      <c r="Y8" s="581">
        <f t="shared" ca="1" si="13"/>
        <v>99999</v>
      </c>
      <c r="Z8" s="581">
        <f t="shared" ca="1" si="14"/>
        <v>1.0508</v>
      </c>
      <c r="AA8" s="586">
        <f t="shared" ca="1" si="15"/>
        <v>5</v>
      </c>
      <c r="AB8" s="583" t="str">
        <f t="shared" ca="1" si="16"/>
        <v/>
      </c>
      <c r="AC8" s="584" t="str">
        <f t="shared" ca="1" si="17"/>
        <v/>
      </c>
      <c r="AD8" s="585">
        <f t="shared" ca="1" si="18"/>
        <v>99999</v>
      </c>
      <c r="AE8" s="581">
        <f t="shared" ca="1" si="19"/>
        <v>1.0508</v>
      </c>
      <c r="AF8" s="581">
        <f t="shared" ca="1" si="20"/>
        <v>5</v>
      </c>
      <c r="AG8" s="583" t="str">
        <f t="shared" ca="1" si="21"/>
        <v/>
      </c>
      <c r="AH8" s="584" t="str">
        <f t="shared" ca="1" si="22"/>
        <v/>
      </c>
      <c r="AI8" s="585">
        <f t="shared" ca="1" si="23"/>
        <v>99999</v>
      </c>
      <c r="AJ8" s="581">
        <f t="shared" ca="1" si="24"/>
        <v>1.0508</v>
      </c>
      <c r="AK8" s="586">
        <f t="shared" ca="1" si="25"/>
        <v>5</v>
      </c>
      <c r="AL8" s="584" t="str">
        <f t="shared" ca="1" si="26"/>
        <v/>
      </c>
      <c r="AM8" s="584" t="str">
        <f t="shared" ca="1" si="27"/>
        <v/>
      </c>
      <c r="AN8" s="585">
        <f t="shared" ca="1" si="28"/>
        <v>99999</v>
      </c>
      <c r="AO8" s="581">
        <f t="shared" ca="1" si="29"/>
        <v>1.0508</v>
      </c>
      <c r="AP8" s="586">
        <f t="shared" ca="1" si="30"/>
        <v>5</v>
      </c>
      <c r="AR8" s="2">
        <f ca="1">IF(Einstellungen!$G$7,$I8,ROUND($I8,Einstellungen!$H$7))</f>
        <v>0</v>
      </c>
    </row>
    <row r="9" spans="1:44" s="2" customFormat="1" x14ac:dyDescent="0.2">
      <c r="A9" s="239"/>
      <c r="B9" s="1">
        <v>6</v>
      </c>
      <c r="C9" s="21">
        <f t="shared" ca="1" si="1"/>
        <v>6</v>
      </c>
      <c r="D9" s="12">
        <f t="shared" ca="1" si="2"/>
        <v>15.009</v>
      </c>
      <c r="E9" s="252">
        <f t="shared" ca="1" si="3"/>
        <v>5</v>
      </c>
      <c r="F9" s="1" t="str">
        <f t="shared" si="31"/>
        <v/>
      </c>
      <c r="G9" s="1">
        <f t="shared" ca="1" si="4"/>
        <v>0</v>
      </c>
      <c r="H9" s="1">
        <f t="shared" ca="1" si="5"/>
        <v>0</v>
      </c>
      <c r="I9" s="12">
        <f ca="1">IF(Einstellungen!$G$7,G9-H9,IF(H9=0,IF(G9=0,0,Einstellungen!$F$7),G9/H9))</f>
        <v>0</v>
      </c>
      <c r="J9" s="1">
        <f t="shared" ref="J9:J12" ca="1" si="32">SUMPRODUCT(($V$64:$V$135=F9)*$AE$64:$AE$135*$AA$64:$AA$135)+SUMPRODUCT(($W$64:$W$135=F9)*$AF$64:$AF$135*$AA$64:$AA$135)</f>
        <v>0</v>
      </c>
      <c r="K9" s="1">
        <f t="shared" ca="1" si="7"/>
        <v>0</v>
      </c>
      <c r="L9" s="1">
        <f t="shared" ca="1" si="8"/>
        <v>0</v>
      </c>
      <c r="M9" s="1">
        <f t="shared" ca="1" si="9"/>
        <v>0</v>
      </c>
      <c r="N9" s="1">
        <f t="shared" ca="1" si="10"/>
        <v>0</v>
      </c>
      <c r="P9" s="24"/>
      <c r="W9" s="583" t="str">
        <f t="shared" ca="1" si="11"/>
        <v/>
      </c>
      <c r="X9" s="584" t="str">
        <f t="shared" ca="1" si="12"/>
        <v/>
      </c>
      <c r="Y9" s="581">
        <f t="shared" ca="1" si="13"/>
        <v>99999</v>
      </c>
      <c r="Z9" s="581">
        <f t="shared" ca="1" si="14"/>
        <v>1.0508999999999999</v>
      </c>
      <c r="AA9" s="586">
        <f t="shared" ca="1" si="15"/>
        <v>6</v>
      </c>
      <c r="AB9" s="583" t="str">
        <f t="shared" ca="1" si="16"/>
        <v/>
      </c>
      <c r="AC9" s="584" t="str">
        <f t="shared" ca="1" si="17"/>
        <v/>
      </c>
      <c r="AD9" s="585">
        <f t="shared" ca="1" si="18"/>
        <v>99999</v>
      </c>
      <c r="AE9" s="581">
        <f t="shared" ca="1" si="19"/>
        <v>1.0508999999999999</v>
      </c>
      <c r="AF9" s="581">
        <f t="shared" ca="1" si="20"/>
        <v>6</v>
      </c>
      <c r="AG9" s="583" t="str">
        <f t="shared" ca="1" si="21"/>
        <v/>
      </c>
      <c r="AH9" s="584" t="str">
        <f t="shared" ca="1" si="22"/>
        <v/>
      </c>
      <c r="AI9" s="585">
        <f t="shared" ca="1" si="23"/>
        <v>99999</v>
      </c>
      <c r="AJ9" s="581">
        <f t="shared" ca="1" si="24"/>
        <v>1.0508999999999999</v>
      </c>
      <c r="AK9" s="586">
        <f t="shared" ca="1" si="25"/>
        <v>6</v>
      </c>
      <c r="AL9" s="584" t="str">
        <f t="shared" ca="1" si="26"/>
        <v/>
      </c>
      <c r="AM9" s="584" t="str">
        <f t="shared" ca="1" si="27"/>
        <v/>
      </c>
      <c r="AN9" s="585">
        <f t="shared" ca="1" si="28"/>
        <v>99999</v>
      </c>
      <c r="AO9" s="581">
        <f t="shared" ca="1" si="29"/>
        <v>1.0508999999999999</v>
      </c>
      <c r="AP9" s="586">
        <f t="shared" ca="1" si="30"/>
        <v>6</v>
      </c>
      <c r="AR9" s="2">
        <f ca="1">IF(Einstellungen!$G$7,$I9,ROUND($I9,Einstellungen!$H$7))</f>
        <v>0</v>
      </c>
    </row>
    <row r="10" spans="1:44" s="2" customFormat="1" x14ac:dyDescent="0.2">
      <c r="A10" s="239"/>
      <c r="B10" s="1">
        <v>7</v>
      </c>
      <c r="C10" s="21">
        <f t="shared" ca="1" si="1"/>
        <v>7</v>
      </c>
      <c r="D10" s="12">
        <f t="shared" ca="1" si="2"/>
        <v>15.01</v>
      </c>
      <c r="E10" s="252">
        <f t="shared" ca="1" si="3"/>
        <v>5</v>
      </c>
      <c r="F10" s="1" t="str">
        <f t="shared" si="31"/>
        <v/>
      </c>
      <c r="G10" s="1">
        <f t="shared" ca="1" si="4"/>
        <v>0</v>
      </c>
      <c r="H10" s="1">
        <f t="shared" ca="1" si="5"/>
        <v>0</v>
      </c>
      <c r="I10" s="12">
        <f ca="1">IF(Einstellungen!$G$7,G10-H10,IF(H10=0,IF(G10=0,0,Einstellungen!$F$7),G10/H10))</f>
        <v>0</v>
      </c>
      <c r="J10" s="1">
        <f t="shared" ca="1" si="32"/>
        <v>0</v>
      </c>
      <c r="K10" s="1">
        <f t="shared" ca="1" si="7"/>
        <v>0</v>
      </c>
      <c r="L10" s="1">
        <f t="shared" ca="1" si="8"/>
        <v>0</v>
      </c>
      <c r="M10" s="1">
        <f t="shared" ca="1" si="9"/>
        <v>0</v>
      </c>
      <c r="N10" s="1">
        <f t="shared" ca="1" si="10"/>
        <v>0</v>
      </c>
      <c r="P10" s="24"/>
      <c r="W10" s="583" t="str">
        <f t="shared" ca="1" si="11"/>
        <v/>
      </c>
      <c r="X10" s="584" t="str">
        <f t="shared" ca="1" si="12"/>
        <v/>
      </c>
      <c r="Y10" s="581">
        <f t="shared" ca="1" si="13"/>
        <v>99999</v>
      </c>
      <c r="Z10" s="581">
        <f t="shared" ca="1" si="14"/>
        <v>1.0509999999999999</v>
      </c>
      <c r="AA10" s="586">
        <f t="shared" ca="1" si="15"/>
        <v>7</v>
      </c>
      <c r="AB10" s="583" t="str">
        <f t="shared" ca="1" si="16"/>
        <v/>
      </c>
      <c r="AC10" s="584" t="str">
        <f t="shared" ca="1" si="17"/>
        <v/>
      </c>
      <c r="AD10" s="585">
        <f t="shared" ca="1" si="18"/>
        <v>99999</v>
      </c>
      <c r="AE10" s="581">
        <f t="shared" ca="1" si="19"/>
        <v>1.0509999999999999</v>
      </c>
      <c r="AF10" s="581">
        <f t="shared" ca="1" si="20"/>
        <v>7</v>
      </c>
      <c r="AG10" s="583" t="str">
        <f t="shared" ca="1" si="21"/>
        <v/>
      </c>
      <c r="AH10" s="584" t="str">
        <f t="shared" ca="1" si="22"/>
        <v/>
      </c>
      <c r="AI10" s="585">
        <f t="shared" ca="1" si="23"/>
        <v>99999</v>
      </c>
      <c r="AJ10" s="581">
        <f t="shared" ca="1" si="24"/>
        <v>1.0509999999999999</v>
      </c>
      <c r="AK10" s="586">
        <f t="shared" ca="1" si="25"/>
        <v>7</v>
      </c>
      <c r="AL10" s="584" t="str">
        <f t="shared" ca="1" si="26"/>
        <v/>
      </c>
      <c r="AM10" s="584" t="str">
        <f t="shared" ca="1" si="27"/>
        <v/>
      </c>
      <c r="AN10" s="585">
        <f t="shared" ca="1" si="28"/>
        <v>99999</v>
      </c>
      <c r="AO10" s="581">
        <f t="shared" ca="1" si="29"/>
        <v>1.0509999999999999</v>
      </c>
      <c r="AP10" s="586">
        <f t="shared" ca="1" si="30"/>
        <v>7</v>
      </c>
      <c r="AR10" s="2">
        <f ca="1">IF(Einstellungen!$G$7,$I10,ROUND($I10,Einstellungen!$H$7))</f>
        <v>0</v>
      </c>
    </row>
    <row r="11" spans="1:44" s="2" customFormat="1" x14ac:dyDescent="0.2">
      <c r="A11" s="239"/>
      <c r="B11" s="1">
        <v>8</v>
      </c>
      <c r="C11" s="21">
        <f t="shared" ca="1" si="1"/>
        <v>8</v>
      </c>
      <c r="D11" s="12">
        <f t="shared" ca="1" si="2"/>
        <v>15.010999999999999</v>
      </c>
      <c r="E11" s="252">
        <f t="shared" ca="1" si="3"/>
        <v>5</v>
      </c>
      <c r="F11" s="1" t="str">
        <f t="shared" si="31"/>
        <v/>
      </c>
      <c r="G11" s="1">
        <f t="shared" ca="1" si="4"/>
        <v>0</v>
      </c>
      <c r="H11" s="1">
        <f t="shared" ca="1" si="5"/>
        <v>0</v>
      </c>
      <c r="I11" s="12">
        <f ca="1">IF(Einstellungen!$G$7,G11-H11,IF(H11=0,IF(G11=0,0,Einstellungen!$F$7),G11/H11))</f>
        <v>0</v>
      </c>
      <c r="J11" s="1">
        <f t="shared" ca="1" si="32"/>
        <v>0</v>
      </c>
      <c r="K11" s="1">
        <f t="shared" ca="1" si="7"/>
        <v>0</v>
      </c>
      <c r="L11" s="1">
        <f t="shared" ca="1" si="8"/>
        <v>0</v>
      </c>
      <c r="M11" s="1">
        <f t="shared" ca="1" si="9"/>
        <v>0</v>
      </c>
      <c r="N11" s="1">
        <f t="shared" ca="1" si="10"/>
        <v>0</v>
      </c>
      <c r="O11" s="12"/>
      <c r="P11" s="12"/>
      <c r="Q11" s="12"/>
      <c r="R11" s="12"/>
      <c r="S11" s="12"/>
      <c r="T11" s="12"/>
      <c r="U11" s="12"/>
      <c r="V11" s="12"/>
      <c r="W11" s="583" t="str">
        <f t="shared" ca="1" si="11"/>
        <v/>
      </c>
      <c r="X11" s="584" t="str">
        <f t="shared" ca="1" si="12"/>
        <v/>
      </c>
      <c r="Y11" s="581">
        <f t="shared" ca="1" si="13"/>
        <v>99999</v>
      </c>
      <c r="Z11" s="581">
        <f t="shared" ca="1" si="14"/>
        <v>1.0511000000000001</v>
      </c>
      <c r="AA11" s="586">
        <f t="shared" ca="1" si="15"/>
        <v>8</v>
      </c>
      <c r="AB11" s="583" t="str">
        <f t="shared" ca="1" si="16"/>
        <v/>
      </c>
      <c r="AC11" s="584" t="str">
        <f t="shared" ca="1" si="17"/>
        <v/>
      </c>
      <c r="AD11" s="585">
        <f t="shared" ca="1" si="18"/>
        <v>99999</v>
      </c>
      <c r="AE11" s="581">
        <f t="shared" ca="1" si="19"/>
        <v>1.0511000000000001</v>
      </c>
      <c r="AF11" s="581">
        <f t="shared" ca="1" si="20"/>
        <v>8</v>
      </c>
      <c r="AG11" s="583" t="str">
        <f t="shared" ca="1" si="21"/>
        <v/>
      </c>
      <c r="AH11" s="584" t="str">
        <f t="shared" ca="1" si="22"/>
        <v/>
      </c>
      <c r="AI11" s="585">
        <f t="shared" ca="1" si="23"/>
        <v>99999</v>
      </c>
      <c r="AJ11" s="581">
        <f t="shared" ca="1" si="24"/>
        <v>1.0511000000000001</v>
      </c>
      <c r="AK11" s="586">
        <f t="shared" ca="1" si="25"/>
        <v>8</v>
      </c>
      <c r="AL11" s="584" t="str">
        <f t="shared" ca="1" si="26"/>
        <v/>
      </c>
      <c r="AM11" s="584" t="str">
        <f t="shared" ca="1" si="27"/>
        <v/>
      </c>
      <c r="AN11" s="585">
        <f t="shared" ca="1" si="28"/>
        <v>99999</v>
      </c>
      <c r="AO11" s="581">
        <f t="shared" ca="1" si="29"/>
        <v>1.0511000000000001</v>
      </c>
      <c r="AP11" s="586">
        <f t="shared" ca="1" si="30"/>
        <v>8</v>
      </c>
      <c r="AR11" s="2">
        <f ca="1">IF(Einstellungen!$G$7,$I11,ROUND($I11,Einstellungen!$H$7))</f>
        <v>0</v>
      </c>
    </row>
    <row r="12" spans="1:44" s="2" customFormat="1" ht="12.75" thickBot="1" x14ac:dyDescent="0.25">
      <c r="A12" s="239"/>
      <c r="B12" s="1">
        <v>9</v>
      </c>
      <c r="C12" s="22">
        <f t="shared" ca="1" si="1"/>
        <v>9</v>
      </c>
      <c r="D12" s="12">
        <f t="shared" ca="1" si="2"/>
        <v>15.012</v>
      </c>
      <c r="E12" s="252">
        <f t="shared" ca="1" si="3"/>
        <v>5</v>
      </c>
      <c r="F12" s="1" t="str">
        <f t="shared" si="31"/>
        <v/>
      </c>
      <c r="G12" s="1">
        <f t="shared" ca="1" si="4"/>
        <v>0</v>
      </c>
      <c r="H12" s="1">
        <f t="shared" ca="1" si="5"/>
        <v>0</v>
      </c>
      <c r="I12" s="12">
        <f ca="1">IF(Einstellungen!$G$7,G12-H12,IF(H12=0,IF(G12=0,0,Einstellungen!$F$7),G12/H12))</f>
        <v>0</v>
      </c>
      <c r="J12" s="1">
        <f t="shared" ca="1" si="32"/>
        <v>0</v>
      </c>
      <c r="K12" s="27">
        <f t="shared" ca="1" si="7"/>
        <v>0</v>
      </c>
      <c r="L12" s="1">
        <f t="shared" ca="1" si="8"/>
        <v>0</v>
      </c>
      <c r="M12" s="1">
        <f t="shared" ca="1" si="9"/>
        <v>0</v>
      </c>
      <c r="N12" s="1">
        <f t="shared" ca="1" si="10"/>
        <v>0</v>
      </c>
      <c r="O12" s="1"/>
      <c r="P12" s="1"/>
      <c r="Q12" s="1"/>
      <c r="R12" s="1"/>
      <c r="S12" s="1"/>
      <c r="T12" s="1"/>
      <c r="U12" s="1"/>
      <c r="V12" s="1"/>
      <c r="W12" s="587" t="str">
        <f t="shared" ca="1" si="11"/>
        <v/>
      </c>
      <c r="X12" s="588" t="str">
        <f t="shared" ca="1" si="12"/>
        <v/>
      </c>
      <c r="Y12" s="589">
        <f t="shared" ca="1" si="13"/>
        <v>99999</v>
      </c>
      <c r="Z12" s="589">
        <f t="shared" ca="1" si="14"/>
        <v>1.0512000000000001</v>
      </c>
      <c r="AA12" s="590">
        <f t="shared" ca="1" si="15"/>
        <v>9</v>
      </c>
      <c r="AB12" s="587" t="str">
        <f t="shared" ca="1" si="16"/>
        <v/>
      </c>
      <c r="AC12" s="588" t="str">
        <f t="shared" ca="1" si="17"/>
        <v/>
      </c>
      <c r="AD12" s="591">
        <f t="shared" ca="1" si="18"/>
        <v>99999</v>
      </c>
      <c r="AE12" s="589">
        <f t="shared" ca="1" si="19"/>
        <v>1.0512000000000001</v>
      </c>
      <c r="AF12" s="589">
        <f t="shared" ca="1" si="20"/>
        <v>9</v>
      </c>
      <c r="AG12" s="587" t="str">
        <f t="shared" ca="1" si="21"/>
        <v/>
      </c>
      <c r="AH12" s="588" t="str">
        <f t="shared" ca="1" si="22"/>
        <v/>
      </c>
      <c r="AI12" s="591">
        <f t="shared" ca="1" si="23"/>
        <v>99999</v>
      </c>
      <c r="AJ12" s="589">
        <f t="shared" ca="1" si="24"/>
        <v>1.0512000000000001</v>
      </c>
      <c r="AK12" s="590">
        <f t="shared" ca="1" si="25"/>
        <v>9</v>
      </c>
      <c r="AL12" s="588" t="str">
        <f t="shared" ca="1" si="26"/>
        <v/>
      </c>
      <c r="AM12" s="588" t="str">
        <f t="shared" ca="1" si="27"/>
        <v/>
      </c>
      <c r="AN12" s="591">
        <f t="shared" ca="1" si="28"/>
        <v>99999</v>
      </c>
      <c r="AO12" s="589">
        <f t="shared" ca="1" si="29"/>
        <v>1.0512000000000001</v>
      </c>
      <c r="AP12" s="590">
        <f t="shared" ca="1" si="30"/>
        <v>9</v>
      </c>
      <c r="AR12" s="2">
        <f ca="1">IF(Einstellungen!$G$7,$I12,ROUND($I12,Einstellungen!$H$7))</f>
        <v>0</v>
      </c>
    </row>
    <row r="13" spans="1:44" s="2" customFormat="1" ht="12.75" thickTop="1" x14ac:dyDescent="0.2">
      <c r="B13" s="12">
        <f ca="1">$F$13*($F$13-1)</f>
        <v>12</v>
      </c>
      <c r="C13" s="12"/>
      <c r="D13" s="12"/>
      <c r="E13" s="12"/>
      <c r="F13" s="12">
        <f ca="1">9-COUNTBLANK($F$4:$F$12)</f>
        <v>4</v>
      </c>
      <c r="G13" s="12"/>
      <c r="H13" s="12"/>
      <c r="I13" s="12"/>
      <c r="J13" s="12"/>
      <c r="K13" s="26">
        <f ca="1">QUOTIENT(SUM(K4:K12),2)</f>
        <v>6</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c r="AJ14" s="189"/>
    </row>
    <row r="15" spans="1:44" s="2" customFormat="1" x14ac:dyDescent="0.2">
      <c r="O15" s="11"/>
      <c r="AD15" s="928" t="s">
        <v>182</v>
      </c>
      <c r="AE15" s="929"/>
      <c r="AF15" s="929"/>
      <c r="AG15" s="929"/>
      <c r="AH15" s="930"/>
      <c r="AI15" s="2" t="b">
        <f>(Einstellungen!$B$7=Sprache!$E$105)</f>
        <v>0</v>
      </c>
      <c r="AK15" s="239"/>
    </row>
    <row r="16" spans="1:44" s="2" customFormat="1" ht="15.75" thickBot="1" x14ac:dyDescent="0.25">
      <c r="B16" s="12" t="s">
        <v>5</v>
      </c>
      <c r="C16" s="689" t="s">
        <v>97</v>
      </c>
      <c r="D16" s="689" t="s">
        <v>102</v>
      </c>
      <c r="E16" s="689" t="s">
        <v>103</v>
      </c>
      <c r="F16" s="689" t="s">
        <v>104</v>
      </c>
      <c r="G16" s="689" t="s">
        <v>105</v>
      </c>
      <c r="H16" s="689" t="s">
        <v>106</v>
      </c>
      <c r="I16" s="689" t="s">
        <v>107</v>
      </c>
      <c r="J16" s="689" t="s">
        <v>108</v>
      </c>
      <c r="K16" s="689" t="s">
        <v>109</v>
      </c>
      <c r="L16" s="10" t="s">
        <v>337</v>
      </c>
      <c r="M16" s="67" t="s">
        <v>96</v>
      </c>
      <c r="N16" s="67" t="s">
        <v>14</v>
      </c>
      <c r="O16" s="29">
        <v>1</v>
      </c>
      <c r="P16" s="1">
        <v>2</v>
      </c>
      <c r="Q16" s="1">
        <v>3</v>
      </c>
      <c r="R16" s="1">
        <v>4</v>
      </c>
      <c r="S16" s="1">
        <v>5</v>
      </c>
      <c r="T16" s="1">
        <v>6</v>
      </c>
      <c r="U16" s="1">
        <v>7</v>
      </c>
      <c r="V16" s="1">
        <v>8</v>
      </c>
      <c r="W16" s="10" t="s">
        <v>98</v>
      </c>
      <c r="X16" s="189" t="s">
        <v>169</v>
      </c>
      <c r="Y16" s="10" t="s">
        <v>208</v>
      </c>
      <c r="Z16" s="189" t="s">
        <v>209</v>
      </c>
      <c r="AA16" s="1" t="s">
        <v>109</v>
      </c>
      <c r="AB16" s="1" t="s">
        <v>108</v>
      </c>
      <c r="AC16" s="1"/>
      <c r="AD16" s="247" t="s">
        <v>109</v>
      </c>
      <c r="AE16" s="251" t="s">
        <v>108</v>
      </c>
      <c r="AF16" s="1" t="s">
        <v>108</v>
      </c>
      <c r="AG16" s="1" t="s">
        <v>181</v>
      </c>
      <c r="AH16" s="189" t="s">
        <v>169</v>
      </c>
    </row>
    <row r="17" spans="2:80" s="2" customFormat="1" ht="12.75" thickTop="1" x14ac:dyDescent="0.2">
      <c r="C17" s="2" t="str">
        <f ca="1">$Q64</f>
        <v>1. FC Riedwald</v>
      </c>
      <c r="D17" s="1">
        <f t="shared" ref="D17:G25" ca="1" si="33">K4</f>
        <v>3</v>
      </c>
      <c r="E17" s="1">
        <f t="shared" ca="1" si="33"/>
        <v>1</v>
      </c>
      <c r="F17" s="1">
        <f t="shared" ca="1" si="33"/>
        <v>2</v>
      </c>
      <c r="G17" s="1">
        <f t="shared" ca="1" si="33"/>
        <v>0</v>
      </c>
      <c r="H17" s="1">
        <f t="shared" ref="H17:K25" ca="1" si="34">G4</f>
        <v>136</v>
      </c>
      <c r="I17" s="1">
        <f t="shared" ca="1" si="34"/>
        <v>121</v>
      </c>
      <c r="J17" s="12">
        <f t="shared" ca="1" si="34"/>
        <v>15</v>
      </c>
      <c r="K17" s="1">
        <f t="shared" ca="1" si="34"/>
        <v>4</v>
      </c>
      <c r="L17" s="28">
        <f ca="1">K17*$F$64+(J17+$H$65)*$F$65</f>
        <v>4515000</v>
      </c>
      <c r="M17" s="13">
        <f ca="1">IF($AI$15,COUNTIF($K$17:$K$25,K17),COUNTIF($L$17:$L$25,L17))</f>
        <v>1</v>
      </c>
      <c r="N17" s="13">
        <f t="array" aca="1" ref="N17" ca="1">IF($AI$15,SUM(($K$17:$K$25&gt;=K17)/COUNTIF($K$17:$K$25,$K$17:$K$25)),SUM(($L$17:$L$25&gt;=L17)/COUNTIF($L$17:$L$25,$L$17:$L$25)))</f>
        <v>1</v>
      </c>
      <c r="O17" s="51" t="str">
        <f t="shared" ref="O17:O25" ca="1" si="35">IF(AND(M17&gt;1,N17=1),C17,"")</f>
        <v/>
      </c>
      <c r="P17" s="52" t="str">
        <f t="shared" ref="P17:P25" ca="1" si="36">IF(AND(M17&gt;1,N17=2),C17,"")</f>
        <v/>
      </c>
      <c r="Q17" s="52" t="str">
        <f t="shared" ref="Q17:Q25" ca="1" si="37">IF(AND(M17&gt;1,N17=3),C17,"")</f>
        <v/>
      </c>
      <c r="R17" s="52" t="str">
        <f t="shared" ref="R17:R25" ca="1" si="38">IF(AND(M17&gt;1,N17=4),C17,"")</f>
        <v/>
      </c>
      <c r="S17" s="52" t="str">
        <f t="shared" ref="S17:S25" ca="1" si="39">IF(AND(M17&gt;1,N17=5),C17,"")</f>
        <v/>
      </c>
      <c r="T17" s="52" t="str">
        <f t="shared" ref="T17:T25" ca="1" si="40">IF(AND($M17&gt;1,$N17=6),$C17,"")</f>
        <v/>
      </c>
      <c r="U17" s="52" t="str">
        <f t="shared" ref="U17:U25" ca="1" si="41">IF(AND($M17&gt;1,$N17=7),$C17,"")</f>
        <v/>
      </c>
      <c r="V17" s="53" t="str">
        <f t="shared" ref="V17:V25" ca="1" si="42">IF(AND($M17&gt;1,$N17=8),$C17,"")</f>
        <v/>
      </c>
      <c r="W17" s="61">
        <f ca="1">AA17*$F$64+(AB17+$H$65)*$F$65</f>
        <v>500000</v>
      </c>
      <c r="X17" s="20">
        <f ca="1">RANK($L17,$L$17:$L$25)+RANK($W17,$W$17:$W$25)/100+(9-$Y17)/10000</f>
        <v>1.0108999999999999</v>
      </c>
      <c r="Y17" s="12">
        <f ca="1">'Endrunde 4'!$AI19</f>
        <v>0</v>
      </c>
      <c r="Z17" s="1">
        <f ca="1">RANK($W17,$W$17:$W$25)+(9-$Y17)/10</f>
        <v>1.9</v>
      </c>
      <c r="AA17" s="1">
        <f ca="1">SUM(E30:BP30)</f>
        <v>0</v>
      </c>
      <c r="AB17" s="1">
        <f ca="1">SUM(E41:BP41)</f>
        <v>0</v>
      </c>
      <c r="AC17" s="1"/>
      <c r="AD17" s="246">
        <f ca="1">RANK($K17,$K$17:$K$25)</f>
        <v>1</v>
      </c>
      <c r="AE17" s="28">
        <f ca="1">(J17+$H$65)*$F$65</f>
        <v>515000</v>
      </c>
      <c r="AF17" s="1">
        <f ca="1">RANK($AE17,$AE$17:$AE$25)</f>
        <v>1</v>
      </c>
      <c r="AG17" s="1">
        <f ca="1">RANK($W17,$W$17:$W$25)</f>
        <v>1</v>
      </c>
      <c r="AH17" s="248">
        <f ca="1">AD17+AG17/100+AF17/10000+(10-Y17)/1000000</f>
        <v>1.0101100000000001</v>
      </c>
      <c r="AI17" s="1"/>
    </row>
    <row r="18" spans="2:80" s="2" customFormat="1" x14ac:dyDescent="0.2">
      <c r="C18" s="2" t="str">
        <f t="shared" ref="C18:C25" ca="1" si="43">$Q65</f>
        <v>FC Grönlingen</v>
      </c>
      <c r="D18" s="1">
        <f t="shared" ca="1" si="33"/>
        <v>3</v>
      </c>
      <c r="E18" s="1">
        <f t="shared" ca="1" si="33"/>
        <v>1</v>
      </c>
      <c r="F18" s="1">
        <f t="shared" ca="1" si="33"/>
        <v>1</v>
      </c>
      <c r="G18" s="1">
        <f t="shared" ca="1" si="33"/>
        <v>1</v>
      </c>
      <c r="H18" s="1">
        <f t="shared" ca="1" si="34"/>
        <v>136</v>
      </c>
      <c r="I18" s="1">
        <f t="shared" ca="1" si="34"/>
        <v>139</v>
      </c>
      <c r="J18" s="12">
        <f t="shared" ca="1" si="34"/>
        <v>-3</v>
      </c>
      <c r="K18" s="1">
        <f t="shared" ca="1" si="34"/>
        <v>3</v>
      </c>
      <c r="L18" s="28">
        <f t="shared" ref="L18:L25" ca="1" si="44">K18*$F$64+(J18+$H$65)*$F$65</f>
        <v>3497000</v>
      </c>
      <c r="M18" s="13">
        <f t="shared" ref="M18:M25" ca="1" si="45">IF($AI$15,COUNTIF($K$17:$K$25,K18),COUNTIF($L$17:$L$25,L18))</f>
        <v>1</v>
      </c>
      <c r="N18" s="13">
        <f t="array" aca="1" ref="N18" ca="1">IF($AI$15,SUM(($K$17:$K$25&gt;=K18)/COUNTIF($K$17:$K$25,$K$17:$K$25)),SUM(($L$17:$L$25&gt;=L18)/COUNTIF($L$17:$L$25,$L$17:$L$25)))</f>
        <v>3</v>
      </c>
      <c r="O18" s="5" t="str">
        <f t="shared" ca="1" si="35"/>
        <v/>
      </c>
      <c r="P18" s="3" t="str">
        <f t="shared" ca="1" si="36"/>
        <v/>
      </c>
      <c r="Q18" s="3" t="str">
        <f t="shared" ca="1" si="37"/>
        <v/>
      </c>
      <c r="R18" s="3" t="str">
        <f t="shared" ca="1" si="38"/>
        <v/>
      </c>
      <c r="S18" s="3" t="str">
        <f t="shared" ca="1" si="39"/>
        <v/>
      </c>
      <c r="T18" s="3" t="str">
        <f t="shared" ca="1" si="40"/>
        <v/>
      </c>
      <c r="U18" s="3" t="str">
        <f t="shared" ca="1" si="41"/>
        <v/>
      </c>
      <c r="V18" s="54" t="str">
        <f t="shared" ca="1" si="42"/>
        <v/>
      </c>
      <c r="W18" s="61">
        <f t="shared" ref="W18:W25" ca="1" si="46">AA18*$F$64+(AB18+$H$65)*$F$65</f>
        <v>500000</v>
      </c>
      <c r="X18" s="21">
        <f t="shared" ref="X18:X25" ca="1" si="47">RANK($L18,$L$17:$L$25)+RANK($W18,$W$17:$W$25)/100+(9-$Y18)/10000</f>
        <v>3.0108999999999999</v>
      </c>
      <c r="Y18" s="12">
        <f ca="1">'Endrunde 4'!$AI20</f>
        <v>0</v>
      </c>
      <c r="Z18" s="1">
        <f t="shared" ref="Z18:Z25" ca="1" si="48">RANK($W18,$W$17:$W$25)+(9-$Y18)/10</f>
        <v>1.9</v>
      </c>
      <c r="AA18" s="1">
        <f t="shared" ref="AA18:AA25" ca="1" si="49">SUM(E31:BP31)</f>
        <v>0</v>
      </c>
      <c r="AB18" s="1">
        <f t="shared" ref="AB18:AB25" ca="1" si="50">SUM(E42:BP42)</f>
        <v>0</v>
      </c>
      <c r="AC18" s="1"/>
      <c r="AD18" s="246">
        <f t="shared" ref="AD18:AD25" ca="1" si="51">RANK($K18,$K$17:$K$25)</f>
        <v>2</v>
      </c>
      <c r="AE18" s="28">
        <f t="shared" ref="AE18:AE25" ca="1" si="52">(J18+$H$65)*$F$65</f>
        <v>497000</v>
      </c>
      <c r="AF18" s="1">
        <f t="shared" ref="AF18:AF25" ca="1" si="53">RANK($AE18,$AE$17:$AE$25)</f>
        <v>8</v>
      </c>
      <c r="AG18" s="1">
        <f t="shared" ref="AG18:AG25" ca="1" si="54">RANK($W18,$W$17:$W$25)</f>
        <v>1</v>
      </c>
      <c r="AH18" s="249">
        <f t="shared" ref="AH18:AH25" ca="1" si="55">AD18+AG18/100+AF18/10000+(10-Y18)/1000000</f>
        <v>2.0108099999999998</v>
      </c>
      <c r="AI18" s="1"/>
    </row>
    <row r="19" spans="2:80" s="2" customFormat="1" x14ac:dyDescent="0.2">
      <c r="C19" s="2" t="str">
        <f t="shared" ca="1" si="43"/>
        <v>FC Barcelona</v>
      </c>
      <c r="D19" s="1">
        <f t="shared" ca="1" si="33"/>
        <v>3</v>
      </c>
      <c r="E19" s="1">
        <f t="shared" ca="1" si="33"/>
        <v>0</v>
      </c>
      <c r="F19" s="1">
        <f t="shared" ca="1" si="33"/>
        <v>2</v>
      </c>
      <c r="G19" s="1">
        <f t="shared" ca="1" si="33"/>
        <v>1</v>
      </c>
      <c r="H19" s="1">
        <f t="shared" ca="1" si="34"/>
        <v>120</v>
      </c>
      <c r="I19" s="1">
        <f t="shared" ca="1" si="34"/>
        <v>142</v>
      </c>
      <c r="J19" s="12">
        <f t="shared" ca="1" si="34"/>
        <v>-22</v>
      </c>
      <c r="K19" s="1">
        <f t="shared" ca="1" si="34"/>
        <v>2</v>
      </c>
      <c r="L19" s="28">
        <f t="shared" ca="1" si="44"/>
        <v>2478000</v>
      </c>
      <c r="M19" s="13">
        <f t="shared" ca="1" si="45"/>
        <v>1</v>
      </c>
      <c r="N19" s="13">
        <f t="array" aca="1" ref="N19" ca="1">IF($AI$15,SUM(($K$17:$K$25&gt;=K19)/COUNTIF($K$17:$K$25,$K$17:$K$25)),SUM(($L$17:$L$25&gt;=L19)/COUNTIF($L$17:$L$25,$L$17:$L$25)))</f>
        <v>4</v>
      </c>
      <c r="O19" s="5" t="str">
        <f t="shared" ca="1" si="35"/>
        <v/>
      </c>
      <c r="P19" s="3" t="str">
        <f t="shared" ca="1" si="36"/>
        <v/>
      </c>
      <c r="Q19" s="3" t="str">
        <f t="shared" ca="1" si="37"/>
        <v/>
      </c>
      <c r="R19" s="3" t="str">
        <f t="shared" ca="1" si="38"/>
        <v/>
      </c>
      <c r="S19" s="3" t="str">
        <f t="shared" ca="1" si="39"/>
        <v/>
      </c>
      <c r="T19" s="3" t="str">
        <f t="shared" ca="1" si="40"/>
        <v/>
      </c>
      <c r="U19" s="3" t="str">
        <f t="shared" ca="1" si="41"/>
        <v/>
      </c>
      <c r="V19" s="54" t="str">
        <f t="shared" ca="1" si="42"/>
        <v/>
      </c>
      <c r="W19" s="61">
        <f t="shared" ca="1" si="46"/>
        <v>500000</v>
      </c>
      <c r="X19" s="21">
        <f t="shared" ca="1" si="47"/>
        <v>4.0108999999999995</v>
      </c>
      <c r="Y19" s="12">
        <f ca="1">'Endrunde 4'!$AI21</f>
        <v>0</v>
      </c>
      <c r="Z19" s="1">
        <f t="shared" ca="1" si="48"/>
        <v>1.9</v>
      </c>
      <c r="AA19" s="1">
        <f t="shared" ca="1" si="49"/>
        <v>0</v>
      </c>
      <c r="AB19" s="1">
        <f t="shared" ca="1" si="50"/>
        <v>0</v>
      </c>
      <c r="AC19" s="1"/>
      <c r="AD19" s="246">
        <f t="shared" ca="1" si="51"/>
        <v>4</v>
      </c>
      <c r="AE19" s="28">
        <f t="shared" ca="1" si="52"/>
        <v>478000</v>
      </c>
      <c r="AF19" s="1">
        <f t="shared" ca="1" si="53"/>
        <v>9</v>
      </c>
      <c r="AG19" s="1">
        <f t="shared" ca="1" si="54"/>
        <v>1</v>
      </c>
      <c r="AH19" s="249">
        <f t="shared" ca="1" si="55"/>
        <v>4.0109099999999991</v>
      </c>
      <c r="AI19" s="1"/>
    </row>
    <row r="20" spans="2:80" s="2" customFormat="1" x14ac:dyDescent="0.2">
      <c r="C20" s="2" t="str">
        <f t="shared" ca="1" si="43"/>
        <v>SSV Wildbach</v>
      </c>
      <c r="D20" s="1">
        <f t="shared" ca="1" si="33"/>
        <v>3</v>
      </c>
      <c r="E20" s="1">
        <f t="shared" ca="1" si="33"/>
        <v>0</v>
      </c>
      <c r="F20" s="1">
        <f t="shared" ca="1" si="33"/>
        <v>3</v>
      </c>
      <c r="G20" s="1">
        <f t="shared" ca="1" si="33"/>
        <v>0</v>
      </c>
      <c r="H20" s="1">
        <f t="shared" ca="1" si="34"/>
        <v>138</v>
      </c>
      <c r="I20" s="1">
        <f t="shared" ca="1" si="34"/>
        <v>128</v>
      </c>
      <c r="J20" s="12">
        <f t="shared" ca="1" si="34"/>
        <v>10</v>
      </c>
      <c r="K20" s="1">
        <f t="shared" ca="1" si="34"/>
        <v>3</v>
      </c>
      <c r="L20" s="28">
        <f t="shared" ca="1" si="44"/>
        <v>3510000</v>
      </c>
      <c r="M20" s="13">
        <f t="shared" ca="1" si="45"/>
        <v>1</v>
      </c>
      <c r="N20" s="13">
        <f t="array" aca="1" ref="N20" ca="1">IF($AI$15,SUM(($K$17:$K$25&gt;=K20)/COUNTIF($K$17:$K$25,$K$17:$K$25)),SUM(($L$17:$L$25&gt;=L20)/COUNTIF($L$17:$L$25,$L$17:$L$25)))</f>
        <v>2</v>
      </c>
      <c r="O20" s="5" t="str">
        <f t="shared" ca="1" si="35"/>
        <v/>
      </c>
      <c r="P20" s="3" t="str">
        <f t="shared" ca="1" si="36"/>
        <v/>
      </c>
      <c r="Q20" s="3" t="str">
        <f t="shared" ca="1" si="37"/>
        <v/>
      </c>
      <c r="R20" s="3" t="str">
        <f t="shared" ca="1" si="38"/>
        <v/>
      </c>
      <c r="S20" s="3" t="str">
        <f t="shared" ca="1" si="39"/>
        <v/>
      </c>
      <c r="T20" s="3" t="str">
        <f t="shared" ca="1" si="40"/>
        <v/>
      </c>
      <c r="U20" s="3" t="str">
        <f t="shared" ca="1" si="41"/>
        <v/>
      </c>
      <c r="V20" s="54" t="str">
        <f t="shared" ca="1" si="42"/>
        <v/>
      </c>
      <c r="W20" s="61">
        <f t="shared" ca="1" si="46"/>
        <v>500000</v>
      </c>
      <c r="X20" s="21">
        <f t="shared" ca="1" si="47"/>
        <v>2.0108999999999999</v>
      </c>
      <c r="Y20" s="12">
        <f ca="1">'Endrunde 4'!$AI22</f>
        <v>0</v>
      </c>
      <c r="Z20" s="1">
        <f t="shared" ca="1" si="48"/>
        <v>1.9</v>
      </c>
      <c r="AA20" s="1">
        <f t="shared" ca="1" si="49"/>
        <v>0</v>
      </c>
      <c r="AB20" s="1">
        <f t="shared" ca="1" si="50"/>
        <v>0</v>
      </c>
      <c r="AC20" s="1"/>
      <c r="AD20" s="246">
        <f t="shared" ca="1" si="51"/>
        <v>2</v>
      </c>
      <c r="AE20" s="28">
        <f t="shared" ca="1" si="52"/>
        <v>510000</v>
      </c>
      <c r="AF20" s="1">
        <f t="shared" ca="1" si="53"/>
        <v>2</v>
      </c>
      <c r="AG20" s="1">
        <f t="shared" ca="1" si="54"/>
        <v>1</v>
      </c>
      <c r="AH20" s="249">
        <f t="shared" ca="1" si="55"/>
        <v>2.0102099999999998</v>
      </c>
      <c r="AI20" s="1"/>
    </row>
    <row r="21" spans="2:80" s="2" customFormat="1" x14ac:dyDescent="0.2">
      <c r="C21" s="2" t="str">
        <f t="shared" si="43"/>
        <v/>
      </c>
      <c r="D21" s="1">
        <f t="shared" ca="1" si="33"/>
        <v>0</v>
      </c>
      <c r="E21" s="1">
        <f t="shared" ca="1" si="33"/>
        <v>0</v>
      </c>
      <c r="F21" s="1">
        <f t="shared" ca="1" si="33"/>
        <v>0</v>
      </c>
      <c r="G21" s="1">
        <f t="shared" ca="1" si="33"/>
        <v>0</v>
      </c>
      <c r="H21" s="1">
        <f t="shared" ca="1" si="34"/>
        <v>0</v>
      </c>
      <c r="I21" s="1">
        <f t="shared" ca="1" si="34"/>
        <v>0</v>
      </c>
      <c r="J21" s="12">
        <f t="shared" ca="1" si="34"/>
        <v>0</v>
      </c>
      <c r="K21" s="1">
        <f t="shared" ca="1" si="34"/>
        <v>0</v>
      </c>
      <c r="L21" s="28">
        <f t="shared" ca="1" si="44"/>
        <v>500000</v>
      </c>
      <c r="M21" s="13">
        <f t="shared" ca="1" si="45"/>
        <v>5</v>
      </c>
      <c r="N21" s="13">
        <f t="array" aca="1" ref="N21" ca="1">IF($AI$15,SUM(($K$17:$K$25&gt;=K21)/COUNTIF($K$17:$K$25,$K$17:$K$25)),SUM(($L$17:$L$25&gt;=L21)/COUNTIF($L$17:$L$25,$L$17:$L$25)))</f>
        <v>5.0000000000000009</v>
      </c>
      <c r="O21" s="5" t="str">
        <f t="shared" ca="1" si="35"/>
        <v/>
      </c>
      <c r="P21" s="3" t="str">
        <f t="shared" ca="1" si="36"/>
        <v/>
      </c>
      <c r="Q21" s="3" t="str">
        <f t="shared" ca="1" si="37"/>
        <v/>
      </c>
      <c r="R21" s="3" t="str">
        <f t="shared" ca="1" si="38"/>
        <v/>
      </c>
      <c r="S21" s="3" t="str">
        <f t="shared" ca="1" si="39"/>
        <v/>
      </c>
      <c r="T21" s="3" t="str">
        <f t="shared" ca="1" si="40"/>
        <v/>
      </c>
      <c r="U21" s="3" t="str">
        <f t="shared" ca="1" si="41"/>
        <v/>
      </c>
      <c r="V21" s="54" t="str">
        <f t="shared" ca="1" si="42"/>
        <v/>
      </c>
      <c r="W21" s="61">
        <f t="shared" ca="1" si="46"/>
        <v>500000</v>
      </c>
      <c r="X21" s="21">
        <f t="shared" ca="1" si="47"/>
        <v>5.0108999999999995</v>
      </c>
      <c r="Y21" s="12">
        <v>0</v>
      </c>
      <c r="Z21" s="1">
        <f t="shared" ca="1" si="48"/>
        <v>1.9</v>
      </c>
      <c r="AA21" s="1">
        <f t="shared" ca="1" si="49"/>
        <v>0</v>
      </c>
      <c r="AB21" s="1">
        <f t="shared" ca="1" si="50"/>
        <v>0</v>
      </c>
      <c r="AC21" s="1"/>
      <c r="AD21" s="246">
        <f t="shared" ca="1" si="51"/>
        <v>5</v>
      </c>
      <c r="AE21" s="28">
        <f t="shared" ca="1" si="52"/>
        <v>500000</v>
      </c>
      <c r="AF21" s="1">
        <f t="shared" ca="1" si="53"/>
        <v>3</v>
      </c>
      <c r="AG21" s="1">
        <f t="shared" ca="1" si="54"/>
        <v>1</v>
      </c>
      <c r="AH21" s="249">
        <f t="shared" ca="1" si="55"/>
        <v>5.0103099999999996</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2">
        <f t="shared" ca="1" si="34"/>
        <v>0</v>
      </c>
      <c r="K22" s="1">
        <f t="shared" ca="1" si="34"/>
        <v>0</v>
      </c>
      <c r="L22" s="28">
        <f t="shared" ca="1" si="44"/>
        <v>500000</v>
      </c>
      <c r="M22" s="13">
        <f t="shared" ca="1" si="45"/>
        <v>5</v>
      </c>
      <c r="N22" s="13">
        <f t="array" aca="1" ref="N22" ca="1">IF($AI$15,SUM(($K$17:$K$25&gt;=K22)/COUNTIF($K$17:$K$25,$K$17:$K$25)),SUM(($L$17:$L$25&gt;=L22)/COUNTIF($L$17:$L$25,$L$17:$L$25)))</f>
        <v>5.0000000000000009</v>
      </c>
      <c r="O22" s="5" t="str">
        <f t="shared" ca="1" si="35"/>
        <v/>
      </c>
      <c r="P22" s="3" t="str">
        <f t="shared" ca="1" si="36"/>
        <v/>
      </c>
      <c r="Q22" s="3" t="str">
        <f t="shared" ca="1" si="37"/>
        <v/>
      </c>
      <c r="R22" s="3" t="str">
        <f t="shared" ca="1" si="38"/>
        <v/>
      </c>
      <c r="S22" s="3" t="str">
        <f t="shared" ca="1" si="39"/>
        <v/>
      </c>
      <c r="T22" s="3" t="str">
        <f t="shared" ca="1" si="40"/>
        <v/>
      </c>
      <c r="U22" s="3" t="str">
        <f t="shared" ca="1" si="41"/>
        <v/>
      </c>
      <c r="V22" s="54" t="str">
        <f t="shared" ca="1" si="42"/>
        <v/>
      </c>
      <c r="W22" s="61">
        <f t="shared" ca="1" si="46"/>
        <v>500000</v>
      </c>
      <c r="X22" s="21">
        <f t="shared" ca="1" si="47"/>
        <v>5.0108999999999995</v>
      </c>
      <c r="Y22" s="12">
        <v>0</v>
      </c>
      <c r="Z22" s="1">
        <f t="shared" ca="1" si="48"/>
        <v>1.9</v>
      </c>
      <c r="AA22" s="1">
        <f t="shared" ca="1" si="49"/>
        <v>0</v>
      </c>
      <c r="AB22" s="1">
        <f t="shared" ca="1" si="50"/>
        <v>0</v>
      </c>
      <c r="AC22" s="1"/>
      <c r="AD22" s="246">
        <f t="shared" ca="1" si="51"/>
        <v>5</v>
      </c>
      <c r="AE22" s="28">
        <f t="shared" ca="1" si="52"/>
        <v>500000</v>
      </c>
      <c r="AF22" s="1">
        <f t="shared" ca="1" si="53"/>
        <v>3</v>
      </c>
      <c r="AG22" s="1">
        <f t="shared" ca="1" si="54"/>
        <v>1</v>
      </c>
      <c r="AH22" s="249">
        <f t="shared" ca="1" si="55"/>
        <v>5.0103099999999996</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2">
        <f t="shared" ca="1" si="34"/>
        <v>0</v>
      </c>
      <c r="K23" s="1">
        <f t="shared" ca="1" si="34"/>
        <v>0</v>
      </c>
      <c r="L23" s="28">
        <f t="shared" ca="1" si="44"/>
        <v>500000</v>
      </c>
      <c r="M23" s="13">
        <f t="shared" ca="1" si="45"/>
        <v>5</v>
      </c>
      <c r="N23" s="13">
        <f t="array" aca="1" ref="N23" ca="1">IF($AI$15,SUM(($K$17:$K$25&gt;=K23)/COUNTIF($K$17:$K$25,$K$17:$K$25)),SUM(($L$17:$L$25&gt;=L23)/COUNTIF($L$17:$L$25,$L$17:$L$25)))</f>
        <v>5.0000000000000009</v>
      </c>
      <c r="O23" s="5" t="str">
        <f t="shared" ca="1" si="35"/>
        <v/>
      </c>
      <c r="P23" s="3" t="str">
        <f t="shared" ca="1" si="36"/>
        <v/>
      </c>
      <c r="Q23" s="3" t="str">
        <f t="shared" ca="1" si="37"/>
        <v/>
      </c>
      <c r="R23" s="3" t="str">
        <f t="shared" ca="1" si="38"/>
        <v/>
      </c>
      <c r="S23" s="3" t="str">
        <f t="shared" ca="1" si="39"/>
        <v/>
      </c>
      <c r="T23" s="3" t="str">
        <f t="shared" ca="1" si="40"/>
        <v/>
      </c>
      <c r="U23" s="3" t="str">
        <f t="shared" ca="1" si="41"/>
        <v/>
      </c>
      <c r="V23" s="54" t="str">
        <f t="shared" ca="1" si="42"/>
        <v/>
      </c>
      <c r="W23" s="61">
        <f t="shared" ca="1" si="46"/>
        <v>500000</v>
      </c>
      <c r="X23" s="21">
        <f t="shared" ca="1" si="47"/>
        <v>5.0108999999999995</v>
      </c>
      <c r="Y23" s="12">
        <v>0</v>
      </c>
      <c r="Z23" s="1">
        <f t="shared" ca="1" si="48"/>
        <v>1.9</v>
      </c>
      <c r="AA23" s="1">
        <f t="shared" ca="1" si="49"/>
        <v>0</v>
      </c>
      <c r="AB23" s="1">
        <f t="shared" ca="1" si="50"/>
        <v>0</v>
      </c>
      <c r="AC23" s="1"/>
      <c r="AD23" s="246">
        <f t="shared" ca="1" si="51"/>
        <v>5</v>
      </c>
      <c r="AE23" s="28">
        <f t="shared" ca="1" si="52"/>
        <v>500000</v>
      </c>
      <c r="AF23" s="1">
        <f t="shared" ca="1" si="53"/>
        <v>3</v>
      </c>
      <c r="AG23" s="1">
        <f t="shared" ca="1" si="54"/>
        <v>1</v>
      </c>
      <c r="AH23" s="249">
        <f t="shared" ca="1" si="55"/>
        <v>5.0103099999999996</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2">
        <f t="shared" ca="1" si="34"/>
        <v>0</v>
      </c>
      <c r="K24" s="1">
        <f t="shared" ca="1" si="34"/>
        <v>0</v>
      </c>
      <c r="L24" s="28">
        <f t="shared" ca="1" si="44"/>
        <v>500000</v>
      </c>
      <c r="M24" s="13">
        <f t="shared" ca="1" si="45"/>
        <v>5</v>
      </c>
      <c r="N24" s="13">
        <f t="array" aca="1" ref="N24" ca="1">IF($AI$15,SUM(($K$17:$K$25&gt;=K24)/COUNTIF($K$17:$K$25,$K$17:$K$25)),SUM(($L$17:$L$25&gt;=L24)/COUNTIF($L$17:$L$25,$L$17:$L$25)))</f>
        <v>5.0000000000000009</v>
      </c>
      <c r="O24" s="5" t="str">
        <f t="shared" ca="1" si="35"/>
        <v/>
      </c>
      <c r="P24" s="3" t="str">
        <f t="shared" ca="1" si="36"/>
        <v/>
      </c>
      <c r="Q24" s="3" t="str">
        <f t="shared" ca="1" si="37"/>
        <v/>
      </c>
      <c r="R24" s="3" t="str">
        <f t="shared" ca="1" si="38"/>
        <v/>
      </c>
      <c r="S24" s="3" t="str">
        <f t="shared" ca="1" si="39"/>
        <v/>
      </c>
      <c r="T24" s="3" t="str">
        <f t="shared" ca="1" si="40"/>
        <v/>
      </c>
      <c r="U24" s="3" t="str">
        <f t="shared" ca="1" si="41"/>
        <v/>
      </c>
      <c r="V24" s="54" t="str">
        <f t="shared" ca="1" si="42"/>
        <v/>
      </c>
      <c r="W24" s="61">
        <f t="shared" ca="1" si="46"/>
        <v>500000</v>
      </c>
      <c r="X24" s="21">
        <f t="shared" ca="1" si="47"/>
        <v>5.0108999999999995</v>
      </c>
      <c r="Y24" s="12">
        <v>0</v>
      </c>
      <c r="Z24" s="1">
        <f t="shared" ca="1" si="48"/>
        <v>1.9</v>
      </c>
      <c r="AA24" s="1">
        <f t="shared" ca="1" si="49"/>
        <v>0</v>
      </c>
      <c r="AB24" s="1">
        <f t="shared" ca="1" si="50"/>
        <v>0</v>
      </c>
      <c r="AC24" s="1"/>
      <c r="AD24" s="246">
        <f t="shared" ca="1" si="51"/>
        <v>5</v>
      </c>
      <c r="AE24" s="28">
        <f t="shared" ca="1" si="52"/>
        <v>500000</v>
      </c>
      <c r="AF24" s="1">
        <f t="shared" ca="1" si="53"/>
        <v>3</v>
      </c>
      <c r="AG24" s="1">
        <f t="shared" ca="1" si="54"/>
        <v>1</v>
      </c>
      <c r="AH24" s="249">
        <f t="shared" ca="1" si="55"/>
        <v>5.0103099999999996</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2">
        <f t="shared" ca="1" si="34"/>
        <v>0</v>
      </c>
      <c r="K25" s="1">
        <f t="shared" ca="1" si="34"/>
        <v>0</v>
      </c>
      <c r="L25" s="28">
        <f t="shared" ca="1" si="44"/>
        <v>500000</v>
      </c>
      <c r="M25" s="13">
        <f t="shared" ca="1" si="45"/>
        <v>5</v>
      </c>
      <c r="N25" s="13">
        <f t="array" aca="1" ref="N25" ca="1">IF($AI$15,SUM(($K$17:$K$25&gt;=K25)/COUNTIF($K$17:$K$25,$K$17:$K$25)),SUM(($L$17:$L$25&gt;=L25)/COUNTIF($L$17:$L$25,$L$17:$L$25)))</f>
        <v>5.0000000000000009</v>
      </c>
      <c r="O25" s="55" t="str">
        <f t="shared" ca="1" si="35"/>
        <v/>
      </c>
      <c r="P25" s="56" t="str">
        <f t="shared" ca="1" si="36"/>
        <v/>
      </c>
      <c r="Q25" s="56" t="str">
        <f t="shared" ca="1" si="37"/>
        <v/>
      </c>
      <c r="R25" s="56" t="str">
        <f t="shared" ca="1" si="38"/>
        <v/>
      </c>
      <c r="S25" s="56" t="str">
        <f t="shared" ca="1" si="39"/>
        <v/>
      </c>
      <c r="T25" s="56" t="str">
        <f t="shared" ca="1" si="40"/>
        <v/>
      </c>
      <c r="U25" s="56" t="str">
        <f t="shared" ca="1" si="41"/>
        <v/>
      </c>
      <c r="V25" s="57" t="str">
        <f t="shared" ca="1" si="42"/>
        <v/>
      </c>
      <c r="W25" s="61">
        <f t="shared" ca="1" si="46"/>
        <v>500000</v>
      </c>
      <c r="X25" s="22">
        <f t="shared" ca="1" si="47"/>
        <v>5.0108999999999995</v>
      </c>
      <c r="Y25" s="12">
        <v>0</v>
      </c>
      <c r="Z25" s="1">
        <f t="shared" ca="1" si="48"/>
        <v>1.9</v>
      </c>
      <c r="AA25" s="1">
        <f t="shared" ca="1" si="49"/>
        <v>0</v>
      </c>
      <c r="AB25" s="1">
        <f t="shared" ca="1" si="50"/>
        <v>0</v>
      </c>
      <c r="AC25" s="1"/>
      <c r="AD25" s="246">
        <f t="shared" ca="1" si="51"/>
        <v>5</v>
      </c>
      <c r="AE25" s="28">
        <f t="shared" ca="1" si="52"/>
        <v>500000</v>
      </c>
      <c r="AF25" s="1">
        <f t="shared" ca="1" si="53"/>
        <v>3</v>
      </c>
      <c r="AG25" s="1">
        <f t="shared" ca="1" si="54"/>
        <v>1</v>
      </c>
      <c r="AH25" s="250">
        <f t="shared" ca="1" si="55"/>
        <v>5.0103099999999996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937">
        <v>1</v>
      </c>
      <c r="F29" s="934"/>
      <c r="G29" s="934"/>
      <c r="H29" s="934"/>
      <c r="I29" s="934"/>
      <c r="J29" s="934"/>
      <c r="K29" s="934"/>
      <c r="L29" s="936"/>
      <c r="M29" s="933">
        <v>2</v>
      </c>
      <c r="N29" s="934"/>
      <c r="O29" s="934"/>
      <c r="P29" s="934"/>
      <c r="Q29" s="934"/>
      <c r="R29" s="934"/>
      <c r="S29" s="934"/>
      <c r="T29" s="936"/>
      <c r="U29" s="933">
        <v>3</v>
      </c>
      <c r="V29" s="934"/>
      <c r="W29" s="934"/>
      <c r="X29" s="934"/>
      <c r="Y29" s="934"/>
      <c r="Z29" s="934"/>
      <c r="AA29" s="934"/>
      <c r="AB29" s="936"/>
      <c r="AC29" s="933">
        <v>4</v>
      </c>
      <c r="AD29" s="934"/>
      <c r="AE29" s="934"/>
      <c r="AF29" s="934"/>
      <c r="AG29" s="934"/>
      <c r="AH29" s="934"/>
      <c r="AI29" s="934"/>
      <c r="AJ29" s="936"/>
      <c r="AK29" s="933">
        <v>5</v>
      </c>
      <c r="AL29" s="934"/>
      <c r="AM29" s="934"/>
      <c r="AN29" s="934"/>
      <c r="AO29" s="934"/>
      <c r="AP29" s="934"/>
      <c r="AQ29" s="934"/>
      <c r="AR29" s="936"/>
      <c r="AS29" s="933">
        <v>6</v>
      </c>
      <c r="AT29" s="934"/>
      <c r="AU29" s="934"/>
      <c r="AV29" s="934"/>
      <c r="AW29" s="934"/>
      <c r="AX29" s="934"/>
      <c r="AY29" s="934"/>
      <c r="AZ29" s="936"/>
      <c r="BA29" s="933">
        <v>7</v>
      </c>
      <c r="BB29" s="934"/>
      <c r="BC29" s="934"/>
      <c r="BD29" s="934"/>
      <c r="BE29" s="934"/>
      <c r="BF29" s="934"/>
      <c r="BG29" s="934"/>
      <c r="BH29" s="936"/>
      <c r="BI29" s="933">
        <v>8</v>
      </c>
      <c r="BJ29" s="934"/>
      <c r="BK29" s="934"/>
      <c r="BL29" s="934"/>
      <c r="BM29" s="934"/>
      <c r="BN29" s="934"/>
      <c r="BO29" s="934"/>
      <c r="BP29" s="935"/>
      <c r="BQ29" s="12"/>
      <c r="BR29" s="4" t="s">
        <v>94</v>
      </c>
      <c r="BS29" s="2" t="str">
        <f ca="1">$F$4</f>
        <v>1. FC Riedwald</v>
      </c>
      <c r="BT29" s="2" t="str">
        <f ca="1">$F$5</f>
        <v>FC Grönlingen</v>
      </c>
      <c r="BU29" s="2" t="str">
        <f ca="1">$F$6</f>
        <v>FC Barcelona</v>
      </c>
      <c r="BV29" s="2" t="str">
        <f ca="1">$F$7</f>
        <v>SSV Wildbach</v>
      </c>
      <c r="BW29" s="2" t="str">
        <f>$F$8</f>
        <v/>
      </c>
      <c r="BX29" s="2" t="str">
        <f>$F$9</f>
        <v/>
      </c>
      <c r="BY29" s="2" t="str">
        <f>$F$10</f>
        <v/>
      </c>
      <c r="BZ29" s="2" t="str">
        <f>$F$11</f>
        <v/>
      </c>
      <c r="CA29" s="2" t="str">
        <f>$F$12</f>
        <v/>
      </c>
      <c r="CB29" s="50"/>
    </row>
    <row r="30" spans="2:80" s="2" customFormat="1" x14ac:dyDescent="0.2">
      <c r="C30" s="2" t="str">
        <f ca="1">$Q64</f>
        <v>1. FC Riedwald</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56">F4</f>
        <v>1. FC Riedwald</v>
      </c>
      <c r="BS30" s="6"/>
      <c r="BT30" s="7">
        <f t="shared" ref="BT30:CA37" ca="1" si="57">SUMIFS($X$64:$X$135,$V$64:$V$135,$BR30,$W$64:$W$135,BT$29)+SUMIFS($Y$64:$Y$135,$W$64:$W$135,$BR30,$V$64:$V$135,BT$29)+SUMIFS($AG$64:$AG$135,$V$64:$V$135,$BR30,$W$64:$W$135,BT$29)+SUMIFS($AH$64:$AH$135,$W$64:$W$135,$BR30,$V$64:$V$135,BT$29)</f>
        <v>50</v>
      </c>
      <c r="BU30" s="7">
        <f t="shared" ca="1" si="57"/>
        <v>44</v>
      </c>
      <c r="BV30" s="7">
        <f t="shared" ca="1" si="57"/>
        <v>42</v>
      </c>
      <c r="BW30" s="7">
        <f t="shared" ca="1" si="57"/>
        <v>0</v>
      </c>
      <c r="BX30" s="7">
        <f t="shared" ca="1" si="57"/>
        <v>0</v>
      </c>
      <c r="BY30" s="7">
        <f t="shared" ca="1" si="57"/>
        <v>0</v>
      </c>
      <c r="BZ30" s="7">
        <f t="shared" ca="1" si="57"/>
        <v>0</v>
      </c>
      <c r="CA30" s="7">
        <f t="shared" ca="1" si="57"/>
        <v>0</v>
      </c>
      <c r="CB30" s="3"/>
    </row>
    <row r="31" spans="2:80" s="2" customFormat="1" x14ac:dyDescent="0.2">
      <c r="C31" s="2" t="str">
        <f t="shared" ref="C31:C38" ca="1" si="58">$Q65</f>
        <v>FC Grönlingen</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56"/>
        <v>FC Grönlingen</v>
      </c>
      <c r="BS31" s="8">
        <f ca="1">SUMIFS($X$64:$X$135,$V$64:$V$135,$BR31,$W$64:$W$135,BS$29)+SUMIFS($Y$64:$Y$135,$W$64:$W$135,$BR31,$V$64:$V$135,BS$29)+SUMIFS($AG$64:$AG$135,$V$64:$V$135,$BR31,$W$64:$W$135,BS$29)+SUMIFS($AH$64:$AH$135,$W$64:$W$135,$BR31,$V$64:$V$135,BS$29)</f>
        <v>39</v>
      </c>
      <c r="BT31" s="6"/>
      <c r="BU31" s="7">
        <f ca="1">SUMIFS($X$64:$X$135,$V$64:$V$135,$BR31,$W$64:$W$135,BU$29)+SUMIFS($Y$64:$Y$135,$W$64:$W$135,$BR31,$V$64:$V$135,BU$29)+SUMIFS($AG$64:$AG$135,$V$64:$V$135,$BR31,$W$64:$W$135,BU$29)+SUMIFS($AH$64:$AH$135,$W$64:$W$135,$BR31,$V$64:$V$135,BU$29)</f>
        <v>50</v>
      </c>
      <c r="BV31" s="7">
        <f t="shared" ca="1" si="57"/>
        <v>47</v>
      </c>
      <c r="BW31" s="7">
        <f t="shared" ca="1" si="57"/>
        <v>0</v>
      </c>
      <c r="BX31" s="7">
        <f t="shared" ca="1" si="57"/>
        <v>0</v>
      </c>
      <c r="BY31" s="7">
        <f t="shared" ca="1" si="57"/>
        <v>0</v>
      </c>
      <c r="BZ31" s="7">
        <f t="shared" ca="1" si="57"/>
        <v>0</v>
      </c>
      <c r="CA31" s="7">
        <f t="shared" ca="1" si="57"/>
        <v>0</v>
      </c>
      <c r="CB31" s="3"/>
    </row>
    <row r="32" spans="2:80" s="2" customFormat="1" x14ac:dyDescent="0.2">
      <c r="C32" s="2" t="str">
        <f t="shared" ca="1" si="58"/>
        <v>FC Barcelona</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56"/>
        <v>FC Barcelona</v>
      </c>
      <c r="BS32" s="8">
        <f t="shared" ref="BS32:BY38" ca="1" si="59">SUMIFS($X$64:$X$135,$V$64:$V$135,$BR32,$W$64:$W$135,BS$29)+SUMIFS($Y$64:$Y$135,$W$64:$W$135,$BR32,$V$64:$V$135,BS$29)+SUMIFS($AG$64:$AG$135,$V$64:$V$135,$BR32,$W$64:$W$135,BS$29)+SUMIFS($AH$64:$AH$135,$W$64:$W$135,$BR32,$V$64:$V$135,BS$29)</f>
        <v>37</v>
      </c>
      <c r="BT32" s="8">
        <f t="shared" ca="1" si="59"/>
        <v>44</v>
      </c>
      <c r="BU32" s="6"/>
      <c r="BV32" s="7">
        <f t="shared" ca="1" si="57"/>
        <v>39</v>
      </c>
      <c r="BW32" s="7">
        <f t="shared" ca="1" si="57"/>
        <v>0</v>
      </c>
      <c r="BX32" s="7">
        <f t="shared" ca="1" si="57"/>
        <v>0</v>
      </c>
      <c r="BY32" s="7">
        <f t="shared" ca="1" si="57"/>
        <v>0</v>
      </c>
      <c r="BZ32" s="7">
        <f t="shared" ca="1" si="57"/>
        <v>0</v>
      </c>
      <c r="CA32" s="7">
        <f t="shared" ca="1" si="57"/>
        <v>0</v>
      </c>
      <c r="CB32" s="3"/>
    </row>
    <row r="33" spans="2:80" s="2" customFormat="1" x14ac:dyDescent="0.2">
      <c r="C33" s="2" t="str">
        <f t="shared" ca="1" si="58"/>
        <v>SSV Wildbach</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ca="1" si="56"/>
        <v>SSV Wildbach</v>
      </c>
      <c r="BS33" s="8">
        <f t="shared" ca="1" si="59"/>
        <v>45</v>
      </c>
      <c r="BT33" s="8">
        <f t="shared" ca="1" si="59"/>
        <v>45</v>
      </c>
      <c r="BU33" s="8">
        <f t="shared" ca="1" si="59"/>
        <v>48</v>
      </c>
      <c r="BV33" s="6"/>
      <c r="BW33" s="7">
        <f t="shared" ca="1" si="57"/>
        <v>0</v>
      </c>
      <c r="BX33" s="7">
        <f t="shared" ca="1" si="57"/>
        <v>0</v>
      </c>
      <c r="BY33" s="7">
        <f t="shared" ca="1" si="57"/>
        <v>0</v>
      </c>
      <c r="BZ33" s="7">
        <f t="shared" ca="1" si="57"/>
        <v>0</v>
      </c>
      <c r="CA33" s="7">
        <f t="shared" ca="1" si="57"/>
        <v>0</v>
      </c>
      <c r="CB33" s="3"/>
    </row>
    <row r="34" spans="2:80" s="2" customFormat="1" x14ac:dyDescent="0.2">
      <c r="C34" s="2" t="str">
        <f t="shared" si="58"/>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56"/>
        <v/>
      </c>
      <c r="BS34" s="8">
        <f t="shared" ca="1" si="59"/>
        <v>0</v>
      </c>
      <c r="BT34" s="8">
        <f t="shared" ca="1" si="59"/>
        <v>0</v>
      </c>
      <c r="BU34" s="8">
        <f t="shared" ca="1" si="59"/>
        <v>0</v>
      </c>
      <c r="BV34" s="8">
        <f t="shared" ca="1" si="59"/>
        <v>0</v>
      </c>
      <c r="BW34" s="6"/>
      <c r="BX34" s="7">
        <f t="shared" ca="1" si="57"/>
        <v>0</v>
      </c>
      <c r="BY34" s="7">
        <f t="shared" ca="1" si="57"/>
        <v>0</v>
      </c>
      <c r="BZ34" s="7">
        <f t="shared" ca="1" si="57"/>
        <v>0</v>
      </c>
      <c r="CA34" s="7">
        <f t="shared" ca="1" si="57"/>
        <v>0</v>
      </c>
      <c r="CB34" s="3"/>
    </row>
    <row r="35" spans="2:80" s="2" customFormat="1" x14ac:dyDescent="0.2">
      <c r="C35" s="2" t="str">
        <f t="shared" si="58"/>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56"/>
        <v/>
      </c>
      <c r="BS35" s="8">
        <f t="shared" ca="1" si="59"/>
        <v>0</v>
      </c>
      <c r="BT35" s="8">
        <f t="shared" ca="1" si="59"/>
        <v>0</v>
      </c>
      <c r="BU35" s="8">
        <f t="shared" ca="1" si="59"/>
        <v>0</v>
      </c>
      <c r="BV35" s="8">
        <f t="shared" ca="1" si="59"/>
        <v>0</v>
      </c>
      <c r="BW35" s="8">
        <f t="shared" ca="1" si="59"/>
        <v>0</v>
      </c>
      <c r="BX35" s="6"/>
      <c r="BY35" s="7">
        <f t="shared" ca="1" si="57"/>
        <v>0</v>
      </c>
      <c r="BZ35" s="7">
        <f t="shared" ca="1" si="57"/>
        <v>0</v>
      </c>
      <c r="CA35" s="7">
        <f t="shared" ca="1" si="57"/>
        <v>0</v>
      </c>
      <c r="CB35" s="3"/>
    </row>
    <row r="36" spans="2:80" s="2" customFormat="1" x14ac:dyDescent="0.2">
      <c r="C36" s="2" t="str">
        <f t="shared" si="58"/>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56"/>
        <v/>
      </c>
      <c r="BS36" s="8">
        <f t="shared" ca="1" si="59"/>
        <v>0</v>
      </c>
      <c r="BT36" s="8">
        <f t="shared" ca="1" si="59"/>
        <v>0</v>
      </c>
      <c r="BU36" s="8">
        <f t="shared" ca="1" si="59"/>
        <v>0</v>
      </c>
      <c r="BV36" s="8">
        <f t="shared" ca="1" si="59"/>
        <v>0</v>
      </c>
      <c r="BW36" s="8">
        <f t="shared" ca="1" si="59"/>
        <v>0</v>
      </c>
      <c r="BX36" s="8">
        <f t="shared" ca="1" si="59"/>
        <v>0</v>
      </c>
      <c r="BY36" s="6"/>
      <c r="BZ36" s="7">
        <f t="shared" ca="1" si="57"/>
        <v>0</v>
      </c>
      <c r="CA36" s="7">
        <f t="shared" ca="1" si="57"/>
        <v>0</v>
      </c>
      <c r="CB36" s="3"/>
    </row>
    <row r="37" spans="2:80" s="2" customFormat="1" x14ac:dyDescent="0.2">
      <c r="C37" s="2" t="str">
        <f t="shared" si="58"/>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56"/>
        <v/>
      </c>
      <c r="BS37" s="8">
        <f t="shared" ca="1" si="59"/>
        <v>0</v>
      </c>
      <c r="BT37" s="8">
        <f t="shared" ca="1" si="59"/>
        <v>0</v>
      </c>
      <c r="BU37" s="8">
        <f t="shared" ca="1" si="59"/>
        <v>0</v>
      </c>
      <c r="BV37" s="8">
        <f t="shared" ca="1" si="59"/>
        <v>0</v>
      </c>
      <c r="BW37" s="8">
        <f t="shared" ca="1" si="59"/>
        <v>0</v>
      </c>
      <c r="BX37" s="8">
        <f t="shared" ca="1" si="59"/>
        <v>0</v>
      </c>
      <c r="BY37" s="8">
        <f t="shared" ca="1" si="59"/>
        <v>0</v>
      </c>
      <c r="BZ37" s="6"/>
      <c r="CA37" s="7">
        <f t="shared" ca="1" si="57"/>
        <v>0</v>
      </c>
      <c r="CB37" s="3"/>
    </row>
    <row r="38" spans="2:80" s="2" customFormat="1" x14ac:dyDescent="0.2">
      <c r="C38" s="2" t="str">
        <f t="shared" si="58"/>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56"/>
        <v/>
      </c>
      <c r="BS38" s="8">
        <f t="shared" ca="1" si="59"/>
        <v>0</v>
      </c>
      <c r="BT38" s="8">
        <f t="shared" ca="1" si="59"/>
        <v>0</v>
      </c>
      <c r="BU38" s="8">
        <f t="shared" ca="1" si="59"/>
        <v>0</v>
      </c>
      <c r="BV38" s="8">
        <f t="shared" ca="1" si="59"/>
        <v>0</v>
      </c>
      <c r="BW38" s="8">
        <f t="shared" ca="1" si="59"/>
        <v>0</v>
      </c>
      <c r="BX38" s="8">
        <f t="shared" ca="1" si="59"/>
        <v>0</v>
      </c>
      <c r="BY38" s="8">
        <f t="shared" ca="1" si="59"/>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101</v>
      </c>
      <c r="BS40" s="2" t="str">
        <f ca="1">$F$4</f>
        <v>1. FC Riedwald</v>
      </c>
      <c r="BT40" s="2" t="str">
        <f ca="1">$F$5</f>
        <v>FC Grönlingen</v>
      </c>
      <c r="BU40" s="2" t="str">
        <f ca="1">$F$6</f>
        <v>FC Barcelona</v>
      </c>
      <c r="BV40" s="2" t="str">
        <f ca="1">$F$7</f>
        <v>SSV Wildbach</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60">F4</f>
        <v>1. FC Riedwald</v>
      </c>
      <c r="BS41" s="6"/>
      <c r="BT41" s="7">
        <f ca="1">BT30-BS31</f>
        <v>11</v>
      </c>
      <c r="BU41" s="7">
        <f ca="1">BU30-BS32</f>
        <v>7</v>
      </c>
      <c r="BV41" s="7">
        <f ca="1">BV30-BS33</f>
        <v>-3</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60"/>
        <v>FC Grönlingen</v>
      </c>
      <c r="BS42" s="8">
        <f ca="1">IF(BT41="","",-1*BT41)</f>
        <v>-11</v>
      </c>
      <c r="BT42" s="6"/>
      <c r="BU42" s="7">
        <f ca="1">BU31-BT32</f>
        <v>6</v>
      </c>
      <c r="BV42" s="7">
        <f ca="1">BV31-BT33</f>
        <v>2</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60"/>
        <v>FC Barcelona</v>
      </c>
      <c r="BS43" s="8">
        <f ca="1">IF(BU41="","",-1*BU41)</f>
        <v>-7</v>
      </c>
      <c r="BT43" s="8">
        <f ca="1">IF(BU42="","",-1*BU42)</f>
        <v>-6</v>
      </c>
      <c r="BU43" s="6"/>
      <c r="BV43" s="7">
        <f ca="1">BV32-BU33</f>
        <v>-9</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ca="1" si="60"/>
        <v>SSV Wildbach</v>
      </c>
      <c r="BS44" s="8">
        <f ca="1">IF(BV41="","",-1*BV41)</f>
        <v>3</v>
      </c>
      <c r="BT44" s="8">
        <f ca="1">IF(BV42="","",-1*BV42)</f>
        <v>-2</v>
      </c>
      <c r="BU44" s="8">
        <f ca="1">IF(BV43="","",-1*BV43)</f>
        <v>9</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60"/>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60"/>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60"/>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60"/>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60"/>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61">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1. FC Riedwald</v>
      </c>
      <c r="BT51" s="2" t="str">
        <f ca="1">$F$5</f>
        <v>FC Grönlingen</v>
      </c>
      <c r="BU51" s="2" t="str">
        <f ca="1">$F$6</f>
        <v>FC Barcelona</v>
      </c>
      <c r="BV51" s="2" t="str">
        <f ca="1">$F$7</f>
        <v>SSV Wildbach</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62">F4</f>
        <v>1. FC Riedwald</v>
      </c>
      <c r="BS52" s="6"/>
      <c r="BT52" s="7">
        <f t="shared" ref="BT52:CA58" ca="1" si="63">SUMIFS($AE$64:$AE$135,$V$64:$V$135,$BR52,$W$64:$W$135,BT$51)+SUMIFS($AF$64:$AF$135,$W$64:$W$135,$BR52,$V$64:$V$135,BT$51)</f>
        <v>2</v>
      </c>
      <c r="BU52" s="7">
        <f t="shared" ca="1" si="63"/>
        <v>1</v>
      </c>
      <c r="BV52" s="7">
        <f t="shared" ca="1" si="63"/>
        <v>1</v>
      </c>
      <c r="BW52" s="7">
        <f t="shared" ca="1" si="63"/>
        <v>0</v>
      </c>
      <c r="BX52" s="7">
        <f t="shared" ca="1" si="63"/>
        <v>0</v>
      </c>
      <c r="BY52" s="7">
        <f t="shared" ca="1" si="63"/>
        <v>0</v>
      </c>
      <c r="BZ52" s="7">
        <f t="shared" ca="1" si="63"/>
        <v>0</v>
      </c>
      <c r="CA52" s="7">
        <f t="shared" ca="1" si="63"/>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62"/>
        <v>FC Grönlingen</v>
      </c>
      <c r="BS53" s="8">
        <f t="shared" ref="BS53:BU60" ca="1" si="64">SUMIFS($AE$64:$AE$135,$V$64:$V$135,$BR53,$W$64:$W$135,BS$51)+SUMIFS($AF$64:$AF$135,$W$64:$W$135,$BR53,$V$64:$V$135,BS$51)</f>
        <v>0</v>
      </c>
      <c r="BT53" s="6"/>
      <c r="BU53" s="7">
        <f ca="1">SUMIFS($AE$64:$AE$135,$V$64:$V$135,$BR53,$W$64:$W$135,BU$51)+SUMIFS($AF$64:$AF$135,$W$64:$W$135,$BR53,$V$64:$V$135,BU$51)</f>
        <v>2</v>
      </c>
      <c r="BV53" s="7">
        <f ca="1">SUMIFS($AE$64:$AE$135,$V$64:$V$135,$BR53,$W$64:$W$135,BV$51)+SUMIFS($AF$64:$AF$135,$W$64:$W$135,$BR53,$V$64:$V$135,BV$51)</f>
        <v>1</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63"/>
        <v>0</v>
      </c>
      <c r="CA53" s="7">
        <f t="shared" ca="1" si="63"/>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62"/>
        <v>FC Barcelona</v>
      </c>
      <c r="BS54" s="8">
        <f t="shared" ca="1" si="64"/>
        <v>1</v>
      </c>
      <c r="BT54" s="8">
        <f t="shared" ca="1" si="64"/>
        <v>0</v>
      </c>
      <c r="BU54" s="6"/>
      <c r="BV54" s="7">
        <f ca="1">SUMIFS($AE$64:$AE$135,$V$64:$V$135,$BR54,$W$64:$W$135,BV$51)+SUMIFS($AF$64:$AF$135,$W$64:$W$135,$BR54,$V$64:$V$135,BV$51)</f>
        <v>1</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63"/>
        <v>0</v>
      </c>
      <c r="CA54" s="7">
        <f t="shared" ca="1" si="63"/>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ca="1" si="62"/>
        <v>SSV Wildbach</v>
      </c>
      <c r="BS55" s="8">
        <f t="shared" ca="1" si="64"/>
        <v>1</v>
      </c>
      <c r="BT55" s="8">
        <f t="shared" ca="1" si="64"/>
        <v>1</v>
      </c>
      <c r="BU55" s="8">
        <f t="shared" ca="1" si="64"/>
        <v>1</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63"/>
        <v>0</v>
      </c>
      <c r="CA55" s="7">
        <f t="shared" ca="1" si="63"/>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62"/>
        <v/>
      </c>
      <c r="BS56" s="8">
        <f t="shared" ca="1" si="64"/>
        <v>0</v>
      </c>
      <c r="BT56" s="8">
        <f t="shared" ca="1" si="64"/>
        <v>0</v>
      </c>
      <c r="BU56" s="8">
        <f t="shared" ca="1" si="64"/>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63"/>
        <v>0</v>
      </c>
      <c r="CA56" s="7">
        <f t="shared" ca="1" si="63"/>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62"/>
        <v/>
      </c>
      <c r="BS57" s="8">
        <f t="shared" ca="1" si="64"/>
        <v>0</v>
      </c>
      <c r="BT57" s="8">
        <f t="shared" ca="1" si="64"/>
        <v>0</v>
      </c>
      <c r="BU57" s="8">
        <f t="shared" ca="1" si="64"/>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63"/>
        <v>0</v>
      </c>
      <c r="CA57" s="7">
        <f t="shared" ca="1" si="63"/>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62"/>
        <v/>
      </c>
      <c r="BS58" s="8">
        <f t="shared" ca="1" si="64"/>
        <v>0</v>
      </c>
      <c r="BT58" s="8">
        <f t="shared" ca="1" si="64"/>
        <v>0</v>
      </c>
      <c r="BU58" s="8">
        <f t="shared" ca="1" si="64"/>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63"/>
        <v>0</v>
      </c>
      <c r="CA58" s="7">
        <f t="shared" ca="1" si="63"/>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62"/>
        <v/>
      </c>
      <c r="BS59" s="8">
        <f t="shared" ca="1" si="64"/>
        <v>0</v>
      </c>
      <c r="BT59" s="8">
        <f t="shared" ca="1" si="64"/>
        <v>0</v>
      </c>
      <c r="BU59" s="8">
        <f t="shared" ca="1" si="64"/>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62"/>
        <v/>
      </c>
      <c r="BS60" s="8">
        <f t="shared" ca="1" si="64"/>
        <v>0</v>
      </c>
      <c r="BT60" s="8">
        <f t="shared" ca="1" si="64"/>
        <v>0</v>
      </c>
      <c r="BU60" s="8">
        <f t="shared" ca="1" si="64"/>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89" t="s">
        <v>170</v>
      </c>
      <c r="X63" s="931" t="s">
        <v>326</v>
      </c>
      <c r="Y63" s="931"/>
      <c r="Z63" s="161" t="s">
        <v>155</v>
      </c>
      <c r="AA63" s="161" t="s">
        <v>15</v>
      </c>
      <c r="AB63" s="161" t="s">
        <v>153</v>
      </c>
      <c r="AC63" s="688" t="s">
        <v>156</v>
      </c>
      <c r="AD63" s="161" t="s">
        <v>154</v>
      </c>
      <c r="AE63" s="925" t="s">
        <v>334</v>
      </c>
      <c r="AF63" s="925"/>
      <c r="AG63" s="932" t="s">
        <v>328</v>
      </c>
      <c r="AH63" s="932"/>
      <c r="AI63" s="689" t="s">
        <v>335</v>
      </c>
      <c r="AJ63" s="3"/>
      <c r="AK63" s="3"/>
      <c r="AL63" s="3"/>
      <c r="AM63" s="3"/>
      <c r="AN63" s="3"/>
      <c r="AO63" s="3"/>
      <c r="AP63" s="3"/>
      <c r="AQ63" s="3"/>
      <c r="AR63" s="3"/>
    </row>
    <row r="64" spans="5:80" s="2" customFormat="1" ht="14.25" thickTop="1" thickBot="1" x14ac:dyDescent="0.25">
      <c r="F64" s="190">
        <v>1000000</v>
      </c>
      <c r="G64" s="191" t="s">
        <v>109</v>
      </c>
      <c r="P64" s="43" t="s">
        <v>6</v>
      </c>
      <c r="Q64" s="58" t="str">
        <f ca="1">IF('Endrunde 4'!$AH19="","",'Endrunde 4'!$AH19)</f>
        <v>1. FC Riedwald</v>
      </c>
      <c r="U64" s="63" t="s">
        <v>6</v>
      </c>
      <c r="V64" s="38" t="str">
        <f ca="1">'Endrunde 4'!$I12</f>
        <v>VFB Essenheim</v>
      </c>
      <c r="W64" s="31" t="str">
        <f ca="1">'Endrunde 4'!$K12</f>
        <v/>
      </c>
      <c r="X64" s="31" t="str">
        <f ca="1">IF($AA64=1,'Endrunde 4'!$L12,"")</f>
        <v/>
      </c>
      <c r="Y64" s="32" t="str">
        <f ca="1">IF($AA64=1,'Endrunde 4'!$N12,"")</f>
        <v/>
      </c>
      <c r="Z64" s="30" t="str">
        <f ca="1">V64&amp;W64</f>
        <v>VFB Essenheim</v>
      </c>
      <c r="AA64" s="31">
        <f ca="1">IF(AND('Endrunde 4'!$L12&lt;&gt;"",'Endrunde 4'!$N12&lt;&gt;"",'Endrunde 4'!$L12&lt;&gt;'Endrunde 4'!$N12,OR(AND('Endrunde 4'!$O12="",'Endrunde 4'!$Q12=""),AND('Endrunde 4'!$O12&lt;&gt;"",'Endrunde 4'!$Q12&lt;&gt;"",'Endrunde 4'!$O12&lt;&gt;'Endrunde 4'!$Q12)),'Endrunde 4'!$I12&lt;&gt;"",'Endrunde 4'!$K12&lt;&gt;"",'Endrunde 4'!$I12&lt;&gt;'Endrunde 4'!$K12),1,0)</f>
        <v>0</v>
      </c>
      <c r="AB64" s="139" t="str">
        <f ca="1">IF(AA64&gt;0,(X64+AG64)&amp;Sprache!$E$77&amp;(Y64+AH64),"")</f>
        <v/>
      </c>
      <c r="AD64" s="140"/>
      <c r="AE64" s="145">
        <f ca="1">IF($AA64=0,0,IF($X64&gt;$Y64,1,0)+IF($AG64&gt;$AH64,1,0))</f>
        <v>0</v>
      </c>
      <c r="AF64" s="140">
        <f ca="1">IF($AA64=0,0,IF($X64&lt;$Y64,1,0)+IF($AG64&lt;$AH64,1,0))</f>
        <v>0</v>
      </c>
      <c r="AG64" s="145" t="str">
        <f ca="1">IF($AA64=1,'Endrunde 4'!$O12,"")</f>
        <v/>
      </c>
      <c r="AH64" s="139" t="str">
        <f ca="1">IF($AA64=1,'Endrunde 4'!$Q12,"")</f>
        <v/>
      </c>
      <c r="AI64" s="598" t="str">
        <f ca="1">IF(AA64&gt;0,AE64&amp;Sprache!$E$77&amp;AF64,"")</f>
        <v/>
      </c>
      <c r="AJ64" s="3"/>
      <c r="AK64" s="3"/>
      <c r="AL64" s="3"/>
      <c r="AM64" s="3"/>
      <c r="AN64" s="3"/>
      <c r="AO64" s="3"/>
      <c r="AP64" s="3"/>
      <c r="AQ64" s="3"/>
      <c r="AR64" s="3"/>
    </row>
    <row r="65" spans="2:43" s="2" customFormat="1" ht="13.5" thickBot="1" x14ac:dyDescent="0.25">
      <c r="F65" s="192">
        <v>1000</v>
      </c>
      <c r="G65" s="193" t="s">
        <v>108</v>
      </c>
      <c r="H65" s="197">
        <v>500</v>
      </c>
      <c r="I65" s="196" t="s">
        <v>304</v>
      </c>
      <c r="P65" s="44" t="s">
        <v>7</v>
      </c>
      <c r="Q65" s="59" t="str">
        <f ca="1">IF('Endrunde 4'!$AH20="","",'Endrunde 4'!$AH20)</f>
        <v>FC Grönlingen</v>
      </c>
      <c r="U65" s="64" t="s">
        <v>7</v>
      </c>
      <c r="V65" s="39" t="str">
        <f ca="1">'Endrunde 4'!$I13</f>
        <v>1. FC Riedwald</v>
      </c>
      <c r="W65" s="12" t="str">
        <f ca="1">'Endrunde 4'!$K13</f>
        <v>SSV Wildbach</v>
      </c>
      <c r="X65" s="12">
        <f ca="1">IF($AA65=1,'Endrunde 4'!$L13,"")</f>
        <v>25</v>
      </c>
      <c r="Y65" s="34">
        <f ca="1">IF($AA65=1,'Endrunde 4'!$N13,"")</f>
        <v>20</v>
      </c>
      <c r="Z65" s="33" t="str">
        <f t="shared" ref="Z65:Z73" ca="1" si="65">V65&amp;W65</f>
        <v>1. FC RiedwaldSSV Wildbach</v>
      </c>
      <c r="AA65" s="12">
        <f ca="1">IF(AND('Endrunde 4'!$L13&lt;&gt;"",'Endrunde 4'!$N13&lt;&gt;"",'Endrunde 4'!$L13&lt;&gt;'Endrunde 4'!$N13,OR(AND('Endrunde 4'!$O13="",'Endrunde 4'!$Q13=""),AND('Endrunde 4'!$O13&lt;&gt;"",'Endrunde 4'!$Q13&lt;&gt;"",'Endrunde 4'!$O13&lt;&gt;'Endrunde 4'!$Q13)),'Endrunde 4'!$I13&lt;&gt;"",'Endrunde 4'!$K13&lt;&gt;"",'Endrunde 4'!$I13&lt;&gt;'Endrunde 4'!$K13),1,0)</f>
        <v>1</v>
      </c>
      <c r="AB65" s="12" t="str">
        <f ca="1">IF(AA65&gt;0,(X65+AG65)&amp;Sprache!$E$77&amp;(Y65+AH65),"")</f>
        <v>42:45</v>
      </c>
      <c r="AD65" s="141"/>
      <c r="AE65" s="146">
        <f t="shared" ref="AE65:AE81" ca="1" si="66">IF($AA65=0,0,IF($X65&gt;$Y65,1,0)+IF($AG65&gt;$AH65,1,0))</f>
        <v>1</v>
      </c>
      <c r="AF65" s="141">
        <f t="shared" ref="AF65:AF81" ca="1" si="67">IF($AA65=0,0,IF($X65&lt;$Y65,1,0)+IF($AG65&lt;$AH65,1,0))</f>
        <v>1</v>
      </c>
      <c r="AG65" s="146">
        <f ca="1">IF($AA65=1,'Endrunde 4'!$O13,"")</f>
        <v>17</v>
      </c>
      <c r="AH65" s="12">
        <f ca="1">IF($AA65=1,'Endrunde 4'!$Q13,"")</f>
        <v>25</v>
      </c>
      <c r="AI65" s="599" t="str">
        <f ca="1">IF(AA65&gt;0,AE65&amp;Sprache!$E$77&amp;AF65,"")</f>
        <v>1:1</v>
      </c>
      <c r="AJ65" s="12"/>
      <c r="AK65" s="12"/>
      <c r="AL65" s="12"/>
      <c r="AM65" s="12"/>
      <c r="AN65" s="12"/>
      <c r="AO65" s="12"/>
      <c r="AP65" s="12"/>
      <c r="AQ65" s="12"/>
    </row>
    <row r="66" spans="2:43" s="2" customFormat="1" ht="13.5" thickBot="1" x14ac:dyDescent="0.25">
      <c r="F66" s="194">
        <v>1</v>
      </c>
      <c r="G66" s="195" t="s">
        <v>106</v>
      </c>
      <c r="P66" s="44" t="s">
        <v>8</v>
      </c>
      <c r="Q66" s="59" t="str">
        <f ca="1">IF('Endrunde 4'!$AH21="","",'Endrunde 4'!$AH21)</f>
        <v>FC Barcelona</v>
      </c>
      <c r="U66" s="64" t="s">
        <v>8</v>
      </c>
      <c r="V66" s="39" t="str">
        <f ca="1">'Endrunde 4'!$I14</f>
        <v>Maibach 1822 eV</v>
      </c>
      <c r="W66" s="12" t="str">
        <f ca="1">'Endrunde 4'!$K14</f>
        <v>Manchester City</v>
      </c>
      <c r="X66" s="12">
        <f ca="1">IF($AA66=1,'Endrunde 4'!$L14,"")</f>
        <v>19</v>
      </c>
      <c r="Y66" s="34">
        <f ca="1">IF($AA66=1,'Endrunde 4'!$N14,"")</f>
        <v>25</v>
      </c>
      <c r="Z66" s="33" t="str">
        <f t="shared" ca="1" si="65"/>
        <v>Maibach 1822 eVManchester City</v>
      </c>
      <c r="AA66" s="12">
        <f ca="1">IF(AND('Endrunde 4'!$L14&lt;&gt;"",'Endrunde 4'!$N14&lt;&gt;"",'Endrunde 4'!$L14&lt;&gt;'Endrunde 4'!$N14,OR(AND('Endrunde 4'!$O14="",'Endrunde 4'!$Q14=""),AND('Endrunde 4'!$O14&lt;&gt;"",'Endrunde 4'!$Q14&lt;&gt;"",'Endrunde 4'!$O14&lt;&gt;'Endrunde 4'!$Q14)),'Endrunde 4'!$I14&lt;&gt;"",'Endrunde 4'!$K14&lt;&gt;"",'Endrunde 4'!$I14&lt;&gt;'Endrunde 4'!$K14),1,0)</f>
        <v>1</v>
      </c>
      <c r="AB66" s="12" t="str">
        <f ca="1">IF(AA66&gt;0,(X66+AG66)&amp;Sprache!$E$77&amp;(Y66+AH66),"")</f>
        <v>35:50</v>
      </c>
      <c r="AD66" s="141"/>
      <c r="AE66" s="146">
        <f t="shared" ca="1" si="66"/>
        <v>0</v>
      </c>
      <c r="AF66" s="141">
        <f t="shared" ca="1" si="67"/>
        <v>2</v>
      </c>
      <c r="AG66" s="146">
        <f ca="1">IF($AA66=1,'Endrunde 4'!$O14,"")</f>
        <v>16</v>
      </c>
      <c r="AH66" s="12">
        <f ca="1">IF($AA66=1,'Endrunde 4'!$Q14,"")</f>
        <v>25</v>
      </c>
      <c r="AI66" s="599" t="str">
        <f ca="1">IF(AA66&gt;0,AE66&amp;Sprache!$E$77&amp;AF66,"")</f>
        <v>0:2</v>
      </c>
      <c r="AJ66" s="3"/>
      <c r="AK66" s="12"/>
      <c r="AL66" s="12"/>
      <c r="AM66" s="12"/>
      <c r="AN66" s="12"/>
      <c r="AO66" s="12"/>
      <c r="AP66" s="12"/>
      <c r="AQ66" s="12"/>
    </row>
    <row r="67" spans="2:43" s="2" customFormat="1" x14ac:dyDescent="0.2">
      <c r="P67" s="44" t="s">
        <v>9</v>
      </c>
      <c r="Q67" s="59" t="str">
        <f ca="1">IF('Endrunde 4'!$AH22="","",'Endrunde 4'!$AH22)</f>
        <v>SSV Wildbach</v>
      </c>
      <c r="U67" s="64" t="s">
        <v>9</v>
      </c>
      <c r="V67" s="39" t="str">
        <f ca="1">'Endrunde 4'!$I15</f>
        <v>Inter Mailand</v>
      </c>
      <c r="W67" s="12" t="str">
        <f ca="1">'Endrunde 4'!$K15</f>
        <v/>
      </c>
      <c r="X67" s="12" t="str">
        <f ca="1">IF($AA67=1,'Endrunde 4'!$L15,"")</f>
        <v/>
      </c>
      <c r="Y67" s="34" t="str">
        <f ca="1">IF($AA67=1,'Endrunde 4'!$N15,"")</f>
        <v/>
      </c>
      <c r="Z67" s="33" t="str">
        <f t="shared" ca="1" si="65"/>
        <v>Inter Mailand</v>
      </c>
      <c r="AA67" s="12">
        <f ca="1">IF(AND('Endrunde 4'!$L15&lt;&gt;"",'Endrunde 4'!$N15&lt;&gt;"",'Endrunde 4'!$L15&lt;&gt;'Endrunde 4'!$N15,OR(AND('Endrunde 4'!$O15="",'Endrunde 4'!$Q15=""),AND('Endrunde 4'!$O15&lt;&gt;"",'Endrunde 4'!$Q15&lt;&gt;"",'Endrunde 4'!$O15&lt;&gt;'Endrunde 4'!$Q15)),'Endrunde 4'!$I15&lt;&gt;"",'Endrunde 4'!$K15&lt;&gt;"",'Endrunde 4'!$I15&lt;&gt;'Endrunde 4'!$K15),1,0)</f>
        <v>0</v>
      </c>
      <c r="AB67" s="12" t="str">
        <f ca="1">IF(AA67&gt;0,(X67+AG67)&amp;Sprache!$E$77&amp;(Y67+AH67),"")</f>
        <v/>
      </c>
      <c r="AD67" s="141"/>
      <c r="AE67" s="146">
        <f t="shared" ca="1" si="66"/>
        <v>0</v>
      </c>
      <c r="AF67" s="141">
        <f t="shared" ca="1" si="67"/>
        <v>0</v>
      </c>
      <c r="AG67" s="146" t="str">
        <f ca="1">IF($AA67=1,'Endrunde 4'!$O15,"")</f>
        <v/>
      </c>
      <c r="AH67" s="12" t="str">
        <f ca="1">IF($AA67=1,'Endrunde 4'!$Q15,"")</f>
        <v/>
      </c>
      <c r="AI67" s="599" t="str">
        <f ca="1">IF(AA67&gt;0,AE67&amp;Sprache!$E$77&amp;AF67,"")</f>
        <v/>
      </c>
      <c r="AJ67" s="12"/>
      <c r="AK67" s="3"/>
      <c r="AL67" s="12"/>
      <c r="AM67" s="12"/>
      <c r="AN67" s="12"/>
      <c r="AO67" s="12"/>
      <c r="AP67" s="12"/>
      <c r="AQ67" s="12"/>
    </row>
    <row r="68" spans="2:43" s="2" customFormat="1" x14ac:dyDescent="0.2">
      <c r="P68" s="44"/>
      <c r="Q68" s="59" t="str">
        <f>""</f>
        <v/>
      </c>
      <c r="U68" s="64" t="s">
        <v>10</v>
      </c>
      <c r="V68" s="39" t="str">
        <f ca="1">'Endrunde 4'!$I16</f>
        <v>FC Grönlingen</v>
      </c>
      <c r="W68" s="12" t="str">
        <f ca="1">'Endrunde 4'!$K16</f>
        <v>FC Barcelona</v>
      </c>
      <c r="X68" s="12">
        <f ca="1">IF($AA68=1,'Endrunde 4'!$L16,"")</f>
        <v>25</v>
      </c>
      <c r="Y68" s="34">
        <f ca="1">IF($AA68=1,'Endrunde 4'!$N16,"")</f>
        <v>23</v>
      </c>
      <c r="Z68" s="33" t="str">
        <f t="shared" ca="1" si="65"/>
        <v>FC GrönlingenFC Barcelona</v>
      </c>
      <c r="AA68" s="12">
        <f ca="1">IF(AND('Endrunde 4'!$L16&lt;&gt;"",'Endrunde 4'!$N16&lt;&gt;"",'Endrunde 4'!$L16&lt;&gt;'Endrunde 4'!$N16,OR(AND('Endrunde 4'!$O16="",'Endrunde 4'!$Q16=""),AND('Endrunde 4'!$O16&lt;&gt;"",'Endrunde 4'!$Q16&lt;&gt;"",'Endrunde 4'!$O16&lt;&gt;'Endrunde 4'!$Q16)),'Endrunde 4'!$I16&lt;&gt;"",'Endrunde 4'!$K16&lt;&gt;"",'Endrunde 4'!$I16&lt;&gt;'Endrunde 4'!$K16),1,0)</f>
        <v>1</v>
      </c>
      <c r="AB68" s="12" t="str">
        <f ca="1">IF(AA68&gt;0,(X68+AG68)&amp;Sprache!$E$77&amp;(Y68+AH68),"")</f>
        <v>50:44</v>
      </c>
      <c r="AD68" s="141"/>
      <c r="AE68" s="146">
        <f t="shared" ca="1" si="66"/>
        <v>2</v>
      </c>
      <c r="AF68" s="141">
        <f t="shared" ca="1" si="67"/>
        <v>0</v>
      </c>
      <c r="AG68" s="146">
        <f ca="1">IF($AA68=1,'Endrunde 4'!$O16,"")</f>
        <v>25</v>
      </c>
      <c r="AH68" s="12">
        <f ca="1">IF($AA68=1,'Endrunde 4'!$Q16,"")</f>
        <v>21</v>
      </c>
      <c r="AI68" s="599" t="str">
        <f ca="1">IF(AA68&gt;0,AE68&amp;Sprache!$E$77&amp;AF68,"")</f>
        <v>2:0</v>
      </c>
      <c r="AJ68" s="12"/>
      <c r="AK68" s="12"/>
      <c r="AL68" s="3"/>
      <c r="AM68" s="12"/>
      <c r="AN68" s="12"/>
      <c r="AO68" s="12"/>
      <c r="AP68" s="12"/>
      <c r="AQ68" s="12"/>
    </row>
    <row r="69" spans="2:43" s="2" customFormat="1" x14ac:dyDescent="0.2">
      <c r="P69" s="44"/>
      <c r="Q69" s="59" t="str">
        <f>""</f>
        <v/>
      </c>
      <c r="U69" s="64" t="s">
        <v>11</v>
      </c>
      <c r="V69" s="39" t="str">
        <f ca="1">'Endrunde 4'!$I17</f>
        <v>Mainz 05</v>
      </c>
      <c r="W69" s="12" t="str">
        <f ca="1">'Endrunde 4'!$K17</f>
        <v>Eintracht Frankfurt</v>
      </c>
      <c r="X69" s="12">
        <f ca="1">IF($AA69=1,'Endrunde 4'!$L17,"")</f>
        <v>25</v>
      </c>
      <c r="Y69" s="34">
        <f ca="1">IF($AA69=1,'Endrunde 4'!$N17,"")</f>
        <v>17</v>
      </c>
      <c r="Z69" s="33" t="str">
        <f t="shared" ca="1" si="65"/>
        <v>Mainz 05Eintracht Frankfurt</v>
      </c>
      <c r="AA69" s="12">
        <f ca="1">IF(AND('Endrunde 4'!$L17&lt;&gt;"",'Endrunde 4'!$N17&lt;&gt;"",'Endrunde 4'!$L17&lt;&gt;'Endrunde 4'!$N17,OR(AND('Endrunde 4'!$O17="",'Endrunde 4'!$Q17=""),AND('Endrunde 4'!$O17&lt;&gt;"",'Endrunde 4'!$Q17&lt;&gt;"",'Endrunde 4'!$O17&lt;&gt;'Endrunde 4'!$Q17)),'Endrunde 4'!$I17&lt;&gt;"",'Endrunde 4'!$K17&lt;&gt;"",'Endrunde 4'!$I17&lt;&gt;'Endrunde 4'!$K17),1,0)</f>
        <v>1</v>
      </c>
      <c r="AB69" s="12" t="str">
        <f ca="1">IF(AA69&gt;0,(X69+AG69)&amp;Sprache!$E$77&amp;(Y69+AH69),"")</f>
        <v>50:39</v>
      </c>
      <c r="AD69" s="141"/>
      <c r="AE69" s="146">
        <f t="shared" ca="1" si="66"/>
        <v>2</v>
      </c>
      <c r="AF69" s="141">
        <f t="shared" ca="1" si="67"/>
        <v>0</v>
      </c>
      <c r="AG69" s="146">
        <f ca="1">IF($AA69=1,'Endrunde 4'!$O17,"")</f>
        <v>25</v>
      </c>
      <c r="AH69" s="12">
        <f ca="1">IF($AA69=1,'Endrunde 4'!$Q17,"")</f>
        <v>22</v>
      </c>
      <c r="AI69" s="599" t="str">
        <f ca="1">IF(AA69&gt;0,AE69&amp;Sprache!$E$77&amp;AF69,"")</f>
        <v>2:0</v>
      </c>
      <c r="AJ69" s="12"/>
      <c r="AK69" s="12"/>
      <c r="AL69" s="12"/>
      <c r="AM69" s="3"/>
      <c r="AN69" s="12"/>
      <c r="AO69" s="12"/>
      <c r="AP69" s="12"/>
      <c r="AQ69" s="12"/>
    </row>
    <row r="70" spans="2:43" s="2" customFormat="1" x14ac:dyDescent="0.2">
      <c r="P70" s="44"/>
      <c r="Q70" s="59" t="str">
        <f>""</f>
        <v/>
      </c>
      <c r="U70" s="64" t="s">
        <v>16</v>
      </c>
      <c r="V70" s="39" t="str">
        <f ca="1">'Endrunde 4'!$I18</f>
        <v>VFB Essenheim</v>
      </c>
      <c r="W70" s="12" t="str">
        <f ca="1">'Endrunde 4'!$K18</f>
        <v/>
      </c>
      <c r="X70" s="12" t="str">
        <f ca="1">IF($AA70=1,'Endrunde 4'!$L18,"")</f>
        <v/>
      </c>
      <c r="Y70" s="34" t="str">
        <f ca="1">IF($AA70=1,'Endrunde 4'!$N18,"")</f>
        <v/>
      </c>
      <c r="Z70" s="33" t="str">
        <f t="shared" ca="1" si="65"/>
        <v>VFB Essenheim</v>
      </c>
      <c r="AA70" s="12">
        <f ca="1">IF(AND('Endrunde 4'!$L18&lt;&gt;"",'Endrunde 4'!$N18&lt;&gt;"",'Endrunde 4'!$L18&lt;&gt;'Endrunde 4'!$N18,OR(AND('Endrunde 4'!$O18="",'Endrunde 4'!$Q18=""),AND('Endrunde 4'!$O18&lt;&gt;"",'Endrunde 4'!$Q18&lt;&gt;"",'Endrunde 4'!$O18&lt;&gt;'Endrunde 4'!$Q18)),'Endrunde 4'!$I18&lt;&gt;"",'Endrunde 4'!$K18&lt;&gt;"",'Endrunde 4'!$I18&lt;&gt;'Endrunde 4'!$K18),1,0)</f>
        <v>0</v>
      </c>
      <c r="AB70" s="12" t="str">
        <f ca="1">IF(AA70&gt;0,(X70+AG70)&amp;Sprache!$E$77&amp;(Y70+AH70),"")</f>
        <v/>
      </c>
      <c r="AD70" s="141"/>
      <c r="AE70" s="146">
        <f t="shared" ca="1" si="66"/>
        <v>0</v>
      </c>
      <c r="AF70" s="141">
        <f t="shared" ca="1" si="67"/>
        <v>0</v>
      </c>
      <c r="AG70" s="146" t="str">
        <f ca="1">IF($AA70=1,'Endrunde 4'!$O18,"")</f>
        <v/>
      </c>
      <c r="AH70" s="12" t="str">
        <f ca="1">IF($AA70=1,'Endrunde 4'!$Q18,"")</f>
        <v/>
      </c>
      <c r="AI70" s="599" t="str">
        <f ca="1">IF(AA70&gt;0,AE70&amp;Sprache!$E$77&amp;AF70,"")</f>
        <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4"/>
      <c r="Q71" s="59" t="str">
        <f>""</f>
        <v/>
      </c>
      <c r="U71" s="64" t="s">
        <v>17</v>
      </c>
      <c r="V71" s="39" t="str">
        <f ca="1">'Endrunde 4'!$I19</f>
        <v>1. FC Riedwald</v>
      </c>
      <c r="W71" s="12" t="str">
        <f ca="1">'Endrunde 4'!$K19</f>
        <v>FC Barcelona</v>
      </c>
      <c r="X71" s="12">
        <f ca="1">IF($AA71=1,'Endrunde 4'!$L19,"")</f>
        <v>19</v>
      </c>
      <c r="Y71" s="34">
        <f ca="1">IF($AA71=1,'Endrunde 4'!$N19,"")</f>
        <v>25</v>
      </c>
      <c r="Z71" s="33" t="str">
        <f t="shared" ca="1" si="65"/>
        <v>1. FC RiedwaldFC Barcelona</v>
      </c>
      <c r="AA71" s="12">
        <f ca="1">IF(AND('Endrunde 4'!$L19&lt;&gt;"",'Endrunde 4'!$N19&lt;&gt;"",'Endrunde 4'!$L19&lt;&gt;'Endrunde 4'!$N19,OR(AND('Endrunde 4'!$O19="",'Endrunde 4'!$Q19=""),AND('Endrunde 4'!$O19&lt;&gt;"",'Endrunde 4'!$Q19&lt;&gt;"",'Endrunde 4'!$O19&lt;&gt;'Endrunde 4'!$Q19)),'Endrunde 4'!$I19&lt;&gt;"",'Endrunde 4'!$K19&lt;&gt;"",'Endrunde 4'!$I19&lt;&gt;'Endrunde 4'!$K19),1,0)</f>
        <v>1</v>
      </c>
      <c r="AB71" s="12" t="str">
        <f ca="1">IF(AA71&gt;0,(X71+AG71)&amp;Sprache!$E$77&amp;(Y71+AH71),"")</f>
        <v>44:37</v>
      </c>
      <c r="AD71" s="141"/>
      <c r="AE71" s="146">
        <f t="shared" ca="1" si="66"/>
        <v>1</v>
      </c>
      <c r="AF71" s="141">
        <f t="shared" ca="1" si="67"/>
        <v>1</v>
      </c>
      <c r="AG71" s="146">
        <f ca="1">IF($AA71=1,'Endrunde 4'!$O19,"")</f>
        <v>25</v>
      </c>
      <c r="AH71" s="12">
        <f ca="1">IF($AA71=1,'Endrunde 4'!$Q19,"")</f>
        <v>12</v>
      </c>
      <c r="AI71" s="599" t="str">
        <f ca="1">IF(AA71&gt;0,AE71&amp;Sprache!$E$77&amp;AF71,"")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5"/>
      <c r="Q72" s="60" t="str">
        <f>""</f>
        <v/>
      </c>
      <c r="U72" s="64" t="s">
        <v>18</v>
      </c>
      <c r="V72" s="39" t="str">
        <f ca="1">'Endrunde 4'!$I20</f>
        <v>Maibach 1822 eV</v>
      </c>
      <c r="W72" s="12" t="str">
        <f ca="1">'Endrunde 4'!$K20</f>
        <v>Eintracht Frankfurt</v>
      </c>
      <c r="X72" s="12">
        <f ca="1">IF($AA72=1,'Endrunde 4'!$L20,"")</f>
        <v>13</v>
      </c>
      <c r="Y72" s="34">
        <f ca="1">IF($AA72=1,'Endrunde 4'!$N20,"")</f>
        <v>25</v>
      </c>
      <c r="Z72" s="33" t="str">
        <f t="shared" ca="1" si="65"/>
        <v>Maibach 1822 eVEintracht Frankfurt</v>
      </c>
      <c r="AA72" s="12">
        <f ca="1">IF(AND('Endrunde 4'!$L20&lt;&gt;"",'Endrunde 4'!$N20&lt;&gt;"",'Endrunde 4'!$L20&lt;&gt;'Endrunde 4'!$N20,OR(AND('Endrunde 4'!$O20="",'Endrunde 4'!$Q20=""),AND('Endrunde 4'!$O20&lt;&gt;"",'Endrunde 4'!$Q20&lt;&gt;"",'Endrunde 4'!$O20&lt;&gt;'Endrunde 4'!$Q20)),'Endrunde 4'!$I20&lt;&gt;"",'Endrunde 4'!$K20&lt;&gt;"",'Endrunde 4'!$I20&lt;&gt;'Endrunde 4'!$K20),1,0)</f>
        <v>1</v>
      </c>
      <c r="AB72" s="12" t="str">
        <f ca="1">IF(AA72&gt;0,(X72+AG72)&amp;Sprache!$E$77&amp;(Y72+AH72),"")</f>
        <v>31:50</v>
      </c>
      <c r="AD72" s="141"/>
      <c r="AE72" s="146">
        <f t="shared" ca="1" si="66"/>
        <v>0</v>
      </c>
      <c r="AF72" s="141">
        <f t="shared" ca="1" si="67"/>
        <v>2</v>
      </c>
      <c r="AG72" s="146">
        <f ca="1">IF($AA72=1,'Endrunde 4'!$O20,"")</f>
        <v>18</v>
      </c>
      <c r="AH72" s="12">
        <f ca="1">IF($AA72=1,'Endrunde 4'!$Q20,"")</f>
        <v>25</v>
      </c>
      <c r="AI72" s="599" t="str">
        <f ca="1">IF(AA72&gt;0,AE72&amp;Sprache!$E$77&amp;AF72,"")</f>
        <v>0:2</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4" t="s">
        <v>24</v>
      </c>
      <c r="V73" s="39" t="str">
        <f ca="1">'Endrunde 4'!$I21</f>
        <v>Inter Mailand</v>
      </c>
      <c r="W73" s="12" t="str">
        <f ca="1">'Endrunde 4'!$K21</f>
        <v/>
      </c>
      <c r="X73" s="12" t="str">
        <f ca="1">IF($AA73=1,'Endrunde 4'!$L21,"")</f>
        <v/>
      </c>
      <c r="Y73" s="34" t="str">
        <f ca="1">IF($AA73=1,'Endrunde 4'!$N21,"")</f>
        <v/>
      </c>
      <c r="Z73" s="33" t="str">
        <f t="shared" ca="1" si="65"/>
        <v>Inter Mailand</v>
      </c>
      <c r="AA73" s="12">
        <f ca="1">IF(AND('Endrunde 4'!$L21&lt;&gt;"",'Endrunde 4'!$N21&lt;&gt;"",'Endrunde 4'!$L21&lt;&gt;'Endrunde 4'!$N21,OR(AND('Endrunde 4'!$O21="",'Endrunde 4'!$Q21=""),AND('Endrunde 4'!$O21&lt;&gt;"",'Endrunde 4'!$Q21&lt;&gt;"",'Endrunde 4'!$O21&lt;&gt;'Endrunde 4'!$Q21)),'Endrunde 4'!$I21&lt;&gt;"",'Endrunde 4'!$K21&lt;&gt;"",'Endrunde 4'!$I21&lt;&gt;'Endrunde 4'!$K21),1,0)</f>
        <v>0</v>
      </c>
      <c r="AB73" s="12" t="str">
        <f ca="1">IF(AA73&gt;0,(X73+AG73)&amp;Sprache!$E$77&amp;(Y73+AH73),"")</f>
        <v/>
      </c>
      <c r="AD73" s="141"/>
      <c r="AE73" s="146">
        <f t="shared" ca="1" si="66"/>
        <v>0</v>
      </c>
      <c r="AF73" s="141">
        <f t="shared" ca="1" si="67"/>
        <v>0</v>
      </c>
      <c r="AG73" s="146" t="str">
        <f ca="1">IF($AA73=1,'Endrunde 4'!$O21,"")</f>
        <v/>
      </c>
      <c r="AH73" s="12" t="str">
        <f ca="1">IF($AA73=1,'Endrunde 4'!$Q21,"")</f>
        <v/>
      </c>
      <c r="AI73" s="599" t="str">
        <f ca="1">IF(AA73&gt;0,AE73&amp;Sprache!$E$77&amp;AF73,"")</f>
        <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4" t="s">
        <v>25</v>
      </c>
      <c r="V74" s="39" t="str">
        <f ca="1">'Endrunde 4'!$I22</f>
        <v>FC Grönlingen</v>
      </c>
      <c r="W74" s="12" t="str">
        <f ca="1">'Endrunde 4'!$K22</f>
        <v>SSV Wildbach</v>
      </c>
      <c r="X74" s="12">
        <f ca="1">IF($AA74=1,'Endrunde 4'!$L22,"")</f>
        <v>22</v>
      </c>
      <c r="Y74" s="34">
        <f ca="1">IF($AA74=1,'Endrunde 4'!$N22,"")</f>
        <v>25</v>
      </c>
      <c r="Z74" s="33" t="str">
        <f ca="1">V74&amp;W74</f>
        <v>FC GrönlingenSSV Wildbach</v>
      </c>
      <c r="AA74" s="12">
        <f ca="1">IF(AND('Endrunde 4'!$L22&lt;&gt;"",'Endrunde 4'!$N22&lt;&gt;"",'Endrunde 4'!$L22&lt;&gt;'Endrunde 4'!$N22,OR(AND('Endrunde 4'!$O22="",'Endrunde 4'!$Q22=""),AND('Endrunde 4'!$O22&lt;&gt;"",'Endrunde 4'!$Q22&lt;&gt;"",'Endrunde 4'!$O22&lt;&gt;'Endrunde 4'!$Q22)),'Endrunde 4'!$I22&lt;&gt;"",'Endrunde 4'!$K22&lt;&gt;"",'Endrunde 4'!$I22&lt;&gt;'Endrunde 4'!$K22),1,0)</f>
        <v>1</v>
      </c>
      <c r="AB74" s="12" t="str">
        <f ca="1">IF(AA74&gt;0,(X74+AG74)&amp;Sprache!$E$77&amp;(Y74+AH74),"")</f>
        <v>47:45</v>
      </c>
      <c r="AD74" s="141"/>
      <c r="AE74" s="146">
        <f t="shared" ca="1" si="66"/>
        <v>1</v>
      </c>
      <c r="AF74" s="141">
        <f t="shared" ca="1" si="67"/>
        <v>1</v>
      </c>
      <c r="AG74" s="146">
        <f ca="1">IF($AA74=1,'Endrunde 4'!$O22,"")</f>
        <v>25</v>
      </c>
      <c r="AH74" s="12">
        <f ca="1">IF($AA74=1,'Endrunde 4'!$Q22,"")</f>
        <v>20</v>
      </c>
      <c r="AI74" s="599" t="str">
        <f ca="1">IF(AA74&gt;0,AE74&amp;Sprache!$E$77&amp;AF74,"")</f>
        <v>1:1</v>
      </c>
    </row>
    <row r="75" spans="2:43" s="2" customFormat="1" x14ac:dyDescent="0.2">
      <c r="B75" s="3"/>
      <c r="C75" s="3"/>
      <c r="D75" s="3"/>
      <c r="E75" s="3"/>
      <c r="F75" s="12"/>
      <c r="G75" s="12"/>
      <c r="H75" s="12"/>
      <c r="I75" s="12"/>
      <c r="J75" s="12"/>
      <c r="K75" s="12"/>
      <c r="L75" s="12"/>
      <c r="M75" s="12"/>
      <c r="U75" s="64" t="s">
        <v>26</v>
      </c>
      <c r="V75" s="39" t="str">
        <f ca="1">'Endrunde 4'!$I23</f>
        <v>Mainz 05</v>
      </c>
      <c r="W75" s="12" t="str">
        <f ca="1">'Endrunde 4'!$K23</f>
        <v>Manchester City</v>
      </c>
      <c r="X75" s="12">
        <f ca="1">IF($AA75=1,'Endrunde 4'!$L23,"")</f>
        <v>19</v>
      </c>
      <c r="Y75" s="34">
        <f ca="1">IF($AA75=1,'Endrunde 4'!$N23,"")</f>
        <v>25</v>
      </c>
      <c r="Z75" s="33" t="str">
        <f t="shared" ref="Z75:Z81" ca="1" si="68">V75&amp;W75</f>
        <v>Mainz 05Manchester City</v>
      </c>
      <c r="AA75" s="12">
        <f ca="1">IF(AND('Endrunde 4'!$L23&lt;&gt;"",'Endrunde 4'!$N23&lt;&gt;"",'Endrunde 4'!$L23&lt;&gt;'Endrunde 4'!$N23,OR(AND('Endrunde 4'!$O23="",'Endrunde 4'!$Q23=""),AND('Endrunde 4'!$O23&lt;&gt;"",'Endrunde 4'!$Q23&lt;&gt;"",'Endrunde 4'!$O23&lt;&gt;'Endrunde 4'!$Q23)),'Endrunde 4'!$I23&lt;&gt;"",'Endrunde 4'!$K23&lt;&gt;"",'Endrunde 4'!$I23&lt;&gt;'Endrunde 4'!$K23),1,0)</f>
        <v>1</v>
      </c>
      <c r="AB75" s="12" t="str">
        <f ca="1">IF(AA75&gt;0,(X75+AG75)&amp;Sprache!$E$77&amp;(Y75+AH75),"")</f>
        <v>44:44</v>
      </c>
      <c r="AD75" s="141"/>
      <c r="AE75" s="146">
        <f t="shared" ca="1" si="66"/>
        <v>1</v>
      </c>
      <c r="AF75" s="141">
        <f t="shared" ca="1" si="67"/>
        <v>1</v>
      </c>
      <c r="AG75" s="146">
        <f ca="1">IF($AA75=1,'Endrunde 4'!$O23,"")</f>
        <v>25</v>
      </c>
      <c r="AH75" s="12">
        <f ca="1">IF($AA75=1,'Endrunde 4'!$Q23,"")</f>
        <v>19</v>
      </c>
      <c r="AI75" s="599" t="str">
        <f ca="1">IF(AA75&gt;0,AE75&amp;Sprache!$E$77&amp;AF75,"")</f>
        <v>1:1</v>
      </c>
    </row>
    <row r="76" spans="2:43" s="2" customFormat="1" x14ac:dyDescent="0.2">
      <c r="B76" s="3"/>
      <c r="C76" s="3"/>
      <c r="D76" s="3"/>
      <c r="E76" s="3"/>
      <c r="F76" s="12"/>
      <c r="G76" s="12"/>
      <c r="H76" s="12"/>
      <c r="I76" s="12"/>
      <c r="J76" s="12"/>
      <c r="K76" s="12"/>
      <c r="L76" s="12"/>
      <c r="M76" s="12"/>
      <c r="U76" s="64" t="s">
        <v>27</v>
      </c>
      <c r="V76" s="39" t="str">
        <f ca="1">'Endrunde 4'!$I24</f>
        <v/>
      </c>
      <c r="W76" s="12" t="str">
        <f ca="1">'Endrunde 4'!$K24</f>
        <v/>
      </c>
      <c r="X76" s="12" t="str">
        <f ca="1">IF($AA76=1,'Endrunde 4'!$L24,"")</f>
        <v/>
      </c>
      <c r="Y76" s="34" t="str">
        <f ca="1">IF($AA76=1,'Endrunde 4'!$N24,"")</f>
        <v/>
      </c>
      <c r="Z76" s="33" t="str">
        <f t="shared" ca="1" si="68"/>
        <v/>
      </c>
      <c r="AA76" s="12">
        <f ca="1">IF(AND('Endrunde 4'!$L24&lt;&gt;"",'Endrunde 4'!$N24&lt;&gt;"",'Endrunde 4'!$L24&lt;&gt;'Endrunde 4'!$N24,OR(AND('Endrunde 4'!$O24="",'Endrunde 4'!$Q24=""),AND('Endrunde 4'!$O24&lt;&gt;"",'Endrunde 4'!$Q24&lt;&gt;"",'Endrunde 4'!$O24&lt;&gt;'Endrunde 4'!$Q24)),'Endrunde 4'!$I24&lt;&gt;"",'Endrunde 4'!$K24&lt;&gt;"",'Endrunde 4'!$I24&lt;&gt;'Endrunde 4'!$K24),1,0)</f>
        <v>0</v>
      </c>
      <c r="AB76" s="12" t="str">
        <f ca="1">IF(AA76&gt;0,(X76+AG76)&amp;Sprache!$E$77&amp;(Y76+AH76),"")</f>
        <v/>
      </c>
      <c r="AD76" s="141"/>
      <c r="AE76" s="146">
        <f t="shared" ca="1" si="66"/>
        <v>0</v>
      </c>
      <c r="AF76" s="141">
        <f t="shared" ca="1" si="67"/>
        <v>0</v>
      </c>
      <c r="AG76" s="146" t="str">
        <f ca="1">IF($AA76=1,'Endrunde 4'!$O24,"")</f>
        <v/>
      </c>
      <c r="AH76" s="12" t="str">
        <f ca="1">IF($AA76=1,'Endrunde 4'!$Q24,"")</f>
        <v/>
      </c>
      <c r="AI76" s="599" t="str">
        <f ca="1">IF(AA76&gt;0,AE76&amp;Sprache!$E$77&amp;AF76,"")</f>
        <v/>
      </c>
    </row>
    <row r="77" spans="2:43" s="2" customFormat="1" x14ac:dyDescent="0.2">
      <c r="B77" s="3"/>
      <c r="C77" s="3"/>
      <c r="D77" s="3"/>
      <c r="E77" s="3"/>
      <c r="F77" s="12"/>
      <c r="G77" s="12"/>
      <c r="H77" s="12"/>
      <c r="I77" s="12"/>
      <c r="J77" s="12"/>
      <c r="K77" s="12"/>
      <c r="L77" s="12"/>
      <c r="M77" s="12"/>
      <c r="U77" s="64" t="s">
        <v>28</v>
      </c>
      <c r="V77" s="39" t="str">
        <f ca="1">'Endrunde 4'!$I25</f>
        <v>FC Barcelona</v>
      </c>
      <c r="W77" s="12" t="str">
        <f ca="1">'Endrunde 4'!$K25</f>
        <v>SSV Wildbach</v>
      </c>
      <c r="X77" s="12">
        <f ca="1">IF($AA77=1,'Endrunde 4'!$L25,"")</f>
        <v>14</v>
      </c>
      <c r="Y77" s="34">
        <f ca="1">IF($AA77=1,'Endrunde 4'!$N25,"")</f>
        <v>25</v>
      </c>
      <c r="Z77" s="33" t="str">
        <f t="shared" ca="1" si="68"/>
        <v>FC BarcelonaSSV Wildbach</v>
      </c>
      <c r="AA77" s="12">
        <f ca="1">IF(AND('Endrunde 4'!$L25&lt;&gt;"",'Endrunde 4'!$N25&lt;&gt;"",'Endrunde 4'!$L25&lt;&gt;'Endrunde 4'!$N25,OR(AND('Endrunde 4'!$O25="",'Endrunde 4'!$Q25=""),AND('Endrunde 4'!$O25&lt;&gt;"",'Endrunde 4'!$Q25&lt;&gt;"",'Endrunde 4'!$O25&lt;&gt;'Endrunde 4'!$Q25)),'Endrunde 4'!$I25&lt;&gt;"",'Endrunde 4'!$K25&lt;&gt;"",'Endrunde 4'!$I25&lt;&gt;'Endrunde 4'!$K25),1,0)</f>
        <v>1</v>
      </c>
      <c r="AB77" s="12" t="str">
        <f ca="1">IF(AA77&gt;0,(X77+AG77)&amp;Sprache!$E$77&amp;(Y77+AH77),"")</f>
        <v>39:48</v>
      </c>
      <c r="AD77" s="141"/>
      <c r="AE77" s="146">
        <f t="shared" ca="1" si="66"/>
        <v>1</v>
      </c>
      <c r="AF77" s="141">
        <f t="shared" ca="1" si="67"/>
        <v>1</v>
      </c>
      <c r="AG77" s="146">
        <f ca="1">IF($AA77=1,'Endrunde 4'!$O25,"")</f>
        <v>25</v>
      </c>
      <c r="AH77" s="12">
        <f ca="1">IF($AA77=1,'Endrunde 4'!$Q25,"")</f>
        <v>23</v>
      </c>
      <c r="AI77" s="599" t="str">
        <f ca="1">IF(AA77&gt;0,AE77&amp;Sprache!$E$77&amp;AF77,"")</f>
        <v>1:1</v>
      </c>
    </row>
    <row r="78" spans="2:43" s="2" customFormat="1" x14ac:dyDescent="0.2">
      <c r="B78" s="3"/>
      <c r="C78" s="3"/>
      <c r="D78" s="3"/>
      <c r="E78" s="3"/>
      <c r="F78" s="12"/>
      <c r="G78" s="12"/>
      <c r="H78" s="12"/>
      <c r="I78" s="12"/>
      <c r="J78" s="12"/>
      <c r="K78" s="12"/>
      <c r="L78" s="12"/>
      <c r="M78" s="12"/>
      <c r="U78" s="64" t="s">
        <v>29</v>
      </c>
      <c r="V78" s="39" t="str">
        <f ca="1">'Endrunde 4'!$I26</f>
        <v>Eintracht Frankfurt</v>
      </c>
      <c r="W78" s="12" t="str">
        <f ca="1">'Endrunde 4'!$K26</f>
        <v>Manchester City</v>
      </c>
      <c r="X78" s="12">
        <f ca="1">IF($AA78=1,'Endrunde 4'!$L26,"")</f>
        <v>21</v>
      </c>
      <c r="Y78" s="34">
        <f ca="1">IF($AA78=1,'Endrunde 4'!$N26,"")</f>
        <v>25</v>
      </c>
      <c r="Z78" s="33" t="str">
        <f t="shared" ca="1" si="68"/>
        <v>Eintracht FrankfurtManchester City</v>
      </c>
      <c r="AA78" s="12">
        <f ca="1">IF(AND('Endrunde 4'!$L26&lt;&gt;"",'Endrunde 4'!$N26&lt;&gt;"",'Endrunde 4'!$L26&lt;&gt;'Endrunde 4'!$N26,OR(AND('Endrunde 4'!$O26="",'Endrunde 4'!$Q26=""),AND('Endrunde 4'!$O26&lt;&gt;"",'Endrunde 4'!$Q26&lt;&gt;"",'Endrunde 4'!$O26&lt;&gt;'Endrunde 4'!$Q26)),'Endrunde 4'!$I26&lt;&gt;"",'Endrunde 4'!$K26&lt;&gt;"",'Endrunde 4'!$I26&lt;&gt;'Endrunde 4'!$K26),1,0)</f>
        <v>1</v>
      </c>
      <c r="AB78" s="12" t="str">
        <f ca="1">IF(AA78&gt;0,(X78+AG78)&amp;Sprache!$E$77&amp;(Y78+AH78),"")</f>
        <v>46:42</v>
      </c>
      <c r="AD78" s="141"/>
      <c r="AE78" s="146">
        <f t="shared" ca="1" si="66"/>
        <v>1</v>
      </c>
      <c r="AF78" s="141">
        <f t="shared" ca="1" si="67"/>
        <v>1</v>
      </c>
      <c r="AG78" s="146">
        <f ca="1">IF($AA78=1,'Endrunde 4'!$O26,"")</f>
        <v>25</v>
      </c>
      <c r="AH78" s="12">
        <f ca="1">IF($AA78=1,'Endrunde 4'!$Q26,"")</f>
        <v>17</v>
      </c>
      <c r="AI78" s="599" t="str">
        <f ca="1">IF(AA78&gt;0,AE78&amp;Sprache!$E$77&amp;AF78,"")</f>
        <v>1:1</v>
      </c>
    </row>
    <row r="79" spans="2:43" s="2" customFormat="1" x14ac:dyDescent="0.2">
      <c r="B79" s="3"/>
      <c r="C79" s="3"/>
      <c r="D79" s="3"/>
      <c r="E79" s="3"/>
      <c r="F79" s="12"/>
      <c r="G79" s="12"/>
      <c r="H79" s="12"/>
      <c r="I79" s="12"/>
      <c r="J79" s="12"/>
      <c r="K79" s="12"/>
      <c r="L79" s="12"/>
      <c r="M79" s="12"/>
      <c r="U79" s="64" t="s">
        <v>30</v>
      </c>
      <c r="V79" s="39" t="str">
        <f ca="1">'Endrunde 4'!$I27</f>
        <v>VFB Essenheim</v>
      </c>
      <c r="W79" s="12" t="str">
        <f ca="1">'Endrunde 4'!$K27</f>
        <v>Inter Mailand</v>
      </c>
      <c r="X79" s="12">
        <f ca="1">IF($AA79=1,'Endrunde 4'!$L27,"")</f>
        <v>20</v>
      </c>
      <c r="Y79" s="34">
        <f ca="1">IF($AA79=1,'Endrunde 4'!$N27,"")</f>
        <v>25</v>
      </c>
      <c r="Z79" s="33" t="str">
        <f t="shared" ca="1" si="68"/>
        <v>VFB EssenheimInter Mailand</v>
      </c>
      <c r="AA79" s="12">
        <f ca="1">IF(AND('Endrunde 4'!$L27&lt;&gt;"",'Endrunde 4'!$N27&lt;&gt;"",'Endrunde 4'!$L27&lt;&gt;'Endrunde 4'!$N27,OR(AND('Endrunde 4'!$O27="",'Endrunde 4'!$Q27=""),AND('Endrunde 4'!$O27&lt;&gt;"",'Endrunde 4'!$Q27&lt;&gt;"",'Endrunde 4'!$O27&lt;&gt;'Endrunde 4'!$Q27)),'Endrunde 4'!$I27&lt;&gt;"",'Endrunde 4'!$K27&lt;&gt;"",'Endrunde 4'!$I27&lt;&gt;'Endrunde 4'!$K27),1,0)</f>
        <v>1</v>
      </c>
      <c r="AB79" s="12" t="str">
        <f ca="1">IF(AA79&gt;0,(X79+AG79)&amp;Sprache!$E$77&amp;(Y79+AH79),"")</f>
        <v>38:50</v>
      </c>
      <c r="AD79" s="141"/>
      <c r="AE79" s="146">
        <f t="shared" ca="1" si="66"/>
        <v>0</v>
      </c>
      <c r="AF79" s="141">
        <f t="shared" ca="1" si="67"/>
        <v>2</v>
      </c>
      <c r="AG79" s="146">
        <f ca="1">IF($AA79=1,'Endrunde 4'!$O27,"")</f>
        <v>18</v>
      </c>
      <c r="AH79" s="12">
        <f ca="1">IF($AA79=1,'Endrunde 4'!$Q27,"")</f>
        <v>25</v>
      </c>
      <c r="AI79" s="599" t="str">
        <f ca="1">IF(AA79&gt;0,AE79&amp;Sprache!$E$77&amp;AF79,"")</f>
        <v>0:2</v>
      </c>
    </row>
    <row r="80" spans="2:43" s="2" customFormat="1" x14ac:dyDescent="0.2">
      <c r="B80" s="3"/>
      <c r="C80" s="3"/>
      <c r="D80" s="3"/>
      <c r="E80" s="3"/>
      <c r="F80" s="12"/>
      <c r="G80" s="12"/>
      <c r="H80" s="12"/>
      <c r="I80" s="12"/>
      <c r="J80" s="12"/>
      <c r="K80" s="12"/>
      <c r="L80" s="12"/>
      <c r="M80" s="12"/>
      <c r="U80" s="64" t="s">
        <v>31</v>
      </c>
      <c r="V80" s="39" t="str">
        <f ca="1">'Endrunde 4'!$I28</f>
        <v>1. FC Riedwald</v>
      </c>
      <c r="W80" s="12" t="str">
        <f ca="1">'Endrunde 4'!$K28</f>
        <v>FC Grönlingen</v>
      </c>
      <c r="X80" s="12">
        <f ca="1">IF($AA80=1,'Endrunde 4'!$L28,"")</f>
        <v>25</v>
      </c>
      <c r="Y80" s="34">
        <f ca="1">IF($AA80=1,'Endrunde 4'!$N28,"")</f>
        <v>20</v>
      </c>
      <c r="Z80" s="33" t="str">
        <f t="shared" ca="1" si="68"/>
        <v>1. FC RiedwaldFC Grönlingen</v>
      </c>
      <c r="AA80" s="12">
        <f ca="1">IF(AND('Endrunde 4'!$L28&lt;&gt;"",'Endrunde 4'!$N28&lt;&gt;"",'Endrunde 4'!$L28&lt;&gt;'Endrunde 4'!$N28,OR(AND('Endrunde 4'!$O28="",'Endrunde 4'!$Q28=""),AND('Endrunde 4'!$O28&lt;&gt;"",'Endrunde 4'!$Q28&lt;&gt;"",'Endrunde 4'!$O28&lt;&gt;'Endrunde 4'!$Q28)),'Endrunde 4'!$I28&lt;&gt;"",'Endrunde 4'!$K28&lt;&gt;"",'Endrunde 4'!$I28&lt;&gt;'Endrunde 4'!$K28),1,0)</f>
        <v>1</v>
      </c>
      <c r="AB80" s="12" t="str">
        <f ca="1">IF(AA80&gt;0,(X80+AG80)&amp;Sprache!$E$77&amp;(Y80+AH80),"")</f>
        <v>50:39</v>
      </c>
      <c r="AD80" s="141"/>
      <c r="AE80" s="146">
        <f t="shared" ca="1" si="66"/>
        <v>2</v>
      </c>
      <c r="AF80" s="141">
        <f t="shared" ca="1" si="67"/>
        <v>0</v>
      </c>
      <c r="AG80" s="146">
        <f ca="1">IF($AA80=1,'Endrunde 4'!$O28,"")</f>
        <v>25</v>
      </c>
      <c r="AH80" s="12">
        <f ca="1">IF($AA80=1,'Endrunde 4'!$Q28,"")</f>
        <v>19</v>
      </c>
      <c r="AI80" s="599" t="str">
        <f ca="1">IF(AA80&gt;0,AE80&amp;Sprache!$E$77&amp;AF80,"")</f>
        <v>2:0</v>
      </c>
    </row>
    <row r="81" spans="2:35" s="2" customFormat="1" ht="12.75" thickBot="1" x14ac:dyDescent="0.25">
      <c r="B81" s="3"/>
      <c r="C81" s="3"/>
      <c r="D81" s="3"/>
      <c r="E81" s="3"/>
      <c r="F81" s="12"/>
      <c r="G81" s="12"/>
      <c r="H81" s="12"/>
      <c r="I81" s="12"/>
      <c r="J81" s="12"/>
      <c r="K81" s="12"/>
      <c r="L81" s="12"/>
      <c r="M81" s="12"/>
      <c r="U81" s="311" t="s">
        <v>32</v>
      </c>
      <c r="V81" s="710" t="str">
        <f ca="1">'Endrunde 4'!$I29</f>
        <v>Maibach 1822 eV</v>
      </c>
      <c r="W81" s="312" t="str">
        <f ca="1">'Endrunde 4'!$K29</f>
        <v>Mainz 05</v>
      </c>
      <c r="X81" s="312">
        <f ca="1">IF($AA81=1,'Endrunde 4'!$L29,"")</f>
        <v>25</v>
      </c>
      <c r="Y81" s="711">
        <f ca="1">IF($AA81=1,'Endrunde 4'!$N29,"")</f>
        <v>13</v>
      </c>
      <c r="Z81" s="313" t="str">
        <f t="shared" ca="1" si="68"/>
        <v>Maibach 1822 eVMainz 05</v>
      </c>
      <c r="AA81" s="312">
        <f ca="1">IF(AND('Endrunde 4'!$L29&lt;&gt;"",'Endrunde 4'!$N29&lt;&gt;"",'Endrunde 4'!$L29&lt;&gt;'Endrunde 4'!$N29,OR(AND('Endrunde 4'!$O29="",'Endrunde 4'!$Q29=""),AND('Endrunde 4'!$O29&lt;&gt;"",'Endrunde 4'!$Q29&lt;&gt;"",'Endrunde 4'!$O29&lt;&gt;'Endrunde 4'!$Q29)),'Endrunde 4'!$I29&lt;&gt;"",'Endrunde 4'!$K29&lt;&gt;"",'Endrunde 4'!$I29&lt;&gt;'Endrunde 4'!$K29),1,0)</f>
        <v>1</v>
      </c>
      <c r="AB81" s="312" t="str">
        <f ca="1">IF(AA81&gt;0,(X81+AG81)&amp;Sprache!$E$77&amp;(Y81+AH81),"")</f>
        <v>50:33</v>
      </c>
      <c r="AC81" s="314"/>
      <c r="AD81" s="315"/>
      <c r="AE81" s="316">
        <f t="shared" ca="1" si="66"/>
        <v>2</v>
      </c>
      <c r="AF81" s="315">
        <f t="shared" ca="1" si="67"/>
        <v>0</v>
      </c>
      <c r="AG81" s="316">
        <f ca="1">IF($AA81=1,'Endrunde 4'!$O29,"")</f>
        <v>25</v>
      </c>
      <c r="AH81" s="312">
        <f ca="1">IF($AA81=1,'Endrunde 4'!$Q29,"")</f>
        <v>20</v>
      </c>
      <c r="AI81" s="600" t="str">
        <f ca="1">IF(AA81&gt;0,AE81&amp;Sprache!$E$77&amp;AF81,"")</f>
        <v>2:0</v>
      </c>
    </row>
    <row r="82" spans="2:35" s="2" customFormat="1" ht="12.75" thickTop="1" x14ac:dyDescent="0.2">
      <c r="B82" s="3"/>
      <c r="C82" s="3"/>
      <c r="D82" s="3"/>
      <c r="E82" s="3"/>
      <c r="F82" s="12"/>
      <c r="G82" s="12"/>
      <c r="H82" s="12"/>
      <c r="I82" s="12"/>
      <c r="J82" s="12"/>
      <c r="K82" s="12"/>
      <c r="L82" s="12"/>
      <c r="M82" s="12"/>
      <c r="U82" s="64" t="s">
        <v>33</v>
      </c>
      <c r="V82" s="39" t="str">
        <f>""</f>
        <v/>
      </c>
      <c r="W82" s="12" t="str">
        <f>""</f>
        <v/>
      </c>
      <c r="X82" s="12" t="str">
        <f>""</f>
        <v/>
      </c>
      <c r="Y82" s="34" t="str">
        <f>""</f>
        <v/>
      </c>
      <c r="Z82" s="33" t="str">
        <f>""</f>
        <v/>
      </c>
      <c r="AA82" s="12">
        <v>0</v>
      </c>
      <c r="AB82" s="12" t="str">
        <f>""</f>
        <v/>
      </c>
      <c r="AD82" s="141"/>
      <c r="AE82" s="146"/>
      <c r="AF82" s="141"/>
      <c r="AG82" s="146" t="str">
        <f>""</f>
        <v/>
      </c>
      <c r="AH82" s="12" t="str">
        <f>""</f>
        <v/>
      </c>
      <c r="AI82" s="599"/>
    </row>
    <row r="83" spans="2:35" s="2" customFormat="1" x14ac:dyDescent="0.2">
      <c r="B83" s="3"/>
      <c r="C83" s="3"/>
      <c r="D83" s="3"/>
      <c r="E83" s="3"/>
      <c r="F83" s="12"/>
      <c r="G83" s="12"/>
      <c r="H83" s="12"/>
      <c r="I83" s="12"/>
      <c r="J83" s="12"/>
      <c r="K83" s="12"/>
      <c r="L83" s="12"/>
      <c r="M83" s="12"/>
      <c r="U83" s="64" t="s">
        <v>34</v>
      </c>
      <c r="V83" s="39" t="str">
        <f>""</f>
        <v/>
      </c>
      <c r="W83" s="12" t="str">
        <f>""</f>
        <v/>
      </c>
      <c r="X83" s="12" t="str">
        <f>""</f>
        <v/>
      </c>
      <c r="Y83" s="34" t="str">
        <f>""</f>
        <v/>
      </c>
      <c r="Z83" s="33" t="str">
        <f>""</f>
        <v/>
      </c>
      <c r="AA83" s="12">
        <v>0</v>
      </c>
      <c r="AB83" s="12" t="str">
        <f>""</f>
        <v/>
      </c>
      <c r="AD83" s="141"/>
      <c r="AE83" s="146"/>
      <c r="AF83" s="141"/>
      <c r="AG83" s="146" t="str">
        <f>""</f>
        <v/>
      </c>
      <c r="AH83" s="12" t="str">
        <f>""</f>
        <v/>
      </c>
      <c r="AI83" s="599"/>
    </row>
    <row r="84" spans="2:35" s="2" customFormat="1" x14ac:dyDescent="0.2">
      <c r="B84" s="3"/>
      <c r="C84" s="3"/>
      <c r="D84" s="3"/>
      <c r="E84" s="3"/>
      <c r="F84" s="12"/>
      <c r="G84" s="12"/>
      <c r="H84" s="12"/>
      <c r="I84" s="12"/>
      <c r="J84" s="12"/>
      <c r="K84" s="12"/>
      <c r="L84" s="12"/>
      <c r="M84" s="12"/>
      <c r="U84" s="64" t="s">
        <v>35</v>
      </c>
      <c r="V84" s="39" t="str">
        <f>""</f>
        <v/>
      </c>
      <c r="W84" s="12" t="str">
        <f>""</f>
        <v/>
      </c>
      <c r="X84" s="12" t="str">
        <f>""</f>
        <v/>
      </c>
      <c r="Y84" s="34" t="str">
        <f>""</f>
        <v/>
      </c>
      <c r="Z84" s="33" t="str">
        <f>""</f>
        <v/>
      </c>
      <c r="AA84" s="12">
        <v>0</v>
      </c>
      <c r="AB84" s="12" t="str">
        <f>""</f>
        <v/>
      </c>
      <c r="AD84" s="141"/>
      <c r="AE84" s="146"/>
      <c r="AF84" s="141"/>
      <c r="AG84" s="146" t="str">
        <f>""</f>
        <v/>
      </c>
      <c r="AH84" s="12" t="str">
        <f>""</f>
        <v/>
      </c>
      <c r="AI84" s="599"/>
    </row>
    <row r="85" spans="2:35" s="2" customFormat="1" x14ac:dyDescent="0.2">
      <c r="B85" s="3"/>
      <c r="C85" s="3"/>
      <c r="D85" s="3"/>
      <c r="E85" s="3"/>
      <c r="F85" s="12"/>
      <c r="G85" s="12"/>
      <c r="H85" s="12"/>
      <c r="I85" s="12"/>
      <c r="J85" s="12"/>
      <c r="K85" s="12"/>
      <c r="L85" s="12"/>
      <c r="M85" s="12"/>
      <c r="U85" s="64" t="s">
        <v>36</v>
      </c>
      <c r="V85" s="39" t="str">
        <f>""</f>
        <v/>
      </c>
      <c r="W85" s="12" t="str">
        <f>""</f>
        <v/>
      </c>
      <c r="X85" s="12" t="str">
        <f>""</f>
        <v/>
      </c>
      <c r="Y85" s="34" t="str">
        <f>""</f>
        <v/>
      </c>
      <c r="Z85" s="33" t="str">
        <f>""</f>
        <v/>
      </c>
      <c r="AA85" s="12">
        <v>0</v>
      </c>
      <c r="AB85" s="12" t="str">
        <f>""</f>
        <v/>
      </c>
      <c r="AD85" s="141"/>
      <c r="AE85" s="146"/>
      <c r="AF85" s="141"/>
      <c r="AG85" s="146" t="str">
        <f>""</f>
        <v/>
      </c>
      <c r="AH85" s="12" t="str">
        <f>""</f>
        <v/>
      </c>
      <c r="AI85" s="599"/>
    </row>
    <row r="86" spans="2:35" s="2" customFormat="1" x14ac:dyDescent="0.2">
      <c r="B86" s="3"/>
      <c r="C86" s="3"/>
      <c r="D86" s="3"/>
      <c r="E86" s="3"/>
      <c r="F86" s="12"/>
      <c r="G86" s="12"/>
      <c r="H86" s="12"/>
      <c r="I86" s="12"/>
      <c r="J86" s="12"/>
      <c r="K86" s="12"/>
      <c r="L86" s="12"/>
      <c r="M86" s="12"/>
      <c r="U86" s="64" t="s">
        <v>37</v>
      </c>
      <c r="V86" s="39" t="str">
        <f>""</f>
        <v/>
      </c>
      <c r="W86" s="12" t="str">
        <f>""</f>
        <v/>
      </c>
      <c r="X86" s="12" t="str">
        <f>""</f>
        <v/>
      </c>
      <c r="Y86" s="34" t="str">
        <f>""</f>
        <v/>
      </c>
      <c r="Z86" s="33" t="str">
        <f>""</f>
        <v/>
      </c>
      <c r="AA86" s="12">
        <v>0</v>
      </c>
      <c r="AB86" s="12" t="str">
        <f>""</f>
        <v/>
      </c>
      <c r="AD86" s="141"/>
      <c r="AE86" s="146"/>
      <c r="AF86" s="141"/>
      <c r="AG86" s="146" t="str">
        <f>""</f>
        <v/>
      </c>
      <c r="AH86" s="12" t="str">
        <f>""</f>
        <v/>
      </c>
      <c r="AI86" s="599"/>
    </row>
    <row r="87" spans="2:35" s="2" customFormat="1" x14ac:dyDescent="0.2">
      <c r="B87" s="3"/>
      <c r="C87" s="3"/>
      <c r="D87" s="3"/>
      <c r="E87" s="3"/>
      <c r="F87" s="12"/>
      <c r="G87" s="12"/>
      <c r="H87" s="12"/>
      <c r="I87" s="12"/>
      <c r="J87" s="12"/>
      <c r="K87" s="12"/>
      <c r="L87" s="12"/>
      <c r="M87" s="12"/>
      <c r="U87" s="64" t="s">
        <v>38</v>
      </c>
      <c r="V87" s="39" t="str">
        <f>""</f>
        <v/>
      </c>
      <c r="W87" s="12" t="str">
        <f>""</f>
        <v/>
      </c>
      <c r="X87" s="12" t="str">
        <f>""</f>
        <v/>
      </c>
      <c r="Y87" s="34" t="str">
        <f>""</f>
        <v/>
      </c>
      <c r="Z87" s="33" t="str">
        <f>""</f>
        <v/>
      </c>
      <c r="AA87" s="12">
        <v>0</v>
      </c>
      <c r="AB87" s="12" t="str">
        <f>""</f>
        <v/>
      </c>
      <c r="AD87" s="141"/>
      <c r="AE87" s="146"/>
      <c r="AF87" s="141"/>
      <c r="AG87" s="146" t="str">
        <f>""</f>
        <v/>
      </c>
      <c r="AH87" s="12" t="str">
        <f>""</f>
        <v/>
      </c>
      <c r="AI87" s="599"/>
    </row>
    <row r="88" spans="2:35" s="2" customFormat="1" x14ac:dyDescent="0.2">
      <c r="B88" s="3"/>
      <c r="C88" s="3"/>
      <c r="D88" s="3"/>
      <c r="E88" s="3"/>
      <c r="F88" s="12"/>
      <c r="G88" s="12"/>
      <c r="H88" s="12"/>
      <c r="I88" s="12"/>
      <c r="J88" s="12"/>
      <c r="K88" s="12"/>
      <c r="L88" s="12"/>
      <c r="M88" s="12"/>
      <c r="U88" s="64" t="s">
        <v>39</v>
      </c>
      <c r="V88" s="39" t="str">
        <f>""</f>
        <v/>
      </c>
      <c r="W88" s="12" t="str">
        <f>""</f>
        <v/>
      </c>
      <c r="X88" s="12" t="str">
        <f>""</f>
        <v/>
      </c>
      <c r="Y88" s="34" t="str">
        <f>""</f>
        <v/>
      </c>
      <c r="Z88" s="33" t="str">
        <f>""</f>
        <v/>
      </c>
      <c r="AA88" s="12">
        <v>0</v>
      </c>
      <c r="AB88" s="12" t="str">
        <f>""</f>
        <v/>
      </c>
      <c r="AD88" s="141"/>
      <c r="AE88" s="146"/>
      <c r="AF88" s="141"/>
      <c r="AG88" s="146" t="str">
        <f>""</f>
        <v/>
      </c>
      <c r="AH88" s="12" t="str">
        <f>""</f>
        <v/>
      </c>
      <c r="AI88" s="599"/>
    </row>
    <row r="89" spans="2:35" s="2" customFormat="1" x14ac:dyDescent="0.2">
      <c r="B89" s="3"/>
      <c r="C89" s="3"/>
      <c r="D89" s="3"/>
      <c r="E89" s="3"/>
      <c r="F89" s="12"/>
      <c r="G89" s="12"/>
      <c r="H89" s="12"/>
      <c r="I89" s="12"/>
      <c r="J89" s="12"/>
      <c r="K89" s="12"/>
      <c r="L89" s="12"/>
      <c r="M89" s="12"/>
      <c r="U89" s="64" t="s">
        <v>40</v>
      </c>
      <c r="V89" s="39" t="str">
        <f>""</f>
        <v/>
      </c>
      <c r="W89" s="12" t="str">
        <f>""</f>
        <v/>
      </c>
      <c r="X89" s="12" t="str">
        <f>""</f>
        <v/>
      </c>
      <c r="Y89" s="34" t="str">
        <f>""</f>
        <v/>
      </c>
      <c r="Z89" s="33" t="str">
        <f>""</f>
        <v/>
      </c>
      <c r="AA89" s="12">
        <v>0</v>
      </c>
      <c r="AB89" s="12" t="str">
        <f>""</f>
        <v/>
      </c>
      <c r="AD89" s="141"/>
      <c r="AE89" s="146"/>
      <c r="AF89" s="141"/>
      <c r="AG89" s="146" t="str">
        <f>""</f>
        <v/>
      </c>
      <c r="AH89" s="12" t="str">
        <f>""</f>
        <v/>
      </c>
      <c r="AI89" s="599"/>
    </row>
    <row r="90" spans="2:35" s="2" customFormat="1" x14ac:dyDescent="0.2">
      <c r="B90" s="3"/>
      <c r="C90" s="3"/>
      <c r="D90" s="3"/>
      <c r="E90" s="3"/>
      <c r="F90" s="12"/>
      <c r="G90" s="12"/>
      <c r="H90" s="12"/>
      <c r="I90" s="12"/>
      <c r="J90" s="12"/>
      <c r="K90" s="12"/>
      <c r="L90" s="12"/>
      <c r="M90" s="12"/>
      <c r="U90" s="64" t="s">
        <v>41</v>
      </c>
      <c r="V90" s="39" t="str">
        <f>""</f>
        <v/>
      </c>
      <c r="W90" s="12" t="str">
        <f>""</f>
        <v/>
      </c>
      <c r="X90" s="12" t="str">
        <f>""</f>
        <v/>
      </c>
      <c r="Y90" s="34" t="str">
        <f>""</f>
        <v/>
      </c>
      <c r="Z90" s="33" t="str">
        <f>""</f>
        <v/>
      </c>
      <c r="AA90" s="12">
        <v>0</v>
      </c>
      <c r="AB90" s="12" t="str">
        <f>""</f>
        <v/>
      </c>
      <c r="AD90" s="141"/>
      <c r="AE90" s="146"/>
      <c r="AF90" s="141"/>
      <c r="AG90" s="146" t="str">
        <f>""</f>
        <v/>
      </c>
      <c r="AH90" s="12" t="str">
        <f>""</f>
        <v/>
      </c>
      <c r="AI90" s="599"/>
    </row>
    <row r="91" spans="2:35" s="2" customFormat="1" x14ac:dyDescent="0.2">
      <c r="B91" s="3"/>
      <c r="C91" s="3"/>
      <c r="D91" s="3"/>
      <c r="E91" s="3"/>
      <c r="F91" s="12"/>
      <c r="G91" s="12"/>
      <c r="H91" s="12"/>
      <c r="I91" s="12"/>
      <c r="J91" s="12"/>
      <c r="K91" s="12"/>
      <c r="L91" s="12"/>
      <c r="M91" s="12"/>
      <c r="U91" s="64" t="s">
        <v>42</v>
      </c>
      <c r="V91" s="39" t="str">
        <f>""</f>
        <v/>
      </c>
      <c r="W91" s="12" t="str">
        <f>""</f>
        <v/>
      </c>
      <c r="X91" s="12" t="str">
        <f>""</f>
        <v/>
      </c>
      <c r="Y91" s="34" t="str">
        <f>""</f>
        <v/>
      </c>
      <c r="Z91" s="33" t="str">
        <f>""</f>
        <v/>
      </c>
      <c r="AA91" s="12">
        <v>0</v>
      </c>
      <c r="AB91" s="12" t="str">
        <f>""</f>
        <v/>
      </c>
      <c r="AD91" s="141"/>
      <c r="AE91" s="146"/>
      <c r="AF91" s="141"/>
      <c r="AG91" s="146" t="str">
        <f>""</f>
        <v/>
      </c>
      <c r="AH91" s="12" t="str">
        <f>""</f>
        <v/>
      </c>
      <c r="AI91" s="599"/>
    </row>
    <row r="92" spans="2:35" s="2" customFormat="1" x14ac:dyDescent="0.2">
      <c r="B92" s="3"/>
      <c r="C92" s="3"/>
      <c r="D92" s="3"/>
      <c r="E92" s="3"/>
      <c r="F92" s="12"/>
      <c r="G92" s="12"/>
      <c r="H92" s="12"/>
      <c r="I92" s="12"/>
      <c r="J92" s="12"/>
      <c r="K92" s="12"/>
      <c r="L92" s="12"/>
      <c r="M92" s="12"/>
      <c r="U92" s="64" t="s">
        <v>43</v>
      </c>
      <c r="V92" s="39" t="str">
        <f>""</f>
        <v/>
      </c>
      <c r="W92" s="12" t="str">
        <f>""</f>
        <v/>
      </c>
      <c r="X92" s="12" t="str">
        <f>""</f>
        <v/>
      </c>
      <c r="Y92" s="34" t="str">
        <f>""</f>
        <v/>
      </c>
      <c r="Z92" s="33" t="str">
        <f>""</f>
        <v/>
      </c>
      <c r="AA92" s="12">
        <v>0</v>
      </c>
      <c r="AB92" s="12" t="str">
        <f>""</f>
        <v/>
      </c>
      <c r="AD92" s="141"/>
      <c r="AE92" s="146"/>
      <c r="AF92" s="141"/>
      <c r="AG92" s="146" t="str">
        <f>""</f>
        <v/>
      </c>
      <c r="AH92" s="12" t="str">
        <f>""</f>
        <v/>
      </c>
      <c r="AI92" s="599"/>
    </row>
    <row r="93" spans="2:35" s="2" customFormat="1" x14ac:dyDescent="0.2">
      <c r="B93" s="3"/>
      <c r="C93" s="3"/>
      <c r="D93" s="3"/>
      <c r="E93" s="3"/>
      <c r="F93" s="12"/>
      <c r="G93" s="12"/>
      <c r="H93" s="12"/>
      <c r="I93" s="12"/>
      <c r="J93" s="12"/>
      <c r="K93" s="12"/>
      <c r="L93" s="12"/>
      <c r="M93" s="12"/>
      <c r="U93" s="64" t="s">
        <v>44</v>
      </c>
      <c r="V93" s="39" t="str">
        <f>""</f>
        <v/>
      </c>
      <c r="W93" s="12" t="str">
        <f>""</f>
        <v/>
      </c>
      <c r="X93" s="12" t="str">
        <f>""</f>
        <v/>
      </c>
      <c r="Y93" s="34" t="str">
        <f>""</f>
        <v/>
      </c>
      <c r="Z93" s="33" t="str">
        <f>""</f>
        <v/>
      </c>
      <c r="AA93" s="12">
        <v>0</v>
      </c>
      <c r="AB93" s="12" t="str">
        <f>""</f>
        <v/>
      </c>
      <c r="AD93" s="141"/>
      <c r="AE93" s="146"/>
      <c r="AF93" s="141"/>
      <c r="AG93" s="146" t="str">
        <f>""</f>
        <v/>
      </c>
      <c r="AH93" s="12" t="str">
        <f>""</f>
        <v/>
      </c>
      <c r="AI93" s="599"/>
    </row>
    <row r="94" spans="2:35" s="2" customFormat="1" x14ac:dyDescent="0.2">
      <c r="B94" s="3"/>
      <c r="C94" s="3"/>
      <c r="D94" s="3"/>
      <c r="E94" s="3"/>
      <c r="F94" s="12"/>
      <c r="G94" s="12"/>
      <c r="H94" s="12"/>
      <c r="I94" s="12"/>
      <c r="J94" s="12"/>
      <c r="K94" s="12"/>
      <c r="L94" s="12"/>
      <c r="M94" s="12"/>
      <c r="U94" s="64" t="s">
        <v>45</v>
      </c>
      <c r="V94" s="39" t="str">
        <f>""</f>
        <v/>
      </c>
      <c r="W94" s="12" t="str">
        <f>""</f>
        <v/>
      </c>
      <c r="X94" s="12" t="str">
        <f>""</f>
        <v/>
      </c>
      <c r="Y94" s="34" t="str">
        <f>""</f>
        <v/>
      </c>
      <c r="Z94" s="33" t="str">
        <f>""</f>
        <v/>
      </c>
      <c r="AA94" s="12">
        <v>0</v>
      </c>
      <c r="AB94" s="12" t="str">
        <f>""</f>
        <v/>
      </c>
      <c r="AD94" s="141"/>
      <c r="AE94" s="146"/>
      <c r="AF94" s="141"/>
      <c r="AG94" s="146" t="str">
        <f>""</f>
        <v/>
      </c>
      <c r="AH94" s="12" t="str">
        <f>""</f>
        <v/>
      </c>
      <c r="AI94" s="599"/>
    </row>
    <row r="95" spans="2:35" s="2" customFormat="1" x14ac:dyDescent="0.2">
      <c r="B95" s="3"/>
      <c r="C95" s="3"/>
      <c r="D95" s="3"/>
      <c r="E95" s="3"/>
      <c r="F95" s="12"/>
      <c r="G95" s="12"/>
      <c r="H95" s="12"/>
      <c r="I95" s="12"/>
      <c r="J95" s="12"/>
      <c r="K95" s="12"/>
      <c r="L95" s="12"/>
      <c r="M95" s="12"/>
      <c r="U95" s="64" t="s">
        <v>46</v>
      </c>
      <c r="V95" s="39" t="str">
        <f>""</f>
        <v/>
      </c>
      <c r="W95" s="12" t="str">
        <f>""</f>
        <v/>
      </c>
      <c r="X95" s="12" t="str">
        <f>""</f>
        <v/>
      </c>
      <c r="Y95" s="34" t="str">
        <f>""</f>
        <v/>
      </c>
      <c r="Z95" s="33" t="str">
        <f>""</f>
        <v/>
      </c>
      <c r="AA95" s="12">
        <v>0</v>
      </c>
      <c r="AB95" s="12" t="str">
        <f>""</f>
        <v/>
      </c>
      <c r="AD95" s="141"/>
      <c r="AE95" s="146"/>
      <c r="AF95" s="141"/>
      <c r="AG95" s="596" t="str">
        <f>""</f>
        <v/>
      </c>
      <c r="AH95" s="3" t="str">
        <f>""</f>
        <v/>
      </c>
      <c r="AI95" s="601"/>
    </row>
    <row r="96" spans="2:35" s="2" customFormat="1" x14ac:dyDescent="0.2">
      <c r="B96" s="3"/>
      <c r="C96" s="3"/>
      <c r="D96" s="3"/>
      <c r="E96" s="3"/>
      <c r="F96" s="12"/>
      <c r="G96" s="12"/>
      <c r="H96" s="12"/>
      <c r="I96" s="12"/>
      <c r="J96" s="12"/>
      <c r="K96" s="12"/>
      <c r="L96" s="12"/>
      <c r="M96" s="12"/>
      <c r="U96" s="64" t="s">
        <v>47</v>
      </c>
      <c r="V96" s="39" t="str">
        <f>""</f>
        <v/>
      </c>
      <c r="W96" s="12" t="str">
        <f>""</f>
        <v/>
      </c>
      <c r="X96" s="12" t="str">
        <f>""</f>
        <v/>
      </c>
      <c r="Y96" s="34" t="str">
        <f>""</f>
        <v/>
      </c>
      <c r="Z96" s="33" t="str">
        <f>""</f>
        <v/>
      </c>
      <c r="AA96" s="12">
        <v>0</v>
      </c>
      <c r="AB96" s="12" t="str">
        <f>""</f>
        <v/>
      </c>
      <c r="AD96" s="141"/>
      <c r="AE96" s="146"/>
      <c r="AF96" s="141"/>
      <c r="AG96" s="596" t="str">
        <f>""</f>
        <v/>
      </c>
      <c r="AH96" s="3" t="str">
        <f>""</f>
        <v/>
      </c>
      <c r="AI96" s="601"/>
    </row>
    <row r="97" spans="2:35" s="2" customFormat="1" x14ac:dyDescent="0.2">
      <c r="B97" s="3"/>
      <c r="C97" s="3"/>
      <c r="D97" s="3"/>
      <c r="E97" s="3"/>
      <c r="F97" s="12"/>
      <c r="G97" s="12"/>
      <c r="H97" s="12"/>
      <c r="I97" s="12"/>
      <c r="J97" s="12"/>
      <c r="K97" s="12"/>
      <c r="L97" s="12"/>
      <c r="M97" s="12"/>
      <c r="U97" s="64" t="s">
        <v>48</v>
      </c>
      <c r="V97" s="39" t="str">
        <f>""</f>
        <v/>
      </c>
      <c r="W97" s="12" t="str">
        <f>""</f>
        <v/>
      </c>
      <c r="X97" s="12" t="str">
        <f>""</f>
        <v/>
      </c>
      <c r="Y97" s="34" t="str">
        <f>""</f>
        <v/>
      </c>
      <c r="Z97" s="33" t="str">
        <f>""</f>
        <v/>
      </c>
      <c r="AA97" s="12">
        <v>0</v>
      </c>
      <c r="AB97" s="12" t="str">
        <f>""</f>
        <v/>
      </c>
      <c r="AD97" s="141"/>
      <c r="AE97" s="146"/>
      <c r="AF97" s="141"/>
      <c r="AG97" s="596" t="str">
        <f>""</f>
        <v/>
      </c>
      <c r="AH97" s="3" t="str">
        <f>""</f>
        <v/>
      </c>
      <c r="AI97" s="601"/>
    </row>
    <row r="98" spans="2:35" s="2" customFormat="1" x14ac:dyDescent="0.2">
      <c r="B98" s="3"/>
      <c r="C98" s="3"/>
      <c r="D98" s="3"/>
      <c r="E98" s="3"/>
      <c r="F98" s="12"/>
      <c r="G98" s="12"/>
      <c r="H98" s="12"/>
      <c r="I98" s="12"/>
      <c r="J98" s="12"/>
      <c r="K98" s="12"/>
      <c r="L98" s="12"/>
      <c r="M98" s="12"/>
      <c r="U98" s="64" t="s">
        <v>49</v>
      </c>
      <c r="V98" s="39" t="str">
        <f>""</f>
        <v/>
      </c>
      <c r="W98" s="12" t="str">
        <f>""</f>
        <v/>
      </c>
      <c r="X98" s="12" t="str">
        <f>""</f>
        <v/>
      </c>
      <c r="Y98" s="34" t="str">
        <f>""</f>
        <v/>
      </c>
      <c r="Z98" s="33" t="str">
        <f>""</f>
        <v/>
      </c>
      <c r="AA98" s="12">
        <v>0</v>
      </c>
      <c r="AB98" s="12" t="str">
        <f>""</f>
        <v/>
      </c>
      <c r="AD98" s="141"/>
      <c r="AE98" s="146"/>
      <c r="AF98" s="141"/>
      <c r="AG98" s="596" t="str">
        <f>""</f>
        <v/>
      </c>
      <c r="AH98" s="3" t="str">
        <f>""</f>
        <v/>
      </c>
      <c r="AI98" s="601"/>
    </row>
    <row r="99" spans="2:35" s="2" customFormat="1" x14ac:dyDescent="0.2">
      <c r="B99" s="3"/>
      <c r="C99" s="3"/>
      <c r="D99" s="3"/>
      <c r="E99" s="3"/>
      <c r="F99" s="12"/>
      <c r="G99" s="12"/>
      <c r="H99" s="12"/>
      <c r="I99" s="12"/>
      <c r="J99" s="12"/>
      <c r="K99" s="12"/>
      <c r="L99" s="12"/>
      <c r="M99" s="12"/>
      <c r="U99" s="64" t="s">
        <v>50</v>
      </c>
      <c r="V99" s="39" t="str">
        <f>""</f>
        <v/>
      </c>
      <c r="W99" s="12" t="str">
        <f>""</f>
        <v/>
      </c>
      <c r="X99" s="12" t="str">
        <f>""</f>
        <v/>
      </c>
      <c r="Y99" s="34" t="str">
        <f>""</f>
        <v/>
      </c>
      <c r="Z99" s="33" t="str">
        <f>""</f>
        <v/>
      </c>
      <c r="AA99" s="12">
        <v>0</v>
      </c>
      <c r="AB99" s="12" t="str">
        <f>""</f>
        <v/>
      </c>
      <c r="AD99" s="141"/>
      <c r="AE99" s="146"/>
      <c r="AF99" s="141"/>
      <c r="AG99" s="596" t="str">
        <f>""</f>
        <v/>
      </c>
      <c r="AH99" s="3" t="str">
        <f>""</f>
        <v/>
      </c>
      <c r="AI99" s="601"/>
    </row>
    <row r="100" spans="2:35" s="2" customFormat="1" x14ac:dyDescent="0.2">
      <c r="B100" s="3"/>
      <c r="C100" s="3"/>
      <c r="D100" s="3"/>
      <c r="E100" s="3"/>
      <c r="F100" s="12"/>
      <c r="G100" s="12"/>
      <c r="H100" s="12"/>
      <c r="I100" s="12"/>
      <c r="J100" s="12"/>
      <c r="K100" s="12"/>
      <c r="L100" s="12"/>
      <c r="M100" s="12"/>
      <c r="U100" s="64" t="s">
        <v>58</v>
      </c>
      <c r="V100" s="39" t="str">
        <f>""</f>
        <v/>
      </c>
      <c r="W100" s="12" t="str">
        <f>""</f>
        <v/>
      </c>
      <c r="X100" s="12" t="str">
        <f>""</f>
        <v/>
      </c>
      <c r="Y100" s="34" t="str">
        <f>""</f>
        <v/>
      </c>
      <c r="Z100" s="33" t="str">
        <f>""</f>
        <v/>
      </c>
      <c r="AA100" s="12">
        <v>0</v>
      </c>
      <c r="AB100" s="12" t="str">
        <f>""</f>
        <v/>
      </c>
      <c r="AD100" s="141"/>
      <c r="AE100" s="146"/>
      <c r="AF100" s="141"/>
      <c r="AG100" s="596" t="str">
        <f>""</f>
        <v/>
      </c>
      <c r="AH100" s="3" t="str">
        <f>""</f>
        <v/>
      </c>
      <c r="AI100" s="601"/>
    </row>
    <row r="101" spans="2:35" s="2" customFormat="1" x14ac:dyDescent="0.2">
      <c r="B101" s="3"/>
      <c r="C101" s="3"/>
      <c r="D101" s="3"/>
      <c r="E101" s="3"/>
      <c r="F101" s="12"/>
      <c r="G101" s="12"/>
      <c r="H101" s="12"/>
      <c r="I101" s="12"/>
      <c r="J101" s="12"/>
      <c r="K101" s="12"/>
      <c r="L101" s="12"/>
      <c r="M101" s="12"/>
      <c r="U101" s="64" t="s">
        <v>59</v>
      </c>
      <c r="V101" s="39" t="str">
        <f>""</f>
        <v/>
      </c>
      <c r="W101" s="12" t="str">
        <f>""</f>
        <v/>
      </c>
      <c r="X101" s="12" t="str">
        <f>""</f>
        <v/>
      </c>
      <c r="Y101" s="34" t="str">
        <f>""</f>
        <v/>
      </c>
      <c r="Z101" s="33" t="str">
        <f>""</f>
        <v/>
      </c>
      <c r="AA101" s="12">
        <v>0</v>
      </c>
      <c r="AB101" s="12" t="str">
        <f>""</f>
        <v/>
      </c>
      <c r="AD101" s="141"/>
      <c r="AE101" s="146"/>
      <c r="AF101" s="141"/>
      <c r="AG101" s="596" t="str">
        <f>""</f>
        <v/>
      </c>
      <c r="AH101" s="3" t="str">
        <f>""</f>
        <v/>
      </c>
      <c r="AI101" s="601"/>
    </row>
    <row r="102" spans="2:35" s="2" customFormat="1" x14ac:dyDescent="0.2">
      <c r="B102" s="3"/>
      <c r="C102" s="3"/>
      <c r="D102" s="3"/>
      <c r="E102" s="3"/>
      <c r="F102" s="12"/>
      <c r="G102" s="12"/>
      <c r="H102" s="12"/>
      <c r="I102" s="12"/>
      <c r="J102" s="12"/>
      <c r="K102" s="12"/>
      <c r="L102" s="12"/>
      <c r="M102" s="12"/>
      <c r="U102" s="64" t="s">
        <v>60</v>
      </c>
      <c r="V102" s="39" t="str">
        <f>""</f>
        <v/>
      </c>
      <c r="W102" s="12" t="str">
        <f>""</f>
        <v/>
      </c>
      <c r="X102" s="12" t="str">
        <f>""</f>
        <v/>
      </c>
      <c r="Y102" s="34" t="str">
        <f>""</f>
        <v/>
      </c>
      <c r="Z102" s="33" t="str">
        <f>""</f>
        <v/>
      </c>
      <c r="AA102" s="12">
        <v>0</v>
      </c>
      <c r="AB102" s="12" t="str">
        <f>""</f>
        <v/>
      </c>
      <c r="AD102" s="141"/>
      <c r="AE102" s="146"/>
      <c r="AF102" s="141"/>
      <c r="AG102" s="596" t="str">
        <f>""</f>
        <v/>
      </c>
      <c r="AH102" s="3" t="str">
        <f>""</f>
        <v/>
      </c>
      <c r="AI102" s="601"/>
    </row>
    <row r="103" spans="2:35" s="2" customFormat="1" x14ac:dyDescent="0.2">
      <c r="B103" s="3"/>
      <c r="C103" s="3"/>
      <c r="D103" s="3"/>
      <c r="E103" s="3"/>
      <c r="F103" s="12"/>
      <c r="G103" s="12"/>
      <c r="H103" s="12"/>
      <c r="I103" s="12"/>
      <c r="J103" s="12"/>
      <c r="K103" s="12"/>
      <c r="L103" s="12"/>
      <c r="M103" s="12"/>
      <c r="U103" s="64" t="s">
        <v>61</v>
      </c>
      <c r="V103" s="39" t="str">
        <f>""</f>
        <v/>
      </c>
      <c r="W103" s="12" t="str">
        <f>""</f>
        <v/>
      </c>
      <c r="X103" s="12" t="str">
        <f>""</f>
        <v/>
      </c>
      <c r="Y103" s="34" t="str">
        <f>""</f>
        <v/>
      </c>
      <c r="Z103" s="33" t="str">
        <f>""</f>
        <v/>
      </c>
      <c r="AA103" s="12">
        <v>0</v>
      </c>
      <c r="AB103" s="12" t="str">
        <f>""</f>
        <v/>
      </c>
      <c r="AD103" s="141"/>
      <c r="AE103" s="146"/>
      <c r="AF103" s="141"/>
      <c r="AG103" s="596" t="str">
        <f>""</f>
        <v/>
      </c>
      <c r="AH103" s="3" t="str">
        <f>""</f>
        <v/>
      </c>
      <c r="AI103" s="601"/>
    </row>
    <row r="104" spans="2:35" s="2" customFormat="1" x14ac:dyDescent="0.2">
      <c r="B104" s="3"/>
      <c r="C104" s="3"/>
      <c r="D104" s="3"/>
      <c r="E104" s="3"/>
      <c r="F104" s="12"/>
      <c r="G104" s="12"/>
      <c r="H104" s="12"/>
      <c r="I104" s="12"/>
      <c r="J104" s="12"/>
      <c r="K104" s="12"/>
      <c r="L104" s="12"/>
      <c r="M104" s="12"/>
      <c r="U104" s="64" t="s">
        <v>62</v>
      </c>
      <c r="V104" s="39" t="str">
        <f>""</f>
        <v/>
      </c>
      <c r="W104" s="12" t="str">
        <f>""</f>
        <v/>
      </c>
      <c r="X104" s="12" t="str">
        <f>""</f>
        <v/>
      </c>
      <c r="Y104" s="34" t="str">
        <f>""</f>
        <v/>
      </c>
      <c r="Z104" s="33" t="str">
        <f>""</f>
        <v/>
      </c>
      <c r="AA104" s="12">
        <v>0</v>
      </c>
      <c r="AB104" s="12" t="str">
        <f>""</f>
        <v/>
      </c>
      <c r="AD104" s="141"/>
      <c r="AE104" s="146"/>
      <c r="AF104" s="141"/>
      <c r="AG104" s="596" t="str">
        <f>""</f>
        <v/>
      </c>
      <c r="AH104" s="3" t="str">
        <f>""</f>
        <v/>
      </c>
      <c r="AI104" s="601"/>
    </row>
    <row r="105" spans="2:35" s="2" customFormat="1" x14ac:dyDescent="0.2">
      <c r="B105" s="3"/>
      <c r="C105" s="3"/>
      <c r="D105" s="3"/>
      <c r="E105" s="3"/>
      <c r="F105" s="12"/>
      <c r="G105" s="12"/>
      <c r="H105" s="12"/>
      <c r="I105" s="12"/>
      <c r="J105" s="12"/>
      <c r="K105" s="12"/>
      <c r="L105" s="12"/>
      <c r="M105" s="12"/>
      <c r="U105" s="64" t="s">
        <v>63</v>
      </c>
      <c r="V105" s="39" t="str">
        <f>""</f>
        <v/>
      </c>
      <c r="W105" s="12" t="str">
        <f>""</f>
        <v/>
      </c>
      <c r="X105" s="12" t="str">
        <f>""</f>
        <v/>
      </c>
      <c r="Y105" s="34" t="str">
        <f>""</f>
        <v/>
      </c>
      <c r="Z105" s="33" t="str">
        <f>""</f>
        <v/>
      </c>
      <c r="AA105" s="12">
        <v>0</v>
      </c>
      <c r="AB105" s="12" t="str">
        <f>""</f>
        <v/>
      </c>
      <c r="AD105" s="141"/>
      <c r="AE105" s="146"/>
      <c r="AF105" s="141"/>
      <c r="AG105" s="596" t="str">
        <f>""</f>
        <v/>
      </c>
      <c r="AH105" s="3" t="str">
        <f>""</f>
        <v/>
      </c>
      <c r="AI105" s="601"/>
    </row>
    <row r="106" spans="2:35" s="2" customFormat="1" x14ac:dyDescent="0.2">
      <c r="B106" s="3"/>
      <c r="C106" s="3"/>
      <c r="D106" s="3"/>
      <c r="E106" s="3"/>
      <c r="F106" s="12"/>
      <c r="G106" s="12"/>
      <c r="H106" s="12"/>
      <c r="I106" s="12"/>
      <c r="J106" s="12"/>
      <c r="K106" s="12"/>
      <c r="L106" s="12"/>
      <c r="M106" s="12"/>
      <c r="U106" s="64" t="s">
        <v>64</v>
      </c>
      <c r="V106" s="39" t="str">
        <f>""</f>
        <v/>
      </c>
      <c r="W106" s="12" t="str">
        <f>""</f>
        <v/>
      </c>
      <c r="X106" s="12" t="str">
        <f>""</f>
        <v/>
      </c>
      <c r="Y106" s="34" t="str">
        <f>""</f>
        <v/>
      </c>
      <c r="Z106" s="33" t="str">
        <f>""</f>
        <v/>
      </c>
      <c r="AA106" s="12">
        <v>0</v>
      </c>
      <c r="AB106" s="12" t="str">
        <f>""</f>
        <v/>
      </c>
      <c r="AD106" s="141"/>
      <c r="AE106" s="146"/>
      <c r="AF106" s="141"/>
      <c r="AG106" s="596" t="str">
        <f>""</f>
        <v/>
      </c>
      <c r="AH106" s="3" t="str">
        <f>""</f>
        <v/>
      </c>
      <c r="AI106" s="601"/>
    </row>
    <row r="107" spans="2:35" s="2" customFormat="1" x14ac:dyDescent="0.2">
      <c r="B107" s="3"/>
      <c r="C107" s="3"/>
      <c r="D107" s="3"/>
      <c r="E107" s="3"/>
      <c r="F107" s="12"/>
      <c r="G107" s="12"/>
      <c r="H107" s="12"/>
      <c r="I107" s="12"/>
      <c r="J107" s="12"/>
      <c r="K107" s="12"/>
      <c r="L107" s="12"/>
      <c r="M107" s="12"/>
      <c r="U107" s="64" t="s">
        <v>65</v>
      </c>
      <c r="V107" s="39" t="str">
        <f>""</f>
        <v/>
      </c>
      <c r="W107" s="12" t="str">
        <f>""</f>
        <v/>
      </c>
      <c r="X107" s="12" t="str">
        <f>""</f>
        <v/>
      </c>
      <c r="Y107" s="34" t="str">
        <f>""</f>
        <v/>
      </c>
      <c r="Z107" s="33" t="str">
        <f>""</f>
        <v/>
      </c>
      <c r="AA107" s="12">
        <v>0</v>
      </c>
      <c r="AB107" s="12" t="str">
        <f>""</f>
        <v/>
      </c>
      <c r="AD107" s="141"/>
      <c r="AE107" s="146"/>
      <c r="AF107" s="141"/>
      <c r="AG107" s="596" t="str">
        <f>""</f>
        <v/>
      </c>
      <c r="AH107" s="3" t="str">
        <f>""</f>
        <v/>
      </c>
      <c r="AI107" s="601"/>
    </row>
    <row r="108" spans="2:35" s="2" customFormat="1" x14ac:dyDescent="0.2">
      <c r="B108" s="3"/>
      <c r="C108" s="3"/>
      <c r="D108" s="3"/>
      <c r="E108" s="3"/>
      <c r="F108" s="12"/>
      <c r="G108" s="12"/>
      <c r="H108" s="12"/>
      <c r="I108" s="12"/>
      <c r="J108" s="12"/>
      <c r="K108" s="12"/>
      <c r="L108" s="12"/>
      <c r="M108" s="12"/>
      <c r="U108" s="64" t="s">
        <v>66</v>
      </c>
      <c r="V108" s="39" t="str">
        <f>""</f>
        <v/>
      </c>
      <c r="W108" s="12" t="str">
        <f>""</f>
        <v/>
      </c>
      <c r="X108" s="12" t="str">
        <f>""</f>
        <v/>
      </c>
      <c r="Y108" s="34" t="str">
        <f>""</f>
        <v/>
      </c>
      <c r="Z108" s="33" t="str">
        <f>""</f>
        <v/>
      </c>
      <c r="AA108" s="12">
        <v>0</v>
      </c>
      <c r="AB108" s="12" t="str">
        <f>""</f>
        <v/>
      </c>
      <c r="AD108" s="141"/>
      <c r="AE108" s="146"/>
      <c r="AF108" s="141"/>
      <c r="AG108" s="596" t="str">
        <f>""</f>
        <v/>
      </c>
      <c r="AH108" s="3" t="str">
        <f>""</f>
        <v/>
      </c>
      <c r="AI108" s="601"/>
    </row>
    <row r="109" spans="2:35" s="2" customFormat="1" x14ac:dyDescent="0.2">
      <c r="B109" s="3"/>
      <c r="C109" s="3"/>
      <c r="D109" s="3"/>
      <c r="E109" s="3"/>
      <c r="F109" s="12"/>
      <c r="G109" s="12"/>
      <c r="H109" s="12"/>
      <c r="I109" s="12"/>
      <c r="J109" s="12"/>
      <c r="K109" s="12"/>
      <c r="L109" s="12"/>
      <c r="M109" s="12"/>
      <c r="U109" s="64" t="s">
        <v>67</v>
      </c>
      <c r="V109" s="39" t="str">
        <f>""</f>
        <v/>
      </c>
      <c r="W109" s="12" t="str">
        <f>""</f>
        <v/>
      </c>
      <c r="X109" s="12" t="str">
        <f>""</f>
        <v/>
      </c>
      <c r="Y109" s="34" t="str">
        <f>""</f>
        <v/>
      </c>
      <c r="Z109" s="33" t="str">
        <f>""</f>
        <v/>
      </c>
      <c r="AA109" s="12">
        <v>0</v>
      </c>
      <c r="AB109" s="12" t="str">
        <f>""</f>
        <v/>
      </c>
      <c r="AD109" s="141"/>
      <c r="AE109" s="146"/>
      <c r="AF109" s="141"/>
      <c r="AG109" s="596" t="str">
        <f>""</f>
        <v/>
      </c>
      <c r="AH109" s="3" t="str">
        <f>""</f>
        <v/>
      </c>
      <c r="AI109" s="601"/>
    </row>
    <row r="110" spans="2:35" s="2" customFormat="1" x14ac:dyDescent="0.2">
      <c r="B110" s="3"/>
      <c r="C110" s="3"/>
      <c r="D110" s="3"/>
      <c r="E110" s="3"/>
      <c r="F110" s="12"/>
      <c r="G110" s="12"/>
      <c r="H110" s="12"/>
      <c r="I110" s="12"/>
      <c r="J110" s="12"/>
      <c r="K110" s="12"/>
      <c r="L110" s="12"/>
      <c r="M110" s="12"/>
      <c r="U110" s="64" t="s">
        <v>68</v>
      </c>
      <c r="V110" s="39" t="str">
        <f>""</f>
        <v/>
      </c>
      <c r="W110" s="12" t="str">
        <f>""</f>
        <v/>
      </c>
      <c r="X110" s="12" t="str">
        <f>""</f>
        <v/>
      </c>
      <c r="Y110" s="34" t="str">
        <f>""</f>
        <v/>
      </c>
      <c r="Z110" s="33" t="str">
        <f>""</f>
        <v/>
      </c>
      <c r="AA110" s="12">
        <v>0</v>
      </c>
      <c r="AB110" s="12" t="str">
        <f>""</f>
        <v/>
      </c>
      <c r="AD110" s="141"/>
      <c r="AE110" s="146"/>
      <c r="AF110" s="141"/>
      <c r="AG110" s="596" t="str">
        <f>""</f>
        <v/>
      </c>
      <c r="AH110" s="3" t="str">
        <f>""</f>
        <v/>
      </c>
      <c r="AI110" s="601"/>
    </row>
    <row r="111" spans="2:35" s="2" customFormat="1" x14ac:dyDescent="0.2">
      <c r="B111" s="3"/>
      <c r="C111" s="3"/>
      <c r="D111" s="3"/>
      <c r="E111" s="3"/>
      <c r="F111" s="12"/>
      <c r="G111" s="12"/>
      <c r="H111" s="12"/>
      <c r="I111" s="12"/>
      <c r="J111" s="12"/>
      <c r="K111" s="12"/>
      <c r="L111" s="12"/>
      <c r="M111" s="12"/>
      <c r="U111" s="64" t="s">
        <v>69</v>
      </c>
      <c r="V111" s="39" t="str">
        <f>""</f>
        <v/>
      </c>
      <c r="W111" s="12" t="str">
        <f>""</f>
        <v/>
      </c>
      <c r="X111" s="12" t="str">
        <f>""</f>
        <v/>
      </c>
      <c r="Y111" s="34" t="str">
        <f>""</f>
        <v/>
      </c>
      <c r="Z111" s="33" t="str">
        <f>""</f>
        <v/>
      </c>
      <c r="AA111" s="12">
        <v>0</v>
      </c>
      <c r="AB111" s="12" t="str">
        <f>""</f>
        <v/>
      </c>
      <c r="AD111" s="141"/>
      <c r="AE111" s="146"/>
      <c r="AF111" s="141"/>
      <c r="AG111" s="596" t="str">
        <f>""</f>
        <v/>
      </c>
      <c r="AH111" s="3" t="str">
        <f>""</f>
        <v/>
      </c>
      <c r="AI111" s="601"/>
    </row>
    <row r="112" spans="2:35" s="2" customFormat="1" x14ac:dyDescent="0.2">
      <c r="B112" s="3"/>
      <c r="C112" s="3"/>
      <c r="D112" s="3"/>
      <c r="E112" s="3"/>
      <c r="F112" s="12"/>
      <c r="G112" s="12"/>
      <c r="H112" s="12"/>
      <c r="I112" s="12"/>
      <c r="J112" s="12"/>
      <c r="K112" s="12"/>
      <c r="L112" s="12"/>
      <c r="M112" s="12"/>
      <c r="U112" s="64" t="s">
        <v>70</v>
      </c>
      <c r="V112" s="39" t="str">
        <f>""</f>
        <v/>
      </c>
      <c r="W112" s="12" t="str">
        <f>""</f>
        <v/>
      </c>
      <c r="X112" s="12" t="str">
        <f>""</f>
        <v/>
      </c>
      <c r="Y112" s="34" t="str">
        <f>""</f>
        <v/>
      </c>
      <c r="Z112" s="33" t="str">
        <f>""</f>
        <v/>
      </c>
      <c r="AA112" s="12">
        <v>0</v>
      </c>
      <c r="AB112" s="12" t="str">
        <f>""</f>
        <v/>
      </c>
      <c r="AD112" s="141"/>
      <c r="AE112" s="146"/>
      <c r="AF112" s="141"/>
      <c r="AG112" s="596" t="str">
        <f>""</f>
        <v/>
      </c>
      <c r="AH112" s="3" t="str">
        <f>""</f>
        <v/>
      </c>
      <c r="AI112" s="601"/>
    </row>
    <row r="113" spans="2:35" s="2" customFormat="1" x14ac:dyDescent="0.2">
      <c r="B113" s="3"/>
      <c r="C113" s="3"/>
      <c r="D113" s="3"/>
      <c r="E113" s="3"/>
      <c r="F113" s="12"/>
      <c r="G113" s="12"/>
      <c r="H113" s="12"/>
      <c r="I113" s="12"/>
      <c r="J113" s="12"/>
      <c r="K113" s="12"/>
      <c r="L113" s="12"/>
      <c r="M113" s="12"/>
      <c r="U113" s="64" t="s">
        <v>71</v>
      </c>
      <c r="V113" s="39" t="str">
        <f>""</f>
        <v/>
      </c>
      <c r="W113" s="12" t="str">
        <f>""</f>
        <v/>
      </c>
      <c r="X113" s="12" t="str">
        <f>""</f>
        <v/>
      </c>
      <c r="Y113" s="34" t="str">
        <f>""</f>
        <v/>
      </c>
      <c r="Z113" s="33" t="str">
        <f>""</f>
        <v/>
      </c>
      <c r="AA113" s="12">
        <v>0</v>
      </c>
      <c r="AB113" s="12" t="str">
        <f>""</f>
        <v/>
      </c>
      <c r="AD113" s="141"/>
      <c r="AE113" s="146"/>
      <c r="AF113" s="141"/>
      <c r="AG113" s="596" t="str">
        <f>""</f>
        <v/>
      </c>
      <c r="AH113" s="3" t="str">
        <f>""</f>
        <v/>
      </c>
      <c r="AI113" s="601"/>
    </row>
    <row r="114" spans="2:35" s="2" customFormat="1" x14ac:dyDescent="0.2">
      <c r="B114" s="3"/>
      <c r="C114" s="3"/>
      <c r="D114" s="3"/>
      <c r="E114" s="3"/>
      <c r="F114" s="12"/>
      <c r="G114" s="12"/>
      <c r="H114" s="12"/>
      <c r="I114" s="12"/>
      <c r="J114" s="12"/>
      <c r="K114" s="12"/>
      <c r="L114" s="12"/>
      <c r="M114" s="12"/>
      <c r="U114" s="64" t="s">
        <v>72</v>
      </c>
      <c r="V114" s="39" t="str">
        <f>""</f>
        <v/>
      </c>
      <c r="W114" s="12" t="str">
        <f>""</f>
        <v/>
      </c>
      <c r="X114" s="12" t="str">
        <f>""</f>
        <v/>
      </c>
      <c r="Y114" s="34" t="str">
        <f>""</f>
        <v/>
      </c>
      <c r="Z114" s="33" t="str">
        <f>""</f>
        <v/>
      </c>
      <c r="AA114" s="12">
        <v>0</v>
      </c>
      <c r="AB114" s="12" t="str">
        <f>""</f>
        <v/>
      </c>
      <c r="AD114" s="141"/>
      <c r="AE114" s="146"/>
      <c r="AF114" s="141"/>
      <c r="AG114" s="596" t="str">
        <f>""</f>
        <v/>
      </c>
      <c r="AH114" s="3" t="str">
        <f>""</f>
        <v/>
      </c>
      <c r="AI114" s="601"/>
    </row>
    <row r="115" spans="2:35" s="2" customFormat="1" x14ac:dyDescent="0.2">
      <c r="B115" s="3"/>
      <c r="C115" s="3"/>
      <c r="D115" s="3"/>
      <c r="E115" s="3"/>
      <c r="F115" s="12"/>
      <c r="G115" s="12"/>
      <c r="H115" s="12"/>
      <c r="I115" s="12"/>
      <c r="J115" s="12"/>
      <c r="K115" s="12"/>
      <c r="L115" s="12"/>
      <c r="M115" s="12"/>
      <c r="U115" s="64" t="s">
        <v>73</v>
      </c>
      <c r="V115" s="39" t="str">
        <f>""</f>
        <v/>
      </c>
      <c r="W115" s="12" t="str">
        <f>""</f>
        <v/>
      </c>
      <c r="X115" s="12" t="str">
        <f>""</f>
        <v/>
      </c>
      <c r="Y115" s="34" t="str">
        <f>""</f>
        <v/>
      </c>
      <c r="Z115" s="33" t="str">
        <f>""</f>
        <v/>
      </c>
      <c r="AA115" s="12">
        <v>0</v>
      </c>
      <c r="AB115" s="12" t="str">
        <f>""</f>
        <v/>
      </c>
      <c r="AD115" s="141"/>
      <c r="AE115" s="146"/>
      <c r="AF115" s="141"/>
      <c r="AG115" s="596" t="str">
        <f>""</f>
        <v/>
      </c>
      <c r="AH115" s="3" t="str">
        <f>""</f>
        <v/>
      </c>
      <c r="AI115" s="601"/>
    </row>
    <row r="116" spans="2:35" s="2" customFormat="1" x14ac:dyDescent="0.2">
      <c r="B116" s="3"/>
      <c r="C116" s="3"/>
      <c r="D116" s="3"/>
      <c r="E116" s="3"/>
      <c r="F116" s="12"/>
      <c r="G116" s="12"/>
      <c r="H116" s="12"/>
      <c r="I116" s="12"/>
      <c r="J116" s="12"/>
      <c r="K116" s="12"/>
      <c r="L116" s="12"/>
      <c r="M116" s="12"/>
      <c r="U116" s="64" t="s">
        <v>74</v>
      </c>
      <c r="V116" s="39" t="str">
        <f>""</f>
        <v/>
      </c>
      <c r="W116" s="12" t="str">
        <f>""</f>
        <v/>
      </c>
      <c r="X116" s="12" t="str">
        <f>""</f>
        <v/>
      </c>
      <c r="Y116" s="34" t="str">
        <f>""</f>
        <v/>
      </c>
      <c r="Z116" s="33" t="str">
        <f>""</f>
        <v/>
      </c>
      <c r="AA116" s="12">
        <v>0</v>
      </c>
      <c r="AB116" s="12" t="str">
        <f>""</f>
        <v/>
      </c>
      <c r="AD116" s="141"/>
      <c r="AE116" s="146"/>
      <c r="AF116" s="141"/>
      <c r="AG116" s="596" t="str">
        <f>""</f>
        <v/>
      </c>
      <c r="AH116" s="3" t="str">
        <f>""</f>
        <v/>
      </c>
      <c r="AI116" s="601"/>
    </row>
    <row r="117" spans="2:35" s="2" customFormat="1" x14ac:dyDescent="0.2">
      <c r="B117" s="3"/>
      <c r="C117" s="3"/>
      <c r="D117" s="3"/>
      <c r="E117" s="3"/>
      <c r="F117" s="12"/>
      <c r="G117" s="12"/>
      <c r="H117" s="12"/>
      <c r="I117" s="12"/>
      <c r="J117" s="12"/>
      <c r="K117" s="12"/>
      <c r="L117" s="12"/>
      <c r="M117" s="12"/>
      <c r="U117" s="64" t="s">
        <v>75</v>
      </c>
      <c r="V117" s="39" t="str">
        <f>""</f>
        <v/>
      </c>
      <c r="W117" s="12" t="str">
        <f>""</f>
        <v/>
      </c>
      <c r="X117" s="12" t="str">
        <f>""</f>
        <v/>
      </c>
      <c r="Y117" s="34" t="str">
        <f>""</f>
        <v/>
      </c>
      <c r="Z117" s="33" t="str">
        <f>""</f>
        <v/>
      </c>
      <c r="AA117" s="12">
        <v>0</v>
      </c>
      <c r="AB117" s="12" t="str">
        <f>""</f>
        <v/>
      </c>
      <c r="AD117" s="141"/>
      <c r="AE117" s="146"/>
      <c r="AF117" s="141"/>
      <c r="AG117" s="596" t="str">
        <f>""</f>
        <v/>
      </c>
      <c r="AH117" s="3" t="str">
        <f>""</f>
        <v/>
      </c>
      <c r="AI117" s="601"/>
    </row>
    <row r="118" spans="2:35" s="2" customFormat="1" x14ac:dyDescent="0.2">
      <c r="B118" s="3"/>
      <c r="C118" s="3"/>
      <c r="D118" s="3"/>
      <c r="E118" s="3"/>
      <c r="F118" s="12"/>
      <c r="G118" s="12"/>
      <c r="H118" s="12"/>
      <c r="I118" s="12"/>
      <c r="J118" s="12"/>
      <c r="K118" s="12"/>
      <c r="L118" s="12"/>
      <c r="M118" s="12"/>
      <c r="U118" s="64" t="s">
        <v>76</v>
      </c>
      <c r="V118" s="39" t="str">
        <f>""</f>
        <v/>
      </c>
      <c r="W118" s="12" t="str">
        <f>""</f>
        <v/>
      </c>
      <c r="X118" s="12" t="str">
        <f>""</f>
        <v/>
      </c>
      <c r="Y118" s="34" t="str">
        <f>""</f>
        <v/>
      </c>
      <c r="Z118" s="33" t="str">
        <f>""</f>
        <v/>
      </c>
      <c r="AA118" s="12">
        <v>0</v>
      </c>
      <c r="AB118" s="12" t="str">
        <f>""</f>
        <v/>
      </c>
      <c r="AD118" s="141"/>
      <c r="AE118" s="146"/>
      <c r="AF118" s="141"/>
      <c r="AG118" s="596" t="str">
        <f>""</f>
        <v/>
      </c>
      <c r="AH118" s="3" t="str">
        <f>""</f>
        <v/>
      </c>
      <c r="AI118" s="601"/>
    </row>
    <row r="119" spans="2:35" s="2" customFormat="1" x14ac:dyDescent="0.2">
      <c r="B119" s="3"/>
      <c r="C119" s="3"/>
      <c r="D119" s="3"/>
      <c r="E119" s="3"/>
      <c r="F119" s="12"/>
      <c r="G119" s="12"/>
      <c r="H119" s="12"/>
      <c r="I119" s="12"/>
      <c r="J119" s="12"/>
      <c r="K119" s="12"/>
      <c r="L119" s="12"/>
      <c r="M119" s="12"/>
      <c r="U119" s="64" t="s">
        <v>77</v>
      </c>
      <c r="V119" s="39" t="str">
        <f>""</f>
        <v/>
      </c>
      <c r="W119" s="12" t="str">
        <f>""</f>
        <v/>
      </c>
      <c r="X119" s="12" t="str">
        <f>""</f>
        <v/>
      </c>
      <c r="Y119" s="34" t="str">
        <f>""</f>
        <v/>
      </c>
      <c r="Z119" s="33" t="str">
        <f>""</f>
        <v/>
      </c>
      <c r="AA119" s="12">
        <v>0</v>
      </c>
      <c r="AB119" s="12" t="str">
        <f>""</f>
        <v/>
      </c>
      <c r="AD119" s="141"/>
      <c r="AE119" s="146"/>
      <c r="AF119" s="141"/>
      <c r="AG119" s="596" t="str">
        <f>""</f>
        <v/>
      </c>
      <c r="AH119" s="3" t="str">
        <f>""</f>
        <v/>
      </c>
      <c r="AI119" s="601"/>
    </row>
    <row r="120" spans="2:35" s="2" customFormat="1" x14ac:dyDescent="0.2">
      <c r="B120" s="3"/>
      <c r="C120" s="3"/>
      <c r="D120" s="3"/>
      <c r="E120" s="3"/>
      <c r="F120" s="12"/>
      <c r="G120" s="12"/>
      <c r="H120" s="12"/>
      <c r="I120" s="12"/>
      <c r="J120" s="12"/>
      <c r="K120" s="12"/>
      <c r="L120" s="12"/>
      <c r="M120" s="12"/>
      <c r="U120" s="64" t="s">
        <v>78</v>
      </c>
      <c r="V120" s="39" t="str">
        <f>""</f>
        <v/>
      </c>
      <c r="W120" s="12" t="str">
        <f>""</f>
        <v/>
      </c>
      <c r="X120" s="12" t="str">
        <f>""</f>
        <v/>
      </c>
      <c r="Y120" s="34" t="str">
        <f>""</f>
        <v/>
      </c>
      <c r="Z120" s="33" t="str">
        <f>""</f>
        <v/>
      </c>
      <c r="AA120" s="12">
        <v>0</v>
      </c>
      <c r="AB120" s="12" t="str">
        <f>""</f>
        <v/>
      </c>
      <c r="AD120" s="141"/>
      <c r="AE120" s="146"/>
      <c r="AF120" s="141"/>
      <c r="AG120" s="596" t="str">
        <f>""</f>
        <v/>
      </c>
      <c r="AH120" s="3" t="str">
        <f>""</f>
        <v/>
      </c>
      <c r="AI120" s="601"/>
    </row>
    <row r="121" spans="2:35" s="2" customFormat="1" x14ac:dyDescent="0.2">
      <c r="B121" s="3"/>
      <c r="C121" s="3"/>
      <c r="D121" s="3"/>
      <c r="E121" s="3"/>
      <c r="F121" s="12"/>
      <c r="G121" s="12"/>
      <c r="H121" s="12"/>
      <c r="I121" s="12"/>
      <c r="J121" s="12"/>
      <c r="K121" s="12"/>
      <c r="L121" s="12"/>
      <c r="M121" s="12"/>
      <c r="U121" s="64" t="s">
        <v>79</v>
      </c>
      <c r="V121" s="39" t="str">
        <f>""</f>
        <v/>
      </c>
      <c r="W121" s="12" t="str">
        <f>""</f>
        <v/>
      </c>
      <c r="X121" s="12" t="str">
        <f>""</f>
        <v/>
      </c>
      <c r="Y121" s="34" t="str">
        <f>""</f>
        <v/>
      </c>
      <c r="Z121" s="33" t="str">
        <f>""</f>
        <v/>
      </c>
      <c r="AA121" s="12">
        <v>0</v>
      </c>
      <c r="AB121" s="12" t="str">
        <f>""</f>
        <v/>
      </c>
      <c r="AD121" s="141"/>
      <c r="AE121" s="146"/>
      <c r="AF121" s="141"/>
      <c r="AG121" s="596" t="str">
        <f>""</f>
        <v/>
      </c>
      <c r="AH121" s="3" t="str">
        <f>""</f>
        <v/>
      </c>
      <c r="AI121" s="601"/>
    </row>
    <row r="122" spans="2:35" s="2" customFormat="1" x14ac:dyDescent="0.2">
      <c r="B122" s="3"/>
      <c r="C122" s="3"/>
      <c r="D122" s="3"/>
      <c r="E122" s="3"/>
      <c r="F122" s="12"/>
      <c r="G122" s="12"/>
      <c r="H122" s="12"/>
      <c r="I122" s="12"/>
      <c r="J122" s="12"/>
      <c r="K122" s="12"/>
      <c r="L122" s="12"/>
      <c r="M122" s="12"/>
      <c r="U122" s="64" t="s">
        <v>80</v>
      </c>
      <c r="V122" s="39" t="str">
        <f>""</f>
        <v/>
      </c>
      <c r="W122" s="12" t="str">
        <f>""</f>
        <v/>
      </c>
      <c r="X122" s="12" t="str">
        <f>""</f>
        <v/>
      </c>
      <c r="Y122" s="34" t="str">
        <f>""</f>
        <v/>
      </c>
      <c r="Z122" s="33" t="str">
        <f>""</f>
        <v/>
      </c>
      <c r="AA122" s="12">
        <v>0</v>
      </c>
      <c r="AB122" s="12" t="str">
        <f>""</f>
        <v/>
      </c>
      <c r="AD122" s="141"/>
      <c r="AE122" s="146"/>
      <c r="AF122" s="141"/>
      <c r="AG122" s="596" t="str">
        <f>""</f>
        <v/>
      </c>
      <c r="AH122" s="3" t="str">
        <f>""</f>
        <v/>
      </c>
      <c r="AI122" s="601"/>
    </row>
    <row r="123" spans="2:35" s="2" customFormat="1" x14ac:dyDescent="0.2">
      <c r="B123" s="3"/>
      <c r="C123" s="3"/>
      <c r="D123" s="3"/>
      <c r="E123" s="3"/>
      <c r="F123" s="12"/>
      <c r="G123" s="12"/>
      <c r="H123" s="12"/>
      <c r="I123" s="12"/>
      <c r="J123" s="12"/>
      <c r="K123" s="12"/>
      <c r="L123" s="12"/>
      <c r="M123" s="12"/>
      <c r="U123" s="64" t="s">
        <v>81</v>
      </c>
      <c r="V123" s="39" t="str">
        <f>""</f>
        <v/>
      </c>
      <c r="W123" s="12" t="str">
        <f>""</f>
        <v/>
      </c>
      <c r="X123" s="12" t="str">
        <f>""</f>
        <v/>
      </c>
      <c r="Y123" s="34" t="str">
        <f>""</f>
        <v/>
      </c>
      <c r="Z123" s="33" t="str">
        <f>""</f>
        <v/>
      </c>
      <c r="AA123" s="12">
        <v>0</v>
      </c>
      <c r="AB123" s="12" t="str">
        <f>""</f>
        <v/>
      </c>
      <c r="AD123" s="141"/>
      <c r="AE123" s="146"/>
      <c r="AF123" s="141"/>
      <c r="AG123" s="596" t="str">
        <f>""</f>
        <v/>
      </c>
      <c r="AH123" s="3" t="str">
        <f>""</f>
        <v/>
      </c>
      <c r="AI123" s="601"/>
    </row>
    <row r="124" spans="2:35" s="2" customFormat="1" x14ac:dyDescent="0.2">
      <c r="B124" s="3"/>
      <c r="C124" s="3"/>
      <c r="D124" s="3"/>
      <c r="E124" s="3"/>
      <c r="F124" s="12"/>
      <c r="G124" s="12"/>
      <c r="H124" s="12"/>
      <c r="I124" s="12"/>
      <c r="J124" s="12"/>
      <c r="K124" s="12"/>
      <c r="L124" s="12"/>
      <c r="M124" s="12"/>
      <c r="U124" s="64" t="s">
        <v>82</v>
      </c>
      <c r="V124" s="39" t="str">
        <f>""</f>
        <v/>
      </c>
      <c r="W124" s="12" t="str">
        <f>""</f>
        <v/>
      </c>
      <c r="X124" s="12" t="str">
        <f>""</f>
        <v/>
      </c>
      <c r="Y124" s="34" t="str">
        <f>""</f>
        <v/>
      </c>
      <c r="Z124" s="33" t="str">
        <f>""</f>
        <v/>
      </c>
      <c r="AA124" s="12">
        <v>0</v>
      </c>
      <c r="AB124" s="12" t="str">
        <f>""</f>
        <v/>
      </c>
      <c r="AD124" s="141"/>
      <c r="AE124" s="146"/>
      <c r="AF124" s="141"/>
      <c r="AG124" s="596" t="str">
        <f>""</f>
        <v/>
      </c>
      <c r="AH124" s="3" t="str">
        <f>""</f>
        <v/>
      </c>
      <c r="AI124" s="601"/>
    </row>
    <row r="125" spans="2:35" s="2" customFormat="1" x14ac:dyDescent="0.2">
      <c r="B125" s="3"/>
      <c r="C125" s="3"/>
      <c r="D125" s="3"/>
      <c r="E125" s="3"/>
      <c r="F125" s="12"/>
      <c r="G125" s="12"/>
      <c r="H125" s="12"/>
      <c r="I125" s="12"/>
      <c r="J125" s="12"/>
      <c r="K125" s="12"/>
      <c r="L125" s="12"/>
      <c r="M125" s="12"/>
      <c r="U125" s="64" t="s">
        <v>83</v>
      </c>
      <c r="V125" s="39" t="str">
        <f>""</f>
        <v/>
      </c>
      <c r="W125" s="12" t="str">
        <f>""</f>
        <v/>
      </c>
      <c r="X125" s="12" t="str">
        <f>""</f>
        <v/>
      </c>
      <c r="Y125" s="34" t="str">
        <f>""</f>
        <v/>
      </c>
      <c r="Z125" s="33" t="str">
        <f>""</f>
        <v/>
      </c>
      <c r="AA125" s="12">
        <v>0</v>
      </c>
      <c r="AB125" s="12" t="str">
        <f>""</f>
        <v/>
      </c>
      <c r="AD125" s="141"/>
      <c r="AE125" s="146"/>
      <c r="AF125" s="141"/>
      <c r="AG125" s="596" t="str">
        <f>""</f>
        <v/>
      </c>
      <c r="AH125" s="3" t="str">
        <f>""</f>
        <v/>
      </c>
      <c r="AI125" s="601"/>
    </row>
    <row r="126" spans="2:35" s="2" customFormat="1" x14ac:dyDescent="0.2">
      <c r="B126" s="3"/>
      <c r="C126" s="3"/>
      <c r="D126" s="3"/>
      <c r="E126" s="3"/>
      <c r="F126" s="12"/>
      <c r="G126" s="12"/>
      <c r="H126" s="12"/>
      <c r="I126" s="12"/>
      <c r="J126" s="12"/>
      <c r="K126" s="12"/>
      <c r="L126" s="12"/>
      <c r="M126" s="12"/>
      <c r="U126" s="64" t="s">
        <v>84</v>
      </c>
      <c r="V126" s="39" t="str">
        <f>""</f>
        <v/>
      </c>
      <c r="W126" s="12" t="str">
        <f>""</f>
        <v/>
      </c>
      <c r="X126" s="12" t="str">
        <f>""</f>
        <v/>
      </c>
      <c r="Y126" s="34" t="str">
        <f>""</f>
        <v/>
      </c>
      <c r="Z126" s="33" t="str">
        <f>""</f>
        <v/>
      </c>
      <c r="AA126" s="12">
        <v>0</v>
      </c>
      <c r="AB126" s="12" t="str">
        <f>""</f>
        <v/>
      </c>
      <c r="AD126" s="141"/>
      <c r="AE126" s="146"/>
      <c r="AF126" s="141"/>
      <c r="AG126" s="596" t="str">
        <f>""</f>
        <v/>
      </c>
      <c r="AH126" s="3" t="str">
        <f>""</f>
        <v/>
      </c>
      <c r="AI126" s="601"/>
    </row>
    <row r="127" spans="2:35" s="2" customFormat="1" x14ac:dyDescent="0.2">
      <c r="B127" s="3"/>
      <c r="C127" s="3"/>
      <c r="D127" s="3"/>
      <c r="E127" s="3"/>
      <c r="F127" s="12"/>
      <c r="G127" s="12"/>
      <c r="H127" s="12"/>
      <c r="I127" s="12"/>
      <c r="J127" s="12"/>
      <c r="K127" s="12"/>
      <c r="L127" s="12"/>
      <c r="M127" s="12"/>
      <c r="U127" s="64" t="s">
        <v>85</v>
      </c>
      <c r="V127" s="39" t="str">
        <f>""</f>
        <v/>
      </c>
      <c r="W127" s="12" t="str">
        <f>""</f>
        <v/>
      </c>
      <c r="X127" s="12" t="str">
        <f>""</f>
        <v/>
      </c>
      <c r="Y127" s="34" t="str">
        <f>""</f>
        <v/>
      </c>
      <c r="Z127" s="33" t="str">
        <f>""</f>
        <v/>
      </c>
      <c r="AA127" s="12">
        <v>0</v>
      </c>
      <c r="AB127" s="12" t="str">
        <f>""</f>
        <v/>
      </c>
      <c r="AD127" s="141"/>
      <c r="AE127" s="146"/>
      <c r="AF127" s="141"/>
      <c r="AG127" s="596" t="str">
        <f>""</f>
        <v/>
      </c>
      <c r="AH127" s="3" t="str">
        <f>""</f>
        <v/>
      </c>
      <c r="AI127" s="601"/>
    </row>
    <row r="128" spans="2:35" s="2" customFormat="1" x14ac:dyDescent="0.2">
      <c r="B128" s="3"/>
      <c r="C128" s="3"/>
      <c r="D128" s="3"/>
      <c r="E128" s="3"/>
      <c r="F128" s="12"/>
      <c r="G128" s="12"/>
      <c r="H128" s="12"/>
      <c r="I128" s="12"/>
      <c r="J128" s="12"/>
      <c r="K128" s="12"/>
      <c r="L128" s="12"/>
      <c r="M128" s="12"/>
      <c r="U128" s="64" t="s">
        <v>86</v>
      </c>
      <c r="V128" s="39" t="str">
        <f>""</f>
        <v/>
      </c>
      <c r="W128" s="12" t="str">
        <f>""</f>
        <v/>
      </c>
      <c r="X128" s="12" t="str">
        <f>""</f>
        <v/>
      </c>
      <c r="Y128" s="34" t="str">
        <f>""</f>
        <v/>
      </c>
      <c r="Z128" s="33" t="str">
        <f>""</f>
        <v/>
      </c>
      <c r="AA128" s="12">
        <v>0</v>
      </c>
      <c r="AB128" s="12" t="str">
        <f>""</f>
        <v/>
      </c>
      <c r="AD128" s="141"/>
      <c r="AE128" s="146"/>
      <c r="AF128" s="141"/>
      <c r="AG128" s="596" t="str">
        <f>""</f>
        <v/>
      </c>
      <c r="AH128" s="3" t="str">
        <f>""</f>
        <v/>
      </c>
      <c r="AI128" s="601"/>
    </row>
    <row r="129" spans="2:35" s="2" customFormat="1" x14ac:dyDescent="0.2">
      <c r="B129" s="3"/>
      <c r="C129" s="3"/>
      <c r="D129" s="3"/>
      <c r="E129" s="3"/>
      <c r="F129" s="12"/>
      <c r="G129" s="12"/>
      <c r="H129" s="12"/>
      <c r="I129" s="12"/>
      <c r="J129" s="12"/>
      <c r="K129" s="12"/>
      <c r="L129" s="12"/>
      <c r="M129" s="12"/>
      <c r="U129" s="64" t="s">
        <v>87</v>
      </c>
      <c r="V129" s="39" t="str">
        <f>""</f>
        <v/>
      </c>
      <c r="W129" s="12" t="str">
        <f>""</f>
        <v/>
      </c>
      <c r="X129" s="12" t="str">
        <f>""</f>
        <v/>
      </c>
      <c r="Y129" s="34" t="str">
        <f>""</f>
        <v/>
      </c>
      <c r="Z129" s="33" t="str">
        <f>""</f>
        <v/>
      </c>
      <c r="AA129" s="12">
        <v>0</v>
      </c>
      <c r="AB129" s="12" t="str">
        <f>""</f>
        <v/>
      </c>
      <c r="AD129" s="141"/>
      <c r="AE129" s="146"/>
      <c r="AF129" s="141"/>
      <c r="AG129" s="596" t="str">
        <f>""</f>
        <v/>
      </c>
      <c r="AH129" s="3" t="str">
        <f>""</f>
        <v/>
      </c>
      <c r="AI129" s="601"/>
    </row>
    <row r="130" spans="2:35" s="2" customFormat="1" x14ac:dyDescent="0.2">
      <c r="B130" s="3"/>
      <c r="C130" s="3"/>
      <c r="D130" s="3"/>
      <c r="E130" s="3"/>
      <c r="F130" s="12"/>
      <c r="G130" s="12"/>
      <c r="H130" s="12"/>
      <c r="I130" s="12"/>
      <c r="J130" s="12"/>
      <c r="K130" s="12"/>
      <c r="L130" s="12"/>
      <c r="M130" s="12"/>
      <c r="U130" s="64" t="s">
        <v>88</v>
      </c>
      <c r="V130" s="39" t="str">
        <f>""</f>
        <v/>
      </c>
      <c r="W130" s="12" t="str">
        <f>""</f>
        <v/>
      </c>
      <c r="X130" s="12" t="str">
        <f>""</f>
        <v/>
      </c>
      <c r="Y130" s="34" t="str">
        <f>""</f>
        <v/>
      </c>
      <c r="Z130" s="33" t="str">
        <f>""</f>
        <v/>
      </c>
      <c r="AA130" s="12">
        <v>0</v>
      </c>
      <c r="AB130" s="12" t="str">
        <f>""</f>
        <v/>
      </c>
      <c r="AD130" s="141"/>
      <c r="AE130" s="146"/>
      <c r="AF130" s="141"/>
      <c r="AG130" s="596" t="str">
        <f>""</f>
        <v/>
      </c>
      <c r="AH130" s="3" t="str">
        <f>""</f>
        <v/>
      </c>
      <c r="AI130" s="601"/>
    </row>
    <row r="131" spans="2:35" s="2" customFormat="1" x14ac:dyDescent="0.2">
      <c r="B131" s="3"/>
      <c r="C131" s="3"/>
      <c r="D131" s="3"/>
      <c r="E131" s="3"/>
      <c r="F131" s="12"/>
      <c r="G131" s="12"/>
      <c r="H131" s="12"/>
      <c r="I131" s="12"/>
      <c r="J131" s="12"/>
      <c r="K131" s="12"/>
      <c r="L131" s="12"/>
      <c r="M131" s="12"/>
      <c r="U131" s="64" t="s">
        <v>89</v>
      </c>
      <c r="V131" s="39" t="str">
        <f>""</f>
        <v/>
      </c>
      <c r="W131" s="12" t="str">
        <f>""</f>
        <v/>
      </c>
      <c r="X131" s="12" t="str">
        <f>""</f>
        <v/>
      </c>
      <c r="Y131" s="34" t="str">
        <f>""</f>
        <v/>
      </c>
      <c r="Z131" s="33" t="str">
        <f>""</f>
        <v/>
      </c>
      <c r="AA131" s="12">
        <v>0</v>
      </c>
      <c r="AB131" s="12" t="str">
        <f>""</f>
        <v/>
      </c>
      <c r="AD131" s="141"/>
      <c r="AE131" s="146"/>
      <c r="AF131" s="141"/>
      <c r="AG131" s="596" t="str">
        <f>""</f>
        <v/>
      </c>
      <c r="AH131" s="3" t="str">
        <f>""</f>
        <v/>
      </c>
      <c r="AI131" s="601"/>
    </row>
    <row r="132" spans="2:35" s="2" customFormat="1" x14ac:dyDescent="0.2">
      <c r="B132" s="3"/>
      <c r="C132" s="3"/>
      <c r="D132" s="3"/>
      <c r="E132" s="3"/>
      <c r="F132" s="12"/>
      <c r="G132" s="12"/>
      <c r="H132" s="12"/>
      <c r="I132" s="12"/>
      <c r="J132" s="12"/>
      <c r="K132" s="12"/>
      <c r="L132" s="12"/>
      <c r="M132" s="12"/>
      <c r="U132" s="64" t="s">
        <v>90</v>
      </c>
      <c r="V132" s="39" t="str">
        <f>""</f>
        <v/>
      </c>
      <c r="W132" s="12" t="str">
        <f>""</f>
        <v/>
      </c>
      <c r="X132" s="12" t="str">
        <f>""</f>
        <v/>
      </c>
      <c r="Y132" s="34" t="str">
        <f>""</f>
        <v/>
      </c>
      <c r="Z132" s="33" t="str">
        <f>""</f>
        <v/>
      </c>
      <c r="AA132" s="12">
        <v>0</v>
      </c>
      <c r="AB132" s="12" t="str">
        <f>""</f>
        <v/>
      </c>
      <c r="AD132" s="141"/>
      <c r="AE132" s="146"/>
      <c r="AF132" s="141"/>
      <c r="AG132" s="596" t="str">
        <f>""</f>
        <v/>
      </c>
      <c r="AH132" s="3" t="str">
        <f>""</f>
        <v/>
      </c>
      <c r="AI132" s="601"/>
    </row>
    <row r="133" spans="2:35" s="2" customFormat="1" x14ac:dyDescent="0.2">
      <c r="B133" s="3"/>
      <c r="C133" s="3"/>
      <c r="D133" s="3"/>
      <c r="E133" s="3"/>
      <c r="F133" s="12"/>
      <c r="G133" s="12"/>
      <c r="H133" s="12"/>
      <c r="I133" s="12"/>
      <c r="J133" s="12"/>
      <c r="K133" s="12"/>
      <c r="L133" s="12"/>
      <c r="M133" s="12"/>
      <c r="U133" s="64" t="s">
        <v>91</v>
      </c>
      <c r="V133" s="39" t="str">
        <f>""</f>
        <v/>
      </c>
      <c r="W133" s="12" t="str">
        <f>""</f>
        <v/>
      </c>
      <c r="X133" s="12" t="str">
        <f>""</f>
        <v/>
      </c>
      <c r="Y133" s="34" t="str">
        <f>""</f>
        <v/>
      </c>
      <c r="Z133" s="33" t="str">
        <f>""</f>
        <v/>
      </c>
      <c r="AA133" s="12">
        <v>0</v>
      </c>
      <c r="AB133" s="12" t="str">
        <f>""</f>
        <v/>
      </c>
      <c r="AD133" s="141"/>
      <c r="AE133" s="146"/>
      <c r="AF133" s="141"/>
      <c r="AG133" s="596" t="str">
        <f>""</f>
        <v/>
      </c>
      <c r="AH133" s="3" t="str">
        <f>""</f>
        <v/>
      </c>
      <c r="AI133" s="601"/>
    </row>
    <row r="134" spans="2:35" s="2" customFormat="1" x14ac:dyDescent="0.2">
      <c r="B134" s="3"/>
      <c r="C134" s="3"/>
      <c r="D134" s="3"/>
      <c r="E134" s="3"/>
      <c r="F134" s="12"/>
      <c r="G134" s="12"/>
      <c r="H134" s="12"/>
      <c r="I134" s="12"/>
      <c r="J134" s="12"/>
      <c r="K134" s="12"/>
      <c r="L134" s="12"/>
      <c r="M134" s="12"/>
      <c r="U134" s="64" t="s">
        <v>92</v>
      </c>
      <c r="V134" s="39" t="str">
        <f>""</f>
        <v/>
      </c>
      <c r="W134" s="12" t="str">
        <f>""</f>
        <v/>
      </c>
      <c r="X134" s="12" t="str">
        <f>""</f>
        <v/>
      </c>
      <c r="Y134" s="34" t="str">
        <f>""</f>
        <v/>
      </c>
      <c r="Z134" s="33" t="str">
        <f>""</f>
        <v/>
      </c>
      <c r="AA134" s="12">
        <v>0</v>
      </c>
      <c r="AB134" s="12" t="str">
        <f>""</f>
        <v/>
      </c>
      <c r="AD134" s="141"/>
      <c r="AE134" s="146"/>
      <c r="AF134" s="141"/>
      <c r="AG134" s="596" t="str">
        <f>""</f>
        <v/>
      </c>
      <c r="AH134" s="3" t="str">
        <f>""</f>
        <v/>
      </c>
      <c r="AI134" s="601"/>
    </row>
    <row r="135" spans="2:35" s="2" customFormat="1" ht="12.75" thickBot="1" x14ac:dyDescent="0.25">
      <c r="B135" s="3"/>
      <c r="C135" s="3"/>
      <c r="D135" s="3"/>
      <c r="E135" s="3"/>
      <c r="F135" s="12"/>
      <c r="G135" s="12"/>
      <c r="H135" s="12"/>
      <c r="I135" s="12"/>
      <c r="J135" s="12"/>
      <c r="K135" s="12"/>
      <c r="L135" s="12"/>
      <c r="M135" s="12"/>
      <c r="U135" s="65" t="s">
        <v>93</v>
      </c>
      <c r="V135" s="40" t="str">
        <f>""</f>
        <v/>
      </c>
      <c r="W135" s="36" t="str">
        <f>""</f>
        <v/>
      </c>
      <c r="X135" s="36" t="str">
        <f>""</f>
        <v/>
      </c>
      <c r="Y135" s="37" t="str">
        <f>""</f>
        <v/>
      </c>
      <c r="Z135" s="33" t="str">
        <f>""</f>
        <v/>
      </c>
      <c r="AA135" s="36">
        <v>0</v>
      </c>
      <c r="AB135" s="142" t="str">
        <f>""</f>
        <v/>
      </c>
      <c r="AC135" s="144"/>
      <c r="AD135" s="143"/>
      <c r="AE135" s="147"/>
      <c r="AF135" s="143"/>
      <c r="AG135" s="597" t="str">
        <f>""</f>
        <v/>
      </c>
      <c r="AH135" s="144" t="str">
        <f>""</f>
        <v/>
      </c>
      <c r="AI135" s="602"/>
    </row>
    <row r="136" spans="2:35" s="2" customFormat="1" ht="12.75" thickTop="1" x14ac:dyDescent="0.2">
      <c r="B136" s="3"/>
      <c r="C136" s="3"/>
      <c r="D136" s="3"/>
      <c r="E136" s="3"/>
      <c r="F136" s="12"/>
      <c r="G136" s="12"/>
      <c r="H136" s="12"/>
      <c r="I136" s="12"/>
      <c r="J136" s="12"/>
      <c r="K136" s="12"/>
      <c r="L136" s="12"/>
      <c r="M136" s="12"/>
      <c r="Y136" s="63" t="s">
        <v>6</v>
      </c>
      <c r="Z136" s="30" t="str">
        <f ca="1">W64&amp;V64</f>
        <v>VFB Essenheim</v>
      </c>
      <c r="AA136" s="31">
        <f ca="1">AA64</f>
        <v>0</v>
      </c>
      <c r="AB136" s="12" t="str">
        <f ca="1">IF(AA136&gt;0,(Y64+AH64)&amp;Sprache!$E$77&amp;(X64+AG64),"")</f>
        <v/>
      </c>
      <c r="AD136" s="141"/>
      <c r="AE136" s="604"/>
      <c r="AF136" s="605"/>
      <c r="AG136" s="605"/>
      <c r="AH136" s="605"/>
      <c r="AI136" s="140" t="str">
        <f ca="1">IF(AA64&gt;0,AF64&amp;Sprache!$E$77&amp;AE64,"")</f>
        <v/>
      </c>
    </row>
    <row r="137" spans="2:35" x14ac:dyDescent="0.2">
      <c r="Y137" s="64" t="s">
        <v>7</v>
      </c>
      <c r="Z137" s="33" t="str">
        <f ca="1">W65&amp;V65</f>
        <v>SSV Wildbach1. FC Riedwald</v>
      </c>
      <c r="AA137" s="12">
        <f t="shared" ref="AA137:AA153" ca="1" si="69">AA65</f>
        <v>1</v>
      </c>
      <c r="AB137" s="12" t="str">
        <f ca="1">IF(AA137&gt;0,(Y65+AH65)&amp;Sprache!$E$77&amp;(X65+AG65),"")</f>
        <v>45:42</v>
      </c>
      <c r="AC137" s="2"/>
      <c r="AD137" s="141"/>
      <c r="AE137" s="606"/>
      <c r="AF137" s="607"/>
      <c r="AG137" s="607"/>
      <c r="AH137" s="607"/>
      <c r="AI137" s="615" t="str">
        <f ca="1">IF(AA65&gt;0,AF65&amp;Sprache!$E$77&amp;AE65,"")</f>
        <v>1:1</v>
      </c>
    </row>
    <row r="138" spans="2:35" x14ac:dyDescent="0.2">
      <c r="Y138" s="64" t="s">
        <v>8</v>
      </c>
      <c r="Z138" s="33" t="str">
        <f t="shared" ref="Z138:Z153" ca="1" si="70">W66&amp;V66</f>
        <v>Manchester CityMaibach 1822 eV</v>
      </c>
      <c r="AA138" s="12">
        <f t="shared" ca="1" si="69"/>
        <v>1</v>
      </c>
      <c r="AB138" s="12" t="str">
        <f ca="1">IF(AA138&gt;0,(Y66+AH66)&amp;Sprache!$E$77&amp;(X66+AG66),"")</f>
        <v>50:35</v>
      </c>
      <c r="AC138" s="2"/>
      <c r="AD138" s="141"/>
      <c r="AE138" s="606"/>
      <c r="AF138" s="607"/>
      <c r="AG138" s="607"/>
      <c r="AH138" s="607"/>
      <c r="AI138" s="615" t="str">
        <f ca="1">IF(AA66&gt;0,AF66&amp;Sprache!$E$77&amp;AE66,"")</f>
        <v>2:0</v>
      </c>
    </row>
    <row r="139" spans="2:35" x14ac:dyDescent="0.2">
      <c r="Y139" s="64" t="s">
        <v>9</v>
      </c>
      <c r="Z139" s="33" t="str">
        <f t="shared" ca="1" si="70"/>
        <v>Inter Mailand</v>
      </c>
      <c r="AA139" s="12">
        <f t="shared" ca="1" si="69"/>
        <v>0</v>
      </c>
      <c r="AB139" s="12" t="str">
        <f ca="1">IF(AA139&gt;0,(Y67+AH67)&amp;Sprache!$E$77&amp;(X67+AG67),"")</f>
        <v/>
      </c>
      <c r="AC139" s="2"/>
      <c r="AD139" s="141"/>
      <c r="AE139" s="606"/>
      <c r="AF139" s="607"/>
      <c r="AG139" s="607"/>
      <c r="AH139" s="607"/>
      <c r="AI139" s="615" t="str">
        <f ca="1">IF(AA67&gt;0,AF67&amp;Sprache!$E$77&amp;AE67,"")</f>
        <v/>
      </c>
    </row>
    <row r="140" spans="2:35" x14ac:dyDescent="0.2">
      <c r="Y140" s="64" t="s">
        <v>10</v>
      </c>
      <c r="Z140" s="33" t="str">
        <f t="shared" ca="1" si="70"/>
        <v>FC BarcelonaFC Grönlingen</v>
      </c>
      <c r="AA140" s="12">
        <f t="shared" ca="1" si="69"/>
        <v>1</v>
      </c>
      <c r="AB140" s="12" t="str">
        <f ca="1">IF(AA140&gt;0,(Y68+AH68)&amp;Sprache!$E$77&amp;(X68+AG68),"")</f>
        <v>44:50</v>
      </c>
      <c r="AC140" s="2"/>
      <c r="AD140" s="141"/>
      <c r="AE140" s="606"/>
      <c r="AF140" s="607"/>
      <c r="AG140" s="607"/>
      <c r="AH140" s="607"/>
      <c r="AI140" s="615" t="str">
        <f ca="1">IF(AA68&gt;0,AF68&amp;Sprache!$E$77&amp;AE68,"")</f>
        <v>0:2</v>
      </c>
    </row>
    <row r="141" spans="2:35" x14ac:dyDescent="0.2">
      <c r="Y141" s="64" t="s">
        <v>11</v>
      </c>
      <c r="Z141" s="33" t="str">
        <f t="shared" ca="1" si="70"/>
        <v>Eintracht FrankfurtMainz 05</v>
      </c>
      <c r="AA141" s="12">
        <f t="shared" ca="1" si="69"/>
        <v>1</v>
      </c>
      <c r="AB141" s="12" t="str">
        <f ca="1">IF(AA141&gt;0,(Y69+AH69)&amp;Sprache!$E$77&amp;(X69+AG69),"")</f>
        <v>39:50</v>
      </c>
      <c r="AC141" s="2"/>
      <c r="AD141" s="141"/>
      <c r="AE141" s="606"/>
      <c r="AF141" s="607"/>
      <c r="AG141" s="607"/>
      <c r="AH141" s="607"/>
      <c r="AI141" s="615" t="str">
        <f ca="1">IF(AA69&gt;0,AF69&amp;Sprache!$E$77&amp;AE69,"")</f>
        <v>0:2</v>
      </c>
    </row>
    <row r="142" spans="2:35" x14ac:dyDescent="0.2">
      <c r="Y142" s="64" t="s">
        <v>16</v>
      </c>
      <c r="Z142" s="33" t="str">
        <f t="shared" ca="1" si="70"/>
        <v>VFB Essenheim</v>
      </c>
      <c r="AA142" s="12">
        <f t="shared" ca="1" si="69"/>
        <v>0</v>
      </c>
      <c r="AB142" s="12" t="str">
        <f ca="1">IF(AA142&gt;0,(Y70+AH70)&amp;Sprache!$E$77&amp;(X70+AG70),"")</f>
        <v/>
      </c>
      <c r="AC142" s="2"/>
      <c r="AD142" s="141"/>
      <c r="AE142" s="606"/>
      <c r="AF142" s="607"/>
      <c r="AG142" s="607"/>
      <c r="AH142" s="607"/>
      <c r="AI142" s="615" t="str">
        <f ca="1">IF(AA70&gt;0,AF70&amp;Sprache!$E$77&amp;AE70,"")</f>
        <v/>
      </c>
    </row>
    <row r="143" spans="2:35" x14ac:dyDescent="0.2">
      <c r="Y143" s="64" t="s">
        <v>17</v>
      </c>
      <c r="Z143" s="33" t="str">
        <f t="shared" ca="1" si="70"/>
        <v>FC Barcelona1. FC Riedwald</v>
      </c>
      <c r="AA143" s="12">
        <f t="shared" ca="1" si="69"/>
        <v>1</v>
      </c>
      <c r="AB143" s="12" t="str">
        <f ca="1">IF(AA143&gt;0,(Y71+AH71)&amp;Sprache!$E$77&amp;(X71+AG71),"")</f>
        <v>37:44</v>
      </c>
      <c r="AC143" s="2"/>
      <c r="AD143" s="141"/>
      <c r="AE143" s="606"/>
      <c r="AF143" s="607"/>
      <c r="AG143" s="607"/>
      <c r="AH143" s="607"/>
      <c r="AI143" s="615" t="str">
        <f ca="1">IF(AA71&gt;0,AF71&amp;Sprache!$E$77&amp;AE71,"")</f>
        <v>1:1</v>
      </c>
    </row>
    <row r="144" spans="2:35" x14ac:dyDescent="0.2">
      <c r="Y144" s="64" t="s">
        <v>18</v>
      </c>
      <c r="Z144" s="33" t="str">
        <f t="shared" ca="1" si="70"/>
        <v>Eintracht FrankfurtMaibach 1822 eV</v>
      </c>
      <c r="AA144" s="12">
        <f t="shared" ca="1" si="69"/>
        <v>1</v>
      </c>
      <c r="AB144" s="12" t="str">
        <f ca="1">IF(AA144&gt;0,(Y72+AH72)&amp;Sprache!$E$77&amp;(X72+AG72),"")</f>
        <v>50:31</v>
      </c>
      <c r="AC144" s="2"/>
      <c r="AD144" s="141"/>
      <c r="AE144" s="606"/>
      <c r="AF144" s="607"/>
      <c r="AG144" s="607"/>
      <c r="AH144" s="607"/>
      <c r="AI144" s="615" t="str">
        <f ca="1">IF(AA72&gt;0,AF72&amp;Sprache!$E$77&amp;AE72,"")</f>
        <v>2:0</v>
      </c>
    </row>
    <row r="145" spans="25:35" x14ac:dyDescent="0.2">
      <c r="Y145" s="64" t="s">
        <v>24</v>
      </c>
      <c r="Z145" s="33" t="str">
        <f t="shared" ca="1" si="70"/>
        <v>Inter Mailand</v>
      </c>
      <c r="AA145" s="12">
        <f t="shared" ca="1" si="69"/>
        <v>0</v>
      </c>
      <c r="AB145" s="12" t="str">
        <f ca="1">IF(AA145&gt;0,(Y73+AH73)&amp;Sprache!$E$77&amp;(X73+AG73),"")</f>
        <v/>
      </c>
      <c r="AC145" s="2"/>
      <c r="AD145" s="141"/>
      <c r="AE145" s="606"/>
      <c r="AF145" s="607"/>
      <c r="AG145" s="607"/>
      <c r="AH145" s="607"/>
      <c r="AI145" s="615" t="str">
        <f ca="1">IF(AA73&gt;0,AF73&amp;Sprache!$E$77&amp;AE73,"")</f>
        <v/>
      </c>
    </row>
    <row r="146" spans="25:35" x14ac:dyDescent="0.2">
      <c r="Y146" s="64" t="s">
        <v>25</v>
      </c>
      <c r="Z146" s="33" t="str">
        <f t="shared" ca="1" si="70"/>
        <v>SSV WildbachFC Grönlingen</v>
      </c>
      <c r="AA146" s="12">
        <f t="shared" ca="1" si="69"/>
        <v>1</v>
      </c>
      <c r="AB146" s="12" t="str">
        <f ca="1">IF(AA146&gt;0,(Y74+AH74)&amp;Sprache!$E$77&amp;(X74+AG74),"")</f>
        <v>45:47</v>
      </c>
      <c r="AC146" s="2"/>
      <c r="AD146" s="141"/>
      <c r="AE146" s="606"/>
      <c r="AF146" s="607"/>
      <c r="AG146" s="607"/>
      <c r="AH146" s="607"/>
      <c r="AI146" s="615" t="str">
        <f ca="1">IF(AA74&gt;0,AF74&amp;Sprache!$E$77&amp;AE74,"")</f>
        <v>1:1</v>
      </c>
    </row>
    <row r="147" spans="25:35" x14ac:dyDescent="0.2">
      <c r="Y147" s="64" t="s">
        <v>26</v>
      </c>
      <c r="Z147" s="33" t="str">
        <f t="shared" ca="1" si="70"/>
        <v>Manchester CityMainz 05</v>
      </c>
      <c r="AA147" s="12">
        <f t="shared" ca="1" si="69"/>
        <v>1</v>
      </c>
      <c r="AB147" s="12" t="str">
        <f ca="1">IF(AA147&gt;0,(Y75+AH75)&amp;Sprache!$E$77&amp;(X75+AG75),"")</f>
        <v>44:44</v>
      </c>
      <c r="AC147" s="2"/>
      <c r="AD147" s="141"/>
      <c r="AE147" s="606"/>
      <c r="AF147" s="607"/>
      <c r="AG147" s="607"/>
      <c r="AH147" s="607"/>
      <c r="AI147" s="615" t="str">
        <f ca="1">IF(AA75&gt;0,AF75&amp;Sprache!$E$77&amp;AE75,"")</f>
        <v>1:1</v>
      </c>
    </row>
    <row r="148" spans="25:35" x14ac:dyDescent="0.2">
      <c r="Y148" s="64" t="s">
        <v>27</v>
      </c>
      <c r="Z148" s="33" t="str">
        <f t="shared" ca="1" si="70"/>
        <v/>
      </c>
      <c r="AA148" s="12">
        <f t="shared" ca="1" si="69"/>
        <v>0</v>
      </c>
      <c r="AB148" s="12" t="str">
        <f ca="1">IF(AA148&gt;0,(Y76+AH76)&amp;Sprache!$E$77&amp;(X76+AG76),"")</f>
        <v/>
      </c>
      <c r="AC148" s="2"/>
      <c r="AD148" s="141"/>
      <c r="AE148" s="606"/>
      <c r="AF148" s="607"/>
      <c r="AG148" s="607"/>
      <c r="AH148" s="607"/>
      <c r="AI148" s="615" t="str">
        <f ca="1">IF(AA76&gt;0,AF76&amp;Sprache!$E$77&amp;AE76,"")</f>
        <v/>
      </c>
    </row>
    <row r="149" spans="25:35" x14ac:dyDescent="0.2">
      <c r="Y149" s="64" t="s">
        <v>28</v>
      </c>
      <c r="Z149" s="33" t="str">
        <f t="shared" ca="1" si="70"/>
        <v>SSV WildbachFC Barcelona</v>
      </c>
      <c r="AA149" s="12">
        <f t="shared" ca="1" si="69"/>
        <v>1</v>
      </c>
      <c r="AB149" s="12" t="str">
        <f ca="1">IF(AA149&gt;0,(Y77+AH77)&amp;Sprache!$E$77&amp;(X77+AG77),"")</f>
        <v>48:39</v>
      </c>
      <c r="AC149" s="2"/>
      <c r="AD149" s="141"/>
      <c r="AE149" s="606"/>
      <c r="AF149" s="607"/>
      <c r="AG149" s="607"/>
      <c r="AH149" s="607"/>
      <c r="AI149" s="615" t="str">
        <f ca="1">IF(AA77&gt;0,AF77&amp;Sprache!$E$77&amp;AE77,"")</f>
        <v>1:1</v>
      </c>
    </row>
    <row r="150" spans="25:35" x14ac:dyDescent="0.2">
      <c r="Y150" s="64" t="s">
        <v>29</v>
      </c>
      <c r="Z150" s="33" t="str">
        <f t="shared" ca="1" si="70"/>
        <v>Manchester CityEintracht Frankfurt</v>
      </c>
      <c r="AA150" s="12">
        <f t="shared" ca="1" si="69"/>
        <v>1</v>
      </c>
      <c r="AB150" s="12" t="str">
        <f ca="1">IF(AA150&gt;0,(Y78+AH78)&amp;Sprache!$E$77&amp;(X78+AG78),"")</f>
        <v>42:46</v>
      </c>
      <c r="AC150" s="2"/>
      <c r="AD150" s="141"/>
      <c r="AE150" s="606"/>
      <c r="AF150" s="607"/>
      <c r="AG150" s="607"/>
      <c r="AH150" s="607"/>
      <c r="AI150" s="615" t="str">
        <f ca="1">IF(AA78&gt;0,AF78&amp;Sprache!$E$77&amp;AE78,"")</f>
        <v>1:1</v>
      </c>
    </row>
    <row r="151" spans="25:35" x14ac:dyDescent="0.2">
      <c r="Y151" s="64" t="s">
        <v>30</v>
      </c>
      <c r="Z151" s="33" t="str">
        <f t="shared" ca="1" si="70"/>
        <v>Inter MailandVFB Essenheim</v>
      </c>
      <c r="AA151" s="12">
        <f t="shared" ca="1" si="69"/>
        <v>1</v>
      </c>
      <c r="AB151" s="12" t="str">
        <f ca="1">IF(AA151&gt;0,(Y79+AH79)&amp;Sprache!$E$77&amp;(X79+AG79),"")</f>
        <v>50:38</v>
      </c>
      <c r="AC151" s="2"/>
      <c r="AD151" s="141"/>
      <c r="AE151" s="606"/>
      <c r="AF151" s="607"/>
      <c r="AG151" s="607"/>
      <c r="AH151" s="607"/>
      <c r="AI151" s="615" t="str">
        <f ca="1">IF(AA79&gt;0,AF79&amp;Sprache!$E$77&amp;AE79,"")</f>
        <v>2:0</v>
      </c>
    </row>
    <row r="152" spans="25:35" x14ac:dyDescent="0.2">
      <c r="Y152" s="64" t="s">
        <v>31</v>
      </c>
      <c r="Z152" s="33" t="str">
        <f t="shared" ca="1" si="70"/>
        <v>FC Grönlingen1. FC Riedwald</v>
      </c>
      <c r="AA152" s="12">
        <f t="shared" ca="1" si="69"/>
        <v>1</v>
      </c>
      <c r="AB152" s="12" t="str">
        <f ca="1">IF(AA152&gt;0,(Y80+AH80)&amp;Sprache!$E$77&amp;(X80+AG80),"")</f>
        <v>39:50</v>
      </c>
      <c r="AC152" s="2"/>
      <c r="AD152" s="141"/>
      <c r="AE152" s="606"/>
      <c r="AF152" s="607"/>
      <c r="AG152" s="607"/>
      <c r="AH152" s="607"/>
      <c r="AI152" s="615" t="str">
        <f ca="1">IF(AA80&gt;0,AF80&amp;Sprache!$E$77&amp;AE80,"")</f>
        <v>0:2</v>
      </c>
    </row>
    <row r="153" spans="25:35" ht="12.75" thickBot="1" x14ac:dyDescent="0.25">
      <c r="Y153" s="311" t="s">
        <v>32</v>
      </c>
      <c r="Z153" s="313" t="str">
        <f t="shared" ca="1" si="70"/>
        <v>Mainz 05Maibach 1822 eV</v>
      </c>
      <c r="AA153" s="312">
        <f t="shared" ca="1" si="69"/>
        <v>1</v>
      </c>
      <c r="AB153" s="312" t="str">
        <f ca="1">IF(AA153&gt;0,(Y81+AH81)&amp;Sprache!$E$77&amp;(X81+AG81),"")</f>
        <v>33:50</v>
      </c>
      <c r="AC153" s="314"/>
      <c r="AD153" s="315"/>
      <c r="AE153" s="609"/>
      <c r="AF153" s="603"/>
      <c r="AG153" s="603"/>
      <c r="AH153" s="603"/>
      <c r="AI153" s="616" t="str">
        <f ca="1">IF(AA81&gt;0,AF81&amp;Sprache!$E$77&amp;AE81,"")</f>
        <v>0:2</v>
      </c>
    </row>
    <row r="154" spans="25:35" ht="12.75" thickTop="1" x14ac:dyDescent="0.2">
      <c r="Y154" s="64" t="s">
        <v>33</v>
      </c>
      <c r="Z154" s="33" t="str">
        <f>""</f>
        <v/>
      </c>
      <c r="AA154" s="12">
        <v>0</v>
      </c>
      <c r="AB154" s="12" t="str">
        <f>""</f>
        <v/>
      </c>
      <c r="AC154" s="2"/>
      <c r="AD154" s="141"/>
      <c r="AE154" s="606"/>
      <c r="AF154" s="607"/>
      <c r="AG154" s="607"/>
      <c r="AH154" s="607"/>
      <c r="AI154" s="615"/>
    </row>
    <row r="155" spans="25:35" x14ac:dyDescent="0.2">
      <c r="Y155" s="64" t="s">
        <v>34</v>
      </c>
      <c r="Z155" s="33" t="str">
        <f>""</f>
        <v/>
      </c>
      <c r="AA155" s="12">
        <v>0</v>
      </c>
      <c r="AB155" s="12" t="str">
        <f>""</f>
        <v/>
      </c>
      <c r="AC155" s="2"/>
      <c r="AD155" s="141"/>
      <c r="AE155" s="606"/>
      <c r="AF155" s="607"/>
      <c r="AG155" s="607"/>
      <c r="AH155" s="607"/>
      <c r="AI155" s="615"/>
    </row>
    <row r="156" spans="25:35" x14ac:dyDescent="0.2">
      <c r="Y156" s="64" t="s">
        <v>35</v>
      </c>
      <c r="Z156" s="33" t="str">
        <f>""</f>
        <v/>
      </c>
      <c r="AA156" s="12">
        <v>0</v>
      </c>
      <c r="AB156" s="12" t="str">
        <f>""</f>
        <v/>
      </c>
      <c r="AC156" s="2"/>
      <c r="AD156" s="141"/>
      <c r="AE156" s="606"/>
      <c r="AF156" s="607"/>
      <c r="AG156" s="607"/>
      <c r="AH156" s="607"/>
      <c r="AI156" s="615"/>
    </row>
    <row r="157" spans="25:35" x14ac:dyDescent="0.2">
      <c r="Y157" s="64" t="s">
        <v>36</v>
      </c>
      <c r="Z157" s="33" t="str">
        <f>""</f>
        <v/>
      </c>
      <c r="AA157" s="12">
        <v>0</v>
      </c>
      <c r="AB157" s="12" t="str">
        <f>""</f>
        <v/>
      </c>
      <c r="AC157" s="2"/>
      <c r="AD157" s="141"/>
      <c r="AE157" s="606"/>
      <c r="AF157" s="607"/>
      <c r="AG157" s="607"/>
      <c r="AH157" s="607"/>
      <c r="AI157" s="615"/>
    </row>
    <row r="158" spans="25:35" x14ac:dyDescent="0.2">
      <c r="Y158" s="64" t="s">
        <v>37</v>
      </c>
      <c r="Z158" s="33" t="str">
        <f>""</f>
        <v/>
      </c>
      <c r="AA158" s="12">
        <v>0</v>
      </c>
      <c r="AB158" s="12" t="str">
        <f>""</f>
        <v/>
      </c>
      <c r="AC158" s="2"/>
      <c r="AD158" s="141"/>
      <c r="AE158" s="606"/>
      <c r="AF158" s="607"/>
      <c r="AG158" s="607"/>
      <c r="AH158" s="607"/>
      <c r="AI158" s="615"/>
    </row>
    <row r="159" spans="25:35" x14ac:dyDescent="0.2">
      <c r="Y159" s="64" t="s">
        <v>38</v>
      </c>
      <c r="Z159" s="33" t="str">
        <f>""</f>
        <v/>
      </c>
      <c r="AA159" s="12">
        <v>0</v>
      </c>
      <c r="AB159" s="12" t="str">
        <f>""</f>
        <v/>
      </c>
      <c r="AC159" s="2"/>
      <c r="AD159" s="141"/>
      <c r="AE159" s="606"/>
      <c r="AF159" s="607"/>
      <c r="AG159" s="607"/>
      <c r="AH159" s="607"/>
      <c r="AI159" s="615"/>
    </row>
    <row r="160" spans="25:35" x14ac:dyDescent="0.2">
      <c r="Y160" s="64" t="s">
        <v>39</v>
      </c>
      <c r="Z160" s="33" t="str">
        <f>""</f>
        <v/>
      </c>
      <c r="AA160" s="12">
        <v>0</v>
      </c>
      <c r="AB160" s="12" t="str">
        <f>""</f>
        <v/>
      </c>
      <c r="AC160" s="2"/>
      <c r="AD160" s="141"/>
      <c r="AE160" s="606"/>
      <c r="AF160" s="607"/>
      <c r="AG160" s="607"/>
      <c r="AH160" s="607"/>
      <c r="AI160" s="615"/>
    </row>
    <row r="161" spans="25:35" x14ac:dyDescent="0.2">
      <c r="Y161" s="64" t="s">
        <v>40</v>
      </c>
      <c r="Z161" s="33" t="str">
        <f>""</f>
        <v/>
      </c>
      <c r="AA161" s="12">
        <v>0</v>
      </c>
      <c r="AB161" s="12" t="str">
        <f>""</f>
        <v/>
      </c>
      <c r="AC161" s="2"/>
      <c r="AD161" s="141"/>
      <c r="AE161" s="606"/>
      <c r="AF161" s="607"/>
      <c r="AG161" s="607"/>
      <c r="AH161" s="607"/>
      <c r="AI161" s="615"/>
    </row>
    <row r="162" spans="25:35" x14ac:dyDescent="0.2">
      <c r="Y162" s="64" t="s">
        <v>41</v>
      </c>
      <c r="Z162" s="33" t="str">
        <f>""</f>
        <v/>
      </c>
      <c r="AA162" s="12">
        <v>0</v>
      </c>
      <c r="AB162" s="12" t="str">
        <f>""</f>
        <v/>
      </c>
      <c r="AC162" s="2"/>
      <c r="AD162" s="141"/>
      <c r="AE162" s="606"/>
      <c r="AF162" s="607"/>
      <c r="AG162" s="607"/>
      <c r="AH162" s="607"/>
      <c r="AI162" s="615"/>
    </row>
    <row r="163" spans="25:35" x14ac:dyDescent="0.2">
      <c r="Y163" s="64" t="s">
        <v>42</v>
      </c>
      <c r="Z163" s="33" t="str">
        <f>""</f>
        <v/>
      </c>
      <c r="AA163" s="12">
        <v>0</v>
      </c>
      <c r="AB163" s="12" t="str">
        <f>""</f>
        <v/>
      </c>
      <c r="AC163" s="2"/>
      <c r="AD163" s="141"/>
      <c r="AE163" s="606"/>
      <c r="AF163" s="607"/>
      <c r="AG163" s="607"/>
      <c r="AH163" s="607"/>
      <c r="AI163" s="615"/>
    </row>
    <row r="164" spans="25:35" x14ac:dyDescent="0.2">
      <c r="Y164" s="64" t="s">
        <v>43</v>
      </c>
      <c r="Z164" s="33" t="str">
        <f>""</f>
        <v/>
      </c>
      <c r="AA164" s="12">
        <v>0</v>
      </c>
      <c r="AB164" s="12" t="str">
        <f>""</f>
        <v/>
      </c>
      <c r="AC164" s="2"/>
      <c r="AD164" s="141"/>
      <c r="AE164" s="606"/>
      <c r="AF164" s="607"/>
      <c r="AG164" s="607"/>
      <c r="AH164" s="607"/>
      <c r="AI164" s="615"/>
    </row>
    <row r="165" spans="25:35" x14ac:dyDescent="0.2">
      <c r="Y165" s="64" t="s">
        <v>44</v>
      </c>
      <c r="Z165" s="33" t="str">
        <f>""</f>
        <v/>
      </c>
      <c r="AA165" s="12">
        <v>0</v>
      </c>
      <c r="AB165" s="12" t="str">
        <f>""</f>
        <v/>
      </c>
      <c r="AC165" s="2"/>
      <c r="AD165" s="141"/>
      <c r="AE165" s="606"/>
      <c r="AF165" s="607"/>
      <c r="AG165" s="607"/>
      <c r="AH165" s="607"/>
      <c r="AI165" s="615"/>
    </row>
    <row r="166" spans="25:35" x14ac:dyDescent="0.2">
      <c r="Y166" s="64" t="s">
        <v>45</v>
      </c>
      <c r="Z166" s="33" t="str">
        <f>""</f>
        <v/>
      </c>
      <c r="AA166" s="12">
        <v>0</v>
      </c>
      <c r="AB166" s="12" t="str">
        <f>""</f>
        <v/>
      </c>
      <c r="AC166" s="2"/>
      <c r="AD166" s="141"/>
      <c r="AE166" s="606"/>
      <c r="AF166" s="607"/>
      <c r="AG166" s="607"/>
      <c r="AH166" s="607"/>
      <c r="AI166" s="615"/>
    </row>
    <row r="167" spans="25:35" x14ac:dyDescent="0.2">
      <c r="Y167" s="64" t="s">
        <v>46</v>
      </c>
      <c r="Z167" s="33" t="str">
        <f>""</f>
        <v/>
      </c>
      <c r="AA167" s="12">
        <v>0</v>
      </c>
      <c r="AB167" s="12" t="str">
        <f>""</f>
        <v/>
      </c>
      <c r="AC167" s="2"/>
      <c r="AD167" s="141"/>
      <c r="AE167" s="606"/>
      <c r="AF167" s="607"/>
      <c r="AG167" s="607"/>
      <c r="AH167" s="607"/>
      <c r="AI167" s="608"/>
    </row>
    <row r="168" spans="25:35" x14ac:dyDescent="0.2">
      <c r="Y168" s="64" t="s">
        <v>47</v>
      </c>
      <c r="Z168" s="33" t="str">
        <f>""</f>
        <v/>
      </c>
      <c r="AA168" s="12">
        <v>0</v>
      </c>
      <c r="AB168" s="12" t="str">
        <f>""</f>
        <v/>
      </c>
      <c r="AC168" s="2"/>
      <c r="AD168" s="141"/>
      <c r="AE168" s="606"/>
      <c r="AF168" s="607"/>
      <c r="AG168" s="607"/>
      <c r="AH168" s="607"/>
      <c r="AI168" s="608"/>
    </row>
    <row r="169" spans="25:35" x14ac:dyDescent="0.2">
      <c r="Y169" s="64" t="s">
        <v>48</v>
      </c>
      <c r="Z169" s="33" t="str">
        <f>""</f>
        <v/>
      </c>
      <c r="AA169" s="12">
        <v>0</v>
      </c>
      <c r="AB169" s="12" t="str">
        <f>""</f>
        <v/>
      </c>
      <c r="AC169" s="2"/>
      <c r="AD169" s="141"/>
      <c r="AE169" s="606"/>
      <c r="AF169" s="607"/>
      <c r="AG169" s="607"/>
      <c r="AH169" s="607"/>
      <c r="AI169" s="608"/>
    </row>
    <row r="170" spans="25:35" x14ac:dyDescent="0.2">
      <c r="Y170" s="64" t="s">
        <v>49</v>
      </c>
      <c r="Z170" s="33" t="str">
        <f>""</f>
        <v/>
      </c>
      <c r="AA170" s="12">
        <v>0</v>
      </c>
      <c r="AB170" s="12" t="str">
        <f>""</f>
        <v/>
      </c>
      <c r="AC170" s="2"/>
      <c r="AD170" s="141"/>
      <c r="AE170" s="606"/>
      <c r="AF170" s="607"/>
      <c r="AG170" s="607"/>
      <c r="AH170" s="607"/>
      <c r="AI170" s="608"/>
    </row>
    <row r="171" spans="25:35" x14ac:dyDescent="0.2">
      <c r="Y171" s="64" t="s">
        <v>50</v>
      </c>
      <c r="Z171" s="33" t="str">
        <f>""</f>
        <v/>
      </c>
      <c r="AA171" s="12">
        <v>0</v>
      </c>
      <c r="AB171" s="12" t="str">
        <f>""</f>
        <v/>
      </c>
      <c r="AC171" s="2"/>
      <c r="AD171" s="141"/>
      <c r="AE171" s="606"/>
      <c r="AF171" s="607"/>
      <c r="AG171" s="607"/>
      <c r="AH171" s="607"/>
      <c r="AI171" s="608"/>
    </row>
    <row r="172" spans="25:35" x14ac:dyDescent="0.2">
      <c r="Y172" s="64" t="s">
        <v>58</v>
      </c>
      <c r="Z172" s="33" t="str">
        <f>""</f>
        <v/>
      </c>
      <c r="AA172" s="12">
        <v>0</v>
      </c>
      <c r="AB172" s="12" t="str">
        <f>""</f>
        <v/>
      </c>
      <c r="AC172" s="2"/>
      <c r="AD172" s="141"/>
      <c r="AE172" s="606"/>
      <c r="AF172" s="607"/>
      <c r="AG172" s="607"/>
      <c r="AH172" s="607"/>
      <c r="AI172" s="608"/>
    </row>
    <row r="173" spans="25:35" x14ac:dyDescent="0.2">
      <c r="Y173" s="64" t="s">
        <v>59</v>
      </c>
      <c r="Z173" s="33" t="str">
        <f>""</f>
        <v/>
      </c>
      <c r="AA173" s="12">
        <v>0</v>
      </c>
      <c r="AB173" s="12" t="str">
        <f>""</f>
        <v/>
      </c>
      <c r="AC173" s="2"/>
      <c r="AD173" s="141"/>
      <c r="AE173" s="606"/>
      <c r="AF173" s="607"/>
      <c r="AG173" s="607"/>
      <c r="AH173" s="607"/>
      <c r="AI173" s="608"/>
    </row>
    <row r="174" spans="25:35" x14ac:dyDescent="0.2">
      <c r="Y174" s="64" t="s">
        <v>60</v>
      </c>
      <c r="Z174" s="33" t="str">
        <f>""</f>
        <v/>
      </c>
      <c r="AA174" s="12">
        <v>0</v>
      </c>
      <c r="AB174" s="12" t="str">
        <f>""</f>
        <v/>
      </c>
      <c r="AC174" s="2"/>
      <c r="AD174" s="141"/>
      <c r="AE174" s="606"/>
      <c r="AF174" s="607"/>
      <c r="AG174" s="607"/>
      <c r="AH174" s="607"/>
      <c r="AI174" s="608"/>
    </row>
    <row r="175" spans="25:35" x14ac:dyDescent="0.2">
      <c r="Y175" s="64" t="s">
        <v>61</v>
      </c>
      <c r="Z175" s="33" t="str">
        <f>""</f>
        <v/>
      </c>
      <c r="AA175" s="12">
        <v>0</v>
      </c>
      <c r="AB175" s="12" t="str">
        <f>""</f>
        <v/>
      </c>
      <c r="AC175" s="2"/>
      <c r="AD175" s="141"/>
      <c r="AE175" s="606"/>
      <c r="AF175" s="607"/>
      <c r="AG175" s="607"/>
      <c r="AH175" s="607"/>
      <c r="AI175" s="608"/>
    </row>
    <row r="176" spans="25:35" x14ac:dyDescent="0.2">
      <c r="Y176" s="64" t="s">
        <v>62</v>
      </c>
      <c r="Z176" s="33" t="str">
        <f>""</f>
        <v/>
      </c>
      <c r="AA176" s="12">
        <v>0</v>
      </c>
      <c r="AB176" s="12" t="str">
        <f>""</f>
        <v/>
      </c>
      <c r="AC176" s="2"/>
      <c r="AD176" s="141"/>
      <c r="AE176" s="606"/>
      <c r="AF176" s="607"/>
      <c r="AG176" s="607"/>
      <c r="AH176" s="607"/>
      <c r="AI176" s="608"/>
    </row>
    <row r="177" spans="25:35" x14ac:dyDescent="0.2">
      <c r="Y177" s="64" t="s">
        <v>63</v>
      </c>
      <c r="Z177" s="33" t="str">
        <f>""</f>
        <v/>
      </c>
      <c r="AA177" s="12">
        <v>0</v>
      </c>
      <c r="AB177" s="12" t="str">
        <f>""</f>
        <v/>
      </c>
      <c r="AC177" s="2"/>
      <c r="AD177" s="141"/>
      <c r="AE177" s="606"/>
      <c r="AF177" s="607"/>
      <c r="AG177" s="607"/>
      <c r="AH177" s="607"/>
      <c r="AI177" s="608"/>
    </row>
    <row r="178" spans="25:35" x14ac:dyDescent="0.2">
      <c r="Y178" s="64" t="s">
        <v>64</v>
      </c>
      <c r="Z178" s="33" t="str">
        <f>""</f>
        <v/>
      </c>
      <c r="AA178" s="12">
        <v>0</v>
      </c>
      <c r="AB178" s="12" t="str">
        <f>""</f>
        <v/>
      </c>
      <c r="AC178" s="2"/>
      <c r="AD178" s="141"/>
      <c r="AE178" s="606"/>
      <c r="AF178" s="607"/>
      <c r="AG178" s="607"/>
      <c r="AH178" s="607"/>
      <c r="AI178" s="608"/>
    </row>
    <row r="179" spans="25:35" x14ac:dyDescent="0.2">
      <c r="Y179" s="64" t="s">
        <v>65</v>
      </c>
      <c r="Z179" s="33" t="str">
        <f>""</f>
        <v/>
      </c>
      <c r="AA179" s="12">
        <v>0</v>
      </c>
      <c r="AB179" s="12" t="str">
        <f>""</f>
        <v/>
      </c>
      <c r="AC179" s="2"/>
      <c r="AD179" s="141"/>
      <c r="AE179" s="606"/>
      <c r="AF179" s="607"/>
      <c r="AG179" s="607"/>
      <c r="AH179" s="607"/>
      <c r="AI179" s="608"/>
    </row>
    <row r="180" spans="25:35" x14ac:dyDescent="0.2">
      <c r="Y180" s="64" t="s">
        <v>66</v>
      </c>
      <c r="Z180" s="33" t="str">
        <f>""</f>
        <v/>
      </c>
      <c r="AA180" s="12">
        <v>0</v>
      </c>
      <c r="AB180" s="12" t="str">
        <f>""</f>
        <v/>
      </c>
      <c r="AC180" s="2"/>
      <c r="AD180" s="141"/>
      <c r="AE180" s="606"/>
      <c r="AF180" s="607"/>
      <c r="AG180" s="607"/>
      <c r="AH180" s="607"/>
      <c r="AI180" s="608"/>
    </row>
    <row r="181" spans="25:35" x14ac:dyDescent="0.2">
      <c r="Y181" s="64" t="s">
        <v>67</v>
      </c>
      <c r="Z181" s="33" t="str">
        <f>""</f>
        <v/>
      </c>
      <c r="AA181" s="12">
        <v>0</v>
      </c>
      <c r="AB181" s="12" t="str">
        <f>""</f>
        <v/>
      </c>
      <c r="AC181" s="2"/>
      <c r="AD181" s="141"/>
      <c r="AE181" s="606"/>
      <c r="AF181" s="607"/>
      <c r="AG181" s="607"/>
      <c r="AH181" s="607"/>
      <c r="AI181" s="608"/>
    </row>
    <row r="182" spans="25:35" x14ac:dyDescent="0.2">
      <c r="Y182" s="64" t="s">
        <v>68</v>
      </c>
      <c r="Z182" s="33" t="str">
        <f>""</f>
        <v/>
      </c>
      <c r="AA182" s="12">
        <v>0</v>
      </c>
      <c r="AB182" s="12" t="str">
        <f>""</f>
        <v/>
      </c>
      <c r="AC182" s="2"/>
      <c r="AD182" s="141"/>
      <c r="AE182" s="606"/>
      <c r="AF182" s="607"/>
      <c r="AG182" s="607"/>
      <c r="AH182" s="607"/>
      <c r="AI182" s="608"/>
    </row>
    <row r="183" spans="25:35" x14ac:dyDescent="0.2">
      <c r="Y183" s="64" t="s">
        <v>69</v>
      </c>
      <c r="Z183" s="33" t="str">
        <f>""</f>
        <v/>
      </c>
      <c r="AA183" s="12">
        <v>0</v>
      </c>
      <c r="AB183" s="12" t="str">
        <f>""</f>
        <v/>
      </c>
      <c r="AC183" s="2"/>
      <c r="AD183" s="141"/>
      <c r="AE183" s="606"/>
      <c r="AF183" s="607"/>
      <c r="AG183" s="607"/>
      <c r="AH183" s="607"/>
      <c r="AI183" s="608"/>
    </row>
    <row r="184" spans="25:35" x14ac:dyDescent="0.2">
      <c r="Y184" s="64" t="s">
        <v>70</v>
      </c>
      <c r="Z184" s="33" t="str">
        <f>""</f>
        <v/>
      </c>
      <c r="AA184" s="12">
        <v>0</v>
      </c>
      <c r="AB184" s="12" t="str">
        <f>""</f>
        <v/>
      </c>
      <c r="AC184" s="2"/>
      <c r="AD184" s="141"/>
      <c r="AE184" s="606"/>
      <c r="AF184" s="607"/>
      <c r="AG184" s="607"/>
      <c r="AH184" s="607"/>
      <c r="AI184" s="608"/>
    </row>
    <row r="185" spans="25:35" x14ac:dyDescent="0.2">
      <c r="Y185" s="64" t="s">
        <v>71</v>
      </c>
      <c r="Z185" s="33" t="str">
        <f>""</f>
        <v/>
      </c>
      <c r="AA185" s="12">
        <v>0</v>
      </c>
      <c r="AB185" s="12" t="str">
        <f>""</f>
        <v/>
      </c>
      <c r="AC185" s="2"/>
      <c r="AD185" s="141"/>
      <c r="AE185" s="606"/>
      <c r="AF185" s="607"/>
      <c r="AG185" s="607"/>
      <c r="AH185" s="607"/>
      <c r="AI185" s="608"/>
    </row>
    <row r="186" spans="25:35" x14ac:dyDescent="0.2">
      <c r="Y186" s="64" t="s">
        <v>72</v>
      </c>
      <c r="Z186" s="33" t="str">
        <f>""</f>
        <v/>
      </c>
      <c r="AA186" s="12">
        <v>0</v>
      </c>
      <c r="AB186" s="12" t="str">
        <f>""</f>
        <v/>
      </c>
      <c r="AC186" s="2"/>
      <c r="AD186" s="141"/>
      <c r="AE186" s="606"/>
      <c r="AF186" s="607"/>
      <c r="AG186" s="607"/>
      <c r="AH186" s="607"/>
      <c r="AI186" s="608"/>
    </row>
    <row r="187" spans="25:35" x14ac:dyDescent="0.2">
      <c r="Y187" s="64" t="s">
        <v>73</v>
      </c>
      <c r="Z187" s="33" t="str">
        <f>""</f>
        <v/>
      </c>
      <c r="AA187" s="12">
        <v>0</v>
      </c>
      <c r="AB187" s="12" t="str">
        <f>""</f>
        <v/>
      </c>
      <c r="AC187" s="2"/>
      <c r="AD187" s="141"/>
      <c r="AE187" s="606"/>
      <c r="AF187" s="607"/>
      <c r="AG187" s="607"/>
      <c r="AH187" s="607"/>
      <c r="AI187" s="608"/>
    </row>
    <row r="188" spans="25:35" x14ac:dyDescent="0.2">
      <c r="Y188" s="64" t="s">
        <v>74</v>
      </c>
      <c r="Z188" s="33" t="str">
        <f>""</f>
        <v/>
      </c>
      <c r="AA188" s="12">
        <v>0</v>
      </c>
      <c r="AB188" s="12" t="str">
        <f>""</f>
        <v/>
      </c>
      <c r="AC188" s="2"/>
      <c r="AD188" s="141"/>
      <c r="AE188" s="606"/>
      <c r="AF188" s="607"/>
      <c r="AG188" s="607"/>
      <c r="AH188" s="607"/>
      <c r="AI188" s="608"/>
    </row>
    <row r="189" spans="25:35" x14ac:dyDescent="0.2">
      <c r="Y189" s="64" t="s">
        <v>75</v>
      </c>
      <c r="Z189" s="33" t="str">
        <f>""</f>
        <v/>
      </c>
      <c r="AA189" s="12">
        <v>0</v>
      </c>
      <c r="AB189" s="12" t="str">
        <f>""</f>
        <v/>
      </c>
      <c r="AC189" s="2"/>
      <c r="AD189" s="141"/>
      <c r="AE189" s="606"/>
      <c r="AF189" s="607"/>
      <c r="AG189" s="607"/>
      <c r="AH189" s="607"/>
      <c r="AI189" s="608"/>
    </row>
    <row r="190" spans="25:35" x14ac:dyDescent="0.2">
      <c r="Y190" s="64" t="s">
        <v>76</v>
      </c>
      <c r="Z190" s="33" t="str">
        <f>""</f>
        <v/>
      </c>
      <c r="AA190" s="12">
        <v>0</v>
      </c>
      <c r="AB190" s="12" t="str">
        <f>""</f>
        <v/>
      </c>
      <c r="AC190" s="2"/>
      <c r="AD190" s="141"/>
      <c r="AE190" s="606"/>
      <c r="AF190" s="607"/>
      <c r="AG190" s="607"/>
      <c r="AH190" s="607"/>
      <c r="AI190" s="608"/>
    </row>
    <row r="191" spans="25:35" x14ac:dyDescent="0.2">
      <c r="Y191" s="64" t="s">
        <v>77</v>
      </c>
      <c r="Z191" s="33" t="str">
        <f>""</f>
        <v/>
      </c>
      <c r="AA191" s="12">
        <v>0</v>
      </c>
      <c r="AB191" s="12" t="str">
        <f>""</f>
        <v/>
      </c>
      <c r="AC191" s="2"/>
      <c r="AD191" s="141"/>
      <c r="AE191" s="606"/>
      <c r="AF191" s="607"/>
      <c r="AG191" s="607"/>
      <c r="AH191" s="607"/>
      <c r="AI191" s="608"/>
    </row>
    <row r="192" spans="25:35" x14ac:dyDescent="0.2">
      <c r="Y192" s="64" t="s">
        <v>78</v>
      </c>
      <c r="Z192" s="33" t="str">
        <f>""</f>
        <v/>
      </c>
      <c r="AA192" s="12">
        <v>0</v>
      </c>
      <c r="AB192" s="12" t="str">
        <f>""</f>
        <v/>
      </c>
      <c r="AC192" s="2"/>
      <c r="AD192" s="141"/>
      <c r="AE192" s="606"/>
      <c r="AF192" s="607"/>
      <c r="AG192" s="607"/>
      <c r="AH192" s="607"/>
      <c r="AI192" s="608"/>
    </row>
    <row r="193" spans="25:35" x14ac:dyDescent="0.2">
      <c r="Y193" s="64" t="s">
        <v>79</v>
      </c>
      <c r="Z193" s="33" t="str">
        <f>""</f>
        <v/>
      </c>
      <c r="AA193" s="12">
        <v>0</v>
      </c>
      <c r="AB193" s="12" t="str">
        <f>""</f>
        <v/>
      </c>
      <c r="AC193" s="2"/>
      <c r="AD193" s="141"/>
      <c r="AE193" s="606"/>
      <c r="AF193" s="607"/>
      <c r="AG193" s="607"/>
      <c r="AH193" s="607"/>
      <c r="AI193" s="608"/>
    </row>
    <row r="194" spans="25:35" x14ac:dyDescent="0.2">
      <c r="Y194" s="64" t="s">
        <v>80</v>
      </c>
      <c r="Z194" s="33" t="str">
        <f>""</f>
        <v/>
      </c>
      <c r="AA194" s="12">
        <v>0</v>
      </c>
      <c r="AB194" s="12" t="str">
        <f>""</f>
        <v/>
      </c>
      <c r="AC194" s="2"/>
      <c r="AD194" s="141"/>
      <c r="AE194" s="606"/>
      <c r="AF194" s="607"/>
      <c r="AG194" s="607"/>
      <c r="AH194" s="607"/>
      <c r="AI194" s="608"/>
    </row>
    <row r="195" spans="25:35" x14ac:dyDescent="0.2">
      <c r="Y195" s="64" t="s">
        <v>81</v>
      </c>
      <c r="Z195" s="33" t="str">
        <f>""</f>
        <v/>
      </c>
      <c r="AA195" s="12">
        <v>0</v>
      </c>
      <c r="AB195" s="12" t="str">
        <f>""</f>
        <v/>
      </c>
      <c r="AC195" s="2"/>
      <c r="AD195" s="141"/>
      <c r="AE195" s="606"/>
      <c r="AF195" s="607"/>
      <c r="AG195" s="607"/>
      <c r="AH195" s="607"/>
      <c r="AI195" s="608"/>
    </row>
    <row r="196" spans="25:35" x14ac:dyDescent="0.2">
      <c r="Y196" s="64" t="s">
        <v>82</v>
      </c>
      <c r="Z196" s="33" t="str">
        <f>""</f>
        <v/>
      </c>
      <c r="AA196" s="12">
        <v>0</v>
      </c>
      <c r="AB196" s="12" t="str">
        <f>""</f>
        <v/>
      </c>
      <c r="AC196" s="2"/>
      <c r="AD196" s="141"/>
      <c r="AE196" s="606"/>
      <c r="AF196" s="607"/>
      <c r="AG196" s="607"/>
      <c r="AH196" s="607"/>
      <c r="AI196" s="608"/>
    </row>
    <row r="197" spans="25:35" x14ac:dyDescent="0.2">
      <c r="Y197" s="64" t="s">
        <v>83</v>
      </c>
      <c r="Z197" s="33" t="str">
        <f>""</f>
        <v/>
      </c>
      <c r="AA197" s="12">
        <v>0</v>
      </c>
      <c r="AB197" s="12" t="str">
        <f>""</f>
        <v/>
      </c>
      <c r="AC197" s="2"/>
      <c r="AD197" s="141"/>
      <c r="AE197" s="606"/>
      <c r="AF197" s="607"/>
      <c r="AG197" s="607"/>
      <c r="AH197" s="607"/>
      <c r="AI197" s="608"/>
    </row>
    <row r="198" spans="25:35" x14ac:dyDescent="0.2">
      <c r="Y198" s="64" t="s">
        <v>84</v>
      </c>
      <c r="Z198" s="33" t="str">
        <f>""</f>
        <v/>
      </c>
      <c r="AA198" s="12">
        <v>0</v>
      </c>
      <c r="AB198" s="12" t="str">
        <f>""</f>
        <v/>
      </c>
      <c r="AC198" s="2"/>
      <c r="AD198" s="141"/>
      <c r="AE198" s="606"/>
      <c r="AF198" s="607"/>
      <c r="AG198" s="607"/>
      <c r="AH198" s="607"/>
      <c r="AI198" s="608"/>
    </row>
    <row r="199" spans="25:35" x14ac:dyDescent="0.2">
      <c r="Y199" s="64" t="s">
        <v>85</v>
      </c>
      <c r="Z199" s="33" t="str">
        <f>""</f>
        <v/>
      </c>
      <c r="AA199" s="12">
        <v>0</v>
      </c>
      <c r="AB199" s="12" t="str">
        <f>""</f>
        <v/>
      </c>
      <c r="AC199" s="2"/>
      <c r="AD199" s="141"/>
      <c r="AE199" s="606"/>
      <c r="AF199" s="607"/>
      <c r="AG199" s="607"/>
      <c r="AH199" s="607"/>
      <c r="AI199" s="608"/>
    </row>
    <row r="200" spans="25:35" x14ac:dyDescent="0.2">
      <c r="Y200" s="64" t="s">
        <v>86</v>
      </c>
      <c r="Z200" s="33" t="str">
        <f>""</f>
        <v/>
      </c>
      <c r="AA200" s="12">
        <v>0</v>
      </c>
      <c r="AB200" s="12" t="str">
        <f>""</f>
        <v/>
      </c>
      <c r="AC200" s="2"/>
      <c r="AD200" s="141"/>
      <c r="AE200" s="606"/>
      <c r="AF200" s="607"/>
      <c r="AG200" s="607"/>
      <c r="AH200" s="607"/>
      <c r="AI200" s="608"/>
    </row>
    <row r="201" spans="25:35" x14ac:dyDescent="0.2">
      <c r="Y201" s="64" t="s">
        <v>87</v>
      </c>
      <c r="Z201" s="33" t="str">
        <f>""</f>
        <v/>
      </c>
      <c r="AA201" s="12">
        <v>0</v>
      </c>
      <c r="AB201" s="12" t="str">
        <f>""</f>
        <v/>
      </c>
      <c r="AC201" s="2"/>
      <c r="AD201" s="141"/>
      <c r="AE201" s="606"/>
      <c r="AF201" s="607"/>
      <c r="AG201" s="607"/>
      <c r="AH201" s="607"/>
      <c r="AI201" s="608"/>
    </row>
    <row r="202" spans="25:35" x14ac:dyDescent="0.2">
      <c r="Y202" s="64" t="s">
        <v>88</v>
      </c>
      <c r="Z202" s="33" t="str">
        <f>""</f>
        <v/>
      </c>
      <c r="AA202" s="12">
        <v>0</v>
      </c>
      <c r="AB202" s="12" t="str">
        <f>""</f>
        <v/>
      </c>
      <c r="AC202" s="2"/>
      <c r="AD202" s="141"/>
      <c r="AE202" s="606"/>
      <c r="AF202" s="607"/>
      <c r="AG202" s="607"/>
      <c r="AH202" s="607"/>
      <c r="AI202" s="608"/>
    </row>
    <row r="203" spans="25:35" x14ac:dyDescent="0.2">
      <c r="Y203" s="64" t="s">
        <v>89</v>
      </c>
      <c r="Z203" s="33" t="str">
        <f>""</f>
        <v/>
      </c>
      <c r="AA203" s="12">
        <v>0</v>
      </c>
      <c r="AB203" s="12" t="str">
        <f>""</f>
        <v/>
      </c>
      <c r="AC203" s="2"/>
      <c r="AD203" s="141"/>
      <c r="AE203" s="606"/>
      <c r="AF203" s="607"/>
      <c r="AG203" s="607"/>
      <c r="AH203" s="607"/>
      <c r="AI203" s="608"/>
    </row>
    <row r="204" spans="25:35" x14ac:dyDescent="0.2">
      <c r="Y204" s="64" t="s">
        <v>90</v>
      </c>
      <c r="Z204" s="33" t="str">
        <f>""</f>
        <v/>
      </c>
      <c r="AA204" s="12">
        <v>0</v>
      </c>
      <c r="AB204" s="12" t="str">
        <f>""</f>
        <v/>
      </c>
      <c r="AC204" s="2"/>
      <c r="AD204" s="141"/>
      <c r="AE204" s="606"/>
      <c r="AF204" s="607"/>
      <c r="AG204" s="607"/>
      <c r="AH204" s="607"/>
      <c r="AI204" s="608"/>
    </row>
    <row r="205" spans="25:35" x14ac:dyDescent="0.2">
      <c r="Y205" s="64" t="s">
        <v>91</v>
      </c>
      <c r="Z205" s="33" t="str">
        <f>""</f>
        <v/>
      </c>
      <c r="AA205" s="12">
        <v>0</v>
      </c>
      <c r="AB205" s="12" t="str">
        <f>""</f>
        <v/>
      </c>
      <c r="AC205" s="2"/>
      <c r="AD205" s="141"/>
      <c r="AE205" s="606"/>
      <c r="AF205" s="607"/>
      <c r="AG205" s="607"/>
      <c r="AH205" s="607"/>
      <c r="AI205" s="608"/>
    </row>
    <row r="206" spans="25:35" x14ac:dyDescent="0.2">
      <c r="Y206" s="64" t="s">
        <v>92</v>
      </c>
      <c r="Z206" s="33" t="str">
        <f>""</f>
        <v/>
      </c>
      <c r="AA206" s="12">
        <v>0</v>
      </c>
      <c r="AB206" s="12" t="str">
        <f>""</f>
        <v/>
      </c>
      <c r="AC206" s="2"/>
      <c r="AD206" s="141"/>
      <c r="AE206" s="606"/>
      <c r="AF206" s="607"/>
      <c r="AG206" s="607"/>
      <c r="AH206" s="607"/>
      <c r="AI206" s="608"/>
    </row>
    <row r="207" spans="25:35" ht="12.75" thickBot="1" x14ac:dyDescent="0.25">
      <c r="Y207" s="65" t="s">
        <v>93</v>
      </c>
      <c r="Z207" s="35" t="str">
        <f>""</f>
        <v/>
      </c>
      <c r="AA207" s="36">
        <v>0</v>
      </c>
      <c r="AB207" s="142" t="str">
        <f>""</f>
        <v/>
      </c>
      <c r="AC207" s="144"/>
      <c r="AD207" s="143"/>
      <c r="AE207" s="610"/>
      <c r="AF207" s="611"/>
      <c r="AG207" s="611"/>
      <c r="AH207" s="611"/>
      <c r="AI207" s="612"/>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9E1C8-FE4E-4653-8760-733A3FAB85A4}">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336</v>
      </c>
      <c r="K2" s="1"/>
      <c r="L2" s="1"/>
      <c r="M2" s="1"/>
      <c r="N2" s="12"/>
      <c r="O2" s="1"/>
      <c r="P2" s="1"/>
      <c r="Q2" s="1"/>
      <c r="W2" s="2" t="s">
        <v>150</v>
      </c>
    </row>
    <row r="3" spans="1:44" s="2" customFormat="1" ht="13.5" customHeight="1" thickBot="1" x14ac:dyDescent="0.25">
      <c r="B3" s="1"/>
      <c r="C3" s="12"/>
      <c r="D3" s="12"/>
      <c r="E3" s="12"/>
      <c r="F3" s="12"/>
      <c r="G3" s="67" t="s">
        <v>106</v>
      </c>
      <c r="H3" s="67" t="s">
        <v>107</v>
      </c>
      <c r="I3" s="729" t="s">
        <v>108</v>
      </c>
      <c r="J3" s="729" t="s">
        <v>109</v>
      </c>
      <c r="K3" s="729" t="s">
        <v>102</v>
      </c>
      <c r="L3" s="26" t="s">
        <v>103</v>
      </c>
      <c r="M3" s="26" t="s">
        <v>104</v>
      </c>
      <c r="N3" s="26" t="s">
        <v>105</v>
      </c>
      <c r="O3" s="108">
        <f t="shared" ref="O3:V3" ca="1" si="0">IF(9-COUNTIF(O$17:O$25,"")&gt;1,O$16,99999)</f>
        <v>99999</v>
      </c>
      <c r="P3" s="109">
        <f t="shared" ca="1" si="0"/>
        <v>99999</v>
      </c>
      <c r="Q3" s="109">
        <f t="shared" ca="1" si="0"/>
        <v>99999</v>
      </c>
      <c r="R3" s="109">
        <f t="shared" ca="1" si="0"/>
        <v>99999</v>
      </c>
      <c r="S3" s="109">
        <f t="shared" ca="1" si="0"/>
        <v>99999</v>
      </c>
      <c r="T3" s="109">
        <f t="shared" ca="1" si="0"/>
        <v>99999</v>
      </c>
      <c r="U3" s="109">
        <f t="shared" ca="1" si="0"/>
        <v>99999</v>
      </c>
      <c r="V3" s="109">
        <f t="shared" ca="1" si="0"/>
        <v>99999</v>
      </c>
      <c r="W3" s="926">
        <f ca="1">IF($O$4&lt;10,$O$4,0)</f>
        <v>0</v>
      </c>
      <c r="X3" s="927"/>
      <c r="Y3" s="927"/>
      <c r="Z3" s="927"/>
      <c r="AA3" s="927"/>
      <c r="AB3" s="926">
        <f ca="1">IF($P$4&lt;10,$P$4,0)</f>
        <v>0</v>
      </c>
      <c r="AC3" s="927"/>
      <c r="AD3" s="927"/>
      <c r="AE3" s="927"/>
      <c r="AF3" s="927"/>
      <c r="AG3" s="926">
        <f ca="1">IF($Q$4&lt;10,$Q$4,0)</f>
        <v>0</v>
      </c>
      <c r="AH3" s="927"/>
      <c r="AI3" s="927"/>
      <c r="AJ3" s="927"/>
      <c r="AK3" s="927"/>
      <c r="AL3" s="926">
        <f ca="1">IF($R$4&lt;10,$R$4,0)</f>
        <v>0</v>
      </c>
      <c r="AM3" s="927"/>
      <c r="AN3" s="927"/>
      <c r="AO3" s="927"/>
      <c r="AP3" s="927"/>
    </row>
    <row r="4" spans="1:44" s="2" customFormat="1" ht="12.75" thickTop="1" x14ac:dyDescent="0.2">
      <c r="A4" s="239"/>
      <c r="B4" s="1">
        <v>1</v>
      </c>
      <c r="C4" s="20">
        <f t="shared" ref="C4:C12" ca="1" si="1">RANK(D4,$D$4:$D$12,1)</f>
        <v>2</v>
      </c>
      <c r="D4" s="12">
        <f t="shared" ref="D4:D12" ca="1" si="2">E4+ROW()/1000+(F4="")*10</f>
        <v>9.0039999999999996</v>
      </c>
      <c r="E4" s="252">
        <f t="shared" ref="E4:E12" ca="1" si="3">IF($AI$15,RANK(AH17,AH$17:AH$25,1),RANK(X17,X$17:X$25,1))</f>
        <v>9</v>
      </c>
      <c r="F4" s="1" t="str">
        <f ca="1">$Q64</f>
        <v>VFB Essenheim</v>
      </c>
      <c r="G4" s="1">
        <f t="shared" ref="G4:G12" ca="1" si="4">SUMIFS($X$64:$X$135,$V$64:$V$135,$F4)+SUMIFS($Y$64:$Y$135,$W$64:$W$135,$F4)+SUMIFS($AG$64:$AG$135,$V$64:$V$135,$F4)+SUMIFS($AH$64:$AH$135,$W$64:$W$135,$F4)</f>
        <v>38</v>
      </c>
      <c r="H4" s="1">
        <f t="shared" ref="H4:H12" ca="1" si="5">SUMIFS($Y$64:$Y$135,$V$64:$V$135,$F4)+SUMIFS($X$64:$X$135,$W$64:$W$135,$F4)+SUMIFS($AH$64:$AH$135,$V$64:$V$135,$F4)+SUMIFS($AG$64:$AG$135,$W$64:$W$135,$F4)</f>
        <v>50</v>
      </c>
      <c r="I4" s="12">
        <f ca="1">IF(Einstellungen!$G$7,G4-H4,IF(H4=0,IF(G4=0,0,Einstellungen!$F$7),G4/H4))</f>
        <v>-12</v>
      </c>
      <c r="J4" s="1">
        <f t="shared" ref="J4:J7" ca="1" si="6">SUMPRODUCT(($V$64:$V$135=F4)*$AE$64:$AE$135*$AA$64:$AA$135)+SUMPRODUCT(($W$64:$W$135=F4)*$AF$64:$AF$135*$AA$64:$AA$135)</f>
        <v>0</v>
      </c>
      <c r="K4" s="1">
        <f t="shared" ref="K4:K12" ca="1" si="7">SUMPRODUCT(($V$64:$V$135=F4)*$AA$64:$AA$135)+SUMPRODUCT(($W$64:$W$135=F4)*$AA$64:$AA$135)</f>
        <v>1</v>
      </c>
      <c r="L4" s="1">
        <f t="shared" ref="L4:L12" ca="1" si="8">K4-M4-N4</f>
        <v>0</v>
      </c>
      <c r="M4" s="1">
        <f t="shared" ref="M4:M12" ca="1" si="9">SUMPRODUCT(($V$64:$W$135=F4)*($AE$64:$AE$135=$AF$64:$AF$135)*$AA$64:$AA$135)</f>
        <v>0</v>
      </c>
      <c r="N4" s="1">
        <f t="shared" ref="N4:N12" ca="1" si="10">SUMPRODUCT(($V$64:$V$135=F4)*($AE$64:$AE$135&lt;$AF$64:$AF$135)*$AA$64:$AA$135)+SUMPRODUCT(($W$64:$W$135=F4)*($AE$64:$AE$135&gt;$AF$64:$AF$135)*$AA$64:$AA$135)</f>
        <v>1</v>
      </c>
      <c r="O4" s="117">
        <f ca="1">SMALL($O$3:$V$3,1)</f>
        <v>99999</v>
      </c>
      <c r="P4" s="117">
        <f ca="1">SMALL($O$3:$V$3,2)</f>
        <v>99999</v>
      </c>
      <c r="Q4" s="117">
        <f ca="1">SMALL($O$3:$V$3,3)</f>
        <v>99999</v>
      </c>
      <c r="R4" s="117">
        <f ca="1">SMALL($O$3:$V$3,4)</f>
        <v>99999</v>
      </c>
      <c r="V4" s="1"/>
      <c r="W4" s="578" t="str">
        <f t="shared" ref="W4:W12" ca="1" si="11">IFERROR(INDEX($O$17:$V$25,ROW(A1),$W$3),"")</f>
        <v/>
      </c>
      <c r="X4" s="579" t="str">
        <f t="shared" ref="X4:X12" ca="1" si="12">INDEX($W$4:$W$12,MATCH(ROW(A1),$AA$4:$AA$12,0))</f>
        <v/>
      </c>
      <c r="Y4" s="580">
        <f t="shared" ref="Y4:Y12" ca="1" si="13">IF($W4="",99999,VLOOKUP($W4,$C$17:$Z$25,24,0))</f>
        <v>99999</v>
      </c>
      <c r="Z4" s="581">
        <f t="shared" ref="Z4:Z12" ca="1" si="14">RANK(Y4,Y$4:Y$12,1)+INDEX($E$4:$E$12,MATCH(W4,$F$4:$F$12,0))/100+ROW()/10000</f>
        <v>1.0204</v>
      </c>
      <c r="AA4" s="582">
        <f t="shared" ref="AA4:AA12" ca="1" si="15">RANK($Z4,$Z$4:$Z$12,1)</f>
        <v>1</v>
      </c>
      <c r="AB4" s="583" t="str">
        <f t="shared" ref="AB4:AB12" ca="1" si="16">IFERROR(INDEX($O$17:$V$25,ROW(A1),$AB$3),"")</f>
        <v/>
      </c>
      <c r="AC4" s="584" t="str">
        <f t="shared" ref="AC4:AC12" ca="1" si="17">INDEX($AB$4:$AB$12,MATCH(ROW(A1),$AF$4:$AF$12,0))</f>
        <v/>
      </c>
      <c r="AD4" s="585">
        <f t="shared" ref="AD4:AD12" ca="1" si="18">IF($AB4="",99999,VLOOKUP($AB4,$C$17:$Z$25,24,0))</f>
        <v>99999</v>
      </c>
      <c r="AE4" s="581">
        <f t="shared" ref="AE4:AE12" ca="1" si="19">RANK(AD4,AD$4:AD$12,1)+INDEX($E$4:$E$12,MATCH(AB4,$F$4:$F$12,0))/100+ROW()/10000</f>
        <v>1.0204</v>
      </c>
      <c r="AF4" s="581">
        <f t="shared" ref="AF4:AF12" ca="1" si="20">RANK($AE4,$AE$4:$AE$12,1)</f>
        <v>1</v>
      </c>
      <c r="AG4" s="583" t="str">
        <f t="shared" ref="AG4:AG12" ca="1" si="21">IFERROR(INDEX($O$17:$V$25,ROW(C1),$AG$3),"")</f>
        <v/>
      </c>
      <c r="AH4" s="584" t="str">
        <f t="shared" ref="AH4:AH12" ca="1" si="22">INDEX($AG$4:$AG$12,MATCH(ROW(A1),$AK$4:$AK$12,0))</f>
        <v/>
      </c>
      <c r="AI4" s="585">
        <f t="shared" ref="AI4:AI12" ca="1" si="23">IF($AG4="",99999,VLOOKUP($AG4,$C$17:$Z$25,24,0))</f>
        <v>99999</v>
      </c>
      <c r="AJ4" s="581">
        <f t="shared" ref="AJ4:AJ12" ca="1" si="24">RANK(AI4,AI$4:AI$12,1)+INDEX($E$4:$E$12,MATCH(AG4,$F$4:$F$12,0))/100+ROW()/10000</f>
        <v>1.0204</v>
      </c>
      <c r="AK4" s="586">
        <f t="shared" ref="AK4:AK12" ca="1" si="25">RANK($AJ4,$AJ$4:$AJ$12,1)</f>
        <v>1</v>
      </c>
      <c r="AL4" s="584" t="str">
        <f t="shared" ref="AL4:AL12" ca="1" si="26">IFERROR(INDEX($O$17:$V$25,ROW(E1),$AL$3),"")</f>
        <v/>
      </c>
      <c r="AM4" s="584" t="str">
        <f t="shared" ref="AM4:AM12" ca="1" si="27">INDEX($AL$4:$AL$12,MATCH(ROW(A1),$AP$4:$AP$12,0))</f>
        <v/>
      </c>
      <c r="AN4" s="585">
        <f t="shared" ref="AN4:AN12" ca="1" si="28">IF($AL4="",99999,VLOOKUP($AL4,$C$17:$Z$25,24,0))</f>
        <v>99999</v>
      </c>
      <c r="AO4" s="581">
        <f t="shared" ref="AO4:AO12" ca="1" si="29">RANK(AN4,AN$4:AN$12,1)+INDEX($E$4:$E$12,MATCH(AL4,$F$4:$F$12,0))/100+ROW()/10000</f>
        <v>1.0204</v>
      </c>
      <c r="AP4" s="586">
        <f t="shared" ref="AP4:AP12" ca="1" si="30">RANK($AO4,$AO$4:$AO$12,1)</f>
        <v>1</v>
      </c>
      <c r="AR4" s="2">
        <f ca="1">IF(Einstellungen!$G$7,$I4,ROUND($I4,Einstellungen!$H$7))</f>
        <v>-12</v>
      </c>
    </row>
    <row r="5" spans="1:44" s="2" customFormat="1" x14ac:dyDescent="0.2">
      <c r="A5" s="239"/>
      <c r="B5" s="1">
        <v>2</v>
      </c>
      <c r="C5" s="21">
        <f t="shared" ca="1" si="1"/>
        <v>1</v>
      </c>
      <c r="D5" s="12">
        <f t="shared" ca="1" si="2"/>
        <v>1.0049999999999999</v>
      </c>
      <c r="E5" s="252">
        <f t="shared" ca="1" si="3"/>
        <v>1</v>
      </c>
      <c r="F5" s="1" t="str">
        <f t="shared" ref="F5:F12" ca="1" si="31">$Q65</f>
        <v>Inter Mailand</v>
      </c>
      <c r="G5" s="1">
        <f t="shared" ca="1" si="4"/>
        <v>50</v>
      </c>
      <c r="H5" s="1">
        <f t="shared" ca="1" si="5"/>
        <v>38</v>
      </c>
      <c r="I5" s="12">
        <f ca="1">IF(Einstellungen!$G$7,G5-H5,IF(H5=0,IF(G5=0,0,Einstellungen!$F$7),G5/H5))</f>
        <v>12</v>
      </c>
      <c r="J5" s="1">
        <f t="shared" ca="1" si="6"/>
        <v>2</v>
      </c>
      <c r="K5" s="1">
        <f t="shared" ca="1" si="7"/>
        <v>1</v>
      </c>
      <c r="L5" s="1">
        <f t="shared" ca="1" si="8"/>
        <v>1</v>
      </c>
      <c r="M5" s="1">
        <f t="shared" ca="1" si="9"/>
        <v>0</v>
      </c>
      <c r="N5" s="1">
        <f t="shared" ca="1" si="10"/>
        <v>0</v>
      </c>
      <c r="O5" s="23"/>
      <c r="P5" s="24"/>
      <c r="V5" s="1"/>
      <c r="W5" s="583" t="str">
        <f t="shared" ca="1" si="11"/>
        <v/>
      </c>
      <c r="X5" s="584" t="str">
        <f t="shared" ca="1" si="12"/>
        <v/>
      </c>
      <c r="Y5" s="581">
        <f t="shared" ca="1" si="13"/>
        <v>99999</v>
      </c>
      <c r="Z5" s="581">
        <f t="shared" ca="1" si="14"/>
        <v>1.0205</v>
      </c>
      <c r="AA5" s="586">
        <f t="shared" ca="1" si="15"/>
        <v>2</v>
      </c>
      <c r="AB5" s="583" t="str">
        <f t="shared" ca="1" si="16"/>
        <v/>
      </c>
      <c r="AC5" s="584" t="str">
        <f t="shared" ca="1" si="17"/>
        <v/>
      </c>
      <c r="AD5" s="585">
        <f t="shared" ca="1" si="18"/>
        <v>99999</v>
      </c>
      <c r="AE5" s="581">
        <f t="shared" ca="1" si="19"/>
        <v>1.0205</v>
      </c>
      <c r="AF5" s="581">
        <f t="shared" ca="1" si="20"/>
        <v>2</v>
      </c>
      <c r="AG5" s="583" t="str">
        <f t="shared" ca="1" si="21"/>
        <v/>
      </c>
      <c r="AH5" s="584" t="str">
        <f t="shared" ca="1" si="22"/>
        <v/>
      </c>
      <c r="AI5" s="585">
        <f t="shared" ca="1" si="23"/>
        <v>99999</v>
      </c>
      <c r="AJ5" s="581">
        <f t="shared" ca="1" si="24"/>
        <v>1.0205</v>
      </c>
      <c r="AK5" s="586">
        <f t="shared" ca="1" si="25"/>
        <v>2</v>
      </c>
      <c r="AL5" s="584" t="str">
        <f t="shared" ca="1" si="26"/>
        <v/>
      </c>
      <c r="AM5" s="584" t="str">
        <f t="shared" ca="1" si="27"/>
        <v/>
      </c>
      <c r="AN5" s="585">
        <f t="shared" ca="1" si="28"/>
        <v>99999</v>
      </c>
      <c r="AO5" s="581">
        <f t="shared" ca="1" si="29"/>
        <v>1.0205</v>
      </c>
      <c r="AP5" s="586">
        <f t="shared" ca="1" si="30"/>
        <v>2</v>
      </c>
      <c r="AR5" s="2">
        <f ca="1">IF(Einstellungen!$G$7,$I5,ROUND($I5,Einstellungen!$H$7))</f>
        <v>12</v>
      </c>
    </row>
    <row r="6" spans="1:44" s="2" customFormat="1" x14ac:dyDescent="0.2">
      <c r="A6" s="239"/>
      <c r="B6" s="1">
        <v>3</v>
      </c>
      <c r="C6" s="21">
        <f t="shared" ca="1" si="1"/>
        <v>3</v>
      </c>
      <c r="D6" s="12">
        <f t="shared" ca="1" si="2"/>
        <v>12.006</v>
      </c>
      <c r="E6" s="252">
        <f t="shared" ca="1" si="3"/>
        <v>2</v>
      </c>
      <c r="F6" s="1" t="str">
        <f t="shared" ca="1" si="31"/>
        <v/>
      </c>
      <c r="G6" s="1">
        <f t="shared" ca="1" si="4"/>
        <v>0</v>
      </c>
      <c r="H6" s="1">
        <f t="shared" ca="1" si="5"/>
        <v>0</v>
      </c>
      <c r="I6" s="12">
        <f ca="1">IF(Einstellungen!$G$7,G6-H6,IF(H6=0,IF(G6=0,0,Einstellungen!$F$7),G6/H6))</f>
        <v>0</v>
      </c>
      <c r="J6" s="1">
        <f t="shared" ca="1" si="6"/>
        <v>0</v>
      </c>
      <c r="K6" s="1">
        <f t="shared" ca="1" si="7"/>
        <v>0</v>
      </c>
      <c r="L6" s="1">
        <f t="shared" ca="1" si="8"/>
        <v>0</v>
      </c>
      <c r="M6" s="1">
        <f t="shared" ca="1" si="9"/>
        <v>0</v>
      </c>
      <c r="N6" s="1">
        <f t="shared" ca="1" si="10"/>
        <v>0</v>
      </c>
      <c r="O6" s="23"/>
      <c r="P6" s="24"/>
      <c r="V6" s="1"/>
      <c r="W6" s="583" t="str">
        <f t="shared" ca="1" si="11"/>
        <v/>
      </c>
      <c r="X6" s="584" t="str">
        <f t="shared" ca="1" si="12"/>
        <v/>
      </c>
      <c r="Y6" s="581">
        <f t="shared" ca="1" si="13"/>
        <v>99999</v>
      </c>
      <c r="Z6" s="581">
        <f t="shared" ca="1" si="14"/>
        <v>1.0206</v>
      </c>
      <c r="AA6" s="586">
        <f t="shared" ca="1" si="15"/>
        <v>3</v>
      </c>
      <c r="AB6" s="583" t="str">
        <f t="shared" ca="1" si="16"/>
        <v/>
      </c>
      <c r="AC6" s="584" t="str">
        <f t="shared" ca="1" si="17"/>
        <v/>
      </c>
      <c r="AD6" s="585">
        <f t="shared" ca="1" si="18"/>
        <v>99999</v>
      </c>
      <c r="AE6" s="581">
        <f t="shared" ca="1" si="19"/>
        <v>1.0206</v>
      </c>
      <c r="AF6" s="581">
        <f t="shared" ca="1" si="20"/>
        <v>3</v>
      </c>
      <c r="AG6" s="583" t="str">
        <f t="shared" ca="1" si="21"/>
        <v/>
      </c>
      <c r="AH6" s="584" t="str">
        <f t="shared" ca="1" si="22"/>
        <v/>
      </c>
      <c r="AI6" s="585">
        <f t="shared" ca="1" si="23"/>
        <v>99999</v>
      </c>
      <c r="AJ6" s="581">
        <f t="shared" ca="1" si="24"/>
        <v>1.0206</v>
      </c>
      <c r="AK6" s="586">
        <f t="shared" ca="1" si="25"/>
        <v>3</v>
      </c>
      <c r="AL6" s="584" t="str">
        <f t="shared" ca="1" si="26"/>
        <v/>
      </c>
      <c r="AM6" s="584" t="str">
        <f t="shared" ca="1" si="27"/>
        <v/>
      </c>
      <c r="AN6" s="585">
        <f t="shared" ca="1" si="28"/>
        <v>99999</v>
      </c>
      <c r="AO6" s="581">
        <f t="shared" ca="1" si="29"/>
        <v>1.0206</v>
      </c>
      <c r="AP6" s="586">
        <f t="shared" ca="1" si="30"/>
        <v>3</v>
      </c>
      <c r="AR6" s="2">
        <f ca="1">IF(Einstellungen!$G$7,$I6,ROUND($I6,Einstellungen!$H$7))</f>
        <v>0</v>
      </c>
    </row>
    <row r="7" spans="1:44" s="2" customFormat="1" x14ac:dyDescent="0.2">
      <c r="A7" s="239"/>
      <c r="B7" s="1">
        <v>4</v>
      </c>
      <c r="C7" s="21">
        <f t="shared" ca="1" si="1"/>
        <v>4</v>
      </c>
      <c r="D7" s="12">
        <f t="shared" ca="1" si="2"/>
        <v>12.007</v>
      </c>
      <c r="E7" s="252">
        <f t="shared" ca="1" si="3"/>
        <v>2</v>
      </c>
      <c r="F7" s="1" t="str">
        <f t="shared" ca="1" si="31"/>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83" t="str">
        <f t="shared" ca="1" si="11"/>
        <v/>
      </c>
      <c r="X7" s="584" t="str">
        <f t="shared" ca="1" si="12"/>
        <v/>
      </c>
      <c r="Y7" s="581">
        <f t="shared" ca="1" si="13"/>
        <v>99999</v>
      </c>
      <c r="Z7" s="581">
        <f t="shared" ca="1" si="14"/>
        <v>1.0206999999999999</v>
      </c>
      <c r="AA7" s="586">
        <f t="shared" ca="1" si="15"/>
        <v>4</v>
      </c>
      <c r="AB7" s="583" t="str">
        <f t="shared" ca="1" si="16"/>
        <v/>
      </c>
      <c r="AC7" s="584" t="str">
        <f t="shared" ca="1" si="17"/>
        <v/>
      </c>
      <c r="AD7" s="585">
        <f t="shared" ca="1" si="18"/>
        <v>99999</v>
      </c>
      <c r="AE7" s="581">
        <f t="shared" ca="1" si="19"/>
        <v>1.0206999999999999</v>
      </c>
      <c r="AF7" s="581">
        <f t="shared" ca="1" si="20"/>
        <v>4</v>
      </c>
      <c r="AG7" s="583" t="str">
        <f t="shared" ca="1" si="21"/>
        <v/>
      </c>
      <c r="AH7" s="584" t="str">
        <f t="shared" ca="1" si="22"/>
        <v/>
      </c>
      <c r="AI7" s="585">
        <f t="shared" ca="1" si="23"/>
        <v>99999</v>
      </c>
      <c r="AJ7" s="581">
        <f t="shared" ca="1" si="24"/>
        <v>1.0206999999999999</v>
      </c>
      <c r="AK7" s="586">
        <f t="shared" ca="1" si="25"/>
        <v>4</v>
      </c>
      <c r="AL7" s="584" t="str">
        <f t="shared" ca="1" si="26"/>
        <v/>
      </c>
      <c r="AM7" s="584" t="str">
        <f t="shared" ca="1" si="27"/>
        <v/>
      </c>
      <c r="AN7" s="585">
        <f t="shared" ca="1" si="28"/>
        <v>99999</v>
      </c>
      <c r="AO7" s="581">
        <f t="shared" ca="1" si="29"/>
        <v>1.0206999999999999</v>
      </c>
      <c r="AP7" s="586">
        <f t="shared" ca="1" si="30"/>
        <v>4</v>
      </c>
      <c r="AR7" s="2">
        <f ca="1">IF(Einstellungen!$G$7,$I7,ROUND($I7,Einstellungen!$H$7))</f>
        <v>0</v>
      </c>
    </row>
    <row r="8" spans="1:44" s="2" customFormat="1" x14ac:dyDescent="0.2">
      <c r="A8" s="239"/>
      <c r="B8" s="1">
        <v>5</v>
      </c>
      <c r="C8" s="21">
        <f t="shared" ca="1" si="1"/>
        <v>5</v>
      </c>
      <c r="D8" s="12">
        <f t="shared" ca="1" si="2"/>
        <v>12.007999999999999</v>
      </c>
      <c r="E8" s="252">
        <f t="shared" ca="1" si="3"/>
        <v>2</v>
      </c>
      <c r="F8" s="1" t="str">
        <f t="shared" si="31"/>
        <v/>
      </c>
      <c r="G8" s="1">
        <f t="shared" ca="1" si="4"/>
        <v>0</v>
      </c>
      <c r="H8" s="1">
        <f t="shared" ca="1" si="5"/>
        <v>0</v>
      </c>
      <c r="I8" s="12">
        <f ca="1">IF(Einstellungen!$G$7,G8-H8,IF(H8=0,IF(G8=0,0,Einstellungen!$F$7),G8/H8))</f>
        <v>0</v>
      </c>
      <c r="J8" s="1">
        <f ca="1">SUMPRODUCT(($V$64:$V$135=F8)*$AE$64:$AE$135*$AA$64:$AA$135)+SUMPRODUCT(($W$64:$W$135=F8)*$AF$64:$AF$135*$AA$64:$AA$135)</f>
        <v>0</v>
      </c>
      <c r="K8" s="1">
        <f t="shared" ca="1" si="7"/>
        <v>0</v>
      </c>
      <c r="L8" s="1">
        <f t="shared" ca="1" si="8"/>
        <v>0</v>
      </c>
      <c r="M8" s="1">
        <f t="shared" ca="1" si="9"/>
        <v>0</v>
      </c>
      <c r="N8" s="1">
        <f t="shared" ca="1" si="10"/>
        <v>0</v>
      </c>
      <c r="P8" s="24"/>
      <c r="W8" s="583" t="str">
        <f t="shared" ca="1" si="11"/>
        <v/>
      </c>
      <c r="X8" s="584" t="str">
        <f t="shared" ca="1" si="12"/>
        <v/>
      </c>
      <c r="Y8" s="581">
        <f t="shared" ca="1" si="13"/>
        <v>99999</v>
      </c>
      <c r="Z8" s="581">
        <f t="shared" ca="1" si="14"/>
        <v>1.0207999999999999</v>
      </c>
      <c r="AA8" s="586">
        <f t="shared" ca="1" si="15"/>
        <v>5</v>
      </c>
      <c r="AB8" s="583" t="str">
        <f t="shared" ca="1" si="16"/>
        <v/>
      </c>
      <c r="AC8" s="584" t="str">
        <f t="shared" ca="1" si="17"/>
        <v/>
      </c>
      <c r="AD8" s="585">
        <f t="shared" ca="1" si="18"/>
        <v>99999</v>
      </c>
      <c r="AE8" s="581">
        <f t="shared" ca="1" si="19"/>
        <v>1.0207999999999999</v>
      </c>
      <c r="AF8" s="581">
        <f t="shared" ca="1" si="20"/>
        <v>5</v>
      </c>
      <c r="AG8" s="583" t="str">
        <f t="shared" ca="1" si="21"/>
        <v/>
      </c>
      <c r="AH8" s="584" t="str">
        <f t="shared" ca="1" si="22"/>
        <v/>
      </c>
      <c r="AI8" s="585">
        <f t="shared" ca="1" si="23"/>
        <v>99999</v>
      </c>
      <c r="AJ8" s="581">
        <f t="shared" ca="1" si="24"/>
        <v>1.0207999999999999</v>
      </c>
      <c r="AK8" s="586">
        <f t="shared" ca="1" si="25"/>
        <v>5</v>
      </c>
      <c r="AL8" s="584" t="str">
        <f t="shared" ca="1" si="26"/>
        <v/>
      </c>
      <c r="AM8" s="584" t="str">
        <f t="shared" ca="1" si="27"/>
        <v/>
      </c>
      <c r="AN8" s="585">
        <f t="shared" ca="1" si="28"/>
        <v>99999</v>
      </c>
      <c r="AO8" s="581">
        <f t="shared" ca="1" si="29"/>
        <v>1.0207999999999999</v>
      </c>
      <c r="AP8" s="586">
        <f t="shared" ca="1" si="30"/>
        <v>5</v>
      </c>
      <c r="AR8" s="2">
        <f ca="1">IF(Einstellungen!$G$7,$I8,ROUND($I8,Einstellungen!$H$7))</f>
        <v>0</v>
      </c>
    </row>
    <row r="9" spans="1:44" s="2" customFormat="1" x14ac:dyDescent="0.2">
      <c r="A9" s="239"/>
      <c r="B9" s="1">
        <v>6</v>
      </c>
      <c r="C9" s="21">
        <f t="shared" ca="1" si="1"/>
        <v>6</v>
      </c>
      <c r="D9" s="12">
        <f t="shared" ca="1" si="2"/>
        <v>12.009</v>
      </c>
      <c r="E9" s="252">
        <f t="shared" ca="1" si="3"/>
        <v>2</v>
      </c>
      <c r="F9" s="1" t="str">
        <f t="shared" si="31"/>
        <v/>
      </c>
      <c r="G9" s="1">
        <f t="shared" ca="1" si="4"/>
        <v>0</v>
      </c>
      <c r="H9" s="1">
        <f t="shared" ca="1" si="5"/>
        <v>0</v>
      </c>
      <c r="I9" s="12">
        <f ca="1">IF(Einstellungen!$G$7,G9-H9,IF(H9=0,IF(G9=0,0,Einstellungen!$F$7),G9/H9))</f>
        <v>0</v>
      </c>
      <c r="J9" s="1">
        <f t="shared" ref="J9:J12" ca="1" si="32">SUMPRODUCT(($V$64:$V$135=F9)*$AE$64:$AE$135*$AA$64:$AA$135)+SUMPRODUCT(($W$64:$W$135=F9)*$AF$64:$AF$135*$AA$64:$AA$135)</f>
        <v>0</v>
      </c>
      <c r="K9" s="1">
        <f t="shared" ca="1" si="7"/>
        <v>0</v>
      </c>
      <c r="L9" s="1">
        <f t="shared" ca="1" si="8"/>
        <v>0</v>
      </c>
      <c r="M9" s="1">
        <f t="shared" ca="1" si="9"/>
        <v>0</v>
      </c>
      <c r="N9" s="1">
        <f t="shared" ca="1" si="10"/>
        <v>0</v>
      </c>
      <c r="P9" s="24"/>
      <c r="W9" s="583" t="str">
        <f t="shared" ca="1" si="11"/>
        <v/>
      </c>
      <c r="X9" s="584" t="str">
        <f t="shared" ca="1" si="12"/>
        <v/>
      </c>
      <c r="Y9" s="581">
        <f t="shared" ca="1" si="13"/>
        <v>99999</v>
      </c>
      <c r="Z9" s="581">
        <f t="shared" ca="1" si="14"/>
        <v>1.0208999999999999</v>
      </c>
      <c r="AA9" s="586">
        <f t="shared" ca="1" si="15"/>
        <v>6</v>
      </c>
      <c r="AB9" s="583" t="str">
        <f t="shared" ca="1" si="16"/>
        <v/>
      </c>
      <c r="AC9" s="584" t="str">
        <f t="shared" ca="1" si="17"/>
        <v/>
      </c>
      <c r="AD9" s="585">
        <f t="shared" ca="1" si="18"/>
        <v>99999</v>
      </c>
      <c r="AE9" s="581">
        <f t="shared" ca="1" si="19"/>
        <v>1.0208999999999999</v>
      </c>
      <c r="AF9" s="581">
        <f t="shared" ca="1" si="20"/>
        <v>6</v>
      </c>
      <c r="AG9" s="583" t="str">
        <f t="shared" ca="1" si="21"/>
        <v/>
      </c>
      <c r="AH9" s="584" t="str">
        <f t="shared" ca="1" si="22"/>
        <v/>
      </c>
      <c r="AI9" s="585">
        <f t="shared" ca="1" si="23"/>
        <v>99999</v>
      </c>
      <c r="AJ9" s="581">
        <f t="shared" ca="1" si="24"/>
        <v>1.0208999999999999</v>
      </c>
      <c r="AK9" s="586">
        <f t="shared" ca="1" si="25"/>
        <v>6</v>
      </c>
      <c r="AL9" s="584" t="str">
        <f t="shared" ca="1" si="26"/>
        <v/>
      </c>
      <c r="AM9" s="584" t="str">
        <f t="shared" ca="1" si="27"/>
        <v/>
      </c>
      <c r="AN9" s="585">
        <f t="shared" ca="1" si="28"/>
        <v>99999</v>
      </c>
      <c r="AO9" s="581">
        <f t="shared" ca="1" si="29"/>
        <v>1.0208999999999999</v>
      </c>
      <c r="AP9" s="586">
        <f t="shared" ca="1" si="30"/>
        <v>6</v>
      </c>
      <c r="AR9" s="2">
        <f ca="1">IF(Einstellungen!$G$7,$I9,ROUND($I9,Einstellungen!$H$7))</f>
        <v>0</v>
      </c>
    </row>
    <row r="10" spans="1:44" s="2" customFormat="1" x14ac:dyDescent="0.2">
      <c r="A10" s="239"/>
      <c r="B10" s="1">
        <v>7</v>
      </c>
      <c r="C10" s="21">
        <f t="shared" ca="1" si="1"/>
        <v>7</v>
      </c>
      <c r="D10" s="12">
        <f t="shared" ca="1" si="2"/>
        <v>12.01</v>
      </c>
      <c r="E10" s="252">
        <f t="shared" ca="1" si="3"/>
        <v>2</v>
      </c>
      <c r="F10" s="1" t="str">
        <f t="shared" si="31"/>
        <v/>
      </c>
      <c r="G10" s="1">
        <f t="shared" ca="1" si="4"/>
        <v>0</v>
      </c>
      <c r="H10" s="1">
        <f t="shared" ca="1" si="5"/>
        <v>0</v>
      </c>
      <c r="I10" s="12">
        <f ca="1">IF(Einstellungen!$G$7,G10-H10,IF(H10=0,IF(G10=0,0,Einstellungen!$F$7),G10/H10))</f>
        <v>0</v>
      </c>
      <c r="J10" s="1">
        <f t="shared" ca="1" si="32"/>
        <v>0</v>
      </c>
      <c r="K10" s="1">
        <f t="shared" ca="1" si="7"/>
        <v>0</v>
      </c>
      <c r="L10" s="1">
        <f t="shared" ca="1" si="8"/>
        <v>0</v>
      </c>
      <c r="M10" s="1">
        <f t="shared" ca="1" si="9"/>
        <v>0</v>
      </c>
      <c r="N10" s="1">
        <f t="shared" ca="1" si="10"/>
        <v>0</v>
      </c>
      <c r="P10" s="24"/>
      <c r="W10" s="583" t="str">
        <f t="shared" ca="1" si="11"/>
        <v/>
      </c>
      <c r="X10" s="584" t="str">
        <f t="shared" ca="1" si="12"/>
        <v/>
      </c>
      <c r="Y10" s="581">
        <f t="shared" ca="1" si="13"/>
        <v>99999</v>
      </c>
      <c r="Z10" s="581">
        <f t="shared" ca="1" si="14"/>
        <v>1.0209999999999999</v>
      </c>
      <c r="AA10" s="586">
        <f t="shared" ca="1" si="15"/>
        <v>7</v>
      </c>
      <c r="AB10" s="583" t="str">
        <f t="shared" ca="1" si="16"/>
        <v/>
      </c>
      <c r="AC10" s="584" t="str">
        <f t="shared" ca="1" si="17"/>
        <v/>
      </c>
      <c r="AD10" s="585">
        <f t="shared" ca="1" si="18"/>
        <v>99999</v>
      </c>
      <c r="AE10" s="581">
        <f t="shared" ca="1" si="19"/>
        <v>1.0209999999999999</v>
      </c>
      <c r="AF10" s="581">
        <f t="shared" ca="1" si="20"/>
        <v>7</v>
      </c>
      <c r="AG10" s="583" t="str">
        <f t="shared" ca="1" si="21"/>
        <v/>
      </c>
      <c r="AH10" s="584" t="str">
        <f t="shared" ca="1" si="22"/>
        <v/>
      </c>
      <c r="AI10" s="585">
        <f t="shared" ca="1" si="23"/>
        <v>99999</v>
      </c>
      <c r="AJ10" s="581">
        <f t="shared" ca="1" si="24"/>
        <v>1.0209999999999999</v>
      </c>
      <c r="AK10" s="586">
        <f t="shared" ca="1" si="25"/>
        <v>7</v>
      </c>
      <c r="AL10" s="584" t="str">
        <f t="shared" ca="1" si="26"/>
        <v/>
      </c>
      <c r="AM10" s="584" t="str">
        <f t="shared" ca="1" si="27"/>
        <v/>
      </c>
      <c r="AN10" s="585">
        <f t="shared" ca="1" si="28"/>
        <v>99999</v>
      </c>
      <c r="AO10" s="581">
        <f t="shared" ca="1" si="29"/>
        <v>1.0209999999999999</v>
      </c>
      <c r="AP10" s="586">
        <f t="shared" ca="1" si="30"/>
        <v>7</v>
      </c>
      <c r="AR10" s="2">
        <f ca="1">IF(Einstellungen!$G$7,$I10,ROUND($I10,Einstellungen!$H$7))</f>
        <v>0</v>
      </c>
    </row>
    <row r="11" spans="1:44" s="2" customFormat="1" x14ac:dyDescent="0.2">
      <c r="A11" s="239"/>
      <c r="B11" s="1">
        <v>8</v>
      </c>
      <c r="C11" s="21">
        <f t="shared" ca="1" si="1"/>
        <v>8</v>
      </c>
      <c r="D11" s="12">
        <f t="shared" ca="1" si="2"/>
        <v>12.010999999999999</v>
      </c>
      <c r="E11" s="252">
        <f t="shared" ca="1" si="3"/>
        <v>2</v>
      </c>
      <c r="F11" s="1" t="str">
        <f t="shared" si="31"/>
        <v/>
      </c>
      <c r="G11" s="1">
        <f t="shared" ca="1" si="4"/>
        <v>0</v>
      </c>
      <c r="H11" s="1">
        <f t="shared" ca="1" si="5"/>
        <v>0</v>
      </c>
      <c r="I11" s="12">
        <f ca="1">IF(Einstellungen!$G$7,G11-H11,IF(H11=0,IF(G11=0,0,Einstellungen!$F$7),G11/H11))</f>
        <v>0</v>
      </c>
      <c r="J11" s="1">
        <f t="shared" ca="1" si="32"/>
        <v>0</v>
      </c>
      <c r="K11" s="1">
        <f t="shared" ca="1" si="7"/>
        <v>0</v>
      </c>
      <c r="L11" s="1">
        <f t="shared" ca="1" si="8"/>
        <v>0</v>
      </c>
      <c r="M11" s="1">
        <f t="shared" ca="1" si="9"/>
        <v>0</v>
      </c>
      <c r="N11" s="1">
        <f t="shared" ca="1" si="10"/>
        <v>0</v>
      </c>
      <c r="O11" s="12"/>
      <c r="P11" s="12"/>
      <c r="Q11" s="12"/>
      <c r="R11" s="12"/>
      <c r="S11" s="12"/>
      <c r="T11" s="12"/>
      <c r="U11" s="12"/>
      <c r="V11" s="12"/>
      <c r="W11" s="583" t="str">
        <f t="shared" ca="1" si="11"/>
        <v/>
      </c>
      <c r="X11" s="584" t="str">
        <f t="shared" ca="1" si="12"/>
        <v/>
      </c>
      <c r="Y11" s="581">
        <f t="shared" ca="1" si="13"/>
        <v>99999</v>
      </c>
      <c r="Z11" s="581">
        <f t="shared" ca="1" si="14"/>
        <v>1.0211000000000001</v>
      </c>
      <c r="AA11" s="586">
        <f t="shared" ca="1" si="15"/>
        <v>8</v>
      </c>
      <c r="AB11" s="583" t="str">
        <f t="shared" ca="1" si="16"/>
        <v/>
      </c>
      <c r="AC11" s="584" t="str">
        <f t="shared" ca="1" si="17"/>
        <v/>
      </c>
      <c r="AD11" s="585">
        <f t="shared" ca="1" si="18"/>
        <v>99999</v>
      </c>
      <c r="AE11" s="581">
        <f t="shared" ca="1" si="19"/>
        <v>1.0211000000000001</v>
      </c>
      <c r="AF11" s="581">
        <f t="shared" ca="1" si="20"/>
        <v>8</v>
      </c>
      <c r="AG11" s="583" t="str">
        <f t="shared" ca="1" si="21"/>
        <v/>
      </c>
      <c r="AH11" s="584" t="str">
        <f t="shared" ca="1" si="22"/>
        <v/>
      </c>
      <c r="AI11" s="585">
        <f t="shared" ca="1" si="23"/>
        <v>99999</v>
      </c>
      <c r="AJ11" s="581">
        <f t="shared" ca="1" si="24"/>
        <v>1.0211000000000001</v>
      </c>
      <c r="AK11" s="586">
        <f t="shared" ca="1" si="25"/>
        <v>8</v>
      </c>
      <c r="AL11" s="584" t="str">
        <f t="shared" ca="1" si="26"/>
        <v/>
      </c>
      <c r="AM11" s="584" t="str">
        <f t="shared" ca="1" si="27"/>
        <v/>
      </c>
      <c r="AN11" s="585">
        <f t="shared" ca="1" si="28"/>
        <v>99999</v>
      </c>
      <c r="AO11" s="581">
        <f t="shared" ca="1" si="29"/>
        <v>1.0211000000000001</v>
      </c>
      <c r="AP11" s="586">
        <f t="shared" ca="1" si="30"/>
        <v>8</v>
      </c>
      <c r="AR11" s="2">
        <f ca="1">IF(Einstellungen!$G$7,$I11,ROUND($I11,Einstellungen!$H$7))</f>
        <v>0</v>
      </c>
    </row>
    <row r="12" spans="1:44" s="2" customFormat="1" ht="12.75" thickBot="1" x14ac:dyDescent="0.25">
      <c r="A12" s="239"/>
      <c r="B12" s="1">
        <v>9</v>
      </c>
      <c r="C12" s="22">
        <f t="shared" ca="1" si="1"/>
        <v>9</v>
      </c>
      <c r="D12" s="12">
        <f t="shared" ca="1" si="2"/>
        <v>12.012</v>
      </c>
      <c r="E12" s="252">
        <f t="shared" ca="1" si="3"/>
        <v>2</v>
      </c>
      <c r="F12" s="1" t="str">
        <f t="shared" si="31"/>
        <v/>
      </c>
      <c r="G12" s="1">
        <f t="shared" ca="1" si="4"/>
        <v>0</v>
      </c>
      <c r="H12" s="1">
        <f t="shared" ca="1" si="5"/>
        <v>0</v>
      </c>
      <c r="I12" s="12">
        <f ca="1">IF(Einstellungen!$G$7,G12-H12,IF(H12=0,IF(G12=0,0,Einstellungen!$F$7),G12/H12))</f>
        <v>0</v>
      </c>
      <c r="J12" s="1">
        <f t="shared" ca="1" si="32"/>
        <v>0</v>
      </c>
      <c r="K12" s="27">
        <f t="shared" ca="1" si="7"/>
        <v>0</v>
      </c>
      <c r="L12" s="1">
        <f t="shared" ca="1" si="8"/>
        <v>0</v>
      </c>
      <c r="M12" s="1">
        <f t="shared" ca="1" si="9"/>
        <v>0</v>
      </c>
      <c r="N12" s="1">
        <f t="shared" ca="1" si="10"/>
        <v>0</v>
      </c>
      <c r="O12" s="1"/>
      <c r="P12" s="1"/>
      <c r="Q12" s="1"/>
      <c r="R12" s="1"/>
      <c r="S12" s="1"/>
      <c r="T12" s="1"/>
      <c r="U12" s="1"/>
      <c r="V12" s="1"/>
      <c r="W12" s="587" t="str">
        <f t="shared" ca="1" si="11"/>
        <v/>
      </c>
      <c r="X12" s="588" t="str">
        <f t="shared" ca="1" si="12"/>
        <v/>
      </c>
      <c r="Y12" s="589">
        <f t="shared" ca="1" si="13"/>
        <v>99999</v>
      </c>
      <c r="Z12" s="589">
        <f t="shared" ca="1" si="14"/>
        <v>1.0212000000000001</v>
      </c>
      <c r="AA12" s="590">
        <f t="shared" ca="1" si="15"/>
        <v>9</v>
      </c>
      <c r="AB12" s="587" t="str">
        <f t="shared" ca="1" si="16"/>
        <v/>
      </c>
      <c r="AC12" s="588" t="str">
        <f t="shared" ca="1" si="17"/>
        <v/>
      </c>
      <c r="AD12" s="591">
        <f t="shared" ca="1" si="18"/>
        <v>99999</v>
      </c>
      <c r="AE12" s="589">
        <f t="shared" ca="1" si="19"/>
        <v>1.0212000000000001</v>
      </c>
      <c r="AF12" s="589">
        <f t="shared" ca="1" si="20"/>
        <v>9</v>
      </c>
      <c r="AG12" s="587" t="str">
        <f t="shared" ca="1" si="21"/>
        <v/>
      </c>
      <c r="AH12" s="588" t="str">
        <f t="shared" ca="1" si="22"/>
        <v/>
      </c>
      <c r="AI12" s="591">
        <f t="shared" ca="1" si="23"/>
        <v>99999</v>
      </c>
      <c r="AJ12" s="589">
        <f t="shared" ca="1" si="24"/>
        <v>1.0212000000000001</v>
      </c>
      <c r="AK12" s="590">
        <f t="shared" ca="1" si="25"/>
        <v>9</v>
      </c>
      <c r="AL12" s="588" t="str">
        <f t="shared" ca="1" si="26"/>
        <v/>
      </c>
      <c r="AM12" s="588" t="str">
        <f t="shared" ca="1" si="27"/>
        <v/>
      </c>
      <c r="AN12" s="591">
        <f t="shared" ca="1" si="28"/>
        <v>99999</v>
      </c>
      <c r="AO12" s="589">
        <f t="shared" ca="1" si="29"/>
        <v>1.0212000000000001</v>
      </c>
      <c r="AP12" s="590">
        <f t="shared" ca="1" si="30"/>
        <v>9</v>
      </c>
      <c r="AR12" s="2">
        <f ca="1">IF(Einstellungen!$G$7,$I12,ROUND($I12,Einstellungen!$H$7))</f>
        <v>0</v>
      </c>
    </row>
    <row r="13" spans="1:44" s="2" customFormat="1" ht="12.75" thickTop="1" x14ac:dyDescent="0.2">
      <c r="B13" s="12">
        <f ca="1">$F$13*($F$13-1)</f>
        <v>2</v>
      </c>
      <c r="C13" s="12"/>
      <c r="D13" s="12"/>
      <c r="E13" s="12"/>
      <c r="F13" s="12">
        <f ca="1">9-COUNTBLANK($F$4:$F$12)</f>
        <v>2</v>
      </c>
      <c r="G13" s="12"/>
      <c r="H13" s="12"/>
      <c r="I13" s="12"/>
      <c r="J13" s="12"/>
      <c r="K13" s="26">
        <f ca="1">QUOTIENT(SUM(K4:K12),2)</f>
        <v>1</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c r="AJ14" s="189"/>
    </row>
    <row r="15" spans="1:44" s="2" customFormat="1" x14ac:dyDescent="0.2">
      <c r="O15" s="11"/>
      <c r="AD15" s="928" t="s">
        <v>182</v>
      </c>
      <c r="AE15" s="929"/>
      <c r="AF15" s="929"/>
      <c r="AG15" s="929"/>
      <c r="AH15" s="930"/>
      <c r="AI15" s="2" t="b">
        <f>(Einstellungen!$B$7=Sprache!$E$105)</f>
        <v>0</v>
      </c>
      <c r="AK15" s="239"/>
    </row>
    <row r="16" spans="1:44" s="2" customFormat="1" ht="15.75" thickBot="1" x14ac:dyDescent="0.25">
      <c r="B16" s="12" t="s">
        <v>5</v>
      </c>
      <c r="C16" s="689" t="s">
        <v>97</v>
      </c>
      <c r="D16" s="689" t="s">
        <v>102</v>
      </c>
      <c r="E16" s="689" t="s">
        <v>103</v>
      </c>
      <c r="F16" s="689" t="s">
        <v>104</v>
      </c>
      <c r="G16" s="689" t="s">
        <v>105</v>
      </c>
      <c r="H16" s="689" t="s">
        <v>106</v>
      </c>
      <c r="I16" s="689" t="s">
        <v>107</v>
      </c>
      <c r="J16" s="689" t="s">
        <v>108</v>
      </c>
      <c r="K16" s="689" t="s">
        <v>109</v>
      </c>
      <c r="L16" s="10" t="s">
        <v>337</v>
      </c>
      <c r="M16" s="67" t="s">
        <v>96</v>
      </c>
      <c r="N16" s="67" t="s">
        <v>14</v>
      </c>
      <c r="O16" s="29">
        <v>1</v>
      </c>
      <c r="P16" s="1">
        <v>2</v>
      </c>
      <c r="Q16" s="1">
        <v>3</v>
      </c>
      <c r="R16" s="1">
        <v>4</v>
      </c>
      <c r="S16" s="1">
        <v>5</v>
      </c>
      <c r="T16" s="1">
        <v>6</v>
      </c>
      <c r="U16" s="1">
        <v>7</v>
      </c>
      <c r="V16" s="1">
        <v>8</v>
      </c>
      <c r="W16" s="10" t="s">
        <v>98</v>
      </c>
      <c r="X16" s="189" t="s">
        <v>169</v>
      </c>
      <c r="Y16" s="10" t="s">
        <v>208</v>
      </c>
      <c r="Z16" s="189" t="s">
        <v>209</v>
      </c>
      <c r="AA16" s="1" t="s">
        <v>109</v>
      </c>
      <c r="AB16" s="1" t="s">
        <v>108</v>
      </c>
      <c r="AC16" s="1"/>
      <c r="AD16" s="247" t="s">
        <v>109</v>
      </c>
      <c r="AE16" s="251" t="s">
        <v>108</v>
      </c>
      <c r="AF16" s="1" t="s">
        <v>108</v>
      </c>
      <c r="AG16" s="1" t="s">
        <v>181</v>
      </c>
      <c r="AH16" s="189" t="s">
        <v>169</v>
      </c>
    </row>
    <row r="17" spans="2:80" s="2" customFormat="1" ht="12.75" thickTop="1" x14ac:dyDescent="0.2">
      <c r="C17" s="2" t="str">
        <f ca="1">$Q64</f>
        <v>VFB Essenheim</v>
      </c>
      <c r="D17" s="1">
        <f t="shared" ref="D17:G25" ca="1" si="33">K4</f>
        <v>1</v>
      </c>
      <c r="E17" s="1">
        <f t="shared" ca="1" si="33"/>
        <v>0</v>
      </c>
      <c r="F17" s="1">
        <f t="shared" ca="1" si="33"/>
        <v>0</v>
      </c>
      <c r="G17" s="1">
        <f t="shared" ca="1" si="33"/>
        <v>1</v>
      </c>
      <c r="H17" s="1">
        <f t="shared" ref="H17:K25" ca="1" si="34">G4</f>
        <v>38</v>
      </c>
      <c r="I17" s="1">
        <f t="shared" ca="1" si="34"/>
        <v>50</v>
      </c>
      <c r="J17" s="12">
        <f t="shared" ca="1" si="34"/>
        <v>-12</v>
      </c>
      <c r="K17" s="1">
        <f t="shared" ca="1" si="34"/>
        <v>0</v>
      </c>
      <c r="L17" s="28">
        <f ca="1">K17*$F$64+(J17+$H$65)*$F$65</f>
        <v>488000</v>
      </c>
      <c r="M17" s="13">
        <f ca="1">IF($AI$15,COUNTIF($K$17:$K$25,K17),COUNTIF($L$17:$L$25,L17))</f>
        <v>1</v>
      </c>
      <c r="N17" s="13">
        <f t="array" aca="1" ref="N17" ca="1">IF($AI$15,SUM(($K$17:$K$25&gt;=K17)/COUNTIF($K$17:$K$25,$K$17:$K$25)),SUM(($L$17:$L$25&gt;=L17)/COUNTIF($L$17:$L$25,$L$17:$L$25)))</f>
        <v>2.9999999999999996</v>
      </c>
      <c r="O17" s="51" t="str">
        <f t="shared" ref="O17:O25" ca="1" si="35">IF(AND(M17&gt;1,N17=1),C17,"")</f>
        <v/>
      </c>
      <c r="P17" s="52" t="str">
        <f t="shared" ref="P17:P25" ca="1" si="36">IF(AND(M17&gt;1,N17=2),C17,"")</f>
        <v/>
      </c>
      <c r="Q17" s="52" t="str">
        <f t="shared" ref="Q17:Q25" ca="1" si="37">IF(AND(M17&gt;1,N17=3),C17,"")</f>
        <v/>
      </c>
      <c r="R17" s="52" t="str">
        <f t="shared" ref="R17:R25" ca="1" si="38">IF(AND(M17&gt;1,N17=4),C17,"")</f>
        <v/>
      </c>
      <c r="S17" s="52" t="str">
        <f t="shared" ref="S17:S25" ca="1" si="39">IF(AND(M17&gt;1,N17=5),C17,"")</f>
        <v/>
      </c>
      <c r="T17" s="52" t="str">
        <f t="shared" ref="T17:T25" ca="1" si="40">IF(AND($M17&gt;1,$N17=6),$C17,"")</f>
        <v/>
      </c>
      <c r="U17" s="52" t="str">
        <f t="shared" ref="U17:U25" ca="1" si="41">IF(AND($M17&gt;1,$N17=7),$C17,"")</f>
        <v/>
      </c>
      <c r="V17" s="53" t="str">
        <f t="shared" ref="V17:V25" ca="1" si="42">IF(AND($M17&gt;1,$N17=8),$C17,"")</f>
        <v/>
      </c>
      <c r="W17" s="61">
        <f ca="1">AA17*$F$64+(AB17+$H$65)*$F$65</f>
        <v>500000</v>
      </c>
      <c r="X17" s="20">
        <f ca="1">RANK($L17,$L$17:$L$25)+RANK($W17,$W$17:$W$25)/100+(9-$Y17)/10000</f>
        <v>9.0108999999999995</v>
      </c>
      <c r="Y17" s="12">
        <f ca="1">'Endrunde 4'!$AI26</f>
        <v>0</v>
      </c>
      <c r="Z17" s="1">
        <f ca="1">RANK($W17,$W$17:$W$25)+(9-$Y17)/10</f>
        <v>1.9</v>
      </c>
      <c r="AA17" s="1">
        <f ca="1">SUM(E30:BP30)</f>
        <v>0</v>
      </c>
      <c r="AB17" s="1">
        <f ca="1">SUM(E41:BP41)</f>
        <v>0</v>
      </c>
      <c r="AC17" s="1"/>
      <c r="AD17" s="246">
        <f ca="1">RANK($K17,$K$17:$K$25)</f>
        <v>2</v>
      </c>
      <c r="AE17" s="28">
        <f ca="1">(J17+$H$65)*$F$65</f>
        <v>488000</v>
      </c>
      <c r="AF17" s="1">
        <f ca="1">RANK($AE17,$AE$17:$AE$25)</f>
        <v>9</v>
      </c>
      <c r="AG17" s="1">
        <f ca="1">RANK($W17,$W$17:$W$25)</f>
        <v>1</v>
      </c>
      <c r="AH17" s="248">
        <f ca="1">AD17+AG17/100+AF17/10000+(10-Y17)/1000000</f>
        <v>2.01091</v>
      </c>
      <c r="AI17" s="1"/>
    </row>
    <row r="18" spans="2:80" s="2" customFormat="1" x14ac:dyDescent="0.2">
      <c r="C18" s="2" t="str">
        <f t="shared" ref="C18:C25" ca="1" si="43">$Q65</f>
        <v>Inter Mailand</v>
      </c>
      <c r="D18" s="1">
        <f t="shared" ca="1" si="33"/>
        <v>1</v>
      </c>
      <c r="E18" s="1">
        <f t="shared" ca="1" si="33"/>
        <v>1</v>
      </c>
      <c r="F18" s="1">
        <f t="shared" ca="1" si="33"/>
        <v>0</v>
      </c>
      <c r="G18" s="1">
        <f t="shared" ca="1" si="33"/>
        <v>0</v>
      </c>
      <c r="H18" s="1">
        <f t="shared" ca="1" si="34"/>
        <v>50</v>
      </c>
      <c r="I18" s="1">
        <f t="shared" ca="1" si="34"/>
        <v>38</v>
      </c>
      <c r="J18" s="12">
        <f t="shared" ca="1" si="34"/>
        <v>12</v>
      </c>
      <c r="K18" s="1">
        <f t="shared" ca="1" si="34"/>
        <v>2</v>
      </c>
      <c r="L18" s="28">
        <f t="shared" ref="L18:L25" ca="1" si="44">K18*$F$64+(J18+$H$65)*$F$65</f>
        <v>2512000</v>
      </c>
      <c r="M18" s="13">
        <f t="shared" ref="M18:M25" ca="1" si="45">IF($AI$15,COUNTIF($K$17:$K$25,K18),COUNTIF($L$17:$L$25,L18))</f>
        <v>1</v>
      </c>
      <c r="N18" s="13">
        <f t="array" aca="1" ref="N18" ca="1">IF($AI$15,SUM(($K$17:$K$25&gt;=K18)/COUNTIF($K$17:$K$25,$K$17:$K$25)),SUM(($L$17:$L$25&gt;=L18)/COUNTIF($L$17:$L$25,$L$17:$L$25)))</f>
        <v>1</v>
      </c>
      <c r="O18" s="5" t="str">
        <f t="shared" ca="1" si="35"/>
        <v/>
      </c>
      <c r="P18" s="3" t="str">
        <f t="shared" ca="1" si="36"/>
        <v/>
      </c>
      <c r="Q18" s="3" t="str">
        <f t="shared" ca="1" si="37"/>
        <v/>
      </c>
      <c r="R18" s="3" t="str">
        <f t="shared" ca="1" si="38"/>
        <v/>
      </c>
      <c r="S18" s="3" t="str">
        <f t="shared" ca="1" si="39"/>
        <v/>
      </c>
      <c r="T18" s="3" t="str">
        <f t="shared" ca="1" si="40"/>
        <v/>
      </c>
      <c r="U18" s="3" t="str">
        <f t="shared" ca="1" si="41"/>
        <v/>
      </c>
      <c r="V18" s="54" t="str">
        <f t="shared" ca="1" si="42"/>
        <v/>
      </c>
      <c r="W18" s="61">
        <f t="shared" ref="W18:W25" ca="1" si="46">AA18*$F$64+(AB18+$H$65)*$F$65</f>
        <v>500000</v>
      </c>
      <c r="X18" s="21">
        <f t="shared" ref="X18:X25" ca="1" si="47">RANK($L18,$L$17:$L$25)+RANK($W18,$W$17:$W$25)/100+(9-$Y18)/10000</f>
        <v>1.0108999999999999</v>
      </c>
      <c r="Y18" s="12">
        <f ca="1">'Endrunde 4'!$AI27</f>
        <v>0</v>
      </c>
      <c r="Z18" s="1">
        <f t="shared" ref="Z18:Z25" ca="1" si="48">RANK($W18,$W$17:$W$25)+(9-$Y18)/10</f>
        <v>1.9</v>
      </c>
      <c r="AA18" s="1">
        <f t="shared" ref="AA18:AA25" ca="1" si="49">SUM(E31:BP31)</f>
        <v>0</v>
      </c>
      <c r="AB18" s="1">
        <f t="shared" ref="AB18:AB25" ca="1" si="50">SUM(E42:BP42)</f>
        <v>0</v>
      </c>
      <c r="AC18" s="1"/>
      <c r="AD18" s="246">
        <f t="shared" ref="AD18:AD25" ca="1" si="51">RANK($K18,$K$17:$K$25)</f>
        <v>1</v>
      </c>
      <c r="AE18" s="28">
        <f t="shared" ref="AE18:AE25" ca="1" si="52">(J18+$H$65)*$F$65</f>
        <v>512000</v>
      </c>
      <c r="AF18" s="1">
        <f t="shared" ref="AF18:AF25" ca="1" si="53">RANK($AE18,$AE$17:$AE$25)</f>
        <v>1</v>
      </c>
      <c r="AG18" s="1">
        <f t="shared" ref="AG18:AG25" ca="1" si="54">RANK($W18,$W$17:$W$25)</f>
        <v>1</v>
      </c>
      <c r="AH18" s="249">
        <f t="shared" ref="AH18:AH25" ca="1" si="55">AD18+AG18/100+AF18/10000+(10-Y18)/1000000</f>
        <v>1.0101100000000001</v>
      </c>
      <c r="AI18" s="1"/>
    </row>
    <row r="19" spans="2:80" s="2" customFormat="1" x14ac:dyDescent="0.2">
      <c r="C19" s="2" t="str">
        <f t="shared" ca="1" si="43"/>
        <v/>
      </c>
      <c r="D19" s="1">
        <f t="shared" ca="1" si="33"/>
        <v>0</v>
      </c>
      <c r="E19" s="1">
        <f t="shared" ca="1" si="33"/>
        <v>0</v>
      </c>
      <c r="F19" s="1">
        <f t="shared" ca="1" si="33"/>
        <v>0</v>
      </c>
      <c r="G19" s="1">
        <f t="shared" ca="1" si="33"/>
        <v>0</v>
      </c>
      <c r="H19" s="1">
        <f t="shared" ca="1" si="34"/>
        <v>0</v>
      </c>
      <c r="I19" s="1">
        <f t="shared" ca="1" si="34"/>
        <v>0</v>
      </c>
      <c r="J19" s="12">
        <f t="shared" ca="1" si="34"/>
        <v>0</v>
      </c>
      <c r="K19" s="1">
        <f t="shared" ca="1" si="34"/>
        <v>0</v>
      </c>
      <c r="L19" s="28">
        <f t="shared" ca="1" si="44"/>
        <v>500000</v>
      </c>
      <c r="M19" s="13">
        <f t="shared" ca="1" si="45"/>
        <v>7</v>
      </c>
      <c r="N19" s="13">
        <f t="array" aca="1" ref="N19" ca="1">IF($AI$15,SUM(($K$17:$K$25&gt;=K19)/COUNTIF($K$17:$K$25,$K$17:$K$25)),SUM(($L$17:$L$25&gt;=L19)/COUNTIF($L$17:$L$25,$L$17:$L$25)))</f>
        <v>1.9999999999999996</v>
      </c>
      <c r="O19" s="5" t="str">
        <f t="shared" ca="1" si="35"/>
        <v/>
      </c>
      <c r="P19" s="3" t="str">
        <f t="shared" ca="1" si="36"/>
        <v/>
      </c>
      <c r="Q19" s="3" t="str">
        <f t="shared" ca="1" si="37"/>
        <v/>
      </c>
      <c r="R19" s="3" t="str">
        <f t="shared" ca="1" si="38"/>
        <v/>
      </c>
      <c r="S19" s="3" t="str">
        <f t="shared" ca="1" si="39"/>
        <v/>
      </c>
      <c r="T19" s="3" t="str">
        <f t="shared" ca="1" si="40"/>
        <v/>
      </c>
      <c r="U19" s="3" t="str">
        <f t="shared" ca="1" si="41"/>
        <v/>
      </c>
      <c r="V19" s="54" t="str">
        <f t="shared" ca="1" si="42"/>
        <v/>
      </c>
      <c r="W19" s="61">
        <f t="shared" ca="1" si="46"/>
        <v>500000</v>
      </c>
      <c r="X19" s="21">
        <f t="shared" ca="1" si="47"/>
        <v>2.0108999999999999</v>
      </c>
      <c r="Y19" s="12">
        <f ca="1">'Endrunde 4'!$AI28</f>
        <v>0</v>
      </c>
      <c r="Z19" s="1">
        <f t="shared" ca="1" si="48"/>
        <v>1.9</v>
      </c>
      <c r="AA19" s="1">
        <f t="shared" ca="1" si="49"/>
        <v>0</v>
      </c>
      <c r="AB19" s="1">
        <f t="shared" ca="1" si="50"/>
        <v>0</v>
      </c>
      <c r="AC19" s="1"/>
      <c r="AD19" s="246">
        <f t="shared" ca="1" si="51"/>
        <v>2</v>
      </c>
      <c r="AE19" s="28">
        <f t="shared" ca="1" si="52"/>
        <v>500000</v>
      </c>
      <c r="AF19" s="1">
        <f t="shared" ca="1" si="53"/>
        <v>2</v>
      </c>
      <c r="AG19" s="1">
        <f t="shared" ca="1" si="54"/>
        <v>1</v>
      </c>
      <c r="AH19" s="249">
        <f t="shared" ca="1" si="55"/>
        <v>2.0102099999999998</v>
      </c>
      <c r="AI19" s="1"/>
    </row>
    <row r="20" spans="2:80" s="2" customFormat="1" x14ac:dyDescent="0.2">
      <c r="C20" s="2" t="str">
        <f t="shared" ca="1" si="43"/>
        <v/>
      </c>
      <c r="D20" s="1">
        <f t="shared" ca="1" si="33"/>
        <v>0</v>
      </c>
      <c r="E20" s="1">
        <f t="shared" ca="1" si="33"/>
        <v>0</v>
      </c>
      <c r="F20" s="1">
        <f t="shared" ca="1" si="33"/>
        <v>0</v>
      </c>
      <c r="G20" s="1">
        <f t="shared" ca="1" si="33"/>
        <v>0</v>
      </c>
      <c r="H20" s="1">
        <f t="shared" ca="1" si="34"/>
        <v>0</v>
      </c>
      <c r="I20" s="1">
        <f t="shared" ca="1" si="34"/>
        <v>0</v>
      </c>
      <c r="J20" s="12">
        <f t="shared" ca="1" si="34"/>
        <v>0</v>
      </c>
      <c r="K20" s="1">
        <f t="shared" ca="1" si="34"/>
        <v>0</v>
      </c>
      <c r="L20" s="28">
        <f t="shared" ca="1" si="44"/>
        <v>500000</v>
      </c>
      <c r="M20" s="13">
        <f t="shared" ca="1" si="45"/>
        <v>7</v>
      </c>
      <c r="N20" s="13">
        <f t="array" aca="1" ref="N20" ca="1">IF($AI$15,SUM(($K$17:$K$25&gt;=K20)/COUNTIF($K$17:$K$25,$K$17:$K$25)),SUM(($L$17:$L$25&gt;=L20)/COUNTIF($L$17:$L$25,$L$17:$L$25)))</f>
        <v>1.9999999999999996</v>
      </c>
      <c r="O20" s="5" t="str">
        <f t="shared" ca="1" si="35"/>
        <v/>
      </c>
      <c r="P20" s="3" t="str">
        <f t="shared" ca="1" si="36"/>
        <v/>
      </c>
      <c r="Q20" s="3" t="str">
        <f t="shared" ca="1" si="37"/>
        <v/>
      </c>
      <c r="R20" s="3" t="str">
        <f t="shared" ca="1" si="38"/>
        <v/>
      </c>
      <c r="S20" s="3" t="str">
        <f t="shared" ca="1" si="39"/>
        <v/>
      </c>
      <c r="T20" s="3" t="str">
        <f t="shared" ca="1" si="40"/>
        <v/>
      </c>
      <c r="U20" s="3" t="str">
        <f t="shared" ca="1" si="41"/>
        <v/>
      </c>
      <c r="V20" s="54" t="str">
        <f t="shared" ca="1" si="42"/>
        <v/>
      </c>
      <c r="W20" s="61">
        <f t="shared" ca="1" si="46"/>
        <v>500000</v>
      </c>
      <c r="X20" s="21">
        <f t="shared" ca="1" si="47"/>
        <v>2.0108999999999999</v>
      </c>
      <c r="Y20" s="12">
        <f ca="1">'Endrunde 4'!$AI29</f>
        <v>0</v>
      </c>
      <c r="Z20" s="1">
        <f t="shared" ca="1" si="48"/>
        <v>1.9</v>
      </c>
      <c r="AA20" s="1">
        <f t="shared" ca="1" si="49"/>
        <v>0</v>
      </c>
      <c r="AB20" s="1">
        <f t="shared" ca="1" si="50"/>
        <v>0</v>
      </c>
      <c r="AC20" s="1"/>
      <c r="AD20" s="246">
        <f t="shared" ca="1" si="51"/>
        <v>2</v>
      </c>
      <c r="AE20" s="28">
        <f t="shared" ca="1" si="52"/>
        <v>500000</v>
      </c>
      <c r="AF20" s="1">
        <f t="shared" ca="1" si="53"/>
        <v>2</v>
      </c>
      <c r="AG20" s="1">
        <f t="shared" ca="1" si="54"/>
        <v>1</v>
      </c>
      <c r="AH20" s="249">
        <f t="shared" ca="1" si="55"/>
        <v>2.0102099999999998</v>
      </c>
      <c r="AI20" s="1"/>
    </row>
    <row r="21" spans="2:80" s="2" customFormat="1" x14ac:dyDescent="0.2">
      <c r="C21" s="2" t="str">
        <f t="shared" si="43"/>
        <v/>
      </c>
      <c r="D21" s="1">
        <f t="shared" ca="1" si="33"/>
        <v>0</v>
      </c>
      <c r="E21" s="1">
        <f t="shared" ca="1" si="33"/>
        <v>0</v>
      </c>
      <c r="F21" s="1">
        <f t="shared" ca="1" si="33"/>
        <v>0</v>
      </c>
      <c r="G21" s="1">
        <f t="shared" ca="1" si="33"/>
        <v>0</v>
      </c>
      <c r="H21" s="1">
        <f t="shared" ca="1" si="34"/>
        <v>0</v>
      </c>
      <c r="I21" s="1">
        <f t="shared" ca="1" si="34"/>
        <v>0</v>
      </c>
      <c r="J21" s="12">
        <f t="shared" ca="1" si="34"/>
        <v>0</v>
      </c>
      <c r="K21" s="1">
        <f t="shared" ca="1" si="34"/>
        <v>0</v>
      </c>
      <c r="L21" s="28">
        <f t="shared" ca="1" si="44"/>
        <v>500000</v>
      </c>
      <c r="M21" s="13">
        <f t="shared" ca="1" si="45"/>
        <v>7</v>
      </c>
      <c r="N21" s="13">
        <f t="array" aca="1" ref="N21" ca="1">IF($AI$15,SUM(($K$17:$K$25&gt;=K21)/COUNTIF($K$17:$K$25,$K$17:$K$25)),SUM(($L$17:$L$25&gt;=L21)/COUNTIF($L$17:$L$25,$L$17:$L$25)))</f>
        <v>1.9999999999999996</v>
      </c>
      <c r="O21" s="5" t="str">
        <f t="shared" ca="1" si="35"/>
        <v/>
      </c>
      <c r="P21" s="3" t="str">
        <f t="shared" ca="1" si="36"/>
        <v/>
      </c>
      <c r="Q21" s="3" t="str">
        <f t="shared" ca="1" si="37"/>
        <v/>
      </c>
      <c r="R21" s="3" t="str">
        <f t="shared" ca="1" si="38"/>
        <v/>
      </c>
      <c r="S21" s="3" t="str">
        <f t="shared" ca="1" si="39"/>
        <v/>
      </c>
      <c r="T21" s="3" t="str">
        <f t="shared" ca="1" si="40"/>
        <v/>
      </c>
      <c r="U21" s="3" t="str">
        <f t="shared" ca="1" si="41"/>
        <v/>
      </c>
      <c r="V21" s="54" t="str">
        <f t="shared" ca="1" si="42"/>
        <v/>
      </c>
      <c r="W21" s="61">
        <f t="shared" ca="1" si="46"/>
        <v>500000</v>
      </c>
      <c r="X21" s="21">
        <f t="shared" ca="1" si="47"/>
        <v>2.0108999999999999</v>
      </c>
      <c r="Y21" s="12">
        <v>0</v>
      </c>
      <c r="Z21" s="1">
        <f t="shared" ca="1" si="48"/>
        <v>1.9</v>
      </c>
      <c r="AA21" s="1">
        <f t="shared" ca="1" si="49"/>
        <v>0</v>
      </c>
      <c r="AB21" s="1">
        <f t="shared" ca="1" si="50"/>
        <v>0</v>
      </c>
      <c r="AC21" s="1"/>
      <c r="AD21" s="246">
        <f t="shared" ca="1" si="51"/>
        <v>2</v>
      </c>
      <c r="AE21" s="28">
        <f t="shared" ca="1" si="52"/>
        <v>500000</v>
      </c>
      <c r="AF21" s="1">
        <f t="shared" ca="1" si="53"/>
        <v>2</v>
      </c>
      <c r="AG21" s="1">
        <f t="shared" ca="1" si="54"/>
        <v>1</v>
      </c>
      <c r="AH21" s="249">
        <f t="shared" ca="1" si="55"/>
        <v>2.0102099999999998</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2">
        <f t="shared" ca="1" si="34"/>
        <v>0</v>
      </c>
      <c r="K22" s="1">
        <f t="shared" ca="1" si="34"/>
        <v>0</v>
      </c>
      <c r="L22" s="28">
        <f t="shared" ca="1" si="44"/>
        <v>500000</v>
      </c>
      <c r="M22" s="13">
        <f t="shared" ca="1" si="45"/>
        <v>7</v>
      </c>
      <c r="N22" s="13">
        <f t="array" aca="1" ref="N22" ca="1">IF($AI$15,SUM(($K$17:$K$25&gt;=K22)/COUNTIF($K$17:$K$25,$K$17:$K$25)),SUM(($L$17:$L$25&gt;=L22)/COUNTIF($L$17:$L$25,$L$17:$L$25)))</f>
        <v>1.9999999999999996</v>
      </c>
      <c r="O22" s="5" t="str">
        <f t="shared" ca="1" si="35"/>
        <v/>
      </c>
      <c r="P22" s="3" t="str">
        <f t="shared" ca="1" si="36"/>
        <v/>
      </c>
      <c r="Q22" s="3" t="str">
        <f t="shared" ca="1" si="37"/>
        <v/>
      </c>
      <c r="R22" s="3" t="str">
        <f t="shared" ca="1" si="38"/>
        <v/>
      </c>
      <c r="S22" s="3" t="str">
        <f t="shared" ca="1" si="39"/>
        <v/>
      </c>
      <c r="T22" s="3" t="str">
        <f t="shared" ca="1" si="40"/>
        <v/>
      </c>
      <c r="U22" s="3" t="str">
        <f t="shared" ca="1" si="41"/>
        <v/>
      </c>
      <c r="V22" s="54" t="str">
        <f t="shared" ca="1" si="42"/>
        <v/>
      </c>
      <c r="W22" s="61">
        <f t="shared" ca="1" si="46"/>
        <v>500000</v>
      </c>
      <c r="X22" s="21">
        <f t="shared" ca="1" si="47"/>
        <v>2.0108999999999999</v>
      </c>
      <c r="Y22" s="12">
        <v>0</v>
      </c>
      <c r="Z22" s="1">
        <f t="shared" ca="1" si="48"/>
        <v>1.9</v>
      </c>
      <c r="AA22" s="1">
        <f t="shared" ca="1" si="49"/>
        <v>0</v>
      </c>
      <c r="AB22" s="1">
        <f t="shared" ca="1" si="50"/>
        <v>0</v>
      </c>
      <c r="AC22" s="1"/>
      <c r="AD22" s="246">
        <f t="shared" ca="1" si="51"/>
        <v>2</v>
      </c>
      <c r="AE22" s="28">
        <f t="shared" ca="1" si="52"/>
        <v>500000</v>
      </c>
      <c r="AF22" s="1">
        <f t="shared" ca="1" si="53"/>
        <v>2</v>
      </c>
      <c r="AG22" s="1">
        <f t="shared" ca="1" si="54"/>
        <v>1</v>
      </c>
      <c r="AH22" s="249">
        <f t="shared" ca="1" si="55"/>
        <v>2.0102099999999998</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2">
        <f t="shared" ca="1" si="34"/>
        <v>0</v>
      </c>
      <c r="K23" s="1">
        <f t="shared" ca="1" si="34"/>
        <v>0</v>
      </c>
      <c r="L23" s="28">
        <f t="shared" ca="1" si="44"/>
        <v>500000</v>
      </c>
      <c r="M23" s="13">
        <f t="shared" ca="1" si="45"/>
        <v>7</v>
      </c>
      <c r="N23" s="13">
        <f t="array" aca="1" ref="N23" ca="1">IF($AI$15,SUM(($K$17:$K$25&gt;=K23)/COUNTIF($K$17:$K$25,$K$17:$K$25)),SUM(($L$17:$L$25&gt;=L23)/COUNTIF($L$17:$L$25,$L$17:$L$25)))</f>
        <v>1.9999999999999996</v>
      </c>
      <c r="O23" s="5" t="str">
        <f t="shared" ca="1" si="35"/>
        <v/>
      </c>
      <c r="P23" s="3" t="str">
        <f t="shared" ca="1" si="36"/>
        <v/>
      </c>
      <c r="Q23" s="3" t="str">
        <f t="shared" ca="1" si="37"/>
        <v/>
      </c>
      <c r="R23" s="3" t="str">
        <f t="shared" ca="1" si="38"/>
        <v/>
      </c>
      <c r="S23" s="3" t="str">
        <f t="shared" ca="1" si="39"/>
        <v/>
      </c>
      <c r="T23" s="3" t="str">
        <f t="shared" ca="1" si="40"/>
        <v/>
      </c>
      <c r="U23" s="3" t="str">
        <f t="shared" ca="1" si="41"/>
        <v/>
      </c>
      <c r="V23" s="54" t="str">
        <f t="shared" ca="1" si="42"/>
        <v/>
      </c>
      <c r="W23" s="61">
        <f t="shared" ca="1" si="46"/>
        <v>500000</v>
      </c>
      <c r="X23" s="21">
        <f t="shared" ca="1" si="47"/>
        <v>2.0108999999999999</v>
      </c>
      <c r="Y23" s="12">
        <v>0</v>
      </c>
      <c r="Z23" s="1">
        <f t="shared" ca="1" si="48"/>
        <v>1.9</v>
      </c>
      <c r="AA23" s="1">
        <f t="shared" ca="1" si="49"/>
        <v>0</v>
      </c>
      <c r="AB23" s="1">
        <f t="shared" ca="1" si="50"/>
        <v>0</v>
      </c>
      <c r="AC23" s="1"/>
      <c r="AD23" s="246">
        <f t="shared" ca="1" si="51"/>
        <v>2</v>
      </c>
      <c r="AE23" s="28">
        <f t="shared" ca="1" si="52"/>
        <v>500000</v>
      </c>
      <c r="AF23" s="1">
        <f t="shared" ca="1" si="53"/>
        <v>2</v>
      </c>
      <c r="AG23" s="1">
        <f t="shared" ca="1" si="54"/>
        <v>1</v>
      </c>
      <c r="AH23" s="249">
        <f t="shared" ca="1" si="55"/>
        <v>2.0102099999999998</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2">
        <f t="shared" ca="1" si="34"/>
        <v>0</v>
      </c>
      <c r="K24" s="1">
        <f t="shared" ca="1" si="34"/>
        <v>0</v>
      </c>
      <c r="L24" s="28">
        <f t="shared" ca="1" si="44"/>
        <v>500000</v>
      </c>
      <c r="M24" s="13">
        <f t="shared" ca="1" si="45"/>
        <v>7</v>
      </c>
      <c r="N24" s="13">
        <f t="array" aca="1" ref="N24" ca="1">IF($AI$15,SUM(($K$17:$K$25&gt;=K24)/COUNTIF($K$17:$K$25,$K$17:$K$25)),SUM(($L$17:$L$25&gt;=L24)/COUNTIF($L$17:$L$25,$L$17:$L$25)))</f>
        <v>1.9999999999999996</v>
      </c>
      <c r="O24" s="5" t="str">
        <f t="shared" ca="1" si="35"/>
        <v/>
      </c>
      <c r="P24" s="3" t="str">
        <f t="shared" ca="1" si="36"/>
        <v/>
      </c>
      <c r="Q24" s="3" t="str">
        <f t="shared" ca="1" si="37"/>
        <v/>
      </c>
      <c r="R24" s="3" t="str">
        <f t="shared" ca="1" si="38"/>
        <v/>
      </c>
      <c r="S24" s="3" t="str">
        <f t="shared" ca="1" si="39"/>
        <v/>
      </c>
      <c r="T24" s="3" t="str">
        <f t="shared" ca="1" si="40"/>
        <v/>
      </c>
      <c r="U24" s="3" t="str">
        <f t="shared" ca="1" si="41"/>
        <v/>
      </c>
      <c r="V24" s="54" t="str">
        <f t="shared" ca="1" si="42"/>
        <v/>
      </c>
      <c r="W24" s="61">
        <f t="shared" ca="1" si="46"/>
        <v>500000</v>
      </c>
      <c r="X24" s="21">
        <f t="shared" ca="1" si="47"/>
        <v>2.0108999999999999</v>
      </c>
      <c r="Y24" s="12">
        <v>0</v>
      </c>
      <c r="Z24" s="1">
        <f t="shared" ca="1" si="48"/>
        <v>1.9</v>
      </c>
      <c r="AA24" s="1">
        <f t="shared" ca="1" si="49"/>
        <v>0</v>
      </c>
      <c r="AB24" s="1">
        <f t="shared" ca="1" si="50"/>
        <v>0</v>
      </c>
      <c r="AC24" s="1"/>
      <c r="AD24" s="246">
        <f t="shared" ca="1" si="51"/>
        <v>2</v>
      </c>
      <c r="AE24" s="28">
        <f t="shared" ca="1" si="52"/>
        <v>500000</v>
      </c>
      <c r="AF24" s="1">
        <f t="shared" ca="1" si="53"/>
        <v>2</v>
      </c>
      <c r="AG24" s="1">
        <f t="shared" ca="1" si="54"/>
        <v>1</v>
      </c>
      <c r="AH24" s="249">
        <f t="shared" ca="1" si="55"/>
        <v>2.0102099999999998</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2">
        <f t="shared" ca="1" si="34"/>
        <v>0</v>
      </c>
      <c r="K25" s="1">
        <f t="shared" ca="1" si="34"/>
        <v>0</v>
      </c>
      <c r="L25" s="28">
        <f t="shared" ca="1" si="44"/>
        <v>500000</v>
      </c>
      <c r="M25" s="13">
        <f t="shared" ca="1" si="45"/>
        <v>7</v>
      </c>
      <c r="N25" s="13">
        <f t="array" aca="1" ref="N25" ca="1">IF($AI$15,SUM(($K$17:$K$25&gt;=K25)/COUNTIF($K$17:$K$25,$K$17:$K$25)),SUM(($L$17:$L$25&gt;=L25)/COUNTIF($L$17:$L$25,$L$17:$L$25)))</f>
        <v>1.9999999999999996</v>
      </c>
      <c r="O25" s="55" t="str">
        <f t="shared" ca="1" si="35"/>
        <v/>
      </c>
      <c r="P25" s="56" t="str">
        <f t="shared" ca="1" si="36"/>
        <v/>
      </c>
      <c r="Q25" s="56" t="str">
        <f t="shared" ca="1" si="37"/>
        <v/>
      </c>
      <c r="R25" s="56" t="str">
        <f t="shared" ca="1" si="38"/>
        <v/>
      </c>
      <c r="S25" s="56" t="str">
        <f t="shared" ca="1" si="39"/>
        <v/>
      </c>
      <c r="T25" s="56" t="str">
        <f t="shared" ca="1" si="40"/>
        <v/>
      </c>
      <c r="U25" s="56" t="str">
        <f t="shared" ca="1" si="41"/>
        <v/>
      </c>
      <c r="V25" s="57" t="str">
        <f t="shared" ca="1" si="42"/>
        <v/>
      </c>
      <c r="W25" s="61">
        <f t="shared" ca="1" si="46"/>
        <v>500000</v>
      </c>
      <c r="X25" s="22">
        <f t="shared" ca="1" si="47"/>
        <v>2.0108999999999999</v>
      </c>
      <c r="Y25" s="12">
        <v>0</v>
      </c>
      <c r="Z25" s="1">
        <f t="shared" ca="1" si="48"/>
        <v>1.9</v>
      </c>
      <c r="AA25" s="1">
        <f t="shared" ca="1" si="49"/>
        <v>0</v>
      </c>
      <c r="AB25" s="1">
        <f t="shared" ca="1" si="50"/>
        <v>0</v>
      </c>
      <c r="AC25" s="1"/>
      <c r="AD25" s="246">
        <f t="shared" ca="1" si="51"/>
        <v>2</v>
      </c>
      <c r="AE25" s="28">
        <f t="shared" ca="1" si="52"/>
        <v>500000</v>
      </c>
      <c r="AF25" s="1">
        <f t="shared" ca="1" si="53"/>
        <v>2</v>
      </c>
      <c r="AG25" s="1">
        <f t="shared" ca="1" si="54"/>
        <v>1</v>
      </c>
      <c r="AH25" s="250">
        <f t="shared" ca="1" si="55"/>
        <v>2.0102099999999998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937">
        <v>1</v>
      </c>
      <c r="F29" s="934"/>
      <c r="G29" s="934"/>
      <c r="H29" s="934"/>
      <c r="I29" s="934"/>
      <c r="J29" s="934"/>
      <c r="K29" s="934"/>
      <c r="L29" s="936"/>
      <c r="M29" s="933">
        <v>2</v>
      </c>
      <c r="N29" s="934"/>
      <c r="O29" s="934"/>
      <c r="P29" s="934"/>
      <c r="Q29" s="934"/>
      <c r="R29" s="934"/>
      <c r="S29" s="934"/>
      <c r="T29" s="936"/>
      <c r="U29" s="933">
        <v>3</v>
      </c>
      <c r="V29" s="934"/>
      <c r="W29" s="934"/>
      <c r="X29" s="934"/>
      <c r="Y29" s="934"/>
      <c r="Z29" s="934"/>
      <c r="AA29" s="934"/>
      <c r="AB29" s="936"/>
      <c r="AC29" s="933">
        <v>4</v>
      </c>
      <c r="AD29" s="934"/>
      <c r="AE29" s="934"/>
      <c r="AF29" s="934"/>
      <c r="AG29" s="934"/>
      <c r="AH29" s="934"/>
      <c r="AI29" s="934"/>
      <c r="AJ29" s="936"/>
      <c r="AK29" s="933">
        <v>5</v>
      </c>
      <c r="AL29" s="934"/>
      <c r="AM29" s="934"/>
      <c r="AN29" s="934"/>
      <c r="AO29" s="934"/>
      <c r="AP29" s="934"/>
      <c r="AQ29" s="934"/>
      <c r="AR29" s="936"/>
      <c r="AS29" s="933">
        <v>6</v>
      </c>
      <c r="AT29" s="934"/>
      <c r="AU29" s="934"/>
      <c r="AV29" s="934"/>
      <c r="AW29" s="934"/>
      <c r="AX29" s="934"/>
      <c r="AY29" s="934"/>
      <c r="AZ29" s="936"/>
      <c r="BA29" s="933">
        <v>7</v>
      </c>
      <c r="BB29" s="934"/>
      <c r="BC29" s="934"/>
      <c r="BD29" s="934"/>
      <c r="BE29" s="934"/>
      <c r="BF29" s="934"/>
      <c r="BG29" s="934"/>
      <c r="BH29" s="936"/>
      <c r="BI29" s="933">
        <v>8</v>
      </c>
      <c r="BJ29" s="934"/>
      <c r="BK29" s="934"/>
      <c r="BL29" s="934"/>
      <c r="BM29" s="934"/>
      <c r="BN29" s="934"/>
      <c r="BO29" s="934"/>
      <c r="BP29" s="935"/>
      <c r="BQ29" s="12"/>
      <c r="BR29" s="4" t="s">
        <v>94</v>
      </c>
      <c r="BS29" s="2" t="str">
        <f ca="1">$F$4</f>
        <v>VFB Essenheim</v>
      </c>
      <c r="BT29" s="2" t="str">
        <f ca="1">$F$5</f>
        <v>Inter Mailand</v>
      </c>
      <c r="BU29" s="2" t="str">
        <f ca="1">$F$6</f>
        <v/>
      </c>
      <c r="BV29" s="2" t="str">
        <f ca="1">$F$7</f>
        <v/>
      </c>
      <c r="BW29" s="2" t="str">
        <f>$F$8</f>
        <v/>
      </c>
      <c r="BX29" s="2" t="str">
        <f>$F$9</f>
        <v/>
      </c>
      <c r="BY29" s="2" t="str">
        <f>$F$10</f>
        <v/>
      </c>
      <c r="BZ29" s="2" t="str">
        <f>$F$11</f>
        <v/>
      </c>
      <c r="CA29" s="2" t="str">
        <f>$F$12</f>
        <v/>
      </c>
      <c r="CB29" s="50"/>
    </row>
    <row r="30" spans="2:80" s="2" customFormat="1" x14ac:dyDescent="0.2">
      <c r="C30" s="2" t="str">
        <f ca="1">$Q64</f>
        <v>VFB Essenheim</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56">F4</f>
        <v>VFB Essenheim</v>
      </c>
      <c r="BS30" s="6"/>
      <c r="BT30" s="7">
        <f t="shared" ref="BT30:CA37" ca="1" si="57">SUMIFS($X$64:$X$135,$V$64:$V$135,$BR30,$W$64:$W$135,BT$29)+SUMIFS($Y$64:$Y$135,$W$64:$W$135,$BR30,$V$64:$V$135,BT$29)+SUMIFS($AG$64:$AG$135,$V$64:$V$135,$BR30,$W$64:$W$135,BT$29)+SUMIFS($AH$64:$AH$135,$W$64:$W$135,$BR30,$V$64:$V$135,BT$29)</f>
        <v>38</v>
      </c>
      <c r="BU30" s="7">
        <f t="shared" ca="1" si="57"/>
        <v>0</v>
      </c>
      <c r="BV30" s="7">
        <f t="shared" ca="1" si="57"/>
        <v>0</v>
      </c>
      <c r="BW30" s="7">
        <f t="shared" ca="1" si="57"/>
        <v>0</v>
      </c>
      <c r="BX30" s="7">
        <f t="shared" ca="1" si="57"/>
        <v>0</v>
      </c>
      <c r="BY30" s="7">
        <f t="shared" ca="1" si="57"/>
        <v>0</v>
      </c>
      <c r="BZ30" s="7">
        <f t="shared" ca="1" si="57"/>
        <v>0</v>
      </c>
      <c r="CA30" s="7">
        <f t="shared" ca="1" si="57"/>
        <v>0</v>
      </c>
      <c r="CB30" s="3"/>
    </row>
    <row r="31" spans="2:80" s="2" customFormat="1" x14ac:dyDescent="0.2">
      <c r="C31" s="2" t="str">
        <f t="shared" ref="C31:C38" ca="1" si="58">$Q65</f>
        <v>Inter Mailand</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56"/>
        <v>Inter Mailand</v>
      </c>
      <c r="BS31" s="8">
        <f ca="1">SUMIFS($X$64:$X$135,$V$64:$V$135,$BR31,$W$64:$W$135,BS$29)+SUMIFS($Y$64:$Y$135,$W$64:$W$135,$BR31,$V$64:$V$135,BS$29)+SUMIFS($AG$64:$AG$135,$V$64:$V$135,$BR31,$W$64:$W$135,BS$29)+SUMIFS($AH$64:$AH$135,$W$64:$W$135,$BR31,$V$64:$V$135,BS$29)</f>
        <v>50</v>
      </c>
      <c r="BT31" s="6"/>
      <c r="BU31" s="7">
        <f ca="1">SUMIFS($X$64:$X$135,$V$64:$V$135,$BR31,$W$64:$W$135,BU$29)+SUMIFS($Y$64:$Y$135,$W$64:$W$135,$BR31,$V$64:$V$135,BU$29)+SUMIFS($AG$64:$AG$135,$V$64:$V$135,$BR31,$W$64:$W$135,BU$29)+SUMIFS($AH$64:$AH$135,$W$64:$W$135,$BR31,$V$64:$V$135,BU$29)</f>
        <v>0</v>
      </c>
      <c r="BV31" s="7">
        <f t="shared" ca="1" si="57"/>
        <v>0</v>
      </c>
      <c r="BW31" s="7">
        <f t="shared" ca="1" si="57"/>
        <v>0</v>
      </c>
      <c r="BX31" s="7">
        <f t="shared" ca="1" si="57"/>
        <v>0</v>
      </c>
      <c r="BY31" s="7">
        <f t="shared" ca="1" si="57"/>
        <v>0</v>
      </c>
      <c r="BZ31" s="7">
        <f t="shared" ca="1" si="57"/>
        <v>0</v>
      </c>
      <c r="CA31" s="7">
        <f t="shared" ca="1" si="57"/>
        <v>0</v>
      </c>
      <c r="CB31" s="3"/>
    </row>
    <row r="32" spans="2:80" s="2" customFormat="1" x14ac:dyDescent="0.2">
      <c r="C32" s="2" t="str">
        <f t="shared" ca="1" si="58"/>
        <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56"/>
        <v/>
      </c>
      <c r="BS32" s="8">
        <f t="shared" ref="BS32:BY38" ca="1" si="59">SUMIFS($X$64:$X$135,$V$64:$V$135,$BR32,$W$64:$W$135,BS$29)+SUMIFS($Y$64:$Y$135,$W$64:$W$135,$BR32,$V$64:$V$135,BS$29)+SUMIFS($AG$64:$AG$135,$V$64:$V$135,$BR32,$W$64:$W$135,BS$29)+SUMIFS($AH$64:$AH$135,$W$64:$W$135,$BR32,$V$64:$V$135,BS$29)</f>
        <v>0</v>
      </c>
      <c r="BT32" s="8">
        <f t="shared" ca="1" si="59"/>
        <v>0</v>
      </c>
      <c r="BU32" s="6"/>
      <c r="BV32" s="7">
        <f t="shared" ca="1" si="57"/>
        <v>0</v>
      </c>
      <c r="BW32" s="7">
        <f t="shared" ca="1" si="57"/>
        <v>0</v>
      </c>
      <c r="BX32" s="7">
        <f t="shared" ca="1" si="57"/>
        <v>0</v>
      </c>
      <c r="BY32" s="7">
        <f t="shared" ca="1" si="57"/>
        <v>0</v>
      </c>
      <c r="BZ32" s="7">
        <f t="shared" ca="1" si="57"/>
        <v>0</v>
      </c>
      <c r="CA32" s="7">
        <f t="shared" ca="1" si="57"/>
        <v>0</v>
      </c>
      <c r="CB32" s="3"/>
    </row>
    <row r="33" spans="2:80" s="2" customFormat="1" x14ac:dyDescent="0.2">
      <c r="C33" s="2" t="str">
        <f t="shared" ca="1" si="58"/>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ca="1" si="56"/>
        <v/>
      </c>
      <c r="BS33" s="8">
        <f t="shared" ca="1" si="59"/>
        <v>0</v>
      </c>
      <c r="BT33" s="8">
        <f t="shared" ca="1" si="59"/>
        <v>0</v>
      </c>
      <c r="BU33" s="8">
        <f t="shared" ca="1" si="59"/>
        <v>0</v>
      </c>
      <c r="BV33" s="6"/>
      <c r="BW33" s="7">
        <f t="shared" ca="1" si="57"/>
        <v>0</v>
      </c>
      <c r="BX33" s="7">
        <f t="shared" ca="1" si="57"/>
        <v>0</v>
      </c>
      <c r="BY33" s="7">
        <f t="shared" ca="1" si="57"/>
        <v>0</v>
      </c>
      <c r="BZ33" s="7">
        <f t="shared" ca="1" si="57"/>
        <v>0</v>
      </c>
      <c r="CA33" s="7">
        <f t="shared" ca="1" si="57"/>
        <v>0</v>
      </c>
      <c r="CB33" s="3"/>
    </row>
    <row r="34" spans="2:80" s="2" customFormat="1" x14ac:dyDescent="0.2">
      <c r="C34" s="2" t="str">
        <f t="shared" si="58"/>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56"/>
        <v/>
      </c>
      <c r="BS34" s="8">
        <f t="shared" ca="1" si="59"/>
        <v>0</v>
      </c>
      <c r="BT34" s="8">
        <f t="shared" ca="1" si="59"/>
        <v>0</v>
      </c>
      <c r="BU34" s="8">
        <f t="shared" ca="1" si="59"/>
        <v>0</v>
      </c>
      <c r="BV34" s="8">
        <f t="shared" ca="1" si="59"/>
        <v>0</v>
      </c>
      <c r="BW34" s="6"/>
      <c r="BX34" s="7">
        <f t="shared" ca="1" si="57"/>
        <v>0</v>
      </c>
      <c r="BY34" s="7">
        <f t="shared" ca="1" si="57"/>
        <v>0</v>
      </c>
      <c r="BZ34" s="7">
        <f t="shared" ca="1" si="57"/>
        <v>0</v>
      </c>
      <c r="CA34" s="7">
        <f t="shared" ca="1" si="57"/>
        <v>0</v>
      </c>
      <c r="CB34" s="3"/>
    </row>
    <row r="35" spans="2:80" s="2" customFormat="1" x14ac:dyDescent="0.2">
      <c r="C35" s="2" t="str">
        <f t="shared" si="58"/>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56"/>
        <v/>
      </c>
      <c r="BS35" s="8">
        <f t="shared" ca="1" si="59"/>
        <v>0</v>
      </c>
      <c r="BT35" s="8">
        <f t="shared" ca="1" si="59"/>
        <v>0</v>
      </c>
      <c r="BU35" s="8">
        <f t="shared" ca="1" si="59"/>
        <v>0</v>
      </c>
      <c r="BV35" s="8">
        <f t="shared" ca="1" si="59"/>
        <v>0</v>
      </c>
      <c r="BW35" s="8">
        <f t="shared" ca="1" si="59"/>
        <v>0</v>
      </c>
      <c r="BX35" s="6"/>
      <c r="BY35" s="7">
        <f t="shared" ca="1" si="57"/>
        <v>0</v>
      </c>
      <c r="BZ35" s="7">
        <f t="shared" ca="1" si="57"/>
        <v>0</v>
      </c>
      <c r="CA35" s="7">
        <f t="shared" ca="1" si="57"/>
        <v>0</v>
      </c>
      <c r="CB35" s="3"/>
    </row>
    <row r="36" spans="2:80" s="2" customFormat="1" x14ac:dyDescent="0.2">
      <c r="C36" s="2" t="str">
        <f t="shared" si="58"/>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56"/>
        <v/>
      </c>
      <c r="BS36" s="8">
        <f t="shared" ca="1" si="59"/>
        <v>0</v>
      </c>
      <c r="BT36" s="8">
        <f t="shared" ca="1" si="59"/>
        <v>0</v>
      </c>
      <c r="BU36" s="8">
        <f t="shared" ca="1" si="59"/>
        <v>0</v>
      </c>
      <c r="BV36" s="8">
        <f t="shared" ca="1" si="59"/>
        <v>0</v>
      </c>
      <c r="BW36" s="8">
        <f t="shared" ca="1" si="59"/>
        <v>0</v>
      </c>
      <c r="BX36" s="8">
        <f t="shared" ca="1" si="59"/>
        <v>0</v>
      </c>
      <c r="BY36" s="6"/>
      <c r="BZ36" s="7">
        <f t="shared" ca="1" si="57"/>
        <v>0</v>
      </c>
      <c r="CA36" s="7">
        <f t="shared" ca="1" si="57"/>
        <v>0</v>
      </c>
      <c r="CB36" s="3"/>
    </row>
    <row r="37" spans="2:80" s="2" customFormat="1" x14ac:dyDescent="0.2">
      <c r="C37" s="2" t="str">
        <f t="shared" si="58"/>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56"/>
        <v/>
      </c>
      <c r="BS37" s="8">
        <f t="shared" ca="1" si="59"/>
        <v>0</v>
      </c>
      <c r="BT37" s="8">
        <f t="shared" ca="1" si="59"/>
        <v>0</v>
      </c>
      <c r="BU37" s="8">
        <f t="shared" ca="1" si="59"/>
        <v>0</v>
      </c>
      <c r="BV37" s="8">
        <f t="shared" ca="1" si="59"/>
        <v>0</v>
      </c>
      <c r="BW37" s="8">
        <f t="shared" ca="1" si="59"/>
        <v>0</v>
      </c>
      <c r="BX37" s="8">
        <f t="shared" ca="1" si="59"/>
        <v>0</v>
      </c>
      <c r="BY37" s="8">
        <f t="shared" ca="1" si="59"/>
        <v>0</v>
      </c>
      <c r="BZ37" s="6"/>
      <c r="CA37" s="7">
        <f t="shared" ca="1" si="57"/>
        <v>0</v>
      </c>
      <c r="CB37" s="3"/>
    </row>
    <row r="38" spans="2:80" s="2" customFormat="1" x14ac:dyDescent="0.2">
      <c r="C38" s="2" t="str">
        <f t="shared" si="58"/>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56"/>
        <v/>
      </c>
      <c r="BS38" s="8">
        <f t="shared" ca="1" si="59"/>
        <v>0</v>
      </c>
      <c r="BT38" s="8">
        <f t="shared" ca="1" si="59"/>
        <v>0</v>
      </c>
      <c r="BU38" s="8">
        <f t="shared" ca="1" si="59"/>
        <v>0</v>
      </c>
      <c r="BV38" s="8">
        <f t="shared" ca="1" si="59"/>
        <v>0</v>
      </c>
      <c r="BW38" s="8">
        <f t="shared" ca="1" si="59"/>
        <v>0</v>
      </c>
      <c r="BX38" s="8">
        <f t="shared" ca="1" si="59"/>
        <v>0</v>
      </c>
      <c r="BY38" s="8">
        <f t="shared" ca="1" si="59"/>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101</v>
      </c>
      <c r="BS40" s="2" t="str">
        <f ca="1">$F$4</f>
        <v>VFB Essenheim</v>
      </c>
      <c r="BT40" s="2" t="str">
        <f ca="1">$F$5</f>
        <v>Inter Mailand</v>
      </c>
      <c r="BU40" s="2" t="str">
        <f ca="1">$F$6</f>
        <v/>
      </c>
      <c r="BV40" s="2" t="str">
        <f ca="1">$F$7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60">F4</f>
        <v>VFB Essenheim</v>
      </c>
      <c r="BS41" s="6"/>
      <c r="BT41" s="7">
        <f ca="1">BT30-BS31</f>
        <v>-12</v>
      </c>
      <c r="BU41" s="7">
        <f ca="1">BU30-BS32</f>
        <v>0</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60"/>
        <v>Inter Mailand</v>
      </c>
      <c r="BS42" s="8">
        <f ca="1">IF(BT41="","",-1*BT41)</f>
        <v>12</v>
      </c>
      <c r="BT42" s="6"/>
      <c r="BU42" s="7">
        <f ca="1">BU31-BT32</f>
        <v>0</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60"/>
        <v/>
      </c>
      <c r="BS43" s="8">
        <f ca="1">IF(BU41="","",-1*BU41)</f>
        <v>0</v>
      </c>
      <c r="BT43" s="8">
        <f ca="1">IF(BU42="","",-1*BU42)</f>
        <v>0</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ca="1" si="60"/>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60"/>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60"/>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60"/>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60"/>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60"/>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61">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VFB Essenheim</v>
      </c>
      <c r="BT51" s="2" t="str">
        <f ca="1">$F$5</f>
        <v>Inter Mailand</v>
      </c>
      <c r="BU51" s="2" t="str">
        <f ca="1">$F$6</f>
        <v/>
      </c>
      <c r="BV51" s="2" t="str">
        <f ca="1">$F$7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62">F4</f>
        <v>VFB Essenheim</v>
      </c>
      <c r="BS52" s="6"/>
      <c r="BT52" s="7">
        <f t="shared" ref="BT52:CA58" ca="1" si="63">SUMIFS($AE$64:$AE$135,$V$64:$V$135,$BR52,$W$64:$W$135,BT$51)+SUMIFS($AF$64:$AF$135,$W$64:$W$135,$BR52,$V$64:$V$135,BT$51)</f>
        <v>0</v>
      </c>
      <c r="BU52" s="7">
        <f t="shared" ca="1" si="63"/>
        <v>0</v>
      </c>
      <c r="BV52" s="7">
        <f t="shared" ca="1" si="63"/>
        <v>0</v>
      </c>
      <c r="BW52" s="7">
        <f t="shared" ca="1" si="63"/>
        <v>0</v>
      </c>
      <c r="BX52" s="7">
        <f t="shared" ca="1" si="63"/>
        <v>0</v>
      </c>
      <c r="BY52" s="7">
        <f t="shared" ca="1" si="63"/>
        <v>0</v>
      </c>
      <c r="BZ52" s="7">
        <f t="shared" ca="1" si="63"/>
        <v>0</v>
      </c>
      <c r="CA52" s="7">
        <f t="shared" ca="1" si="63"/>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62"/>
        <v>Inter Mailand</v>
      </c>
      <c r="BS53" s="8">
        <f t="shared" ref="BS53:BU60" ca="1" si="64">SUMIFS($AE$64:$AE$135,$V$64:$V$135,$BR53,$W$64:$W$135,BS$51)+SUMIFS($AF$64:$AF$135,$W$64:$W$135,$BR53,$V$64:$V$135,BS$51)</f>
        <v>2</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63"/>
        <v>0</v>
      </c>
      <c r="CA53" s="7">
        <f t="shared" ca="1" si="63"/>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62"/>
        <v/>
      </c>
      <c r="BS54" s="8">
        <f t="shared" ca="1" si="64"/>
        <v>0</v>
      </c>
      <c r="BT54" s="8">
        <f t="shared" ca="1" si="64"/>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63"/>
        <v>0</v>
      </c>
      <c r="CA54" s="7">
        <f t="shared" ca="1" si="63"/>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ca="1" si="62"/>
        <v/>
      </c>
      <c r="BS55" s="8">
        <f t="shared" ca="1" si="64"/>
        <v>0</v>
      </c>
      <c r="BT55" s="8">
        <f t="shared" ca="1" si="64"/>
        <v>0</v>
      </c>
      <c r="BU55" s="8">
        <f t="shared" ca="1" si="64"/>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63"/>
        <v>0</v>
      </c>
      <c r="CA55" s="7">
        <f t="shared" ca="1" si="63"/>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62"/>
        <v/>
      </c>
      <c r="BS56" s="8">
        <f t="shared" ca="1" si="64"/>
        <v>0</v>
      </c>
      <c r="BT56" s="8">
        <f t="shared" ca="1" si="64"/>
        <v>0</v>
      </c>
      <c r="BU56" s="8">
        <f t="shared" ca="1" si="64"/>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63"/>
        <v>0</v>
      </c>
      <c r="CA56" s="7">
        <f t="shared" ca="1" si="63"/>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62"/>
        <v/>
      </c>
      <c r="BS57" s="8">
        <f t="shared" ca="1" si="64"/>
        <v>0</v>
      </c>
      <c r="BT57" s="8">
        <f t="shared" ca="1" si="64"/>
        <v>0</v>
      </c>
      <c r="BU57" s="8">
        <f t="shared" ca="1" si="64"/>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63"/>
        <v>0</v>
      </c>
      <c r="CA57" s="7">
        <f t="shared" ca="1" si="63"/>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62"/>
        <v/>
      </c>
      <c r="BS58" s="8">
        <f t="shared" ca="1" si="64"/>
        <v>0</v>
      </c>
      <c r="BT58" s="8">
        <f t="shared" ca="1" si="64"/>
        <v>0</v>
      </c>
      <c r="BU58" s="8">
        <f t="shared" ca="1" si="64"/>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63"/>
        <v>0</v>
      </c>
      <c r="CA58" s="7">
        <f t="shared" ca="1" si="63"/>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62"/>
        <v/>
      </c>
      <c r="BS59" s="8">
        <f t="shared" ca="1" si="64"/>
        <v>0</v>
      </c>
      <c r="BT59" s="8">
        <f t="shared" ca="1" si="64"/>
        <v>0</v>
      </c>
      <c r="BU59" s="8">
        <f t="shared" ca="1" si="64"/>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62"/>
        <v/>
      </c>
      <c r="BS60" s="8">
        <f t="shared" ca="1" si="64"/>
        <v>0</v>
      </c>
      <c r="BT60" s="8">
        <f t="shared" ca="1" si="64"/>
        <v>0</v>
      </c>
      <c r="BU60" s="8">
        <f t="shared" ca="1" si="64"/>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89" t="s">
        <v>170</v>
      </c>
      <c r="X63" s="931" t="s">
        <v>326</v>
      </c>
      <c r="Y63" s="931"/>
      <c r="Z63" s="161" t="s">
        <v>155</v>
      </c>
      <c r="AA63" s="161" t="s">
        <v>15</v>
      </c>
      <c r="AB63" s="161" t="s">
        <v>153</v>
      </c>
      <c r="AC63" s="688" t="s">
        <v>156</v>
      </c>
      <c r="AD63" s="161" t="s">
        <v>154</v>
      </c>
      <c r="AE63" s="925" t="s">
        <v>334</v>
      </c>
      <c r="AF63" s="925"/>
      <c r="AG63" s="932" t="s">
        <v>328</v>
      </c>
      <c r="AH63" s="932"/>
      <c r="AI63" s="689" t="s">
        <v>335</v>
      </c>
      <c r="AJ63" s="3"/>
      <c r="AK63" s="3"/>
      <c r="AL63" s="3"/>
      <c r="AM63" s="3"/>
      <c r="AN63" s="3"/>
      <c r="AO63" s="3"/>
      <c r="AP63" s="3"/>
      <c r="AQ63" s="3"/>
      <c r="AR63" s="3"/>
    </row>
    <row r="64" spans="5:80" s="2" customFormat="1" ht="14.25" thickTop="1" thickBot="1" x14ac:dyDescent="0.25">
      <c r="F64" s="190">
        <v>1000000</v>
      </c>
      <c r="G64" s="191" t="s">
        <v>109</v>
      </c>
      <c r="P64" s="43" t="s">
        <v>6</v>
      </c>
      <c r="Q64" s="58" t="str">
        <f ca="1">IF('Endrunde 4'!$AH26="","",'Endrunde 4'!$AH26)</f>
        <v>VFB Essenheim</v>
      </c>
      <c r="U64" s="63" t="s">
        <v>6</v>
      </c>
      <c r="V64" s="38" t="str">
        <f ca="1">'Endrunde 4'!$I12</f>
        <v>VFB Essenheim</v>
      </c>
      <c r="W64" s="31" t="str">
        <f ca="1">'Endrunde 4'!$K12</f>
        <v/>
      </c>
      <c r="X64" s="31" t="str">
        <f ca="1">IF($AA64=1,'Endrunde 4'!$L12,"")</f>
        <v/>
      </c>
      <c r="Y64" s="32" t="str">
        <f ca="1">IF($AA64=1,'Endrunde 4'!$N12,"")</f>
        <v/>
      </c>
      <c r="Z64" s="30" t="str">
        <f ca="1">V64&amp;W64</f>
        <v>VFB Essenheim</v>
      </c>
      <c r="AA64" s="31">
        <f ca="1">IF(AND('Endrunde 4'!$L12&lt;&gt;"",'Endrunde 4'!$N12&lt;&gt;"",'Endrunde 4'!$L12&lt;&gt;'Endrunde 4'!$N12,OR(AND('Endrunde 4'!$O12="",'Endrunde 4'!$Q12=""),AND('Endrunde 4'!$O12&lt;&gt;"",'Endrunde 4'!$Q12&lt;&gt;"",'Endrunde 4'!$O12&lt;&gt;'Endrunde 4'!$Q12)),'Endrunde 4'!$I12&lt;&gt;"",'Endrunde 4'!$K12&lt;&gt;"",'Endrunde 4'!$I12&lt;&gt;'Endrunde 4'!$K12),1,0)</f>
        <v>0</v>
      </c>
      <c r="AB64" s="139" t="str">
        <f ca="1">IF(AA64&gt;0,(X64+AG64)&amp;Sprache!$E$77&amp;(Y64+AH64),"")</f>
        <v/>
      </c>
      <c r="AD64" s="140"/>
      <c r="AE64" s="145">
        <f ca="1">IF($AA64=0,0,IF($X64&gt;$Y64,1,0)+IF($AG64&gt;$AH64,1,0))</f>
        <v>0</v>
      </c>
      <c r="AF64" s="140">
        <f ca="1">IF($AA64=0,0,IF($X64&lt;$Y64,1,0)+IF($AG64&lt;$AH64,1,0))</f>
        <v>0</v>
      </c>
      <c r="AG64" s="145" t="str">
        <f ca="1">IF($AA64=1,'Endrunde 4'!$O12,"")</f>
        <v/>
      </c>
      <c r="AH64" s="139" t="str">
        <f ca="1">IF($AA64=1,'Endrunde 4'!$Q12,"")</f>
        <v/>
      </c>
      <c r="AI64" s="598" t="str">
        <f ca="1">IF(AA64&gt;0,AE64&amp;Sprache!$E$77&amp;AF64,"")</f>
        <v/>
      </c>
      <c r="AJ64" s="3"/>
      <c r="AK64" s="3"/>
      <c r="AL64" s="3"/>
      <c r="AM64" s="3"/>
      <c r="AN64" s="3"/>
      <c r="AO64" s="3"/>
      <c r="AP64" s="3"/>
      <c r="AQ64" s="3"/>
      <c r="AR64" s="3"/>
    </row>
    <row r="65" spans="2:43" s="2" customFormat="1" ht="13.5" thickBot="1" x14ac:dyDescent="0.25">
      <c r="F65" s="192">
        <v>1000</v>
      </c>
      <c r="G65" s="193" t="s">
        <v>108</v>
      </c>
      <c r="H65" s="197">
        <v>500</v>
      </c>
      <c r="I65" s="196" t="s">
        <v>304</v>
      </c>
      <c r="P65" s="44" t="s">
        <v>7</v>
      </c>
      <c r="Q65" s="59" t="str">
        <f ca="1">IF('Endrunde 4'!$AH27="","",'Endrunde 4'!$AH27)</f>
        <v>Inter Mailand</v>
      </c>
      <c r="U65" s="64" t="s">
        <v>7</v>
      </c>
      <c r="V65" s="39" t="str">
        <f ca="1">'Endrunde 4'!$I13</f>
        <v>1. FC Riedwald</v>
      </c>
      <c r="W65" s="12" t="str">
        <f ca="1">'Endrunde 4'!$K13</f>
        <v>SSV Wildbach</v>
      </c>
      <c r="X65" s="12">
        <f ca="1">IF($AA65=1,'Endrunde 4'!$L13,"")</f>
        <v>25</v>
      </c>
      <c r="Y65" s="34">
        <f ca="1">IF($AA65=1,'Endrunde 4'!$N13,"")</f>
        <v>20</v>
      </c>
      <c r="Z65" s="33" t="str">
        <f t="shared" ref="Z65:Z73" ca="1" si="65">V65&amp;W65</f>
        <v>1. FC RiedwaldSSV Wildbach</v>
      </c>
      <c r="AA65" s="12">
        <f ca="1">IF(AND('Endrunde 4'!$L13&lt;&gt;"",'Endrunde 4'!$N13&lt;&gt;"",'Endrunde 4'!$L13&lt;&gt;'Endrunde 4'!$N13,OR(AND('Endrunde 4'!$O13="",'Endrunde 4'!$Q13=""),AND('Endrunde 4'!$O13&lt;&gt;"",'Endrunde 4'!$Q13&lt;&gt;"",'Endrunde 4'!$O13&lt;&gt;'Endrunde 4'!$Q13)),'Endrunde 4'!$I13&lt;&gt;"",'Endrunde 4'!$K13&lt;&gt;"",'Endrunde 4'!$I13&lt;&gt;'Endrunde 4'!$K13),1,0)</f>
        <v>1</v>
      </c>
      <c r="AB65" s="12" t="str">
        <f ca="1">IF(AA65&gt;0,(X65+AG65)&amp;Sprache!$E$77&amp;(Y65+AH65),"")</f>
        <v>42:45</v>
      </c>
      <c r="AD65" s="141"/>
      <c r="AE65" s="146">
        <f t="shared" ref="AE65:AE81" ca="1" si="66">IF($AA65=0,0,IF($X65&gt;$Y65,1,0)+IF($AG65&gt;$AH65,1,0))</f>
        <v>1</v>
      </c>
      <c r="AF65" s="141">
        <f t="shared" ref="AF65:AF81" ca="1" si="67">IF($AA65=0,0,IF($X65&lt;$Y65,1,0)+IF($AG65&lt;$AH65,1,0))</f>
        <v>1</v>
      </c>
      <c r="AG65" s="146">
        <f ca="1">IF($AA65=1,'Endrunde 4'!$O13,"")</f>
        <v>17</v>
      </c>
      <c r="AH65" s="12">
        <f ca="1">IF($AA65=1,'Endrunde 4'!$Q13,"")</f>
        <v>25</v>
      </c>
      <c r="AI65" s="599" t="str">
        <f ca="1">IF(AA65&gt;0,AE65&amp;Sprache!$E$77&amp;AF65,"")</f>
        <v>1:1</v>
      </c>
      <c r="AJ65" s="12"/>
      <c r="AK65" s="12"/>
      <c r="AL65" s="12"/>
      <c r="AM65" s="12"/>
      <c r="AN65" s="12"/>
      <c r="AO65" s="12"/>
      <c r="AP65" s="12"/>
      <c r="AQ65" s="12"/>
    </row>
    <row r="66" spans="2:43" s="2" customFormat="1" ht="13.5" thickBot="1" x14ac:dyDescent="0.25">
      <c r="F66" s="194">
        <v>1</v>
      </c>
      <c r="G66" s="195" t="s">
        <v>106</v>
      </c>
      <c r="P66" s="44" t="s">
        <v>8</v>
      </c>
      <c r="Q66" s="59" t="str">
        <f ca="1">IF('Endrunde 4'!$AH28="","",'Endrunde 4'!$AH28)</f>
        <v/>
      </c>
      <c r="U66" s="64" t="s">
        <v>8</v>
      </c>
      <c r="V66" s="39" t="str">
        <f ca="1">'Endrunde 4'!$I14</f>
        <v>Maibach 1822 eV</v>
      </c>
      <c r="W66" s="12" t="str">
        <f ca="1">'Endrunde 4'!$K14</f>
        <v>Manchester City</v>
      </c>
      <c r="X66" s="12">
        <f ca="1">IF($AA66=1,'Endrunde 4'!$L14,"")</f>
        <v>19</v>
      </c>
      <c r="Y66" s="34">
        <f ca="1">IF($AA66=1,'Endrunde 4'!$N14,"")</f>
        <v>25</v>
      </c>
      <c r="Z66" s="33" t="str">
        <f t="shared" ca="1" si="65"/>
        <v>Maibach 1822 eVManchester City</v>
      </c>
      <c r="AA66" s="12">
        <f ca="1">IF(AND('Endrunde 4'!$L14&lt;&gt;"",'Endrunde 4'!$N14&lt;&gt;"",'Endrunde 4'!$L14&lt;&gt;'Endrunde 4'!$N14,OR(AND('Endrunde 4'!$O14="",'Endrunde 4'!$Q14=""),AND('Endrunde 4'!$O14&lt;&gt;"",'Endrunde 4'!$Q14&lt;&gt;"",'Endrunde 4'!$O14&lt;&gt;'Endrunde 4'!$Q14)),'Endrunde 4'!$I14&lt;&gt;"",'Endrunde 4'!$K14&lt;&gt;"",'Endrunde 4'!$I14&lt;&gt;'Endrunde 4'!$K14),1,0)</f>
        <v>1</v>
      </c>
      <c r="AB66" s="12" t="str">
        <f ca="1">IF(AA66&gt;0,(X66+AG66)&amp;Sprache!$E$77&amp;(Y66+AH66),"")</f>
        <v>35:50</v>
      </c>
      <c r="AD66" s="141"/>
      <c r="AE66" s="146">
        <f t="shared" ca="1" si="66"/>
        <v>0</v>
      </c>
      <c r="AF66" s="141">
        <f t="shared" ca="1" si="67"/>
        <v>2</v>
      </c>
      <c r="AG66" s="146">
        <f ca="1">IF($AA66=1,'Endrunde 4'!$O14,"")</f>
        <v>16</v>
      </c>
      <c r="AH66" s="12">
        <f ca="1">IF($AA66=1,'Endrunde 4'!$Q14,"")</f>
        <v>25</v>
      </c>
      <c r="AI66" s="599" t="str">
        <f ca="1">IF(AA66&gt;0,AE66&amp;Sprache!$E$77&amp;AF66,"")</f>
        <v>0:2</v>
      </c>
      <c r="AJ66" s="3"/>
      <c r="AK66" s="12"/>
      <c r="AL66" s="12"/>
      <c r="AM66" s="12"/>
      <c r="AN66" s="12"/>
      <c r="AO66" s="12"/>
      <c r="AP66" s="12"/>
      <c r="AQ66" s="12"/>
    </row>
    <row r="67" spans="2:43" s="2" customFormat="1" x14ac:dyDescent="0.2">
      <c r="P67" s="44" t="s">
        <v>9</v>
      </c>
      <c r="Q67" s="59" t="str">
        <f ca="1">IF('Endrunde 4'!$AH29="","",'Endrunde 4'!$AH29)</f>
        <v/>
      </c>
      <c r="U67" s="64" t="s">
        <v>9</v>
      </c>
      <c r="V67" s="39" t="str">
        <f ca="1">'Endrunde 4'!$I15</f>
        <v>Inter Mailand</v>
      </c>
      <c r="W67" s="12" t="str">
        <f ca="1">'Endrunde 4'!$K15</f>
        <v/>
      </c>
      <c r="X67" s="12" t="str">
        <f ca="1">IF($AA67=1,'Endrunde 4'!$L15,"")</f>
        <v/>
      </c>
      <c r="Y67" s="34" t="str">
        <f ca="1">IF($AA67=1,'Endrunde 4'!$N15,"")</f>
        <v/>
      </c>
      <c r="Z67" s="33" t="str">
        <f t="shared" ca="1" si="65"/>
        <v>Inter Mailand</v>
      </c>
      <c r="AA67" s="12">
        <f ca="1">IF(AND('Endrunde 4'!$L15&lt;&gt;"",'Endrunde 4'!$N15&lt;&gt;"",'Endrunde 4'!$L15&lt;&gt;'Endrunde 4'!$N15,OR(AND('Endrunde 4'!$O15="",'Endrunde 4'!$Q15=""),AND('Endrunde 4'!$O15&lt;&gt;"",'Endrunde 4'!$Q15&lt;&gt;"",'Endrunde 4'!$O15&lt;&gt;'Endrunde 4'!$Q15)),'Endrunde 4'!$I15&lt;&gt;"",'Endrunde 4'!$K15&lt;&gt;"",'Endrunde 4'!$I15&lt;&gt;'Endrunde 4'!$K15),1,0)</f>
        <v>0</v>
      </c>
      <c r="AB67" s="12" t="str">
        <f ca="1">IF(AA67&gt;0,(X67+AG67)&amp;Sprache!$E$77&amp;(Y67+AH67),"")</f>
        <v/>
      </c>
      <c r="AD67" s="141"/>
      <c r="AE67" s="146">
        <f t="shared" ca="1" si="66"/>
        <v>0</v>
      </c>
      <c r="AF67" s="141">
        <f t="shared" ca="1" si="67"/>
        <v>0</v>
      </c>
      <c r="AG67" s="146" t="str">
        <f ca="1">IF($AA67=1,'Endrunde 4'!$O15,"")</f>
        <v/>
      </c>
      <c r="AH67" s="12" t="str">
        <f ca="1">IF($AA67=1,'Endrunde 4'!$Q15,"")</f>
        <v/>
      </c>
      <c r="AI67" s="599" t="str">
        <f ca="1">IF(AA67&gt;0,AE67&amp;Sprache!$E$77&amp;AF67,"")</f>
        <v/>
      </c>
      <c r="AJ67" s="12"/>
      <c r="AK67" s="3"/>
      <c r="AL67" s="12"/>
      <c r="AM67" s="12"/>
      <c r="AN67" s="12"/>
      <c r="AO67" s="12"/>
      <c r="AP67" s="12"/>
      <c r="AQ67" s="12"/>
    </row>
    <row r="68" spans="2:43" s="2" customFormat="1" x14ac:dyDescent="0.2">
      <c r="P68" s="44"/>
      <c r="Q68" s="59" t="str">
        <f>""</f>
        <v/>
      </c>
      <c r="U68" s="64" t="s">
        <v>10</v>
      </c>
      <c r="V68" s="39" t="str">
        <f ca="1">'Endrunde 4'!$I16</f>
        <v>FC Grönlingen</v>
      </c>
      <c r="W68" s="12" t="str">
        <f ca="1">'Endrunde 4'!$K16</f>
        <v>FC Barcelona</v>
      </c>
      <c r="X68" s="12">
        <f ca="1">IF($AA68=1,'Endrunde 4'!$L16,"")</f>
        <v>25</v>
      </c>
      <c r="Y68" s="34">
        <f ca="1">IF($AA68=1,'Endrunde 4'!$N16,"")</f>
        <v>23</v>
      </c>
      <c r="Z68" s="33" t="str">
        <f t="shared" ca="1" si="65"/>
        <v>FC GrönlingenFC Barcelona</v>
      </c>
      <c r="AA68" s="12">
        <f ca="1">IF(AND('Endrunde 4'!$L16&lt;&gt;"",'Endrunde 4'!$N16&lt;&gt;"",'Endrunde 4'!$L16&lt;&gt;'Endrunde 4'!$N16,OR(AND('Endrunde 4'!$O16="",'Endrunde 4'!$Q16=""),AND('Endrunde 4'!$O16&lt;&gt;"",'Endrunde 4'!$Q16&lt;&gt;"",'Endrunde 4'!$O16&lt;&gt;'Endrunde 4'!$Q16)),'Endrunde 4'!$I16&lt;&gt;"",'Endrunde 4'!$K16&lt;&gt;"",'Endrunde 4'!$I16&lt;&gt;'Endrunde 4'!$K16),1,0)</f>
        <v>1</v>
      </c>
      <c r="AB68" s="12" t="str">
        <f ca="1">IF(AA68&gt;0,(X68+AG68)&amp;Sprache!$E$77&amp;(Y68+AH68),"")</f>
        <v>50:44</v>
      </c>
      <c r="AD68" s="141"/>
      <c r="AE68" s="146">
        <f t="shared" ca="1" si="66"/>
        <v>2</v>
      </c>
      <c r="AF68" s="141">
        <f t="shared" ca="1" si="67"/>
        <v>0</v>
      </c>
      <c r="AG68" s="146">
        <f ca="1">IF($AA68=1,'Endrunde 4'!$O16,"")</f>
        <v>25</v>
      </c>
      <c r="AH68" s="12">
        <f ca="1">IF($AA68=1,'Endrunde 4'!$Q16,"")</f>
        <v>21</v>
      </c>
      <c r="AI68" s="599" t="str">
        <f ca="1">IF(AA68&gt;0,AE68&amp;Sprache!$E$77&amp;AF68,"")</f>
        <v>2:0</v>
      </c>
      <c r="AJ68" s="12"/>
      <c r="AK68" s="12"/>
      <c r="AL68" s="3"/>
      <c r="AM68" s="12"/>
      <c r="AN68" s="12"/>
      <c r="AO68" s="12"/>
      <c r="AP68" s="12"/>
      <c r="AQ68" s="12"/>
    </row>
    <row r="69" spans="2:43" s="2" customFormat="1" x14ac:dyDescent="0.2">
      <c r="P69" s="44"/>
      <c r="Q69" s="59" t="str">
        <f>""</f>
        <v/>
      </c>
      <c r="U69" s="64" t="s">
        <v>11</v>
      </c>
      <c r="V69" s="39" t="str">
        <f ca="1">'Endrunde 4'!$I17</f>
        <v>Mainz 05</v>
      </c>
      <c r="W69" s="12" t="str">
        <f ca="1">'Endrunde 4'!$K17</f>
        <v>Eintracht Frankfurt</v>
      </c>
      <c r="X69" s="12">
        <f ca="1">IF($AA69=1,'Endrunde 4'!$L17,"")</f>
        <v>25</v>
      </c>
      <c r="Y69" s="34">
        <f ca="1">IF($AA69=1,'Endrunde 4'!$N17,"")</f>
        <v>17</v>
      </c>
      <c r="Z69" s="33" t="str">
        <f t="shared" ca="1" si="65"/>
        <v>Mainz 05Eintracht Frankfurt</v>
      </c>
      <c r="AA69" s="12">
        <f ca="1">IF(AND('Endrunde 4'!$L17&lt;&gt;"",'Endrunde 4'!$N17&lt;&gt;"",'Endrunde 4'!$L17&lt;&gt;'Endrunde 4'!$N17,OR(AND('Endrunde 4'!$O17="",'Endrunde 4'!$Q17=""),AND('Endrunde 4'!$O17&lt;&gt;"",'Endrunde 4'!$Q17&lt;&gt;"",'Endrunde 4'!$O17&lt;&gt;'Endrunde 4'!$Q17)),'Endrunde 4'!$I17&lt;&gt;"",'Endrunde 4'!$K17&lt;&gt;"",'Endrunde 4'!$I17&lt;&gt;'Endrunde 4'!$K17),1,0)</f>
        <v>1</v>
      </c>
      <c r="AB69" s="12" t="str">
        <f ca="1">IF(AA69&gt;0,(X69+AG69)&amp;Sprache!$E$77&amp;(Y69+AH69),"")</f>
        <v>50:39</v>
      </c>
      <c r="AD69" s="141"/>
      <c r="AE69" s="146">
        <f t="shared" ca="1" si="66"/>
        <v>2</v>
      </c>
      <c r="AF69" s="141">
        <f t="shared" ca="1" si="67"/>
        <v>0</v>
      </c>
      <c r="AG69" s="146">
        <f ca="1">IF($AA69=1,'Endrunde 4'!$O17,"")</f>
        <v>25</v>
      </c>
      <c r="AH69" s="12">
        <f ca="1">IF($AA69=1,'Endrunde 4'!$Q17,"")</f>
        <v>22</v>
      </c>
      <c r="AI69" s="599" t="str">
        <f ca="1">IF(AA69&gt;0,AE69&amp;Sprache!$E$77&amp;AF69,"")</f>
        <v>2:0</v>
      </c>
      <c r="AJ69" s="12"/>
      <c r="AK69" s="12"/>
      <c r="AL69" s="12"/>
      <c r="AM69" s="3"/>
      <c r="AN69" s="12"/>
      <c r="AO69" s="12"/>
      <c r="AP69" s="12"/>
      <c r="AQ69" s="12"/>
    </row>
    <row r="70" spans="2:43" s="2" customFormat="1" x14ac:dyDescent="0.2">
      <c r="P70" s="44"/>
      <c r="Q70" s="59" t="str">
        <f>""</f>
        <v/>
      </c>
      <c r="U70" s="64" t="s">
        <v>16</v>
      </c>
      <c r="V70" s="39" t="str">
        <f ca="1">'Endrunde 4'!$I18</f>
        <v>VFB Essenheim</v>
      </c>
      <c r="W70" s="12" t="str">
        <f ca="1">'Endrunde 4'!$K18</f>
        <v/>
      </c>
      <c r="X70" s="12" t="str">
        <f ca="1">IF($AA70=1,'Endrunde 4'!$L18,"")</f>
        <v/>
      </c>
      <c r="Y70" s="34" t="str">
        <f ca="1">IF($AA70=1,'Endrunde 4'!$N18,"")</f>
        <v/>
      </c>
      <c r="Z70" s="33" t="str">
        <f t="shared" ca="1" si="65"/>
        <v>VFB Essenheim</v>
      </c>
      <c r="AA70" s="12">
        <f ca="1">IF(AND('Endrunde 4'!$L18&lt;&gt;"",'Endrunde 4'!$N18&lt;&gt;"",'Endrunde 4'!$L18&lt;&gt;'Endrunde 4'!$N18,OR(AND('Endrunde 4'!$O18="",'Endrunde 4'!$Q18=""),AND('Endrunde 4'!$O18&lt;&gt;"",'Endrunde 4'!$Q18&lt;&gt;"",'Endrunde 4'!$O18&lt;&gt;'Endrunde 4'!$Q18)),'Endrunde 4'!$I18&lt;&gt;"",'Endrunde 4'!$K18&lt;&gt;"",'Endrunde 4'!$I18&lt;&gt;'Endrunde 4'!$K18),1,0)</f>
        <v>0</v>
      </c>
      <c r="AB70" s="12" t="str">
        <f ca="1">IF(AA70&gt;0,(X70+AG70)&amp;Sprache!$E$77&amp;(Y70+AH70),"")</f>
        <v/>
      </c>
      <c r="AD70" s="141"/>
      <c r="AE70" s="146">
        <f t="shared" ca="1" si="66"/>
        <v>0</v>
      </c>
      <c r="AF70" s="141">
        <f t="shared" ca="1" si="67"/>
        <v>0</v>
      </c>
      <c r="AG70" s="146" t="str">
        <f ca="1">IF($AA70=1,'Endrunde 4'!$O18,"")</f>
        <v/>
      </c>
      <c r="AH70" s="12" t="str">
        <f ca="1">IF($AA70=1,'Endrunde 4'!$Q18,"")</f>
        <v/>
      </c>
      <c r="AI70" s="599" t="str">
        <f ca="1">IF(AA70&gt;0,AE70&amp;Sprache!$E$77&amp;AF70,"")</f>
        <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4"/>
      <c r="Q71" s="59" t="str">
        <f>""</f>
        <v/>
      </c>
      <c r="U71" s="64" t="s">
        <v>17</v>
      </c>
      <c r="V71" s="39" t="str">
        <f ca="1">'Endrunde 4'!$I19</f>
        <v>1. FC Riedwald</v>
      </c>
      <c r="W71" s="12" t="str">
        <f ca="1">'Endrunde 4'!$K19</f>
        <v>FC Barcelona</v>
      </c>
      <c r="X71" s="12">
        <f ca="1">IF($AA71=1,'Endrunde 4'!$L19,"")</f>
        <v>19</v>
      </c>
      <c r="Y71" s="34">
        <f ca="1">IF($AA71=1,'Endrunde 4'!$N19,"")</f>
        <v>25</v>
      </c>
      <c r="Z71" s="33" t="str">
        <f t="shared" ca="1" si="65"/>
        <v>1. FC RiedwaldFC Barcelona</v>
      </c>
      <c r="AA71" s="12">
        <f ca="1">IF(AND('Endrunde 4'!$L19&lt;&gt;"",'Endrunde 4'!$N19&lt;&gt;"",'Endrunde 4'!$L19&lt;&gt;'Endrunde 4'!$N19,OR(AND('Endrunde 4'!$O19="",'Endrunde 4'!$Q19=""),AND('Endrunde 4'!$O19&lt;&gt;"",'Endrunde 4'!$Q19&lt;&gt;"",'Endrunde 4'!$O19&lt;&gt;'Endrunde 4'!$Q19)),'Endrunde 4'!$I19&lt;&gt;"",'Endrunde 4'!$K19&lt;&gt;"",'Endrunde 4'!$I19&lt;&gt;'Endrunde 4'!$K19),1,0)</f>
        <v>1</v>
      </c>
      <c r="AB71" s="12" t="str">
        <f ca="1">IF(AA71&gt;0,(X71+AG71)&amp;Sprache!$E$77&amp;(Y71+AH71),"")</f>
        <v>44:37</v>
      </c>
      <c r="AD71" s="141"/>
      <c r="AE71" s="146">
        <f t="shared" ca="1" si="66"/>
        <v>1</v>
      </c>
      <c r="AF71" s="141">
        <f t="shared" ca="1" si="67"/>
        <v>1</v>
      </c>
      <c r="AG71" s="146">
        <f ca="1">IF($AA71=1,'Endrunde 4'!$O19,"")</f>
        <v>25</v>
      </c>
      <c r="AH71" s="12">
        <f ca="1">IF($AA71=1,'Endrunde 4'!$Q19,"")</f>
        <v>12</v>
      </c>
      <c r="AI71" s="599" t="str">
        <f ca="1">IF(AA71&gt;0,AE71&amp;Sprache!$E$77&amp;AF71,"")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5"/>
      <c r="Q72" s="60" t="str">
        <f>""</f>
        <v/>
      </c>
      <c r="U72" s="64" t="s">
        <v>18</v>
      </c>
      <c r="V72" s="39" t="str">
        <f ca="1">'Endrunde 4'!$I20</f>
        <v>Maibach 1822 eV</v>
      </c>
      <c r="W72" s="12" t="str">
        <f ca="1">'Endrunde 4'!$K20</f>
        <v>Eintracht Frankfurt</v>
      </c>
      <c r="X72" s="12">
        <f ca="1">IF($AA72=1,'Endrunde 4'!$L20,"")</f>
        <v>13</v>
      </c>
      <c r="Y72" s="34">
        <f ca="1">IF($AA72=1,'Endrunde 4'!$N20,"")</f>
        <v>25</v>
      </c>
      <c r="Z72" s="33" t="str">
        <f t="shared" ca="1" si="65"/>
        <v>Maibach 1822 eVEintracht Frankfurt</v>
      </c>
      <c r="AA72" s="12">
        <f ca="1">IF(AND('Endrunde 4'!$L20&lt;&gt;"",'Endrunde 4'!$N20&lt;&gt;"",'Endrunde 4'!$L20&lt;&gt;'Endrunde 4'!$N20,OR(AND('Endrunde 4'!$O20="",'Endrunde 4'!$Q20=""),AND('Endrunde 4'!$O20&lt;&gt;"",'Endrunde 4'!$Q20&lt;&gt;"",'Endrunde 4'!$O20&lt;&gt;'Endrunde 4'!$Q20)),'Endrunde 4'!$I20&lt;&gt;"",'Endrunde 4'!$K20&lt;&gt;"",'Endrunde 4'!$I20&lt;&gt;'Endrunde 4'!$K20),1,0)</f>
        <v>1</v>
      </c>
      <c r="AB72" s="12" t="str">
        <f ca="1">IF(AA72&gt;0,(X72+AG72)&amp;Sprache!$E$77&amp;(Y72+AH72),"")</f>
        <v>31:50</v>
      </c>
      <c r="AD72" s="141"/>
      <c r="AE72" s="146">
        <f t="shared" ca="1" si="66"/>
        <v>0</v>
      </c>
      <c r="AF72" s="141">
        <f t="shared" ca="1" si="67"/>
        <v>2</v>
      </c>
      <c r="AG72" s="146">
        <f ca="1">IF($AA72=1,'Endrunde 4'!$O20,"")</f>
        <v>18</v>
      </c>
      <c r="AH72" s="12">
        <f ca="1">IF($AA72=1,'Endrunde 4'!$Q20,"")</f>
        <v>25</v>
      </c>
      <c r="AI72" s="599" t="str">
        <f ca="1">IF(AA72&gt;0,AE72&amp;Sprache!$E$77&amp;AF72,"")</f>
        <v>0:2</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4" t="s">
        <v>24</v>
      </c>
      <c r="V73" s="39" t="str">
        <f ca="1">'Endrunde 4'!$I21</f>
        <v>Inter Mailand</v>
      </c>
      <c r="W73" s="12" t="str">
        <f ca="1">'Endrunde 4'!$K21</f>
        <v/>
      </c>
      <c r="X73" s="12" t="str">
        <f ca="1">IF($AA73=1,'Endrunde 4'!$L21,"")</f>
        <v/>
      </c>
      <c r="Y73" s="34" t="str">
        <f ca="1">IF($AA73=1,'Endrunde 4'!$N21,"")</f>
        <v/>
      </c>
      <c r="Z73" s="33" t="str">
        <f t="shared" ca="1" si="65"/>
        <v>Inter Mailand</v>
      </c>
      <c r="AA73" s="12">
        <f ca="1">IF(AND('Endrunde 4'!$L21&lt;&gt;"",'Endrunde 4'!$N21&lt;&gt;"",'Endrunde 4'!$L21&lt;&gt;'Endrunde 4'!$N21,OR(AND('Endrunde 4'!$O21="",'Endrunde 4'!$Q21=""),AND('Endrunde 4'!$O21&lt;&gt;"",'Endrunde 4'!$Q21&lt;&gt;"",'Endrunde 4'!$O21&lt;&gt;'Endrunde 4'!$Q21)),'Endrunde 4'!$I21&lt;&gt;"",'Endrunde 4'!$K21&lt;&gt;"",'Endrunde 4'!$I21&lt;&gt;'Endrunde 4'!$K21),1,0)</f>
        <v>0</v>
      </c>
      <c r="AB73" s="12" t="str">
        <f ca="1">IF(AA73&gt;0,(X73+AG73)&amp;Sprache!$E$77&amp;(Y73+AH73),"")</f>
        <v/>
      </c>
      <c r="AD73" s="141"/>
      <c r="AE73" s="146">
        <f t="shared" ca="1" si="66"/>
        <v>0</v>
      </c>
      <c r="AF73" s="141">
        <f t="shared" ca="1" si="67"/>
        <v>0</v>
      </c>
      <c r="AG73" s="146" t="str">
        <f ca="1">IF($AA73=1,'Endrunde 4'!$O21,"")</f>
        <v/>
      </c>
      <c r="AH73" s="12" t="str">
        <f ca="1">IF($AA73=1,'Endrunde 4'!$Q21,"")</f>
        <v/>
      </c>
      <c r="AI73" s="599" t="str">
        <f ca="1">IF(AA73&gt;0,AE73&amp;Sprache!$E$77&amp;AF73,"")</f>
        <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4" t="s">
        <v>25</v>
      </c>
      <c r="V74" s="39" t="str">
        <f ca="1">'Endrunde 4'!$I22</f>
        <v>FC Grönlingen</v>
      </c>
      <c r="W74" s="12" t="str">
        <f ca="1">'Endrunde 4'!$K22</f>
        <v>SSV Wildbach</v>
      </c>
      <c r="X74" s="12">
        <f ca="1">IF($AA74=1,'Endrunde 4'!$L22,"")</f>
        <v>22</v>
      </c>
      <c r="Y74" s="34">
        <f ca="1">IF($AA74=1,'Endrunde 4'!$N22,"")</f>
        <v>25</v>
      </c>
      <c r="Z74" s="33" t="str">
        <f ca="1">V74&amp;W74</f>
        <v>FC GrönlingenSSV Wildbach</v>
      </c>
      <c r="AA74" s="12">
        <f ca="1">IF(AND('Endrunde 4'!$L22&lt;&gt;"",'Endrunde 4'!$N22&lt;&gt;"",'Endrunde 4'!$L22&lt;&gt;'Endrunde 4'!$N22,OR(AND('Endrunde 4'!$O22="",'Endrunde 4'!$Q22=""),AND('Endrunde 4'!$O22&lt;&gt;"",'Endrunde 4'!$Q22&lt;&gt;"",'Endrunde 4'!$O22&lt;&gt;'Endrunde 4'!$Q22)),'Endrunde 4'!$I22&lt;&gt;"",'Endrunde 4'!$K22&lt;&gt;"",'Endrunde 4'!$I22&lt;&gt;'Endrunde 4'!$K22),1,0)</f>
        <v>1</v>
      </c>
      <c r="AB74" s="12" t="str">
        <f ca="1">IF(AA74&gt;0,(X74+AG74)&amp;Sprache!$E$77&amp;(Y74+AH74),"")</f>
        <v>47:45</v>
      </c>
      <c r="AD74" s="141"/>
      <c r="AE74" s="146">
        <f t="shared" ca="1" si="66"/>
        <v>1</v>
      </c>
      <c r="AF74" s="141">
        <f t="shared" ca="1" si="67"/>
        <v>1</v>
      </c>
      <c r="AG74" s="146">
        <f ca="1">IF($AA74=1,'Endrunde 4'!$O22,"")</f>
        <v>25</v>
      </c>
      <c r="AH74" s="12">
        <f ca="1">IF($AA74=1,'Endrunde 4'!$Q22,"")</f>
        <v>20</v>
      </c>
      <c r="AI74" s="599" t="str">
        <f ca="1">IF(AA74&gt;0,AE74&amp;Sprache!$E$77&amp;AF74,"")</f>
        <v>1:1</v>
      </c>
    </row>
    <row r="75" spans="2:43" s="2" customFormat="1" x14ac:dyDescent="0.2">
      <c r="B75" s="3"/>
      <c r="C75" s="3"/>
      <c r="D75" s="3"/>
      <c r="E75" s="3"/>
      <c r="F75" s="12"/>
      <c r="G75" s="12"/>
      <c r="H75" s="12"/>
      <c r="I75" s="12"/>
      <c r="J75" s="12"/>
      <c r="K75" s="12"/>
      <c r="L75" s="12"/>
      <c r="M75" s="12"/>
      <c r="U75" s="64" t="s">
        <v>26</v>
      </c>
      <c r="V75" s="39" t="str">
        <f ca="1">'Endrunde 4'!$I23</f>
        <v>Mainz 05</v>
      </c>
      <c r="W75" s="12" t="str">
        <f ca="1">'Endrunde 4'!$K23</f>
        <v>Manchester City</v>
      </c>
      <c r="X75" s="12">
        <f ca="1">IF($AA75=1,'Endrunde 4'!$L23,"")</f>
        <v>19</v>
      </c>
      <c r="Y75" s="34">
        <f ca="1">IF($AA75=1,'Endrunde 4'!$N23,"")</f>
        <v>25</v>
      </c>
      <c r="Z75" s="33" t="str">
        <f t="shared" ref="Z75:Z81" ca="1" si="68">V75&amp;W75</f>
        <v>Mainz 05Manchester City</v>
      </c>
      <c r="AA75" s="12">
        <f ca="1">IF(AND('Endrunde 4'!$L23&lt;&gt;"",'Endrunde 4'!$N23&lt;&gt;"",'Endrunde 4'!$L23&lt;&gt;'Endrunde 4'!$N23,OR(AND('Endrunde 4'!$O23="",'Endrunde 4'!$Q23=""),AND('Endrunde 4'!$O23&lt;&gt;"",'Endrunde 4'!$Q23&lt;&gt;"",'Endrunde 4'!$O23&lt;&gt;'Endrunde 4'!$Q23)),'Endrunde 4'!$I23&lt;&gt;"",'Endrunde 4'!$K23&lt;&gt;"",'Endrunde 4'!$I23&lt;&gt;'Endrunde 4'!$K23),1,0)</f>
        <v>1</v>
      </c>
      <c r="AB75" s="12" t="str">
        <f ca="1">IF(AA75&gt;0,(X75+AG75)&amp;Sprache!$E$77&amp;(Y75+AH75),"")</f>
        <v>44:44</v>
      </c>
      <c r="AD75" s="141"/>
      <c r="AE75" s="146">
        <f t="shared" ca="1" si="66"/>
        <v>1</v>
      </c>
      <c r="AF75" s="141">
        <f t="shared" ca="1" si="67"/>
        <v>1</v>
      </c>
      <c r="AG75" s="146">
        <f ca="1">IF($AA75=1,'Endrunde 4'!$O23,"")</f>
        <v>25</v>
      </c>
      <c r="AH75" s="12">
        <f ca="1">IF($AA75=1,'Endrunde 4'!$Q23,"")</f>
        <v>19</v>
      </c>
      <c r="AI75" s="599" t="str">
        <f ca="1">IF(AA75&gt;0,AE75&amp;Sprache!$E$77&amp;AF75,"")</f>
        <v>1:1</v>
      </c>
    </row>
    <row r="76" spans="2:43" s="2" customFormat="1" x14ac:dyDescent="0.2">
      <c r="B76" s="3"/>
      <c r="C76" s="3"/>
      <c r="D76" s="3"/>
      <c r="E76" s="3"/>
      <c r="F76" s="12"/>
      <c r="G76" s="12"/>
      <c r="H76" s="12"/>
      <c r="I76" s="12"/>
      <c r="J76" s="12"/>
      <c r="K76" s="12"/>
      <c r="L76" s="12"/>
      <c r="M76" s="12"/>
      <c r="U76" s="64" t="s">
        <v>27</v>
      </c>
      <c r="V76" s="39" t="str">
        <f ca="1">'Endrunde 4'!$I24</f>
        <v/>
      </c>
      <c r="W76" s="12" t="str">
        <f ca="1">'Endrunde 4'!$K24</f>
        <v/>
      </c>
      <c r="X76" s="12" t="str">
        <f ca="1">IF($AA76=1,'Endrunde 4'!$L24,"")</f>
        <v/>
      </c>
      <c r="Y76" s="34" t="str">
        <f ca="1">IF($AA76=1,'Endrunde 4'!$N24,"")</f>
        <v/>
      </c>
      <c r="Z76" s="33" t="str">
        <f t="shared" ca="1" si="68"/>
        <v/>
      </c>
      <c r="AA76" s="12">
        <f ca="1">IF(AND('Endrunde 4'!$L24&lt;&gt;"",'Endrunde 4'!$N24&lt;&gt;"",'Endrunde 4'!$L24&lt;&gt;'Endrunde 4'!$N24,OR(AND('Endrunde 4'!$O24="",'Endrunde 4'!$Q24=""),AND('Endrunde 4'!$O24&lt;&gt;"",'Endrunde 4'!$Q24&lt;&gt;"",'Endrunde 4'!$O24&lt;&gt;'Endrunde 4'!$Q24)),'Endrunde 4'!$I24&lt;&gt;"",'Endrunde 4'!$K24&lt;&gt;"",'Endrunde 4'!$I24&lt;&gt;'Endrunde 4'!$K24),1,0)</f>
        <v>0</v>
      </c>
      <c r="AB76" s="12" t="str">
        <f ca="1">IF(AA76&gt;0,(X76+AG76)&amp;Sprache!$E$77&amp;(Y76+AH76),"")</f>
        <v/>
      </c>
      <c r="AD76" s="141"/>
      <c r="AE76" s="146">
        <f t="shared" ca="1" si="66"/>
        <v>0</v>
      </c>
      <c r="AF76" s="141">
        <f t="shared" ca="1" si="67"/>
        <v>0</v>
      </c>
      <c r="AG76" s="146" t="str">
        <f ca="1">IF($AA76=1,'Endrunde 4'!$O24,"")</f>
        <v/>
      </c>
      <c r="AH76" s="12" t="str">
        <f ca="1">IF($AA76=1,'Endrunde 4'!$Q24,"")</f>
        <v/>
      </c>
      <c r="AI76" s="599" t="str">
        <f ca="1">IF(AA76&gt;0,AE76&amp;Sprache!$E$77&amp;AF76,"")</f>
        <v/>
      </c>
    </row>
    <row r="77" spans="2:43" s="2" customFormat="1" x14ac:dyDescent="0.2">
      <c r="B77" s="3"/>
      <c r="C77" s="3"/>
      <c r="D77" s="3"/>
      <c r="E77" s="3"/>
      <c r="F77" s="12"/>
      <c r="G77" s="12"/>
      <c r="H77" s="12"/>
      <c r="I77" s="12"/>
      <c r="J77" s="12"/>
      <c r="K77" s="12"/>
      <c r="L77" s="12"/>
      <c r="M77" s="12"/>
      <c r="U77" s="64" t="s">
        <v>28</v>
      </c>
      <c r="V77" s="39" t="str">
        <f ca="1">'Endrunde 4'!$I25</f>
        <v>FC Barcelona</v>
      </c>
      <c r="W77" s="12" t="str">
        <f ca="1">'Endrunde 4'!$K25</f>
        <v>SSV Wildbach</v>
      </c>
      <c r="X77" s="12">
        <f ca="1">IF($AA77=1,'Endrunde 4'!$L25,"")</f>
        <v>14</v>
      </c>
      <c r="Y77" s="34">
        <f ca="1">IF($AA77=1,'Endrunde 4'!$N25,"")</f>
        <v>25</v>
      </c>
      <c r="Z77" s="33" t="str">
        <f t="shared" ca="1" si="68"/>
        <v>FC BarcelonaSSV Wildbach</v>
      </c>
      <c r="AA77" s="12">
        <f ca="1">IF(AND('Endrunde 4'!$L25&lt;&gt;"",'Endrunde 4'!$N25&lt;&gt;"",'Endrunde 4'!$L25&lt;&gt;'Endrunde 4'!$N25,OR(AND('Endrunde 4'!$O25="",'Endrunde 4'!$Q25=""),AND('Endrunde 4'!$O25&lt;&gt;"",'Endrunde 4'!$Q25&lt;&gt;"",'Endrunde 4'!$O25&lt;&gt;'Endrunde 4'!$Q25)),'Endrunde 4'!$I25&lt;&gt;"",'Endrunde 4'!$K25&lt;&gt;"",'Endrunde 4'!$I25&lt;&gt;'Endrunde 4'!$K25),1,0)</f>
        <v>1</v>
      </c>
      <c r="AB77" s="12" t="str">
        <f ca="1">IF(AA77&gt;0,(X77+AG77)&amp;Sprache!$E$77&amp;(Y77+AH77),"")</f>
        <v>39:48</v>
      </c>
      <c r="AD77" s="141"/>
      <c r="AE77" s="146">
        <f t="shared" ca="1" si="66"/>
        <v>1</v>
      </c>
      <c r="AF77" s="141">
        <f t="shared" ca="1" si="67"/>
        <v>1</v>
      </c>
      <c r="AG77" s="146">
        <f ca="1">IF($AA77=1,'Endrunde 4'!$O25,"")</f>
        <v>25</v>
      </c>
      <c r="AH77" s="12">
        <f ca="1">IF($AA77=1,'Endrunde 4'!$Q25,"")</f>
        <v>23</v>
      </c>
      <c r="AI77" s="599" t="str">
        <f ca="1">IF(AA77&gt;0,AE77&amp;Sprache!$E$77&amp;AF77,"")</f>
        <v>1:1</v>
      </c>
    </row>
    <row r="78" spans="2:43" s="2" customFormat="1" x14ac:dyDescent="0.2">
      <c r="B78" s="3"/>
      <c r="C78" s="3"/>
      <c r="D78" s="3"/>
      <c r="E78" s="3"/>
      <c r="F78" s="12"/>
      <c r="G78" s="12"/>
      <c r="H78" s="12"/>
      <c r="I78" s="12"/>
      <c r="J78" s="12"/>
      <c r="K78" s="12"/>
      <c r="L78" s="12"/>
      <c r="M78" s="12"/>
      <c r="U78" s="64" t="s">
        <v>29</v>
      </c>
      <c r="V78" s="39" t="str">
        <f ca="1">'Endrunde 4'!$I26</f>
        <v>Eintracht Frankfurt</v>
      </c>
      <c r="W78" s="12" t="str">
        <f ca="1">'Endrunde 4'!$K26</f>
        <v>Manchester City</v>
      </c>
      <c r="X78" s="12">
        <f ca="1">IF($AA78=1,'Endrunde 4'!$L26,"")</f>
        <v>21</v>
      </c>
      <c r="Y78" s="34">
        <f ca="1">IF($AA78=1,'Endrunde 4'!$N26,"")</f>
        <v>25</v>
      </c>
      <c r="Z78" s="33" t="str">
        <f t="shared" ca="1" si="68"/>
        <v>Eintracht FrankfurtManchester City</v>
      </c>
      <c r="AA78" s="12">
        <f ca="1">IF(AND('Endrunde 4'!$L26&lt;&gt;"",'Endrunde 4'!$N26&lt;&gt;"",'Endrunde 4'!$L26&lt;&gt;'Endrunde 4'!$N26,OR(AND('Endrunde 4'!$O26="",'Endrunde 4'!$Q26=""),AND('Endrunde 4'!$O26&lt;&gt;"",'Endrunde 4'!$Q26&lt;&gt;"",'Endrunde 4'!$O26&lt;&gt;'Endrunde 4'!$Q26)),'Endrunde 4'!$I26&lt;&gt;"",'Endrunde 4'!$K26&lt;&gt;"",'Endrunde 4'!$I26&lt;&gt;'Endrunde 4'!$K26),1,0)</f>
        <v>1</v>
      </c>
      <c r="AB78" s="12" t="str">
        <f ca="1">IF(AA78&gt;0,(X78+AG78)&amp;Sprache!$E$77&amp;(Y78+AH78),"")</f>
        <v>46:42</v>
      </c>
      <c r="AD78" s="141"/>
      <c r="AE78" s="146">
        <f t="shared" ca="1" si="66"/>
        <v>1</v>
      </c>
      <c r="AF78" s="141">
        <f t="shared" ca="1" si="67"/>
        <v>1</v>
      </c>
      <c r="AG78" s="146">
        <f ca="1">IF($AA78=1,'Endrunde 4'!$O26,"")</f>
        <v>25</v>
      </c>
      <c r="AH78" s="12">
        <f ca="1">IF($AA78=1,'Endrunde 4'!$Q26,"")</f>
        <v>17</v>
      </c>
      <c r="AI78" s="599" t="str">
        <f ca="1">IF(AA78&gt;0,AE78&amp;Sprache!$E$77&amp;AF78,"")</f>
        <v>1:1</v>
      </c>
    </row>
    <row r="79" spans="2:43" s="2" customFormat="1" x14ac:dyDescent="0.2">
      <c r="B79" s="3"/>
      <c r="C79" s="3"/>
      <c r="D79" s="3"/>
      <c r="E79" s="3"/>
      <c r="F79" s="12"/>
      <c r="G79" s="12"/>
      <c r="H79" s="12"/>
      <c r="I79" s="12"/>
      <c r="J79" s="12"/>
      <c r="K79" s="12"/>
      <c r="L79" s="12"/>
      <c r="M79" s="12"/>
      <c r="U79" s="64" t="s">
        <v>30</v>
      </c>
      <c r="V79" s="39" t="str">
        <f ca="1">'Endrunde 4'!$I27</f>
        <v>VFB Essenheim</v>
      </c>
      <c r="W79" s="12" t="str">
        <f ca="1">'Endrunde 4'!$K27</f>
        <v>Inter Mailand</v>
      </c>
      <c r="X79" s="12">
        <f ca="1">IF($AA79=1,'Endrunde 4'!$L27,"")</f>
        <v>20</v>
      </c>
      <c r="Y79" s="34">
        <f ca="1">IF($AA79=1,'Endrunde 4'!$N27,"")</f>
        <v>25</v>
      </c>
      <c r="Z79" s="33" t="str">
        <f t="shared" ca="1" si="68"/>
        <v>VFB EssenheimInter Mailand</v>
      </c>
      <c r="AA79" s="12">
        <f ca="1">IF(AND('Endrunde 4'!$L27&lt;&gt;"",'Endrunde 4'!$N27&lt;&gt;"",'Endrunde 4'!$L27&lt;&gt;'Endrunde 4'!$N27,OR(AND('Endrunde 4'!$O27="",'Endrunde 4'!$Q27=""),AND('Endrunde 4'!$O27&lt;&gt;"",'Endrunde 4'!$Q27&lt;&gt;"",'Endrunde 4'!$O27&lt;&gt;'Endrunde 4'!$Q27)),'Endrunde 4'!$I27&lt;&gt;"",'Endrunde 4'!$K27&lt;&gt;"",'Endrunde 4'!$I27&lt;&gt;'Endrunde 4'!$K27),1,0)</f>
        <v>1</v>
      </c>
      <c r="AB79" s="12" t="str">
        <f ca="1">IF(AA79&gt;0,(X79+AG79)&amp;Sprache!$E$77&amp;(Y79+AH79),"")</f>
        <v>38:50</v>
      </c>
      <c r="AD79" s="141"/>
      <c r="AE79" s="146">
        <f t="shared" ca="1" si="66"/>
        <v>0</v>
      </c>
      <c r="AF79" s="141">
        <f t="shared" ca="1" si="67"/>
        <v>2</v>
      </c>
      <c r="AG79" s="146">
        <f ca="1">IF($AA79=1,'Endrunde 4'!$O27,"")</f>
        <v>18</v>
      </c>
      <c r="AH79" s="12">
        <f ca="1">IF($AA79=1,'Endrunde 4'!$Q27,"")</f>
        <v>25</v>
      </c>
      <c r="AI79" s="599" t="str">
        <f ca="1">IF(AA79&gt;0,AE79&amp;Sprache!$E$77&amp;AF79,"")</f>
        <v>0:2</v>
      </c>
    </row>
    <row r="80" spans="2:43" s="2" customFormat="1" x14ac:dyDescent="0.2">
      <c r="B80" s="3"/>
      <c r="C80" s="3"/>
      <c r="D80" s="3"/>
      <c r="E80" s="3"/>
      <c r="F80" s="12"/>
      <c r="G80" s="12"/>
      <c r="H80" s="12"/>
      <c r="I80" s="12"/>
      <c r="J80" s="12"/>
      <c r="K80" s="12"/>
      <c r="L80" s="12"/>
      <c r="M80" s="12"/>
      <c r="U80" s="64" t="s">
        <v>31</v>
      </c>
      <c r="V80" s="39" t="str">
        <f ca="1">'Endrunde 4'!$I28</f>
        <v>1. FC Riedwald</v>
      </c>
      <c r="W80" s="12" t="str">
        <f ca="1">'Endrunde 4'!$K28</f>
        <v>FC Grönlingen</v>
      </c>
      <c r="X80" s="12">
        <f ca="1">IF($AA80=1,'Endrunde 4'!$L28,"")</f>
        <v>25</v>
      </c>
      <c r="Y80" s="34">
        <f ca="1">IF($AA80=1,'Endrunde 4'!$N28,"")</f>
        <v>20</v>
      </c>
      <c r="Z80" s="33" t="str">
        <f t="shared" ca="1" si="68"/>
        <v>1. FC RiedwaldFC Grönlingen</v>
      </c>
      <c r="AA80" s="12">
        <f ca="1">IF(AND('Endrunde 4'!$L28&lt;&gt;"",'Endrunde 4'!$N28&lt;&gt;"",'Endrunde 4'!$L28&lt;&gt;'Endrunde 4'!$N28,OR(AND('Endrunde 4'!$O28="",'Endrunde 4'!$Q28=""),AND('Endrunde 4'!$O28&lt;&gt;"",'Endrunde 4'!$Q28&lt;&gt;"",'Endrunde 4'!$O28&lt;&gt;'Endrunde 4'!$Q28)),'Endrunde 4'!$I28&lt;&gt;"",'Endrunde 4'!$K28&lt;&gt;"",'Endrunde 4'!$I28&lt;&gt;'Endrunde 4'!$K28),1,0)</f>
        <v>1</v>
      </c>
      <c r="AB80" s="12" t="str">
        <f ca="1">IF(AA80&gt;0,(X80+AG80)&amp;Sprache!$E$77&amp;(Y80+AH80),"")</f>
        <v>50:39</v>
      </c>
      <c r="AD80" s="141"/>
      <c r="AE80" s="146">
        <f t="shared" ca="1" si="66"/>
        <v>2</v>
      </c>
      <c r="AF80" s="141">
        <f t="shared" ca="1" si="67"/>
        <v>0</v>
      </c>
      <c r="AG80" s="146">
        <f ca="1">IF($AA80=1,'Endrunde 4'!$O28,"")</f>
        <v>25</v>
      </c>
      <c r="AH80" s="12">
        <f ca="1">IF($AA80=1,'Endrunde 4'!$Q28,"")</f>
        <v>19</v>
      </c>
      <c r="AI80" s="599" t="str">
        <f ca="1">IF(AA80&gt;0,AE80&amp;Sprache!$E$77&amp;AF80,"")</f>
        <v>2:0</v>
      </c>
    </row>
    <row r="81" spans="2:35" s="2" customFormat="1" ht="12.75" thickBot="1" x14ac:dyDescent="0.25">
      <c r="B81" s="3"/>
      <c r="C81" s="3"/>
      <c r="D81" s="3"/>
      <c r="E81" s="3"/>
      <c r="F81" s="12"/>
      <c r="G81" s="12"/>
      <c r="H81" s="12"/>
      <c r="I81" s="12"/>
      <c r="J81" s="12"/>
      <c r="K81" s="12"/>
      <c r="L81" s="12"/>
      <c r="M81" s="12"/>
      <c r="U81" s="311" t="s">
        <v>32</v>
      </c>
      <c r="V81" s="710" t="str">
        <f ca="1">'Endrunde 4'!$I29</f>
        <v>Maibach 1822 eV</v>
      </c>
      <c r="W81" s="312" t="str">
        <f ca="1">'Endrunde 4'!$K29</f>
        <v>Mainz 05</v>
      </c>
      <c r="X81" s="312">
        <f ca="1">IF($AA81=1,'Endrunde 4'!$L29,"")</f>
        <v>25</v>
      </c>
      <c r="Y81" s="711">
        <f ca="1">IF($AA81=1,'Endrunde 4'!$N29,"")</f>
        <v>13</v>
      </c>
      <c r="Z81" s="313" t="str">
        <f t="shared" ca="1" si="68"/>
        <v>Maibach 1822 eVMainz 05</v>
      </c>
      <c r="AA81" s="312">
        <f ca="1">IF(AND('Endrunde 4'!$L29&lt;&gt;"",'Endrunde 4'!$N29&lt;&gt;"",'Endrunde 4'!$L29&lt;&gt;'Endrunde 4'!$N29,OR(AND('Endrunde 4'!$O29="",'Endrunde 4'!$Q29=""),AND('Endrunde 4'!$O29&lt;&gt;"",'Endrunde 4'!$Q29&lt;&gt;"",'Endrunde 4'!$O29&lt;&gt;'Endrunde 4'!$Q29)),'Endrunde 4'!$I29&lt;&gt;"",'Endrunde 4'!$K29&lt;&gt;"",'Endrunde 4'!$I29&lt;&gt;'Endrunde 4'!$K29),1,0)</f>
        <v>1</v>
      </c>
      <c r="AB81" s="312" t="str">
        <f ca="1">IF(AA81&gt;0,(X81+AG81)&amp;Sprache!$E$77&amp;(Y81+AH81),"")</f>
        <v>50:33</v>
      </c>
      <c r="AC81" s="314"/>
      <c r="AD81" s="315"/>
      <c r="AE81" s="316">
        <f t="shared" ca="1" si="66"/>
        <v>2</v>
      </c>
      <c r="AF81" s="315">
        <f t="shared" ca="1" si="67"/>
        <v>0</v>
      </c>
      <c r="AG81" s="316">
        <f ca="1">IF($AA81=1,'Endrunde 4'!$O29,"")</f>
        <v>25</v>
      </c>
      <c r="AH81" s="312">
        <f ca="1">IF($AA81=1,'Endrunde 4'!$Q29,"")</f>
        <v>20</v>
      </c>
      <c r="AI81" s="600" t="str">
        <f ca="1">IF(AA81&gt;0,AE81&amp;Sprache!$E$77&amp;AF81,"")</f>
        <v>2:0</v>
      </c>
    </row>
    <row r="82" spans="2:35" s="2" customFormat="1" ht="12.75" thickTop="1" x14ac:dyDescent="0.2">
      <c r="B82" s="3"/>
      <c r="C82" s="3"/>
      <c r="D82" s="3"/>
      <c r="E82" s="3"/>
      <c r="F82" s="12"/>
      <c r="G82" s="12"/>
      <c r="H82" s="12"/>
      <c r="I82" s="12"/>
      <c r="J82" s="12"/>
      <c r="K82" s="12"/>
      <c r="L82" s="12"/>
      <c r="M82" s="12"/>
      <c r="U82" s="64" t="s">
        <v>33</v>
      </c>
      <c r="V82" s="39" t="str">
        <f>""</f>
        <v/>
      </c>
      <c r="W82" s="12" t="str">
        <f>""</f>
        <v/>
      </c>
      <c r="X82" s="12" t="str">
        <f>""</f>
        <v/>
      </c>
      <c r="Y82" s="34" t="str">
        <f>""</f>
        <v/>
      </c>
      <c r="Z82" s="33" t="str">
        <f>""</f>
        <v/>
      </c>
      <c r="AA82" s="12">
        <v>0</v>
      </c>
      <c r="AB82" s="12" t="str">
        <f>""</f>
        <v/>
      </c>
      <c r="AD82" s="141"/>
      <c r="AE82" s="146"/>
      <c r="AF82" s="141"/>
      <c r="AG82" s="146" t="str">
        <f>""</f>
        <v/>
      </c>
      <c r="AH82" s="12" t="str">
        <f>""</f>
        <v/>
      </c>
      <c r="AI82" s="599"/>
    </row>
    <row r="83" spans="2:35" s="2" customFormat="1" x14ac:dyDescent="0.2">
      <c r="B83" s="3"/>
      <c r="C83" s="3"/>
      <c r="D83" s="3"/>
      <c r="E83" s="3"/>
      <c r="F83" s="12"/>
      <c r="G83" s="12"/>
      <c r="H83" s="12"/>
      <c r="I83" s="12"/>
      <c r="J83" s="12"/>
      <c r="K83" s="12"/>
      <c r="L83" s="12"/>
      <c r="M83" s="12"/>
      <c r="U83" s="64" t="s">
        <v>34</v>
      </c>
      <c r="V83" s="39" t="str">
        <f>""</f>
        <v/>
      </c>
      <c r="W83" s="12" t="str">
        <f>""</f>
        <v/>
      </c>
      <c r="X83" s="12" t="str">
        <f>""</f>
        <v/>
      </c>
      <c r="Y83" s="34" t="str">
        <f>""</f>
        <v/>
      </c>
      <c r="Z83" s="33" t="str">
        <f>""</f>
        <v/>
      </c>
      <c r="AA83" s="12">
        <v>0</v>
      </c>
      <c r="AB83" s="12" t="str">
        <f>""</f>
        <v/>
      </c>
      <c r="AD83" s="141"/>
      <c r="AE83" s="146"/>
      <c r="AF83" s="141"/>
      <c r="AG83" s="146" t="str">
        <f>""</f>
        <v/>
      </c>
      <c r="AH83" s="12" t="str">
        <f>""</f>
        <v/>
      </c>
      <c r="AI83" s="599"/>
    </row>
    <row r="84" spans="2:35" s="2" customFormat="1" x14ac:dyDescent="0.2">
      <c r="B84" s="3"/>
      <c r="C84" s="3"/>
      <c r="D84" s="3"/>
      <c r="E84" s="3"/>
      <c r="F84" s="12"/>
      <c r="G84" s="12"/>
      <c r="H84" s="12"/>
      <c r="I84" s="12"/>
      <c r="J84" s="12"/>
      <c r="K84" s="12"/>
      <c r="L84" s="12"/>
      <c r="M84" s="12"/>
      <c r="U84" s="64" t="s">
        <v>35</v>
      </c>
      <c r="V84" s="39" t="str">
        <f>""</f>
        <v/>
      </c>
      <c r="W84" s="12" t="str">
        <f>""</f>
        <v/>
      </c>
      <c r="X84" s="12" t="str">
        <f>""</f>
        <v/>
      </c>
      <c r="Y84" s="34" t="str">
        <f>""</f>
        <v/>
      </c>
      <c r="Z84" s="33" t="str">
        <f>""</f>
        <v/>
      </c>
      <c r="AA84" s="12">
        <v>0</v>
      </c>
      <c r="AB84" s="12" t="str">
        <f>""</f>
        <v/>
      </c>
      <c r="AD84" s="141"/>
      <c r="AE84" s="146"/>
      <c r="AF84" s="141"/>
      <c r="AG84" s="146" t="str">
        <f>""</f>
        <v/>
      </c>
      <c r="AH84" s="12" t="str">
        <f>""</f>
        <v/>
      </c>
      <c r="AI84" s="599"/>
    </row>
    <row r="85" spans="2:35" s="2" customFormat="1" x14ac:dyDescent="0.2">
      <c r="B85" s="3"/>
      <c r="C85" s="3"/>
      <c r="D85" s="3"/>
      <c r="E85" s="3"/>
      <c r="F85" s="12"/>
      <c r="G85" s="12"/>
      <c r="H85" s="12"/>
      <c r="I85" s="12"/>
      <c r="J85" s="12"/>
      <c r="K85" s="12"/>
      <c r="L85" s="12"/>
      <c r="M85" s="12"/>
      <c r="U85" s="64" t="s">
        <v>36</v>
      </c>
      <c r="V85" s="39" t="str">
        <f>""</f>
        <v/>
      </c>
      <c r="W85" s="12" t="str">
        <f>""</f>
        <v/>
      </c>
      <c r="X85" s="12" t="str">
        <f>""</f>
        <v/>
      </c>
      <c r="Y85" s="34" t="str">
        <f>""</f>
        <v/>
      </c>
      <c r="Z85" s="33" t="str">
        <f>""</f>
        <v/>
      </c>
      <c r="AA85" s="12">
        <v>0</v>
      </c>
      <c r="AB85" s="12" t="str">
        <f>""</f>
        <v/>
      </c>
      <c r="AD85" s="141"/>
      <c r="AE85" s="146"/>
      <c r="AF85" s="141"/>
      <c r="AG85" s="146" t="str">
        <f>""</f>
        <v/>
      </c>
      <c r="AH85" s="12" t="str">
        <f>""</f>
        <v/>
      </c>
      <c r="AI85" s="599"/>
    </row>
    <row r="86" spans="2:35" s="2" customFormat="1" x14ac:dyDescent="0.2">
      <c r="B86" s="3"/>
      <c r="C86" s="3"/>
      <c r="D86" s="3"/>
      <c r="E86" s="3"/>
      <c r="F86" s="12"/>
      <c r="G86" s="12"/>
      <c r="H86" s="12"/>
      <c r="I86" s="12"/>
      <c r="J86" s="12"/>
      <c r="K86" s="12"/>
      <c r="L86" s="12"/>
      <c r="M86" s="12"/>
      <c r="U86" s="64" t="s">
        <v>37</v>
      </c>
      <c r="V86" s="39" t="str">
        <f>""</f>
        <v/>
      </c>
      <c r="W86" s="12" t="str">
        <f>""</f>
        <v/>
      </c>
      <c r="X86" s="12" t="str">
        <f>""</f>
        <v/>
      </c>
      <c r="Y86" s="34" t="str">
        <f>""</f>
        <v/>
      </c>
      <c r="Z86" s="33" t="str">
        <f>""</f>
        <v/>
      </c>
      <c r="AA86" s="12">
        <v>0</v>
      </c>
      <c r="AB86" s="12" t="str">
        <f>""</f>
        <v/>
      </c>
      <c r="AD86" s="141"/>
      <c r="AE86" s="146"/>
      <c r="AF86" s="141"/>
      <c r="AG86" s="146" t="str">
        <f>""</f>
        <v/>
      </c>
      <c r="AH86" s="12" t="str">
        <f>""</f>
        <v/>
      </c>
      <c r="AI86" s="599"/>
    </row>
    <row r="87" spans="2:35" s="2" customFormat="1" x14ac:dyDescent="0.2">
      <c r="B87" s="3"/>
      <c r="C87" s="3"/>
      <c r="D87" s="3"/>
      <c r="E87" s="3"/>
      <c r="F87" s="12"/>
      <c r="G87" s="12"/>
      <c r="H87" s="12"/>
      <c r="I87" s="12"/>
      <c r="J87" s="12"/>
      <c r="K87" s="12"/>
      <c r="L87" s="12"/>
      <c r="M87" s="12"/>
      <c r="U87" s="64" t="s">
        <v>38</v>
      </c>
      <c r="V87" s="39" t="str">
        <f>""</f>
        <v/>
      </c>
      <c r="W87" s="12" t="str">
        <f>""</f>
        <v/>
      </c>
      <c r="X87" s="12" t="str">
        <f>""</f>
        <v/>
      </c>
      <c r="Y87" s="34" t="str">
        <f>""</f>
        <v/>
      </c>
      <c r="Z87" s="33" t="str">
        <f>""</f>
        <v/>
      </c>
      <c r="AA87" s="12">
        <v>0</v>
      </c>
      <c r="AB87" s="12" t="str">
        <f>""</f>
        <v/>
      </c>
      <c r="AD87" s="141"/>
      <c r="AE87" s="146"/>
      <c r="AF87" s="141"/>
      <c r="AG87" s="146" t="str">
        <f>""</f>
        <v/>
      </c>
      <c r="AH87" s="12" t="str">
        <f>""</f>
        <v/>
      </c>
      <c r="AI87" s="599"/>
    </row>
    <row r="88" spans="2:35" s="2" customFormat="1" x14ac:dyDescent="0.2">
      <c r="B88" s="3"/>
      <c r="C88" s="3"/>
      <c r="D88" s="3"/>
      <c r="E88" s="3"/>
      <c r="F88" s="12"/>
      <c r="G88" s="12"/>
      <c r="H88" s="12"/>
      <c r="I88" s="12"/>
      <c r="J88" s="12"/>
      <c r="K88" s="12"/>
      <c r="L88" s="12"/>
      <c r="M88" s="12"/>
      <c r="U88" s="64" t="s">
        <v>39</v>
      </c>
      <c r="V88" s="39" t="str">
        <f>""</f>
        <v/>
      </c>
      <c r="W88" s="12" t="str">
        <f>""</f>
        <v/>
      </c>
      <c r="X88" s="12" t="str">
        <f>""</f>
        <v/>
      </c>
      <c r="Y88" s="34" t="str">
        <f>""</f>
        <v/>
      </c>
      <c r="Z88" s="33" t="str">
        <f>""</f>
        <v/>
      </c>
      <c r="AA88" s="12">
        <v>0</v>
      </c>
      <c r="AB88" s="12" t="str">
        <f>""</f>
        <v/>
      </c>
      <c r="AD88" s="141"/>
      <c r="AE88" s="146"/>
      <c r="AF88" s="141"/>
      <c r="AG88" s="146" t="str">
        <f>""</f>
        <v/>
      </c>
      <c r="AH88" s="12" t="str">
        <f>""</f>
        <v/>
      </c>
      <c r="AI88" s="599"/>
    </row>
    <row r="89" spans="2:35" s="2" customFormat="1" x14ac:dyDescent="0.2">
      <c r="B89" s="3"/>
      <c r="C89" s="3"/>
      <c r="D89" s="3"/>
      <c r="E89" s="3"/>
      <c r="F89" s="12"/>
      <c r="G89" s="12"/>
      <c r="H89" s="12"/>
      <c r="I89" s="12"/>
      <c r="J89" s="12"/>
      <c r="K89" s="12"/>
      <c r="L89" s="12"/>
      <c r="M89" s="12"/>
      <c r="U89" s="64" t="s">
        <v>40</v>
      </c>
      <c r="V89" s="39" t="str">
        <f>""</f>
        <v/>
      </c>
      <c r="W89" s="12" t="str">
        <f>""</f>
        <v/>
      </c>
      <c r="X89" s="12" t="str">
        <f>""</f>
        <v/>
      </c>
      <c r="Y89" s="34" t="str">
        <f>""</f>
        <v/>
      </c>
      <c r="Z89" s="33" t="str">
        <f>""</f>
        <v/>
      </c>
      <c r="AA89" s="12">
        <v>0</v>
      </c>
      <c r="AB89" s="12" t="str">
        <f>""</f>
        <v/>
      </c>
      <c r="AD89" s="141"/>
      <c r="AE89" s="146"/>
      <c r="AF89" s="141"/>
      <c r="AG89" s="146" t="str">
        <f>""</f>
        <v/>
      </c>
      <c r="AH89" s="12" t="str">
        <f>""</f>
        <v/>
      </c>
      <c r="AI89" s="599"/>
    </row>
    <row r="90" spans="2:35" s="2" customFormat="1" x14ac:dyDescent="0.2">
      <c r="B90" s="3"/>
      <c r="C90" s="3"/>
      <c r="D90" s="3"/>
      <c r="E90" s="3"/>
      <c r="F90" s="12"/>
      <c r="G90" s="12"/>
      <c r="H90" s="12"/>
      <c r="I90" s="12"/>
      <c r="J90" s="12"/>
      <c r="K90" s="12"/>
      <c r="L90" s="12"/>
      <c r="M90" s="12"/>
      <c r="U90" s="64" t="s">
        <v>41</v>
      </c>
      <c r="V90" s="39" t="str">
        <f>""</f>
        <v/>
      </c>
      <c r="W90" s="12" t="str">
        <f>""</f>
        <v/>
      </c>
      <c r="X90" s="12" t="str">
        <f>""</f>
        <v/>
      </c>
      <c r="Y90" s="34" t="str">
        <f>""</f>
        <v/>
      </c>
      <c r="Z90" s="33" t="str">
        <f>""</f>
        <v/>
      </c>
      <c r="AA90" s="12">
        <v>0</v>
      </c>
      <c r="AB90" s="12" t="str">
        <f>""</f>
        <v/>
      </c>
      <c r="AD90" s="141"/>
      <c r="AE90" s="146"/>
      <c r="AF90" s="141"/>
      <c r="AG90" s="146" t="str">
        <f>""</f>
        <v/>
      </c>
      <c r="AH90" s="12" t="str">
        <f>""</f>
        <v/>
      </c>
      <c r="AI90" s="599"/>
    </row>
    <row r="91" spans="2:35" s="2" customFormat="1" x14ac:dyDescent="0.2">
      <c r="B91" s="3"/>
      <c r="C91" s="3"/>
      <c r="D91" s="3"/>
      <c r="E91" s="3"/>
      <c r="F91" s="12"/>
      <c r="G91" s="12"/>
      <c r="H91" s="12"/>
      <c r="I91" s="12"/>
      <c r="J91" s="12"/>
      <c r="K91" s="12"/>
      <c r="L91" s="12"/>
      <c r="M91" s="12"/>
      <c r="U91" s="64" t="s">
        <v>42</v>
      </c>
      <c r="V91" s="39" t="str">
        <f>""</f>
        <v/>
      </c>
      <c r="W91" s="12" t="str">
        <f>""</f>
        <v/>
      </c>
      <c r="X91" s="12" t="str">
        <f>""</f>
        <v/>
      </c>
      <c r="Y91" s="34" t="str">
        <f>""</f>
        <v/>
      </c>
      <c r="Z91" s="33" t="str">
        <f>""</f>
        <v/>
      </c>
      <c r="AA91" s="12">
        <v>0</v>
      </c>
      <c r="AB91" s="12" t="str">
        <f>""</f>
        <v/>
      </c>
      <c r="AD91" s="141"/>
      <c r="AE91" s="146"/>
      <c r="AF91" s="141"/>
      <c r="AG91" s="146" t="str">
        <f>""</f>
        <v/>
      </c>
      <c r="AH91" s="12" t="str">
        <f>""</f>
        <v/>
      </c>
      <c r="AI91" s="599"/>
    </row>
    <row r="92" spans="2:35" s="2" customFormat="1" x14ac:dyDescent="0.2">
      <c r="B92" s="3"/>
      <c r="C92" s="3"/>
      <c r="D92" s="3"/>
      <c r="E92" s="3"/>
      <c r="F92" s="12"/>
      <c r="G92" s="12"/>
      <c r="H92" s="12"/>
      <c r="I92" s="12"/>
      <c r="J92" s="12"/>
      <c r="K92" s="12"/>
      <c r="L92" s="12"/>
      <c r="M92" s="12"/>
      <c r="U92" s="64" t="s">
        <v>43</v>
      </c>
      <c r="V92" s="39" t="str">
        <f>""</f>
        <v/>
      </c>
      <c r="W92" s="12" t="str">
        <f>""</f>
        <v/>
      </c>
      <c r="X92" s="12" t="str">
        <f>""</f>
        <v/>
      </c>
      <c r="Y92" s="34" t="str">
        <f>""</f>
        <v/>
      </c>
      <c r="Z92" s="33" t="str">
        <f>""</f>
        <v/>
      </c>
      <c r="AA92" s="12">
        <v>0</v>
      </c>
      <c r="AB92" s="12" t="str">
        <f>""</f>
        <v/>
      </c>
      <c r="AD92" s="141"/>
      <c r="AE92" s="146"/>
      <c r="AF92" s="141"/>
      <c r="AG92" s="146" t="str">
        <f>""</f>
        <v/>
      </c>
      <c r="AH92" s="12" t="str">
        <f>""</f>
        <v/>
      </c>
      <c r="AI92" s="599"/>
    </row>
    <row r="93" spans="2:35" s="2" customFormat="1" x14ac:dyDescent="0.2">
      <c r="B93" s="3"/>
      <c r="C93" s="3"/>
      <c r="D93" s="3"/>
      <c r="E93" s="3"/>
      <c r="F93" s="12"/>
      <c r="G93" s="12"/>
      <c r="H93" s="12"/>
      <c r="I93" s="12"/>
      <c r="J93" s="12"/>
      <c r="K93" s="12"/>
      <c r="L93" s="12"/>
      <c r="M93" s="12"/>
      <c r="U93" s="64" t="s">
        <v>44</v>
      </c>
      <c r="V93" s="39" t="str">
        <f>""</f>
        <v/>
      </c>
      <c r="W93" s="12" t="str">
        <f>""</f>
        <v/>
      </c>
      <c r="X93" s="12" t="str">
        <f>""</f>
        <v/>
      </c>
      <c r="Y93" s="34" t="str">
        <f>""</f>
        <v/>
      </c>
      <c r="Z93" s="33" t="str">
        <f>""</f>
        <v/>
      </c>
      <c r="AA93" s="12">
        <v>0</v>
      </c>
      <c r="AB93" s="12" t="str">
        <f>""</f>
        <v/>
      </c>
      <c r="AD93" s="141"/>
      <c r="AE93" s="146"/>
      <c r="AF93" s="141"/>
      <c r="AG93" s="146" t="str">
        <f>""</f>
        <v/>
      </c>
      <c r="AH93" s="12" t="str">
        <f>""</f>
        <v/>
      </c>
      <c r="AI93" s="599"/>
    </row>
    <row r="94" spans="2:35" s="2" customFormat="1" x14ac:dyDescent="0.2">
      <c r="B94" s="3"/>
      <c r="C94" s="3"/>
      <c r="D94" s="3"/>
      <c r="E94" s="3"/>
      <c r="F94" s="12"/>
      <c r="G94" s="12"/>
      <c r="H94" s="12"/>
      <c r="I94" s="12"/>
      <c r="J94" s="12"/>
      <c r="K94" s="12"/>
      <c r="L94" s="12"/>
      <c r="M94" s="12"/>
      <c r="U94" s="64" t="s">
        <v>45</v>
      </c>
      <c r="V94" s="39" t="str">
        <f>""</f>
        <v/>
      </c>
      <c r="W94" s="12" t="str">
        <f>""</f>
        <v/>
      </c>
      <c r="X94" s="12" t="str">
        <f>""</f>
        <v/>
      </c>
      <c r="Y94" s="34" t="str">
        <f>""</f>
        <v/>
      </c>
      <c r="Z94" s="33" t="str">
        <f>""</f>
        <v/>
      </c>
      <c r="AA94" s="12">
        <v>0</v>
      </c>
      <c r="AB94" s="12" t="str">
        <f>""</f>
        <v/>
      </c>
      <c r="AD94" s="141"/>
      <c r="AE94" s="146"/>
      <c r="AF94" s="141"/>
      <c r="AG94" s="146" t="str">
        <f>""</f>
        <v/>
      </c>
      <c r="AH94" s="12" t="str">
        <f>""</f>
        <v/>
      </c>
      <c r="AI94" s="599"/>
    </row>
    <row r="95" spans="2:35" s="2" customFormat="1" x14ac:dyDescent="0.2">
      <c r="B95" s="3"/>
      <c r="C95" s="3"/>
      <c r="D95" s="3"/>
      <c r="E95" s="3"/>
      <c r="F95" s="12"/>
      <c r="G95" s="12"/>
      <c r="H95" s="12"/>
      <c r="I95" s="12"/>
      <c r="J95" s="12"/>
      <c r="K95" s="12"/>
      <c r="L95" s="12"/>
      <c r="M95" s="12"/>
      <c r="U95" s="64" t="s">
        <v>46</v>
      </c>
      <c r="V95" s="39" t="str">
        <f>""</f>
        <v/>
      </c>
      <c r="W95" s="12" t="str">
        <f>""</f>
        <v/>
      </c>
      <c r="X95" s="12" t="str">
        <f>""</f>
        <v/>
      </c>
      <c r="Y95" s="34" t="str">
        <f>""</f>
        <v/>
      </c>
      <c r="Z95" s="33" t="str">
        <f>""</f>
        <v/>
      </c>
      <c r="AA95" s="12">
        <v>0</v>
      </c>
      <c r="AB95" s="12" t="str">
        <f>""</f>
        <v/>
      </c>
      <c r="AD95" s="141"/>
      <c r="AE95" s="146"/>
      <c r="AF95" s="141"/>
      <c r="AG95" s="596" t="str">
        <f>""</f>
        <v/>
      </c>
      <c r="AH95" s="3" t="str">
        <f>""</f>
        <v/>
      </c>
      <c r="AI95" s="601"/>
    </row>
    <row r="96" spans="2:35" s="2" customFormat="1" x14ac:dyDescent="0.2">
      <c r="B96" s="3"/>
      <c r="C96" s="3"/>
      <c r="D96" s="3"/>
      <c r="E96" s="3"/>
      <c r="F96" s="12"/>
      <c r="G96" s="12"/>
      <c r="H96" s="12"/>
      <c r="I96" s="12"/>
      <c r="J96" s="12"/>
      <c r="K96" s="12"/>
      <c r="L96" s="12"/>
      <c r="M96" s="12"/>
      <c r="U96" s="64" t="s">
        <v>47</v>
      </c>
      <c r="V96" s="39" t="str">
        <f>""</f>
        <v/>
      </c>
      <c r="W96" s="12" t="str">
        <f>""</f>
        <v/>
      </c>
      <c r="X96" s="12" t="str">
        <f>""</f>
        <v/>
      </c>
      <c r="Y96" s="34" t="str">
        <f>""</f>
        <v/>
      </c>
      <c r="Z96" s="33" t="str">
        <f>""</f>
        <v/>
      </c>
      <c r="AA96" s="12">
        <v>0</v>
      </c>
      <c r="AB96" s="12" t="str">
        <f>""</f>
        <v/>
      </c>
      <c r="AD96" s="141"/>
      <c r="AE96" s="146"/>
      <c r="AF96" s="141"/>
      <c r="AG96" s="596" t="str">
        <f>""</f>
        <v/>
      </c>
      <c r="AH96" s="3" t="str">
        <f>""</f>
        <v/>
      </c>
      <c r="AI96" s="601"/>
    </row>
    <row r="97" spans="2:35" s="2" customFormat="1" x14ac:dyDescent="0.2">
      <c r="B97" s="3"/>
      <c r="C97" s="3"/>
      <c r="D97" s="3"/>
      <c r="E97" s="3"/>
      <c r="F97" s="12"/>
      <c r="G97" s="12"/>
      <c r="H97" s="12"/>
      <c r="I97" s="12"/>
      <c r="J97" s="12"/>
      <c r="K97" s="12"/>
      <c r="L97" s="12"/>
      <c r="M97" s="12"/>
      <c r="U97" s="64" t="s">
        <v>48</v>
      </c>
      <c r="V97" s="39" t="str">
        <f>""</f>
        <v/>
      </c>
      <c r="W97" s="12" t="str">
        <f>""</f>
        <v/>
      </c>
      <c r="X97" s="12" t="str">
        <f>""</f>
        <v/>
      </c>
      <c r="Y97" s="34" t="str">
        <f>""</f>
        <v/>
      </c>
      <c r="Z97" s="33" t="str">
        <f>""</f>
        <v/>
      </c>
      <c r="AA97" s="12">
        <v>0</v>
      </c>
      <c r="AB97" s="12" t="str">
        <f>""</f>
        <v/>
      </c>
      <c r="AD97" s="141"/>
      <c r="AE97" s="146"/>
      <c r="AF97" s="141"/>
      <c r="AG97" s="596" t="str">
        <f>""</f>
        <v/>
      </c>
      <c r="AH97" s="3" t="str">
        <f>""</f>
        <v/>
      </c>
      <c r="AI97" s="601"/>
    </row>
    <row r="98" spans="2:35" s="2" customFormat="1" x14ac:dyDescent="0.2">
      <c r="B98" s="3"/>
      <c r="C98" s="3"/>
      <c r="D98" s="3"/>
      <c r="E98" s="3"/>
      <c r="F98" s="12"/>
      <c r="G98" s="12"/>
      <c r="H98" s="12"/>
      <c r="I98" s="12"/>
      <c r="J98" s="12"/>
      <c r="K98" s="12"/>
      <c r="L98" s="12"/>
      <c r="M98" s="12"/>
      <c r="U98" s="64" t="s">
        <v>49</v>
      </c>
      <c r="V98" s="39" t="str">
        <f>""</f>
        <v/>
      </c>
      <c r="W98" s="12" t="str">
        <f>""</f>
        <v/>
      </c>
      <c r="X98" s="12" t="str">
        <f>""</f>
        <v/>
      </c>
      <c r="Y98" s="34" t="str">
        <f>""</f>
        <v/>
      </c>
      <c r="Z98" s="33" t="str">
        <f>""</f>
        <v/>
      </c>
      <c r="AA98" s="12">
        <v>0</v>
      </c>
      <c r="AB98" s="12" t="str">
        <f>""</f>
        <v/>
      </c>
      <c r="AD98" s="141"/>
      <c r="AE98" s="146"/>
      <c r="AF98" s="141"/>
      <c r="AG98" s="596" t="str">
        <f>""</f>
        <v/>
      </c>
      <c r="AH98" s="3" t="str">
        <f>""</f>
        <v/>
      </c>
      <c r="AI98" s="601"/>
    </row>
    <row r="99" spans="2:35" s="2" customFormat="1" x14ac:dyDescent="0.2">
      <c r="B99" s="3"/>
      <c r="C99" s="3"/>
      <c r="D99" s="3"/>
      <c r="E99" s="3"/>
      <c r="F99" s="12"/>
      <c r="G99" s="12"/>
      <c r="H99" s="12"/>
      <c r="I99" s="12"/>
      <c r="J99" s="12"/>
      <c r="K99" s="12"/>
      <c r="L99" s="12"/>
      <c r="M99" s="12"/>
      <c r="U99" s="64" t="s">
        <v>50</v>
      </c>
      <c r="V99" s="39" t="str">
        <f>""</f>
        <v/>
      </c>
      <c r="W99" s="12" t="str">
        <f>""</f>
        <v/>
      </c>
      <c r="X99" s="12" t="str">
        <f>""</f>
        <v/>
      </c>
      <c r="Y99" s="34" t="str">
        <f>""</f>
        <v/>
      </c>
      <c r="Z99" s="33" t="str">
        <f>""</f>
        <v/>
      </c>
      <c r="AA99" s="12">
        <v>0</v>
      </c>
      <c r="AB99" s="12" t="str">
        <f>""</f>
        <v/>
      </c>
      <c r="AD99" s="141"/>
      <c r="AE99" s="146"/>
      <c r="AF99" s="141"/>
      <c r="AG99" s="596" t="str">
        <f>""</f>
        <v/>
      </c>
      <c r="AH99" s="3" t="str">
        <f>""</f>
        <v/>
      </c>
      <c r="AI99" s="601"/>
    </row>
    <row r="100" spans="2:35" s="2" customFormat="1" x14ac:dyDescent="0.2">
      <c r="B100" s="3"/>
      <c r="C100" s="3"/>
      <c r="D100" s="3"/>
      <c r="E100" s="3"/>
      <c r="F100" s="12"/>
      <c r="G100" s="12"/>
      <c r="H100" s="12"/>
      <c r="I100" s="12"/>
      <c r="J100" s="12"/>
      <c r="K100" s="12"/>
      <c r="L100" s="12"/>
      <c r="M100" s="12"/>
      <c r="U100" s="64" t="s">
        <v>58</v>
      </c>
      <c r="V100" s="39" t="str">
        <f>""</f>
        <v/>
      </c>
      <c r="W100" s="12" t="str">
        <f>""</f>
        <v/>
      </c>
      <c r="X100" s="12" t="str">
        <f>""</f>
        <v/>
      </c>
      <c r="Y100" s="34" t="str">
        <f>""</f>
        <v/>
      </c>
      <c r="Z100" s="33" t="str">
        <f>""</f>
        <v/>
      </c>
      <c r="AA100" s="12">
        <v>0</v>
      </c>
      <c r="AB100" s="12" t="str">
        <f>""</f>
        <v/>
      </c>
      <c r="AD100" s="141"/>
      <c r="AE100" s="146"/>
      <c r="AF100" s="141"/>
      <c r="AG100" s="596" t="str">
        <f>""</f>
        <v/>
      </c>
      <c r="AH100" s="3" t="str">
        <f>""</f>
        <v/>
      </c>
      <c r="AI100" s="601"/>
    </row>
    <row r="101" spans="2:35" s="2" customFormat="1" x14ac:dyDescent="0.2">
      <c r="B101" s="3"/>
      <c r="C101" s="3"/>
      <c r="D101" s="3"/>
      <c r="E101" s="3"/>
      <c r="F101" s="12"/>
      <c r="G101" s="12"/>
      <c r="H101" s="12"/>
      <c r="I101" s="12"/>
      <c r="J101" s="12"/>
      <c r="K101" s="12"/>
      <c r="L101" s="12"/>
      <c r="M101" s="12"/>
      <c r="U101" s="64" t="s">
        <v>59</v>
      </c>
      <c r="V101" s="39" t="str">
        <f>""</f>
        <v/>
      </c>
      <c r="W101" s="12" t="str">
        <f>""</f>
        <v/>
      </c>
      <c r="X101" s="12" t="str">
        <f>""</f>
        <v/>
      </c>
      <c r="Y101" s="34" t="str">
        <f>""</f>
        <v/>
      </c>
      <c r="Z101" s="33" t="str">
        <f>""</f>
        <v/>
      </c>
      <c r="AA101" s="12">
        <v>0</v>
      </c>
      <c r="AB101" s="12" t="str">
        <f>""</f>
        <v/>
      </c>
      <c r="AD101" s="141"/>
      <c r="AE101" s="146"/>
      <c r="AF101" s="141"/>
      <c r="AG101" s="596" t="str">
        <f>""</f>
        <v/>
      </c>
      <c r="AH101" s="3" t="str">
        <f>""</f>
        <v/>
      </c>
      <c r="AI101" s="601"/>
    </row>
    <row r="102" spans="2:35" s="2" customFormat="1" x14ac:dyDescent="0.2">
      <c r="B102" s="3"/>
      <c r="C102" s="3"/>
      <c r="D102" s="3"/>
      <c r="E102" s="3"/>
      <c r="F102" s="12"/>
      <c r="G102" s="12"/>
      <c r="H102" s="12"/>
      <c r="I102" s="12"/>
      <c r="J102" s="12"/>
      <c r="K102" s="12"/>
      <c r="L102" s="12"/>
      <c r="M102" s="12"/>
      <c r="U102" s="64" t="s">
        <v>60</v>
      </c>
      <c r="V102" s="39" t="str">
        <f>""</f>
        <v/>
      </c>
      <c r="W102" s="12" t="str">
        <f>""</f>
        <v/>
      </c>
      <c r="X102" s="12" t="str">
        <f>""</f>
        <v/>
      </c>
      <c r="Y102" s="34" t="str">
        <f>""</f>
        <v/>
      </c>
      <c r="Z102" s="33" t="str">
        <f>""</f>
        <v/>
      </c>
      <c r="AA102" s="12">
        <v>0</v>
      </c>
      <c r="AB102" s="12" t="str">
        <f>""</f>
        <v/>
      </c>
      <c r="AD102" s="141"/>
      <c r="AE102" s="146"/>
      <c r="AF102" s="141"/>
      <c r="AG102" s="596" t="str">
        <f>""</f>
        <v/>
      </c>
      <c r="AH102" s="3" t="str">
        <f>""</f>
        <v/>
      </c>
      <c r="AI102" s="601"/>
    </row>
    <row r="103" spans="2:35" s="2" customFormat="1" x14ac:dyDescent="0.2">
      <c r="B103" s="3"/>
      <c r="C103" s="3"/>
      <c r="D103" s="3"/>
      <c r="E103" s="3"/>
      <c r="F103" s="12"/>
      <c r="G103" s="12"/>
      <c r="H103" s="12"/>
      <c r="I103" s="12"/>
      <c r="J103" s="12"/>
      <c r="K103" s="12"/>
      <c r="L103" s="12"/>
      <c r="M103" s="12"/>
      <c r="U103" s="64" t="s">
        <v>61</v>
      </c>
      <c r="V103" s="39" t="str">
        <f>""</f>
        <v/>
      </c>
      <c r="W103" s="12" t="str">
        <f>""</f>
        <v/>
      </c>
      <c r="X103" s="12" t="str">
        <f>""</f>
        <v/>
      </c>
      <c r="Y103" s="34" t="str">
        <f>""</f>
        <v/>
      </c>
      <c r="Z103" s="33" t="str">
        <f>""</f>
        <v/>
      </c>
      <c r="AA103" s="12">
        <v>0</v>
      </c>
      <c r="AB103" s="12" t="str">
        <f>""</f>
        <v/>
      </c>
      <c r="AD103" s="141"/>
      <c r="AE103" s="146"/>
      <c r="AF103" s="141"/>
      <c r="AG103" s="596" t="str">
        <f>""</f>
        <v/>
      </c>
      <c r="AH103" s="3" t="str">
        <f>""</f>
        <v/>
      </c>
      <c r="AI103" s="601"/>
    </row>
    <row r="104" spans="2:35" s="2" customFormat="1" x14ac:dyDescent="0.2">
      <c r="B104" s="3"/>
      <c r="C104" s="3"/>
      <c r="D104" s="3"/>
      <c r="E104" s="3"/>
      <c r="F104" s="12"/>
      <c r="G104" s="12"/>
      <c r="H104" s="12"/>
      <c r="I104" s="12"/>
      <c r="J104" s="12"/>
      <c r="K104" s="12"/>
      <c r="L104" s="12"/>
      <c r="M104" s="12"/>
      <c r="U104" s="64" t="s">
        <v>62</v>
      </c>
      <c r="V104" s="39" t="str">
        <f>""</f>
        <v/>
      </c>
      <c r="W104" s="12" t="str">
        <f>""</f>
        <v/>
      </c>
      <c r="X104" s="12" t="str">
        <f>""</f>
        <v/>
      </c>
      <c r="Y104" s="34" t="str">
        <f>""</f>
        <v/>
      </c>
      <c r="Z104" s="33" t="str">
        <f>""</f>
        <v/>
      </c>
      <c r="AA104" s="12">
        <v>0</v>
      </c>
      <c r="AB104" s="12" t="str">
        <f>""</f>
        <v/>
      </c>
      <c r="AD104" s="141"/>
      <c r="AE104" s="146"/>
      <c r="AF104" s="141"/>
      <c r="AG104" s="596" t="str">
        <f>""</f>
        <v/>
      </c>
      <c r="AH104" s="3" t="str">
        <f>""</f>
        <v/>
      </c>
      <c r="AI104" s="601"/>
    </row>
    <row r="105" spans="2:35" s="2" customFormat="1" x14ac:dyDescent="0.2">
      <c r="B105" s="3"/>
      <c r="C105" s="3"/>
      <c r="D105" s="3"/>
      <c r="E105" s="3"/>
      <c r="F105" s="12"/>
      <c r="G105" s="12"/>
      <c r="H105" s="12"/>
      <c r="I105" s="12"/>
      <c r="J105" s="12"/>
      <c r="K105" s="12"/>
      <c r="L105" s="12"/>
      <c r="M105" s="12"/>
      <c r="U105" s="64" t="s">
        <v>63</v>
      </c>
      <c r="V105" s="39" t="str">
        <f>""</f>
        <v/>
      </c>
      <c r="W105" s="12" t="str">
        <f>""</f>
        <v/>
      </c>
      <c r="X105" s="12" t="str">
        <f>""</f>
        <v/>
      </c>
      <c r="Y105" s="34" t="str">
        <f>""</f>
        <v/>
      </c>
      <c r="Z105" s="33" t="str">
        <f>""</f>
        <v/>
      </c>
      <c r="AA105" s="12">
        <v>0</v>
      </c>
      <c r="AB105" s="12" t="str">
        <f>""</f>
        <v/>
      </c>
      <c r="AD105" s="141"/>
      <c r="AE105" s="146"/>
      <c r="AF105" s="141"/>
      <c r="AG105" s="596" t="str">
        <f>""</f>
        <v/>
      </c>
      <c r="AH105" s="3" t="str">
        <f>""</f>
        <v/>
      </c>
      <c r="AI105" s="601"/>
    </row>
    <row r="106" spans="2:35" s="2" customFormat="1" x14ac:dyDescent="0.2">
      <c r="B106" s="3"/>
      <c r="C106" s="3"/>
      <c r="D106" s="3"/>
      <c r="E106" s="3"/>
      <c r="F106" s="12"/>
      <c r="G106" s="12"/>
      <c r="H106" s="12"/>
      <c r="I106" s="12"/>
      <c r="J106" s="12"/>
      <c r="K106" s="12"/>
      <c r="L106" s="12"/>
      <c r="M106" s="12"/>
      <c r="U106" s="64" t="s">
        <v>64</v>
      </c>
      <c r="V106" s="39" t="str">
        <f>""</f>
        <v/>
      </c>
      <c r="W106" s="12" t="str">
        <f>""</f>
        <v/>
      </c>
      <c r="X106" s="12" t="str">
        <f>""</f>
        <v/>
      </c>
      <c r="Y106" s="34" t="str">
        <f>""</f>
        <v/>
      </c>
      <c r="Z106" s="33" t="str">
        <f>""</f>
        <v/>
      </c>
      <c r="AA106" s="12">
        <v>0</v>
      </c>
      <c r="AB106" s="12" t="str">
        <f>""</f>
        <v/>
      </c>
      <c r="AD106" s="141"/>
      <c r="AE106" s="146"/>
      <c r="AF106" s="141"/>
      <c r="AG106" s="596" t="str">
        <f>""</f>
        <v/>
      </c>
      <c r="AH106" s="3" t="str">
        <f>""</f>
        <v/>
      </c>
      <c r="AI106" s="601"/>
    </row>
    <row r="107" spans="2:35" s="2" customFormat="1" x14ac:dyDescent="0.2">
      <c r="B107" s="3"/>
      <c r="C107" s="3"/>
      <c r="D107" s="3"/>
      <c r="E107" s="3"/>
      <c r="F107" s="12"/>
      <c r="G107" s="12"/>
      <c r="H107" s="12"/>
      <c r="I107" s="12"/>
      <c r="J107" s="12"/>
      <c r="K107" s="12"/>
      <c r="L107" s="12"/>
      <c r="M107" s="12"/>
      <c r="U107" s="64" t="s">
        <v>65</v>
      </c>
      <c r="V107" s="39" t="str">
        <f>""</f>
        <v/>
      </c>
      <c r="W107" s="12" t="str">
        <f>""</f>
        <v/>
      </c>
      <c r="X107" s="12" t="str">
        <f>""</f>
        <v/>
      </c>
      <c r="Y107" s="34" t="str">
        <f>""</f>
        <v/>
      </c>
      <c r="Z107" s="33" t="str">
        <f>""</f>
        <v/>
      </c>
      <c r="AA107" s="12">
        <v>0</v>
      </c>
      <c r="AB107" s="12" t="str">
        <f>""</f>
        <v/>
      </c>
      <c r="AD107" s="141"/>
      <c r="AE107" s="146"/>
      <c r="AF107" s="141"/>
      <c r="AG107" s="596" t="str">
        <f>""</f>
        <v/>
      </c>
      <c r="AH107" s="3" t="str">
        <f>""</f>
        <v/>
      </c>
      <c r="AI107" s="601"/>
    </row>
    <row r="108" spans="2:35" s="2" customFormat="1" x14ac:dyDescent="0.2">
      <c r="B108" s="3"/>
      <c r="C108" s="3"/>
      <c r="D108" s="3"/>
      <c r="E108" s="3"/>
      <c r="F108" s="12"/>
      <c r="G108" s="12"/>
      <c r="H108" s="12"/>
      <c r="I108" s="12"/>
      <c r="J108" s="12"/>
      <c r="K108" s="12"/>
      <c r="L108" s="12"/>
      <c r="M108" s="12"/>
      <c r="U108" s="64" t="s">
        <v>66</v>
      </c>
      <c r="V108" s="39" t="str">
        <f>""</f>
        <v/>
      </c>
      <c r="W108" s="12" t="str">
        <f>""</f>
        <v/>
      </c>
      <c r="X108" s="12" t="str">
        <f>""</f>
        <v/>
      </c>
      <c r="Y108" s="34" t="str">
        <f>""</f>
        <v/>
      </c>
      <c r="Z108" s="33" t="str">
        <f>""</f>
        <v/>
      </c>
      <c r="AA108" s="12">
        <v>0</v>
      </c>
      <c r="AB108" s="12" t="str">
        <f>""</f>
        <v/>
      </c>
      <c r="AD108" s="141"/>
      <c r="AE108" s="146"/>
      <c r="AF108" s="141"/>
      <c r="AG108" s="596" t="str">
        <f>""</f>
        <v/>
      </c>
      <c r="AH108" s="3" t="str">
        <f>""</f>
        <v/>
      </c>
      <c r="AI108" s="601"/>
    </row>
    <row r="109" spans="2:35" s="2" customFormat="1" x14ac:dyDescent="0.2">
      <c r="B109" s="3"/>
      <c r="C109" s="3"/>
      <c r="D109" s="3"/>
      <c r="E109" s="3"/>
      <c r="F109" s="12"/>
      <c r="G109" s="12"/>
      <c r="H109" s="12"/>
      <c r="I109" s="12"/>
      <c r="J109" s="12"/>
      <c r="K109" s="12"/>
      <c r="L109" s="12"/>
      <c r="M109" s="12"/>
      <c r="U109" s="64" t="s">
        <v>67</v>
      </c>
      <c r="V109" s="39" t="str">
        <f>""</f>
        <v/>
      </c>
      <c r="W109" s="12" t="str">
        <f>""</f>
        <v/>
      </c>
      <c r="X109" s="12" t="str">
        <f>""</f>
        <v/>
      </c>
      <c r="Y109" s="34" t="str">
        <f>""</f>
        <v/>
      </c>
      <c r="Z109" s="33" t="str">
        <f>""</f>
        <v/>
      </c>
      <c r="AA109" s="12">
        <v>0</v>
      </c>
      <c r="AB109" s="12" t="str">
        <f>""</f>
        <v/>
      </c>
      <c r="AD109" s="141"/>
      <c r="AE109" s="146"/>
      <c r="AF109" s="141"/>
      <c r="AG109" s="596" t="str">
        <f>""</f>
        <v/>
      </c>
      <c r="AH109" s="3" t="str">
        <f>""</f>
        <v/>
      </c>
      <c r="AI109" s="601"/>
    </row>
    <row r="110" spans="2:35" s="2" customFormat="1" x14ac:dyDescent="0.2">
      <c r="B110" s="3"/>
      <c r="C110" s="3"/>
      <c r="D110" s="3"/>
      <c r="E110" s="3"/>
      <c r="F110" s="12"/>
      <c r="G110" s="12"/>
      <c r="H110" s="12"/>
      <c r="I110" s="12"/>
      <c r="J110" s="12"/>
      <c r="K110" s="12"/>
      <c r="L110" s="12"/>
      <c r="M110" s="12"/>
      <c r="U110" s="64" t="s">
        <v>68</v>
      </c>
      <c r="V110" s="39" t="str">
        <f>""</f>
        <v/>
      </c>
      <c r="W110" s="12" t="str">
        <f>""</f>
        <v/>
      </c>
      <c r="X110" s="12" t="str">
        <f>""</f>
        <v/>
      </c>
      <c r="Y110" s="34" t="str">
        <f>""</f>
        <v/>
      </c>
      <c r="Z110" s="33" t="str">
        <f>""</f>
        <v/>
      </c>
      <c r="AA110" s="12">
        <v>0</v>
      </c>
      <c r="AB110" s="12" t="str">
        <f>""</f>
        <v/>
      </c>
      <c r="AD110" s="141"/>
      <c r="AE110" s="146"/>
      <c r="AF110" s="141"/>
      <c r="AG110" s="596" t="str">
        <f>""</f>
        <v/>
      </c>
      <c r="AH110" s="3" t="str">
        <f>""</f>
        <v/>
      </c>
      <c r="AI110" s="601"/>
    </row>
    <row r="111" spans="2:35" s="2" customFormat="1" x14ac:dyDescent="0.2">
      <c r="B111" s="3"/>
      <c r="C111" s="3"/>
      <c r="D111" s="3"/>
      <c r="E111" s="3"/>
      <c r="F111" s="12"/>
      <c r="G111" s="12"/>
      <c r="H111" s="12"/>
      <c r="I111" s="12"/>
      <c r="J111" s="12"/>
      <c r="K111" s="12"/>
      <c r="L111" s="12"/>
      <c r="M111" s="12"/>
      <c r="U111" s="64" t="s">
        <v>69</v>
      </c>
      <c r="V111" s="39" t="str">
        <f>""</f>
        <v/>
      </c>
      <c r="W111" s="12" t="str">
        <f>""</f>
        <v/>
      </c>
      <c r="X111" s="12" t="str">
        <f>""</f>
        <v/>
      </c>
      <c r="Y111" s="34" t="str">
        <f>""</f>
        <v/>
      </c>
      <c r="Z111" s="33" t="str">
        <f>""</f>
        <v/>
      </c>
      <c r="AA111" s="12">
        <v>0</v>
      </c>
      <c r="AB111" s="12" t="str">
        <f>""</f>
        <v/>
      </c>
      <c r="AD111" s="141"/>
      <c r="AE111" s="146"/>
      <c r="AF111" s="141"/>
      <c r="AG111" s="596" t="str">
        <f>""</f>
        <v/>
      </c>
      <c r="AH111" s="3" t="str">
        <f>""</f>
        <v/>
      </c>
      <c r="AI111" s="601"/>
    </row>
    <row r="112" spans="2:35" s="2" customFormat="1" x14ac:dyDescent="0.2">
      <c r="B112" s="3"/>
      <c r="C112" s="3"/>
      <c r="D112" s="3"/>
      <c r="E112" s="3"/>
      <c r="F112" s="12"/>
      <c r="G112" s="12"/>
      <c r="H112" s="12"/>
      <c r="I112" s="12"/>
      <c r="J112" s="12"/>
      <c r="K112" s="12"/>
      <c r="L112" s="12"/>
      <c r="M112" s="12"/>
      <c r="U112" s="64" t="s">
        <v>70</v>
      </c>
      <c r="V112" s="39" t="str">
        <f>""</f>
        <v/>
      </c>
      <c r="W112" s="12" t="str">
        <f>""</f>
        <v/>
      </c>
      <c r="X112" s="12" t="str">
        <f>""</f>
        <v/>
      </c>
      <c r="Y112" s="34" t="str">
        <f>""</f>
        <v/>
      </c>
      <c r="Z112" s="33" t="str">
        <f>""</f>
        <v/>
      </c>
      <c r="AA112" s="12">
        <v>0</v>
      </c>
      <c r="AB112" s="12" t="str">
        <f>""</f>
        <v/>
      </c>
      <c r="AD112" s="141"/>
      <c r="AE112" s="146"/>
      <c r="AF112" s="141"/>
      <c r="AG112" s="596" t="str">
        <f>""</f>
        <v/>
      </c>
      <c r="AH112" s="3" t="str">
        <f>""</f>
        <v/>
      </c>
      <c r="AI112" s="601"/>
    </row>
    <row r="113" spans="2:35" s="2" customFormat="1" x14ac:dyDescent="0.2">
      <c r="B113" s="3"/>
      <c r="C113" s="3"/>
      <c r="D113" s="3"/>
      <c r="E113" s="3"/>
      <c r="F113" s="12"/>
      <c r="G113" s="12"/>
      <c r="H113" s="12"/>
      <c r="I113" s="12"/>
      <c r="J113" s="12"/>
      <c r="K113" s="12"/>
      <c r="L113" s="12"/>
      <c r="M113" s="12"/>
      <c r="U113" s="64" t="s">
        <v>71</v>
      </c>
      <c r="V113" s="39" t="str">
        <f>""</f>
        <v/>
      </c>
      <c r="W113" s="12" t="str">
        <f>""</f>
        <v/>
      </c>
      <c r="X113" s="12" t="str">
        <f>""</f>
        <v/>
      </c>
      <c r="Y113" s="34" t="str">
        <f>""</f>
        <v/>
      </c>
      <c r="Z113" s="33" t="str">
        <f>""</f>
        <v/>
      </c>
      <c r="AA113" s="12">
        <v>0</v>
      </c>
      <c r="AB113" s="12" t="str">
        <f>""</f>
        <v/>
      </c>
      <c r="AD113" s="141"/>
      <c r="AE113" s="146"/>
      <c r="AF113" s="141"/>
      <c r="AG113" s="596" t="str">
        <f>""</f>
        <v/>
      </c>
      <c r="AH113" s="3" t="str">
        <f>""</f>
        <v/>
      </c>
      <c r="AI113" s="601"/>
    </row>
    <row r="114" spans="2:35" s="2" customFormat="1" x14ac:dyDescent="0.2">
      <c r="B114" s="3"/>
      <c r="C114" s="3"/>
      <c r="D114" s="3"/>
      <c r="E114" s="3"/>
      <c r="F114" s="12"/>
      <c r="G114" s="12"/>
      <c r="H114" s="12"/>
      <c r="I114" s="12"/>
      <c r="J114" s="12"/>
      <c r="K114" s="12"/>
      <c r="L114" s="12"/>
      <c r="M114" s="12"/>
      <c r="U114" s="64" t="s">
        <v>72</v>
      </c>
      <c r="V114" s="39" t="str">
        <f>""</f>
        <v/>
      </c>
      <c r="W114" s="12" t="str">
        <f>""</f>
        <v/>
      </c>
      <c r="X114" s="12" t="str">
        <f>""</f>
        <v/>
      </c>
      <c r="Y114" s="34" t="str">
        <f>""</f>
        <v/>
      </c>
      <c r="Z114" s="33" t="str">
        <f>""</f>
        <v/>
      </c>
      <c r="AA114" s="12">
        <v>0</v>
      </c>
      <c r="AB114" s="12" t="str">
        <f>""</f>
        <v/>
      </c>
      <c r="AD114" s="141"/>
      <c r="AE114" s="146"/>
      <c r="AF114" s="141"/>
      <c r="AG114" s="596" t="str">
        <f>""</f>
        <v/>
      </c>
      <c r="AH114" s="3" t="str">
        <f>""</f>
        <v/>
      </c>
      <c r="AI114" s="601"/>
    </row>
    <row r="115" spans="2:35" s="2" customFormat="1" x14ac:dyDescent="0.2">
      <c r="B115" s="3"/>
      <c r="C115" s="3"/>
      <c r="D115" s="3"/>
      <c r="E115" s="3"/>
      <c r="F115" s="12"/>
      <c r="G115" s="12"/>
      <c r="H115" s="12"/>
      <c r="I115" s="12"/>
      <c r="J115" s="12"/>
      <c r="K115" s="12"/>
      <c r="L115" s="12"/>
      <c r="M115" s="12"/>
      <c r="U115" s="64" t="s">
        <v>73</v>
      </c>
      <c r="V115" s="39" t="str">
        <f>""</f>
        <v/>
      </c>
      <c r="W115" s="12" t="str">
        <f>""</f>
        <v/>
      </c>
      <c r="X115" s="12" t="str">
        <f>""</f>
        <v/>
      </c>
      <c r="Y115" s="34" t="str">
        <f>""</f>
        <v/>
      </c>
      <c r="Z115" s="33" t="str">
        <f>""</f>
        <v/>
      </c>
      <c r="AA115" s="12">
        <v>0</v>
      </c>
      <c r="AB115" s="12" t="str">
        <f>""</f>
        <v/>
      </c>
      <c r="AD115" s="141"/>
      <c r="AE115" s="146"/>
      <c r="AF115" s="141"/>
      <c r="AG115" s="596" t="str">
        <f>""</f>
        <v/>
      </c>
      <c r="AH115" s="3" t="str">
        <f>""</f>
        <v/>
      </c>
      <c r="AI115" s="601"/>
    </row>
    <row r="116" spans="2:35" s="2" customFormat="1" x14ac:dyDescent="0.2">
      <c r="B116" s="3"/>
      <c r="C116" s="3"/>
      <c r="D116" s="3"/>
      <c r="E116" s="3"/>
      <c r="F116" s="12"/>
      <c r="G116" s="12"/>
      <c r="H116" s="12"/>
      <c r="I116" s="12"/>
      <c r="J116" s="12"/>
      <c r="K116" s="12"/>
      <c r="L116" s="12"/>
      <c r="M116" s="12"/>
      <c r="U116" s="64" t="s">
        <v>74</v>
      </c>
      <c r="V116" s="39" t="str">
        <f>""</f>
        <v/>
      </c>
      <c r="W116" s="12" t="str">
        <f>""</f>
        <v/>
      </c>
      <c r="X116" s="12" t="str">
        <f>""</f>
        <v/>
      </c>
      <c r="Y116" s="34" t="str">
        <f>""</f>
        <v/>
      </c>
      <c r="Z116" s="33" t="str">
        <f>""</f>
        <v/>
      </c>
      <c r="AA116" s="12">
        <v>0</v>
      </c>
      <c r="AB116" s="12" t="str">
        <f>""</f>
        <v/>
      </c>
      <c r="AD116" s="141"/>
      <c r="AE116" s="146"/>
      <c r="AF116" s="141"/>
      <c r="AG116" s="596" t="str">
        <f>""</f>
        <v/>
      </c>
      <c r="AH116" s="3" t="str">
        <f>""</f>
        <v/>
      </c>
      <c r="AI116" s="601"/>
    </row>
    <row r="117" spans="2:35" s="2" customFormat="1" x14ac:dyDescent="0.2">
      <c r="B117" s="3"/>
      <c r="C117" s="3"/>
      <c r="D117" s="3"/>
      <c r="E117" s="3"/>
      <c r="F117" s="12"/>
      <c r="G117" s="12"/>
      <c r="H117" s="12"/>
      <c r="I117" s="12"/>
      <c r="J117" s="12"/>
      <c r="K117" s="12"/>
      <c r="L117" s="12"/>
      <c r="M117" s="12"/>
      <c r="U117" s="64" t="s">
        <v>75</v>
      </c>
      <c r="V117" s="39" t="str">
        <f>""</f>
        <v/>
      </c>
      <c r="W117" s="12" t="str">
        <f>""</f>
        <v/>
      </c>
      <c r="X117" s="12" t="str">
        <f>""</f>
        <v/>
      </c>
      <c r="Y117" s="34" t="str">
        <f>""</f>
        <v/>
      </c>
      <c r="Z117" s="33" t="str">
        <f>""</f>
        <v/>
      </c>
      <c r="AA117" s="12">
        <v>0</v>
      </c>
      <c r="AB117" s="12" t="str">
        <f>""</f>
        <v/>
      </c>
      <c r="AD117" s="141"/>
      <c r="AE117" s="146"/>
      <c r="AF117" s="141"/>
      <c r="AG117" s="596" t="str">
        <f>""</f>
        <v/>
      </c>
      <c r="AH117" s="3" t="str">
        <f>""</f>
        <v/>
      </c>
      <c r="AI117" s="601"/>
    </row>
    <row r="118" spans="2:35" s="2" customFormat="1" x14ac:dyDescent="0.2">
      <c r="B118" s="3"/>
      <c r="C118" s="3"/>
      <c r="D118" s="3"/>
      <c r="E118" s="3"/>
      <c r="F118" s="12"/>
      <c r="G118" s="12"/>
      <c r="H118" s="12"/>
      <c r="I118" s="12"/>
      <c r="J118" s="12"/>
      <c r="K118" s="12"/>
      <c r="L118" s="12"/>
      <c r="M118" s="12"/>
      <c r="U118" s="64" t="s">
        <v>76</v>
      </c>
      <c r="V118" s="39" t="str">
        <f>""</f>
        <v/>
      </c>
      <c r="W118" s="12" t="str">
        <f>""</f>
        <v/>
      </c>
      <c r="X118" s="12" t="str">
        <f>""</f>
        <v/>
      </c>
      <c r="Y118" s="34" t="str">
        <f>""</f>
        <v/>
      </c>
      <c r="Z118" s="33" t="str">
        <f>""</f>
        <v/>
      </c>
      <c r="AA118" s="12">
        <v>0</v>
      </c>
      <c r="AB118" s="12" t="str">
        <f>""</f>
        <v/>
      </c>
      <c r="AD118" s="141"/>
      <c r="AE118" s="146"/>
      <c r="AF118" s="141"/>
      <c r="AG118" s="596" t="str">
        <f>""</f>
        <v/>
      </c>
      <c r="AH118" s="3" t="str">
        <f>""</f>
        <v/>
      </c>
      <c r="AI118" s="601"/>
    </row>
    <row r="119" spans="2:35" s="2" customFormat="1" x14ac:dyDescent="0.2">
      <c r="B119" s="3"/>
      <c r="C119" s="3"/>
      <c r="D119" s="3"/>
      <c r="E119" s="3"/>
      <c r="F119" s="12"/>
      <c r="G119" s="12"/>
      <c r="H119" s="12"/>
      <c r="I119" s="12"/>
      <c r="J119" s="12"/>
      <c r="K119" s="12"/>
      <c r="L119" s="12"/>
      <c r="M119" s="12"/>
      <c r="U119" s="64" t="s">
        <v>77</v>
      </c>
      <c r="V119" s="39" t="str">
        <f>""</f>
        <v/>
      </c>
      <c r="W119" s="12" t="str">
        <f>""</f>
        <v/>
      </c>
      <c r="X119" s="12" t="str">
        <f>""</f>
        <v/>
      </c>
      <c r="Y119" s="34" t="str">
        <f>""</f>
        <v/>
      </c>
      <c r="Z119" s="33" t="str">
        <f>""</f>
        <v/>
      </c>
      <c r="AA119" s="12">
        <v>0</v>
      </c>
      <c r="AB119" s="12" t="str">
        <f>""</f>
        <v/>
      </c>
      <c r="AD119" s="141"/>
      <c r="AE119" s="146"/>
      <c r="AF119" s="141"/>
      <c r="AG119" s="596" t="str">
        <f>""</f>
        <v/>
      </c>
      <c r="AH119" s="3" t="str">
        <f>""</f>
        <v/>
      </c>
      <c r="AI119" s="601"/>
    </row>
    <row r="120" spans="2:35" s="2" customFormat="1" x14ac:dyDescent="0.2">
      <c r="B120" s="3"/>
      <c r="C120" s="3"/>
      <c r="D120" s="3"/>
      <c r="E120" s="3"/>
      <c r="F120" s="12"/>
      <c r="G120" s="12"/>
      <c r="H120" s="12"/>
      <c r="I120" s="12"/>
      <c r="J120" s="12"/>
      <c r="K120" s="12"/>
      <c r="L120" s="12"/>
      <c r="M120" s="12"/>
      <c r="U120" s="64" t="s">
        <v>78</v>
      </c>
      <c r="V120" s="39" t="str">
        <f>""</f>
        <v/>
      </c>
      <c r="W120" s="12" t="str">
        <f>""</f>
        <v/>
      </c>
      <c r="X120" s="12" t="str">
        <f>""</f>
        <v/>
      </c>
      <c r="Y120" s="34" t="str">
        <f>""</f>
        <v/>
      </c>
      <c r="Z120" s="33" t="str">
        <f>""</f>
        <v/>
      </c>
      <c r="AA120" s="12">
        <v>0</v>
      </c>
      <c r="AB120" s="12" t="str">
        <f>""</f>
        <v/>
      </c>
      <c r="AD120" s="141"/>
      <c r="AE120" s="146"/>
      <c r="AF120" s="141"/>
      <c r="AG120" s="596" t="str">
        <f>""</f>
        <v/>
      </c>
      <c r="AH120" s="3" t="str">
        <f>""</f>
        <v/>
      </c>
      <c r="AI120" s="601"/>
    </row>
    <row r="121" spans="2:35" s="2" customFormat="1" x14ac:dyDescent="0.2">
      <c r="B121" s="3"/>
      <c r="C121" s="3"/>
      <c r="D121" s="3"/>
      <c r="E121" s="3"/>
      <c r="F121" s="12"/>
      <c r="G121" s="12"/>
      <c r="H121" s="12"/>
      <c r="I121" s="12"/>
      <c r="J121" s="12"/>
      <c r="K121" s="12"/>
      <c r="L121" s="12"/>
      <c r="M121" s="12"/>
      <c r="U121" s="64" t="s">
        <v>79</v>
      </c>
      <c r="V121" s="39" t="str">
        <f>""</f>
        <v/>
      </c>
      <c r="W121" s="12" t="str">
        <f>""</f>
        <v/>
      </c>
      <c r="X121" s="12" t="str">
        <f>""</f>
        <v/>
      </c>
      <c r="Y121" s="34" t="str">
        <f>""</f>
        <v/>
      </c>
      <c r="Z121" s="33" t="str">
        <f>""</f>
        <v/>
      </c>
      <c r="AA121" s="12">
        <v>0</v>
      </c>
      <c r="AB121" s="12" t="str">
        <f>""</f>
        <v/>
      </c>
      <c r="AD121" s="141"/>
      <c r="AE121" s="146"/>
      <c r="AF121" s="141"/>
      <c r="AG121" s="596" t="str">
        <f>""</f>
        <v/>
      </c>
      <c r="AH121" s="3" t="str">
        <f>""</f>
        <v/>
      </c>
      <c r="AI121" s="601"/>
    </row>
    <row r="122" spans="2:35" s="2" customFormat="1" x14ac:dyDescent="0.2">
      <c r="B122" s="3"/>
      <c r="C122" s="3"/>
      <c r="D122" s="3"/>
      <c r="E122" s="3"/>
      <c r="F122" s="12"/>
      <c r="G122" s="12"/>
      <c r="H122" s="12"/>
      <c r="I122" s="12"/>
      <c r="J122" s="12"/>
      <c r="K122" s="12"/>
      <c r="L122" s="12"/>
      <c r="M122" s="12"/>
      <c r="U122" s="64" t="s">
        <v>80</v>
      </c>
      <c r="V122" s="39" t="str">
        <f>""</f>
        <v/>
      </c>
      <c r="W122" s="12" t="str">
        <f>""</f>
        <v/>
      </c>
      <c r="X122" s="12" t="str">
        <f>""</f>
        <v/>
      </c>
      <c r="Y122" s="34" t="str">
        <f>""</f>
        <v/>
      </c>
      <c r="Z122" s="33" t="str">
        <f>""</f>
        <v/>
      </c>
      <c r="AA122" s="12">
        <v>0</v>
      </c>
      <c r="AB122" s="12" t="str">
        <f>""</f>
        <v/>
      </c>
      <c r="AD122" s="141"/>
      <c r="AE122" s="146"/>
      <c r="AF122" s="141"/>
      <c r="AG122" s="596" t="str">
        <f>""</f>
        <v/>
      </c>
      <c r="AH122" s="3" t="str">
        <f>""</f>
        <v/>
      </c>
      <c r="AI122" s="601"/>
    </row>
    <row r="123" spans="2:35" s="2" customFormat="1" x14ac:dyDescent="0.2">
      <c r="B123" s="3"/>
      <c r="C123" s="3"/>
      <c r="D123" s="3"/>
      <c r="E123" s="3"/>
      <c r="F123" s="12"/>
      <c r="G123" s="12"/>
      <c r="H123" s="12"/>
      <c r="I123" s="12"/>
      <c r="J123" s="12"/>
      <c r="K123" s="12"/>
      <c r="L123" s="12"/>
      <c r="M123" s="12"/>
      <c r="U123" s="64" t="s">
        <v>81</v>
      </c>
      <c r="V123" s="39" t="str">
        <f>""</f>
        <v/>
      </c>
      <c r="W123" s="12" t="str">
        <f>""</f>
        <v/>
      </c>
      <c r="X123" s="12" t="str">
        <f>""</f>
        <v/>
      </c>
      <c r="Y123" s="34" t="str">
        <f>""</f>
        <v/>
      </c>
      <c r="Z123" s="33" t="str">
        <f>""</f>
        <v/>
      </c>
      <c r="AA123" s="12">
        <v>0</v>
      </c>
      <c r="AB123" s="12" t="str">
        <f>""</f>
        <v/>
      </c>
      <c r="AD123" s="141"/>
      <c r="AE123" s="146"/>
      <c r="AF123" s="141"/>
      <c r="AG123" s="596" t="str">
        <f>""</f>
        <v/>
      </c>
      <c r="AH123" s="3" t="str">
        <f>""</f>
        <v/>
      </c>
      <c r="AI123" s="601"/>
    </row>
    <row r="124" spans="2:35" s="2" customFormat="1" x14ac:dyDescent="0.2">
      <c r="B124" s="3"/>
      <c r="C124" s="3"/>
      <c r="D124" s="3"/>
      <c r="E124" s="3"/>
      <c r="F124" s="12"/>
      <c r="G124" s="12"/>
      <c r="H124" s="12"/>
      <c r="I124" s="12"/>
      <c r="J124" s="12"/>
      <c r="K124" s="12"/>
      <c r="L124" s="12"/>
      <c r="M124" s="12"/>
      <c r="U124" s="64" t="s">
        <v>82</v>
      </c>
      <c r="V124" s="39" t="str">
        <f>""</f>
        <v/>
      </c>
      <c r="W124" s="12" t="str">
        <f>""</f>
        <v/>
      </c>
      <c r="X124" s="12" t="str">
        <f>""</f>
        <v/>
      </c>
      <c r="Y124" s="34" t="str">
        <f>""</f>
        <v/>
      </c>
      <c r="Z124" s="33" t="str">
        <f>""</f>
        <v/>
      </c>
      <c r="AA124" s="12">
        <v>0</v>
      </c>
      <c r="AB124" s="12" t="str">
        <f>""</f>
        <v/>
      </c>
      <c r="AD124" s="141"/>
      <c r="AE124" s="146"/>
      <c r="AF124" s="141"/>
      <c r="AG124" s="596" t="str">
        <f>""</f>
        <v/>
      </c>
      <c r="AH124" s="3" t="str">
        <f>""</f>
        <v/>
      </c>
      <c r="AI124" s="601"/>
    </row>
    <row r="125" spans="2:35" s="2" customFormat="1" x14ac:dyDescent="0.2">
      <c r="B125" s="3"/>
      <c r="C125" s="3"/>
      <c r="D125" s="3"/>
      <c r="E125" s="3"/>
      <c r="F125" s="12"/>
      <c r="G125" s="12"/>
      <c r="H125" s="12"/>
      <c r="I125" s="12"/>
      <c r="J125" s="12"/>
      <c r="K125" s="12"/>
      <c r="L125" s="12"/>
      <c r="M125" s="12"/>
      <c r="U125" s="64" t="s">
        <v>83</v>
      </c>
      <c r="V125" s="39" t="str">
        <f>""</f>
        <v/>
      </c>
      <c r="W125" s="12" t="str">
        <f>""</f>
        <v/>
      </c>
      <c r="X125" s="12" t="str">
        <f>""</f>
        <v/>
      </c>
      <c r="Y125" s="34" t="str">
        <f>""</f>
        <v/>
      </c>
      <c r="Z125" s="33" t="str">
        <f>""</f>
        <v/>
      </c>
      <c r="AA125" s="12">
        <v>0</v>
      </c>
      <c r="AB125" s="12" t="str">
        <f>""</f>
        <v/>
      </c>
      <c r="AD125" s="141"/>
      <c r="AE125" s="146"/>
      <c r="AF125" s="141"/>
      <c r="AG125" s="596" t="str">
        <f>""</f>
        <v/>
      </c>
      <c r="AH125" s="3" t="str">
        <f>""</f>
        <v/>
      </c>
      <c r="AI125" s="601"/>
    </row>
    <row r="126" spans="2:35" s="2" customFormat="1" x14ac:dyDescent="0.2">
      <c r="B126" s="3"/>
      <c r="C126" s="3"/>
      <c r="D126" s="3"/>
      <c r="E126" s="3"/>
      <c r="F126" s="12"/>
      <c r="G126" s="12"/>
      <c r="H126" s="12"/>
      <c r="I126" s="12"/>
      <c r="J126" s="12"/>
      <c r="K126" s="12"/>
      <c r="L126" s="12"/>
      <c r="M126" s="12"/>
      <c r="U126" s="64" t="s">
        <v>84</v>
      </c>
      <c r="V126" s="39" t="str">
        <f>""</f>
        <v/>
      </c>
      <c r="W126" s="12" t="str">
        <f>""</f>
        <v/>
      </c>
      <c r="X126" s="12" t="str">
        <f>""</f>
        <v/>
      </c>
      <c r="Y126" s="34" t="str">
        <f>""</f>
        <v/>
      </c>
      <c r="Z126" s="33" t="str">
        <f>""</f>
        <v/>
      </c>
      <c r="AA126" s="12">
        <v>0</v>
      </c>
      <c r="AB126" s="12" t="str">
        <f>""</f>
        <v/>
      </c>
      <c r="AD126" s="141"/>
      <c r="AE126" s="146"/>
      <c r="AF126" s="141"/>
      <c r="AG126" s="596" t="str">
        <f>""</f>
        <v/>
      </c>
      <c r="AH126" s="3" t="str">
        <f>""</f>
        <v/>
      </c>
      <c r="AI126" s="601"/>
    </row>
    <row r="127" spans="2:35" s="2" customFormat="1" x14ac:dyDescent="0.2">
      <c r="B127" s="3"/>
      <c r="C127" s="3"/>
      <c r="D127" s="3"/>
      <c r="E127" s="3"/>
      <c r="F127" s="12"/>
      <c r="G127" s="12"/>
      <c r="H127" s="12"/>
      <c r="I127" s="12"/>
      <c r="J127" s="12"/>
      <c r="K127" s="12"/>
      <c r="L127" s="12"/>
      <c r="M127" s="12"/>
      <c r="U127" s="64" t="s">
        <v>85</v>
      </c>
      <c r="V127" s="39" t="str">
        <f>""</f>
        <v/>
      </c>
      <c r="W127" s="12" t="str">
        <f>""</f>
        <v/>
      </c>
      <c r="X127" s="12" t="str">
        <f>""</f>
        <v/>
      </c>
      <c r="Y127" s="34" t="str">
        <f>""</f>
        <v/>
      </c>
      <c r="Z127" s="33" t="str">
        <f>""</f>
        <v/>
      </c>
      <c r="AA127" s="12">
        <v>0</v>
      </c>
      <c r="AB127" s="12" t="str">
        <f>""</f>
        <v/>
      </c>
      <c r="AD127" s="141"/>
      <c r="AE127" s="146"/>
      <c r="AF127" s="141"/>
      <c r="AG127" s="596" t="str">
        <f>""</f>
        <v/>
      </c>
      <c r="AH127" s="3" t="str">
        <f>""</f>
        <v/>
      </c>
      <c r="AI127" s="601"/>
    </row>
    <row r="128" spans="2:35" s="2" customFormat="1" x14ac:dyDescent="0.2">
      <c r="B128" s="3"/>
      <c r="C128" s="3"/>
      <c r="D128" s="3"/>
      <c r="E128" s="3"/>
      <c r="F128" s="12"/>
      <c r="G128" s="12"/>
      <c r="H128" s="12"/>
      <c r="I128" s="12"/>
      <c r="J128" s="12"/>
      <c r="K128" s="12"/>
      <c r="L128" s="12"/>
      <c r="M128" s="12"/>
      <c r="U128" s="64" t="s">
        <v>86</v>
      </c>
      <c r="V128" s="39" t="str">
        <f>""</f>
        <v/>
      </c>
      <c r="W128" s="12" t="str">
        <f>""</f>
        <v/>
      </c>
      <c r="X128" s="12" t="str">
        <f>""</f>
        <v/>
      </c>
      <c r="Y128" s="34" t="str">
        <f>""</f>
        <v/>
      </c>
      <c r="Z128" s="33" t="str">
        <f>""</f>
        <v/>
      </c>
      <c r="AA128" s="12">
        <v>0</v>
      </c>
      <c r="AB128" s="12" t="str">
        <f>""</f>
        <v/>
      </c>
      <c r="AD128" s="141"/>
      <c r="AE128" s="146"/>
      <c r="AF128" s="141"/>
      <c r="AG128" s="596" t="str">
        <f>""</f>
        <v/>
      </c>
      <c r="AH128" s="3" t="str">
        <f>""</f>
        <v/>
      </c>
      <c r="AI128" s="601"/>
    </row>
    <row r="129" spans="2:35" s="2" customFormat="1" x14ac:dyDescent="0.2">
      <c r="B129" s="3"/>
      <c r="C129" s="3"/>
      <c r="D129" s="3"/>
      <c r="E129" s="3"/>
      <c r="F129" s="12"/>
      <c r="G129" s="12"/>
      <c r="H129" s="12"/>
      <c r="I129" s="12"/>
      <c r="J129" s="12"/>
      <c r="K129" s="12"/>
      <c r="L129" s="12"/>
      <c r="M129" s="12"/>
      <c r="U129" s="64" t="s">
        <v>87</v>
      </c>
      <c r="V129" s="39" t="str">
        <f>""</f>
        <v/>
      </c>
      <c r="W129" s="12" t="str">
        <f>""</f>
        <v/>
      </c>
      <c r="X129" s="12" t="str">
        <f>""</f>
        <v/>
      </c>
      <c r="Y129" s="34" t="str">
        <f>""</f>
        <v/>
      </c>
      <c r="Z129" s="33" t="str">
        <f>""</f>
        <v/>
      </c>
      <c r="AA129" s="12">
        <v>0</v>
      </c>
      <c r="AB129" s="12" t="str">
        <f>""</f>
        <v/>
      </c>
      <c r="AD129" s="141"/>
      <c r="AE129" s="146"/>
      <c r="AF129" s="141"/>
      <c r="AG129" s="596" t="str">
        <f>""</f>
        <v/>
      </c>
      <c r="AH129" s="3" t="str">
        <f>""</f>
        <v/>
      </c>
      <c r="AI129" s="601"/>
    </row>
    <row r="130" spans="2:35" s="2" customFormat="1" x14ac:dyDescent="0.2">
      <c r="B130" s="3"/>
      <c r="C130" s="3"/>
      <c r="D130" s="3"/>
      <c r="E130" s="3"/>
      <c r="F130" s="12"/>
      <c r="G130" s="12"/>
      <c r="H130" s="12"/>
      <c r="I130" s="12"/>
      <c r="J130" s="12"/>
      <c r="K130" s="12"/>
      <c r="L130" s="12"/>
      <c r="M130" s="12"/>
      <c r="U130" s="64" t="s">
        <v>88</v>
      </c>
      <c r="V130" s="39" t="str">
        <f>""</f>
        <v/>
      </c>
      <c r="W130" s="12" t="str">
        <f>""</f>
        <v/>
      </c>
      <c r="X130" s="12" t="str">
        <f>""</f>
        <v/>
      </c>
      <c r="Y130" s="34" t="str">
        <f>""</f>
        <v/>
      </c>
      <c r="Z130" s="33" t="str">
        <f>""</f>
        <v/>
      </c>
      <c r="AA130" s="12">
        <v>0</v>
      </c>
      <c r="AB130" s="12" t="str">
        <f>""</f>
        <v/>
      </c>
      <c r="AD130" s="141"/>
      <c r="AE130" s="146"/>
      <c r="AF130" s="141"/>
      <c r="AG130" s="596" t="str">
        <f>""</f>
        <v/>
      </c>
      <c r="AH130" s="3" t="str">
        <f>""</f>
        <v/>
      </c>
      <c r="AI130" s="601"/>
    </row>
    <row r="131" spans="2:35" s="2" customFormat="1" x14ac:dyDescent="0.2">
      <c r="B131" s="3"/>
      <c r="C131" s="3"/>
      <c r="D131" s="3"/>
      <c r="E131" s="3"/>
      <c r="F131" s="12"/>
      <c r="G131" s="12"/>
      <c r="H131" s="12"/>
      <c r="I131" s="12"/>
      <c r="J131" s="12"/>
      <c r="K131" s="12"/>
      <c r="L131" s="12"/>
      <c r="M131" s="12"/>
      <c r="U131" s="64" t="s">
        <v>89</v>
      </c>
      <c r="V131" s="39" t="str">
        <f>""</f>
        <v/>
      </c>
      <c r="W131" s="12" t="str">
        <f>""</f>
        <v/>
      </c>
      <c r="X131" s="12" t="str">
        <f>""</f>
        <v/>
      </c>
      <c r="Y131" s="34" t="str">
        <f>""</f>
        <v/>
      </c>
      <c r="Z131" s="33" t="str">
        <f>""</f>
        <v/>
      </c>
      <c r="AA131" s="12">
        <v>0</v>
      </c>
      <c r="AB131" s="12" t="str">
        <f>""</f>
        <v/>
      </c>
      <c r="AD131" s="141"/>
      <c r="AE131" s="146"/>
      <c r="AF131" s="141"/>
      <c r="AG131" s="596" t="str">
        <f>""</f>
        <v/>
      </c>
      <c r="AH131" s="3" t="str">
        <f>""</f>
        <v/>
      </c>
      <c r="AI131" s="601"/>
    </row>
    <row r="132" spans="2:35" s="2" customFormat="1" x14ac:dyDescent="0.2">
      <c r="B132" s="3"/>
      <c r="C132" s="3"/>
      <c r="D132" s="3"/>
      <c r="E132" s="3"/>
      <c r="F132" s="12"/>
      <c r="G132" s="12"/>
      <c r="H132" s="12"/>
      <c r="I132" s="12"/>
      <c r="J132" s="12"/>
      <c r="K132" s="12"/>
      <c r="L132" s="12"/>
      <c r="M132" s="12"/>
      <c r="U132" s="64" t="s">
        <v>90</v>
      </c>
      <c r="V132" s="39" t="str">
        <f>""</f>
        <v/>
      </c>
      <c r="W132" s="12" t="str">
        <f>""</f>
        <v/>
      </c>
      <c r="X132" s="12" t="str">
        <f>""</f>
        <v/>
      </c>
      <c r="Y132" s="34" t="str">
        <f>""</f>
        <v/>
      </c>
      <c r="Z132" s="33" t="str">
        <f>""</f>
        <v/>
      </c>
      <c r="AA132" s="12">
        <v>0</v>
      </c>
      <c r="AB132" s="12" t="str">
        <f>""</f>
        <v/>
      </c>
      <c r="AD132" s="141"/>
      <c r="AE132" s="146"/>
      <c r="AF132" s="141"/>
      <c r="AG132" s="596" t="str">
        <f>""</f>
        <v/>
      </c>
      <c r="AH132" s="3" t="str">
        <f>""</f>
        <v/>
      </c>
      <c r="AI132" s="601"/>
    </row>
    <row r="133" spans="2:35" s="2" customFormat="1" x14ac:dyDescent="0.2">
      <c r="B133" s="3"/>
      <c r="C133" s="3"/>
      <c r="D133" s="3"/>
      <c r="E133" s="3"/>
      <c r="F133" s="12"/>
      <c r="G133" s="12"/>
      <c r="H133" s="12"/>
      <c r="I133" s="12"/>
      <c r="J133" s="12"/>
      <c r="K133" s="12"/>
      <c r="L133" s="12"/>
      <c r="M133" s="12"/>
      <c r="U133" s="64" t="s">
        <v>91</v>
      </c>
      <c r="V133" s="39" t="str">
        <f>""</f>
        <v/>
      </c>
      <c r="W133" s="12" t="str">
        <f>""</f>
        <v/>
      </c>
      <c r="X133" s="12" t="str">
        <f>""</f>
        <v/>
      </c>
      <c r="Y133" s="34" t="str">
        <f>""</f>
        <v/>
      </c>
      <c r="Z133" s="33" t="str">
        <f>""</f>
        <v/>
      </c>
      <c r="AA133" s="12">
        <v>0</v>
      </c>
      <c r="AB133" s="12" t="str">
        <f>""</f>
        <v/>
      </c>
      <c r="AD133" s="141"/>
      <c r="AE133" s="146"/>
      <c r="AF133" s="141"/>
      <c r="AG133" s="596" t="str">
        <f>""</f>
        <v/>
      </c>
      <c r="AH133" s="3" t="str">
        <f>""</f>
        <v/>
      </c>
      <c r="AI133" s="601"/>
    </row>
    <row r="134" spans="2:35" s="2" customFormat="1" x14ac:dyDescent="0.2">
      <c r="B134" s="3"/>
      <c r="C134" s="3"/>
      <c r="D134" s="3"/>
      <c r="E134" s="3"/>
      <c r="F134" s="12"/>
      <c r="G134" s="12"/>
      <c r="H134" s="12"/>
      <c r="I134" s="12"/>
      <c r="J134" s="12"/>
      <c r="K134" s="12"/>
      <c r="L134" s="12"/>
      <c r="M134" s="12"/>
      <c r="U134" s="64" t="s">
        <v>92</v>
      </c>
      <c r="V134" s="39" t="str">
        <f>""</f>
        <v/>
      </c>
      <c r="W134" s="12" t="str">
        <f>""</f>
        <v/>
      </c>
      <c r="X134" s="12" t="str">
        <f>""</f>
        <v/>
      </c>
      <c r="Y134" s="34" t="str">
        <f>""</f>
        <v/>
      </c>
      <c r="Z134" s="33" t="str">
        <f>""</f>
        <v/>
      </c>
      <c r="AA134" s="12">
        <v>0</v>
      </c>
      <c r="AB134" s="12" t="str">
        <f>""</f>
        <v/>
      </c>
      <c r="AD134" s="141"/>
      <c r="AE134" s="146"/>
      <c r="AF134" s="141"/>
      <c r="AG134" s="596" t="str">
        <f>""</f>
        <v/>
      </c>
      <c r="AH134" s="3" t="str">
        <f>""</f>
        <v/>
      </c>
      <c r="AI134" s="601"/>
    </row>
    <row r="135" spans="2:35" s="2" customFormat="1" ht="12.75" thickBot="1" x14ac:dyDescent="0.25">
      <c r="B135" s="3"/>
      <c r="C135" s="3"/>
      <c r="D135" s="3"/>
      <c r="E135" s="3"/>
      <c r="F135" s="12"/>
      <c r="G135" s="12"/>
      <c r="H135" s="12"/>
      <c r="I135" s="12"/>
      <c r="J135" s="12"/>
      <c r="K135" s="12"/>
      <c r="L135" s="12"/>
      <c r="M135" s="12"/>
      <c r="U135" s="65" t="s">
        <v>93</v>
      </c>
      <c r="V135" s="40" t="str">
        <f>""</f>
        <v/>
      </c>
      <c r="W135" s="36" t="str">
        <f>""</f>
        <v/>
      </c>
      <c r="X135" s="36" t="str">
        <f>""</f>
        <v/>
      </c>
      <c r="Y135" s="37" t="str">
        <f>""</f>
        <v/>
      </c>
      <c r="Z135" s="33" t="str">
        <f>""</f>
        <v/>
      </c>
      <c r="AA135" s="36">
        <v>0</v>
      </c>
      <c r="AB135" s="142" t="str">
        <f>""</f>
        <v/>
      </c>
      <c r="AC135" s="144"/>
      <c r="AD135" s="143"/>
      <c r="AE135" s="147"/>
      <c r="AF135" s="143"/>
      <c r="AG135" s="597" t="str">
        <f>""</f>
        <v/>
      </c>
      <c r="AH135" s="144" t="str">
        <f>""</f>
        <v/>
      </c>
      <c r="AI135" s="602"/>
    </row>
    <row r="136" spans="2:35" s="2" customFormat="1" ht="12.75" thickTop="1" x14ac:dyDescent="0.2">
      <c r="B136" s="3"/>
      <c r="C136" s="3"/>
      <c r="D136" s="3"/>
      <c r="E136" s="3"/>
      <c r="F136" s="12"/>
      <c r="G136" s="12"/>
      <c r="H136" s="12"/>
      <c r="I136" s="12"/>
      <c r="J136" s="12"/>
      <c r="K136" s="12"/>
      <c r="L136" s="12"/>
      <c r="M136" s="12"/>
      <c r="Y136" s="63" t="s">
        <v>6</v>
      </c>
      <c r="Z136" s="30" t="str">
        <f ca="1">W64&amp;V64</f>
        <v>VFB Essenheim</v>
      </c>
      <c r="AA136" s="31">
        <f ca="1">AA64</f>
        <v>0</v>
      </c>
      <c r="AB136" s="12" t="str">
        <f ca="1">IF(AA136&gt;0,(Y64+AH64)&amp;Sprache!$E$77&amp;(X64+AG64),"")</f>
        <v/>
      </c>
      <c r="AD136" s="141"/>
      <c r="AE136" s="604"/>
      <c r="AF136" s="605"/>
      <c r="AG136" s="605"/>
      <c r="AH136" s="605"/>
      <c r="AI136" s="140" t="str">
        <f ca="1">IF(AA64&gt;0,AF64&amp;Sprache!$E$77&amp;AE64,"")</f>
        <v/>
      </c>
    </row>
    <row r="137" spans="2:35" x14ac:dyDescent="0.2">
      <c r="Y137" s="64" t="s">
        <v>7</v>
      </c>
      <c r="Z137" s="33" t="str">
        <f ca="1">W65&amp;V65</f>
        <v>SSV Wildbach1. FC Riedwald</v>
      </c>
      <c r="AA137" s="12">
        <f t="shared" ref="AA137:AA153" ca="1" si="69">AA65</f>
        <v>1</v>
      </c>
      <c r="AB137" s="12" t="str">
        <f ca="1">IF(AA137&gt;0,(Y65+AH65)&amp;Sprache!$E$77&amp;(X65+AG65),"")</f>
        <v>45:42</v>
      </c>
      <c r="AC137" s="2"/>
      <c r="AD137" s="141"/>
      <c r="AE137" s="606"/>
      <c r="AF137" s="607"/>
      <c r="AG137" s="607"/>
      <c r="AH137" s="607"/>
      <c r="AI137" s="615" t="str">
        <f ca="1">IF(AA65&gt;0,AF65&amp;Sprache!$E$77&amp;AE65,"")</f>
        <v>1:1</v>
      </c>
    </row>
    <row r="138" spans="2:35" x14ac:dyDescent="0.2">
      <c r="Y138" s="64" t="s">
        <v>8</v>
      </c>
      <c r="Z138" s="33" t="str">
        <f t="shared" ref="Z138:Z153" ca="1" si="70">W66&amp;V66</f>
        <v>Manchester CityMaibach 1822 eV</v>
      </c>
      <c r="AA138" s="12">
        <f t="shared" ca="1" si="69"/>
        <v>1</v>
      </c>
      <c r="AB138" s="12" t="str">
        <f ca="1">IF(AA138&gt;0,(Y66+AH66)&amp;Sprache!$E$77&amp;(X66+AG66),"")</f>
        <v>50:35</v>
      </c>
      <c r="AC138" s="2"/>
      <c r="AD138" s="141"/>
      <c r="AE138" s="606"/>
      <c r="AF138" s="607"/>
      <c r="AG138" s="607"/>
      <c r="AH138" s="607"/>
      <c r="AI138" s="615" t="str">
        <f ca="1">IF(AA66&gt;0,AF66&amp;Sprache!$E$77&amp;AE66,"")</f>
        <v>2:0</v>
      </c>
    </row>
    <row r="139" spans="2:35" x14ac:dyDescent="0.2">
      <c r="Y139" s="64" t="s">
        <v>9</v>
      </c>
      <c r="Z139" s="33" t="str">
        <f t="shared" ca="1" si="70"/>
        <v>Inter Mailand</v>
      </c>
      <c r="AA139" s="12">
        <f t="shared" ca="1" si="69"/>
        <v>0</v>
      </c>
      <c r="AB139" s="12" t="str">
        <f ca="1">IF(AA139&gt;0,(Y67+AH67)&amp;Sprache!$E$77&amp;(X67+AG67),"")</f>
        <v/>
      </c>
      <c r="AC139" s="2"/>
      <c r="AD139" s="141"/>
      <c r="AE139" s="606"/>
      <c r="AF139" s="607"/>
      <c r="AG139" s="607"/>
      <c r="AH139" s="607"/>
      <c r="AI139" s="615" t="str">
        <f ca="1">IF(AA67&gt;0,AF67&amp;Sprache!$E$77&amp;AE67,"")</f>
        <v/>
      </c>
    </row>
    <row r="140" spans="2:35" x14ac:dyDescent="0.2">
      <c r="Y140" s="64" t="s">
        <v>10</v>
      </c>
      <c r="Z140" s="33" t="str">
        <f t="shared" ca="1" si="70"/>
        <v>FC BarcelonaFC Grönlingen</v>
      </c>
      <c r="AA140" s="12">
        <f t="shared" ca="1" si="69"/>
        <v>1</v>
      </c>
      <c r="AB140" s="12" t="str">
        <f ca="1">IF(AA140&gt;0,(Y68+AH68)&amp;Sprache!$E$77&amp;(X68+AG68),"")</f>
        <v>44:50</v>
      </c>
      <c r="AC140" s="2"/>
      <c r="AD140" s="141"/>
      <c r="AE140" s="606"/>
      <c r="AF140" s="607"/>
      <c r="AG140" s="607"/>
      <c r="AH140" s="607"/>
      <c r="AI140" s="615" t="str">
        <f ca="1">IF(AA68&gt;0,AF68&amp;Sprache!$E$77&amp;AE68,"")</f>
        <v>0:2</v>
      </c>
    </row>
    <row r="141" spans="2:35" x14ac:dyDescent="0.2">
      <c r="Y141" s="64" t="s">
        <v>11</v>
      </c>
      <c r="Z141" s="33" t="str">
        <f t="shared" ca="1" si="70"/>
        <v>Eintracht FrankfurtMainz 05</v>
      </c>
      <c r="AA141" s="12">
        <f t="shared" ca="1" si="69"/>
        <v>1</v>
      </c>
      <c r="AB141" s="12" t="str">
        <f ca="1">IF(AA141&gt;0,(Y69+AH69)&amp;Sprache!$E$77&amp;(X69+AG69),"")</f>
        <v>39:50</v>
      </c>
      <c r="AC141" s="2"/>
      <c r="AD141" s="141"/>
      <c r="AE141" s="606"/>
      <c r="AF141" s="607"/>
      <c r="AG141" s="607"/>
      <c r="AH141" s="607"/>
      <c r="AI141" s="615" t="str">
        <f ca="1">IF(AA69&gt;0,AF69&amp;Sprache!$E$77&amp;AE69,"")</f>
        <v>0:2</v>
      </c>
    </row>
    <row r="142" spans="2:35" x14ac:dyDescent="0.2">
      <c r="Y142" s="64" t="s">
        <v>16</v>
      </c>
      <c r="Z142" s="33" t="str">
        <f t="shared" ca="1" si="70"/>
        <v>VFB Essenheim</v>
      </c>
      <c r="AA142" s="12">
        <f t="shared" ca="1" si="69"/>
        <v>0</v>
      </c>
      <c r="AB142" s="12" t="str">
        <f ca="1">IF(AA142&gt;0,(Y70+AH70)&amp;Sprache!$E$77&amp;(X70+AG70),"")</f>
        <v/>
      </c>
      <c r="AC142" s="2"/>
      <c r="AD142" s="141"/>
      <c r="AE142" s="606"/>
      <c r="AF142" s="607"/>
      <c r="AG142" s="607"/>
      <c r="AH142" s="607"/>
      <c r="AI142" s="615" t="str">
        <f ca="1">IF(AA70&gt;0,AF70&amp;Sprache!$E$77&amp;AE70,"")</f>
        <v/>
      </c>
    </row>
    <row r="143" spans="2:35" x14ac:dyDescent="0.2">
      <c r="Y143" s="64" t="s">
        <v>17</v>
      </c>
      <c r="Z143" s="33" t="str">
        <f t="shared" ca="1" si="70"/>
        <v>FC Barcelona1. FC Riedwald</v>
      </c>
      <c r="AA143" s="12">
        <f t="shared" ca="1" si="69"/>
        <v>1</v>
      </c>
      <c r="AB143" s="12" t="str">
        <f ca="1">IF(AA143&gt;0,(Y71+AH71)&amp;Sprache!$E$77&amp;(X71+AG71),"")</f>
        <v>37:44</v>
      </c>
      <c r="AC143" s="2"/>
      <c r="AD143" s="141"/>
      <c r="AE143" s="606"/>
      <c r="AF143" s="607"/>
      <c r="AG143" s="607"/>
      <c r="AH143" s="607"/>
      <c r="AI143" s="615" t="str">
        <f ca="1">IF(AA71&gt;0,AF71&amp;Sprache!$E$77&amp;AE71,"")</f>
        <v>1:1</v>
      </c>
    </row>
    <row r="144" spans="2:35" x14ac:dyDescent="0.2">
      <c r="Y144" s="64" t="s">
        <v>18</v>
      </c>
      <c r="Z144" s="33" t="str">
        <f t="shared" ca="1" si="70"/>
        <v>Eintracht FrankfurtMaibach 1822 eV</v>
      </c>
      <c r="AA144" s="12">
        <f t="shared" ca="1" si="69"/>
        <v>1</v>
      </c>
      <c r="AB144" s="12" t="str">
        <f ca="1">IF(AA144&gt;0,(Y72+AH72)&amp;Sprache!$E$77&amp;(X72+AG72),"")</f>
        <v>50:31</v>
      </c>
      <c r="AC144" s="2"/>
      <c r="AD144" s="141"/>
      <c r="AE144" s="606"/>
      <c r="AF144" s="607"/>
      <c r="AG144" s="607"/>
      <c r="AH144" s="607"/>
      <c r="AI144" s="615" t="str">
        <f ca="1">IF(AA72&gt;0,AF72&amp;Sprache!$E$77&amp;AE72,"")</f>
        <v>2:0</v>
      </c>
    </row>
    <row r="145" spans="25:35" x14ac:dyDescent="0.2">
      <c r="Y145" s="64" t="s">
        <v>24</v>
      </c>
      <c r="Z145" s="33" t="str">
        <f t="shared" ca="1" si="70"/>
        <v>Inter Mailand</v>
      </c>
      <c r="AA145" s="12">
        <f t="shared" ca="1" si="69"/>
        <v>0</v>
      </c>
      <c r="AB145" s="12" t="str">
        <f ca="1">IF(AA145&gt;0,(Y73+AH73)&amp;Sprache!$E$77&amp;(X73+AG73),"")</f>
        <v/>
      </c>
      <c r="AC145" s="2"/>
      <c r="AD145" s="141"/>
      <c r="AE145" s="606"/>
      <c r="AF145" s="607"/>
      <c r="AG145" s="607"/>
      <c r="AH145" s="607"/>
      <c r="AI145" s="615" t="str">
        <f ca="1">IF(AA73&gt;0,AF73&amp;Sprache!$E$77&amp;AE73,"")</f>
        <v/>
      </c>
    </row>
    <row r="146" spans="25:35" x14ac:dyDescent="0.2">
      <c r="Y146" s="64" t="s">
        <v>25</v>
      </c>
      <c r="Z146" s="33" t="str">
        <f t="shared" ca="1" si="70"/>
        <v>SSV WildbachFC Grönlingen</v>
      </c>
      <c r="AA146" s="12">
        <f t="shared" ca="1" si="69"/>
        <v>1</v>
      </c>
      <c r="AB146" s="12" t="str">
        <f ca="1">IF(AA146&gt;0,(Y74+AH74)&amp;Sprache!$E$77&amp;(X74+AG74),"")</f>
        <v>45:47</v>
      </c>
      <c r="AC146" s="2"/>
      <c r="AD146" s="141"/>
      <c r="AE146" s="606"/>
      <c r="AF146" s="607"/>
      <c r="AG146" s="607"/>
      <c r="AH146" s="607"/>
      <c r="AI146" s="615" t="str">
        <f ca="1">IF(AA74&gt;0,AF74&amp;Sprache!$E$77&amp;AE74,"")</f>
        <v>1:1</v>
      </c>
    </row>
    <row r="147" spans="25:35" x14ac:dyDescent="0.2">
      <c r="Y147" s="64" t="s">
        <v>26</v>
      </c>
      <c r="Z147" s="33" t="str">
        <f t="shared" ca="1" si="70"/>
        <v>Manchester CityMainz 05</v>
      </c>
      <c r="AA147" s="12">
        <f t="shared" ca="1" si="69"/>
        <v>1</v>
      </c>
      <c r="AB147" s="12" t="str">
        <f ca="1">IF(AA147&gt;0,(Y75+AH75)&amp;Sprache!$E$77&amp;(X75+AG75),"")</f>
        <v>44:44</v>
      </c>
      <c r="AC147" s="2"/>
      <c r="AD147" s="141"/>
      <c r="AE147" s="606"/>
      <c r="AF147" s="607"/>
      <c r="AG147" s="607"/>
      <c r="AH147" s="607"/>
      <c r="AI147" s="615" t="str">
        <f ca="1">IF(AA75&gt;0,AF75&amp;Sprache!$E$77&amp;AE75,"")</f>
        <v>1:1</v>
      </c>
    </row>
    <row r="148" spans="25:35" x14ac:dyDescent="0.2">
      <c r="Y148" s="64" t="s">
        <v>27</v>
      </c>
      <c r="Z148" s="33" t="str">
        <f t="shared" ca="1" si="70"/>
        <v/>
      </c>
      <c r="AA148" s="12">
        <f t="shared" ca="1" si="69"/>
        <v>0</v>
      </c>
      <c r="AB148" s="12" t="str">
        <f ca="1">IF(AA148&gt;0,(Y76+AH76)&amp;Sprache!$E$77&amp;(X76+AG76),"")</f>
        <v/>
      </c>
      <c r="AC148" s="2"/>
      <c r="AD148" s="141"/>
      <c r="AE148" s="606"/>
      <c r="AF148" s="607"/>
      <c r="AG148" s="607"/>
      <c r="AH148" s="607"/>
      <c r="AI148" s="615" t="str">
        <f ca="1">IF(AA76&gt;0,AF76&amp;Sprache!$E$77&amp;AE76,"")</f>
        <v/>
      </c>
    </row>
    <row r="149" spans="25:35" x14ac:dyDescent="0.2">
      <c r="Y149" s="64" t="s">
        <v>28</v>
      </c>
      <c r="Z149" s="33" t="str">
        <f t="shared" ca="1" si="70"/>
        <v>SSV WildbachFC Barcelona</v>
      </c>
      <c r="AA149" s="12">
        <f t="shared" ca="1" si="69"/>
        <v>1</v>
      </c>
      <c r="AB149" s="12" t="str">
        <f ca="1">IF(AA149&gt;0,(Y77+AH77)&amp;Sprache!$E$77&amp;(X77+AG77),"")</f>
        <v>48:39</v>
      </c>
      <c r="AC149" s="2"/>
      <c r="AD149" s="141"/>
      <c r="AE149" s="606"/>
      <c r="AF149" s="607"/>
      <c r="AG149" s="607"/>
      <c r="AH149" s="607"/>
      <c r="AI149" s="615" t="str">
        <f ca="1">IF(AA77&gt;0,AF77&amp;Sprache!$E$77&amp;AE77,"")</f>
        <v>1:1</v>
      </c>
    </row>
    <row r="150" spans="25:35" x14ac:dyDescent="0.2">
      <c r="Y150" s="64" t="s">
        <v>29</v>
      </c>
      <c r="Z150" s="33" t="str">
        <f t="shared" ca="1" si="70"/>
        <v>Manchester CityEintracht Frankfurt</v>
      </c>
      <c r="AA150" s="12">
        <f t="shared" ca="1" si="69"/>
        <v>1</v>
      </c>
      <c r="AB150" s="12" t="str">
        <f ca="1">IF(AA150&gt;0,(Y78+AH78)&amp;Sprache!$E$77&amp;(X78+AG78),"")</f>
        <v>42:46</v>
      </c>
      <c r="AC150" s="2"/>
      <c r="AD150" s="141"/>
      <c r="AE150" s="606"/>
      <c r="AF150" s="607"/>
      <c r="AG150" s="607"/>
      <c r="AH150" s="607"/>
      <c r="AI150" s="615" t="str">
        <f ca="1">IF(AA78&gt;0,AF78&amp;Sprache!$E$77&amp;AE78,"")</f>
        <v>1:1</v>
      </c>
    </row>
    <row r="151" spans="25:35" x14ac:dyDescent="0.2">
      <c r="Y151" s="64" t="s">
        <v>30</v>
      </c>
      <c r="Z151" s="33" t="str">
        <f t="shared" ca="1" si="70"/>
        <v>Inter MailandVFB Essenheim</v>
      </c>
      <c r="AA151" s="12">
        <f t="shared" ca="1" si="69"/>
        <v>1</v>
      </c>
      <c r="AB151" s="12" t="str">
        <f ca="1">IF(AA151&gt;0,(Y79+AH79)&amp;Sprache!$E$77&amp;(X79+AG79),"")</f>
        <v>50:38</v>
      </c>
      <c r="AC151" s="2"/>
      <c r="AD151" s="141"/>
      <c r="AE151" s="606"/>
      <c r="AF151" s="607"/>
      <c r="AG151" s="607"/>
      <c r="AH151" s="607"/>
      <c r="AI151" s="615" t="str">
        <f ca="1">IF(AA79&gt;0,AF79&amp;Sprache!$E$77&amp;AE79,"")</f>
        <v>2:0</v>
      </c>
    </row>
    <row r="152" spans="25:35" x14ac:dyDescent="0.2">
      <c r="Y152" s="64" t="s">
        <v>31</v>
      </c>
      <c r="Z152" s="33" t="str">
        <f t="shared" ca="1" si="70"/>
        <v>FC Grönlingen1. FC Riedwald</v>
      </c>
      <c r="AA152" s="12">
        <f t="shared" ca="1" si="69"/>
        <v>1</v>
      </c>
      <c r="AB152" s="12" t="str">
        <f ca="1">IF(AA152&gt;0,(Y80+AH80)&amp;Sprache!$E$77&amp;(X80+AG80),"")</f>
        <v>39:50</v>
      </c>
      <c r="AC152" s="2"/>
      <c r="AD152" s="141"/>
      <c r="AE152" s="606"/>
      <c r="AF152" s="607"/>
      <c r="AG152" s="607"/>
      <c r="AH152" s="607"/>
      <c r="AI152" s="615" t="str">
        <f ca="1">IF(AA80&gt;0,AF80&amp;Sprache!$E$77&amp;AE80,"")</f>
        <v>0:2</v>
      </c>
    </row>
    <row r="153" spans="25:35" ht="12.75" thickBot="1" x14ac:dyDescent="0.25">
      <c r="Y153" s="311" t="s">
        <v>32</v>
      </c>
      <c r="Z153" s="313" t="str">
        <f t="shared" ca="1" si="70"/>
        <v>Mainz 05Maibach 1822 eV</v>
      </c>
      <c r="AA153" s="312">
        <f t="shared" ca="1" si="69"/>
        <v>1</v>
      </c>
      <c r="AB153" s="312" t="str">
        <f ca="1">IF(AA153&gt;0,(Y81+AH81)&amp;Sprache!$E$77&amp;(X81+AG81),"")</f>
        <v>33:50</v>
      </c>
      <c r="AC153" s="314"/>
      <c r="AD153" s="315"/>
      <c r="AE153" s="609"/>
      <c r="AF153" s="603"/>
      <c r="AG153" s="603"/>
      <c r="AH153" s="603"/>
      <c r="AI153" s="616" t="str">
        <f ca="1">IF(AA81&gt;0,AF81&amp;Sprache!$E$77&amp;AE81,"")</f>
        <v>0:2</v>
      </c>
    </row>
    <row r="154" spans="25:35" ht="12.75" thickTop="1" x14ac:dyDescent="0.2">
      <c r="Y154" s="64" t="s">
        <v>33</v>
      </c>
      <c r="Z154" s="33" t="str">
        <f>""</f>
        <v/>
      </c>
      <c r="AA154" s="12">
        <v>0</v>
      </c>
      <c r="AB154" s="12" t="str">
        <f>""</f>
        <v/>
      </c>
      <c r="AC154" s="2"/>
      <c r="AD154" s="141"/>
      <c r="AE154" s="606"/>
      <c r="AF154" s="607"/>
      <c r="AG154" s="607"/>
      <c r="AH154" s="607"/>
      <c r="AI154" s="615"/>
    </row>
    <row r="155" spans="25:35" x14ac:dyDescent="0.2">
      <c r="Y155" s="64" t="s">
        <v>34</v>
      </c>
      <c r="Z155" s="33" t="str">
        <f>""</f>
        <v/>
      </c>
      <c r="AA155" s="12">
        <v>0</v>
      </c>
      <c r="AB155" s="12" t="str">
        <f>""</f>
        <v/>
      </c>
      <c r="AC155" s="2"/>
      <c r="AD155" s="141"/>
      <c r="AE155" s="606"/>
      <c r="AF155" s="607"/>
      <c r="AG155" s="607"/>
      <c r="AH155" s="607"/>
      <c r="AI155" s="615"/>
    </row>
    <row r="156" spans="25:35" x14ac:dyDescent="0.2">
      <c r="Y156" s="64" t="s">
        <v>35</v>
      </c>
      <c r="Z156" s="33" t="str">
        <f>""</f>
        <v/>
      </c>
      <c r="AA156" s="12">
        <v>0</v>
      </c>
      <c r="AB156" s="12" t="str">
        <f>""</f>
        <v/>
      </c>
      <c r="AC156" s="2"/>
      <c r="AD156" s="141"/>
      <c r="AE156" s="606"/>
      <c r="AF156" s="607"/>
      <c r="AG156" s="607"/>
      <c r="AH156" s="607"/>
      <c r="AI156" s="615"/>
    </row>
    <row r="157" spans="25:35" x14ac:dyDescent="0.2">
      <c r="Y157" s="64" t="s">
        <v>36</v>
      </c>
      <c r="Z157" s="33" t="str">
        <f>""</f>
        <v/>
      </c>
      <c r="AA157" s="12">
        <v>0</v>
      </c>
      <c r="AB157" s="12" t="str">
        <f>""</f>
        <v/>
      </c>
      <c r="AC157" s="2"/>
      <c r="AD157" s="141"/>
      <c r="AE157" s="606"/>
      <c r="AF157" s="607"/>
      <c r="AG157" s="607"/>
      <c r="AH157" s="607"/>
      <c r="AI157" s="615"/>
    </row>
    <row r="158" spans="25:35" x14ac:dyDescent="0.2">
      <c r="Y158" s="64" t="s">
        <v>37</v>
      </c>
      <c r="Z158" s="33" t="str">
        <f>""</f>
        <v/>
      </c>
      <c r="AA158" s="12">
        <v>0</v>
      </c>
      <c r="AB158" s="12" t="str">
        <f>""</f>
        <v/>
      </c>
      <c r="AC158" s="2"/>
      <c r="AD158" s="141"/>
      <c r="AE158" s="606"/>
      <c r="AF158" s="607"/>
      <c r="AG158" s="607"/>
      <c r="AH158" s="607"/>
      <c r="AI158" s="615"/>
    </row>
    <row r="159" spans="25:35" x14ac:dyDescent="0.2">
      <c r="Y159" s="64" t="s">
        <v>38</v>
      </c>
      <c r="Z159" s="33" t="str">
        <f>""</f>
        <v/>
      </c>
      <c r="AA159" s="12">
        <v>0</v>
      </c>
      <c r="AB159" s="12" t="str">
        <f>""</f>
        <v/>
      </c>
      <c r="AC159" s="2"/>
      <c r="AD159" s="141"/>
      <c r="AE159" s="606"/>
      <c r="AF159" s="607"/>
      <c r="AG159" s="607"/>
      <c r="AH159" s="607"/>
      <c r="AI159" s="615"/>
    </row>
    <row r="160" spans="25:35" x14ac:dyDescent="0.2">
      <c r="Y160" s="64" t="s">
        <v>39</v>
      </c>
      <c r="Z160" s="33" t="str">
        <f>""</f>
        <v/>
      </c>
      <c r="AA160" s="12">
        <v>0</v>
      </c>
      <c r="AB160" s="12" t="str">
        <f>""</f>
        <v/>
      </c>
      <c r="AC160" s="2"/>
      <c r="AD160" s="141"/>
      <c r="AE160" s="606"/>
      <c r="AF160" s="607"/>
      <c r="AG160" s="607"/>
      <c r="AH160" s="607"/>
      <c r="AI160" s="615"/>
    </row>
    <row r="161" spans="25:35" x14ac:dyDescent="0.2">
      <c r="Y161" s="64" t="s">
        <v>40</v>
      </c>
      <c r="Z161" s="33" t="str">
        <f>""</f>
        <v/>
      </c>
      <c r="AA161" s="12">
        <v>0</v>
      </c>
      <c r="AB161" s="12" t="str">
        <f>""</f>
        <v/>
      </c>
      <c r="AC161" s="2"/>
      <c r="AD161" s="141"/>
      <c r="AE161" s="606"/>
      <c r="AF161" s="607"/>
      <c r="AG161" s="607"/>
      <c r="AH161" s="607"/>
      <c r="AI161" s="615"/>
    </row>
    <row r="162" spans="25:35" x14ac:dyDescent="0.2">
      <c r="Y162" s="64" t="s">
        <v>41</v>
      </c>
      <c r="Z162" s="33" t="str">
        <f>""</f>
        <v/>
      </c>
      <c r="AA162" s="12">
        <v>0</v>
      </c>
      <c r="AB162" s="12" t="str">
        <f>""</f>
        <v/>
      </c>
      <c r="AC162" s="2"/>
      <c r="AD162" s="141"/>
      <c r="AE162" s="606"/>
      <c r="AF162" s="607"/>
      <c r="AG162" s="607"/>
      <c r="AH162" s="607"/>
      <c r="AI162" s="615"/>
    </row>
    <row r="163" spans="25:35" x14ac:dyDescent="0.2">
      <c r="Y163" s="64" t="s">
        <v>42</v>
      </c>
      <c r="Z163" s="33" t="str">
        <f>""</f>
        <v/>
      </c>
      <c r="AA163" s="12">
        <v>0</v>
      </c>
      <c r="AB163" s="12" t="str">
        <f>""</f>
        <v/>
      </c>
      <c r="AC163" s="2"/>
      <c r="AD163" s="141"/>
      <c r="AE163" s="606"/>
      <c r="AF163" s="607"/>
      <c r="AG163" s="607"/>
      <c r="AH163" s="607"/>
      <c r="AI163" s="615"/>
    </row>
    <row r="164" spans="25:35" x14ac:dyDescent="0.2">
      <c r="Y164" s="64" t="s">
        <v>43</v>
      </c>
      <c r="Z164" s="33" t="str">
        <f>""</f>
        <v/>
      </c>
      <c r="AA164" s="12">
        <v>0</v>
      </c>
      <c r="AB164" s="12" t="str">
        <f>""</f>
        <v/>
      </c>
      <c r="AC164" s="2"/>
      <c r="AD164" s="141"/>
      <c r="AE164" s="606"/>
      <c r="AF164" s="607"/>
      <c r="AG164" s="607"/>
      <c r="AH164" s="607"/>
      <c r="AI164" s="615"/>
    </row>
    <row r="165" spans="25:35" x14ac:dyDescent="0.2">
      <c r="Y165" s="64" t="s">
        <v>44</v>
      </c>
      <c r="Z165" s="33" t="str">
        <f>""</f>
        <v/>
      </c>
      <c r="AA165" s="12">
        <v>0</v>
      </c>
      <c r="AB165" s="12" t="str">
        <f>""</f>
        <v/>
      </c>
      <c r="AC165" s="2"/>
      <c r="AD165" s="141"/>
      <c r="AE165" s="606"/>
      <c r="AF165" s="607"/>
      <c r="AG165" s="607"/>
      <c r="AH165" s="607"/>
      <c r="AI165" s="615"/>
    </row>
    <row r="166" spans="25:35" x14ac:dyDescent="0.2">
      <c r="Y166" s="64" t="s">
        <v>45</v>
      </c>
      <c r="Z166" s="33" t="str">
        <f>""</f>
        <v/>
      </c>
      <c r="AA166" s="12">
        <v>0</v>
      </c>
      <c r="AB166" s="12" t="str">
        <f>""</f>
        <v/>
      </c>
      <c r="AC166" s="2"/>
      <c r="AD166" s="141"/>
      <c r="AE166" s="606"/>
      <c r="AF166" s="607"/>
      <c r="AG166" s="607"/>
      <c r="AH166" s="607"/>
      <c r="AI166" s="615"/>
    </row>
    <row r="167" spans="25:35" x14ac:dyDescent="0.2">
      <c r="Y167" s="64" t="s">
        <v>46</v>
      </c>
      <c r="Z167" s="33" t="str">
        <f>""</f>
        <v/>
      </c>
      <c r="AA167" s="12">
        <v>0</v>
      </c>
      <c r="AB167" s="12" t="str">
        <f>""</f>
        <v/>
      </c>
      <c r="AC167" s="2"/>
      <c r="AD167" s="141"/>
      <c r="AE167" s="606"/>
      <c r="AF167" s="607"/>
      <c r="AG167" s="607"/>
      <c r="AH167" s="607"/>
      <c r="AI167" s="608"/>
    </row>
    <row r="168" spans="25:35" x14ac:dyDescent="0.2">
      <c r="Y168" s="64" t="s">
        <v>47</v>
      </c>
      <c r="Z168" s="33" t="str">
        <f>""</f>
        <v/>
      </c>
      <c r="AA168" s="12">
        <v>0</v>
      </c>
      <c r="AB168" s="12" t="str">
        <f>""</f>
        <v/>
      </c>
      <c r="AC168" s="2"/>
      <c r="AD168" s="141"/>
      <c r="AE168" s="606"/>
      <c r="AF168" s="607"/>
      <c r="AG168" s="607"/>
      <c r="AH168" s="607"/>
      <c r="AI168" s="608"/>
    </row>
    <row r="169" spans="25:35" x14ac:dyDescent="0.2">
      <c r="Y169" s="64" t="s">
        <v>48</v>
      </c>
      <c r="Z169" s="33" t="str">
        <f>""</f>
        <v/>
      </c>
      <c r="AA169" s="12">
        <v>0</v>
      </c>
      <c r="AB169" s="12" t="str">
        <f>""</f>
        <v/>
      </c>
      <c r="AC169" s="2"/>
      <c r="AD169" s="141"/>
      <c r="AE169" s="606"/>
      <c r="AF169" s="607"/>
      <c r="AG169" s="607"/>
      <c r="AH169" s="607"/>
      <c r="AI169" s="608"/>
    </row>
    <row r="170" spans="25:35" x14ac:dyDescent="0.2">
      <c r="Y170" s="64" t="s">
        <v>49</v>
      </c>
      <c r="Z170" s="33" t="str">
        <f>""</f>
        <v/>
      </c>
      <c r="AA170" s="12">
        <v>0</v>
      </c>
      <c r="AB170" s="12" t="str">
        <f>""</f>
        <v/>
      </c>
      <c r="AC170" s="2"/>
      <c r="AD170" s="141"/>
      <c r="AE170" s="606"/>
      <c r="AF170" s="607"/>
      <c r="AG170" s="607"/>
      <c r="AH170" s="607"/>
      <c r="AI170" s="608"/>
    </row>
    <row r="171" spans="25:35" x14ac:dyDescent="0.2">
      <c r="Y171" s="64" t="s">
        <v>50</v>
      </c>
      <c r="Z171" s="33" t="str">
        <f>""</f>
        <v/>
      </c>
      <c r="AA171" s="12">
        <v>0</v>
      </c>
      <c r="AB171" s="12" t="str">
        <f>""</f>
        <v/>
      </c>
      <c r="AC171" s="2"/>
      <c r="AD171" s="141"/>
      <c r="AE171" s="606"/>
      <c r="AF171" s="607"/>
      <c r="AG171" s="607"/>
      <c r="AH171" s="607"/>
      <c r="AI171" s="608"/>
    </row>
    <row r="172" spans="25:35" x14ac:dyDescent="0.2">
      <c r="Y172" s="64" t="s">
        <v>58</v>
      </c>
      <c r="Z172" s="33" t="str">
        <f>""</f>
        <v/>
      </c>
      <c r="AA172" s="12">
        <v>0</v>
      </c>
      <c r="AB172" s="12" t="str">
        <f>""</f>
        <v/>
      </c>
      <c r="AC172" s="2"/>
      <c r="AD172" s="141"/>
      <c r="AE172" s="606"/>
      <c r="AF172" s="607"/>
      <c r="AG172" s="607"/>
      <c r="AH172" s="607"/>
      <c r="AI172" s="608"/>
    </row>
    <row r="173" spans="25:35" x14ac:dyDescent="0.2">
      <c r="Y173" s="64" t="s">
        <v>59</v>
      </c>
      <c r="Z173" s="33" t="str">
        <f>""</f>
        <v/>
      </c>
      <c r="AA173" s="12">
        <v>0</v>
      </c>
      <c r="AB173" s="12" t="str">
        <f>""</f>
        <v/>
      </c>
      <c r="AC173" s="2"/>
      <c r="AD173" s="141"/>
      <c r="AE173" s="606"/>
      <c r="AF173" s="607"/>
      <c r="AG173" s="607"/>
      <c r="AH173" s="607"/>
      <c r="AI173" s="608"/>
    </row>
    <row r="174" spans="25:35" x14ac:dyDescent="0.2">
      <c r="Y174" s="64" t="s">
        <v>60</v>
      </c>
      <c r="Z174" s="33" t="str">
        <f>""</f>
        <v/>
      </c>
      <c r="AA174" s="12">
        <v>0</v>
      </c>
      <c r="AB174" s="12" t="str">
        <f>""</f>
        <v/>
      </c>
      <c r="AC174" s="2"/>
      <c r="AD174" s="141"/>
      <c r="AE174" s="606"/>
      <c r="AF174" s="607"/>
      <c r="AG174" s="607"/>
      <c r="AH174" s="607"/>
      <c r="AI174" s="608"/>
    </row>
    <row r="175" spans="25:35" x14ac:dyDescent="0.2">
      <c r="Y175" s="64" t="s">
        <v>61</v>
      </c>
      <c r="Z175" s="33" t="str">
        <f>""</f>
        <v/>
      </c>
      <c r="AA175" s="12">
        <v>0</v>
      </c>
      <c r="AB175" s="12" t="str">
        <f>""</f>
        <v/>
      </c>
      <c r="AC175" s="2"/>
      <c r="AD175" s="141"/>
      <c r="AE175" s="606"/>
      <c r="AF175" s="607"/>
      <c r="AG175" s="607"/>
      <c r="AH175" s="607"/>
      <c r="AI175" s="608"/>
    </row>
    <row r="176" spans="25:35" x14ac:dyDescent="0.2">
      <c r="Y176" s="64" t="s">
        <v>62</v>
      </c>
      <c r="Z176" s="33" t="str">
        <f>""</f>
        <v/>
      </c>
      <c r="AA176" s="12">
        <v>0</v>
      </c>
      <c r="AB176" s="12" t="str">
        <f>""</f>
        <v/>
      </c>
      <c r="AC176" s="2"/>
      <c r="AD176" s="141"/>
      <c r="AE176" s="606"/>
      <c r="AF176" s="607"/>
      <c r="AG176" s="607"/>
      <c r="AH176" s="607"/>
      <c r="AI176" s="608"/>
    </row>
    <row r="177" spans="25:35" x14ac:dyDescent="0.2">
      <c r="Y177" s="64" t="s">
        <v>63</v>
      </c>
      <c r="Z177" s="33" t="str">
        <f>""</f>
        <v/>
      </c>
      <c r="AA177" s="12">
        <v>0</v>
      </c>
      <c r="AB177" s="12" t="str">
        <f>""</f>
        <v/>
      </c>
      <c r="AC177" s="2"/>
      <c r="AD177" s="141"/>
      <c r="AE177" s="606"/>
      <c r="AF177" s="607"/>
      <c r="AG177" s="607"/>
      <c r="AH177" s="607"/>
      <c r="AI177" s="608"/>
    </row>
    <row r="178" spans="25:35" x14ac:dyDescent="0.2">
      <c r="Y178" s="64" t="s">
        <v>64</v>
      </c>
      <c r="Z178" s="33" t="str">
        <f>""</f>
        <v/>
      </c>
      <c r="AA178" s="12">
        <v>0</v>
      </c>
      <c r="AB178" s="12" t="str">
        <f>""</f>
        <v/>
      </c>
      <c r="AC178" s="2"/>
      <c r="AD178" s="141"/>
      <c r="AE178" s="606"/>
      <c r="AF178" s="607"/>
      <c r="AG178" s="607"/>
      <c r="AH178" s="607"/>
      <c r="AI178" s="608"/>
    </row>
    <row r="179" spans="25:35" x14ac:dyDescent="0.2">
      <c r="Y179" s="64" t="s">
        <v>65</v>
      </c>
      <c r="Z179" s="33" t="str">
        <f>""</f>
        <v/>
      </c>
      <c r="AA179" s="12">
        <v>0</v>
      </c>
      <c r="AB179" s="12" t="str">
        <f>""</f>
        <v/>
      </c>
      <c r="AC179" s="2"/>
      <c r="AD179" s="141"/>
      <c r="AE179" s="606"/>
      <c r="AF179" s="607"/>
      <c r="AG179" s="607"/>
      <c r="AH179" s="607"/>
      <c r="AI179" s="608"/>
    </row>
    <row r="180" spans="25:35" x14ac:dyDescent="0.2">
      <c r="Y180" s="64" t="s">
        <v>66</v>
      </c>
      <c r="Z180" s="33" t="str">
        <f>""</f>
        <v/>
      </c>
      <c r="AA180" s="12">
        <v>0</v>
      </c>
      <c r="AB180" s="12" t="str">
        <f>""</f>
        <v/>
      </c>
      <c r="AC180" s="2"/>
      <c r="AD180" s="141"/>
      <c r="AE180" s="606"/>
      <c r="AF180" s="607"/>
      <c r="AG180" s="607"/>
      <c r="AH180" s="607"/>
      <c r="AI180" s="608"/>
    </row>
    <row r="181" spans="25:35" x14ac:dyDescent="0.2">
      <c r="Y181" s="64" t="s">
        <v>67</v>
      </c>
      <c r="Z181" s="33" t="str">
        <f>""</f>
        <v/>
      </c>
      <c r="AA181" s="12">
        <v>0</v>
      </c>
      <c r="AB181" s="12" t="str">
        <f>""</f>
        <v/>
      </c>
      <c r="AC181" s="2"/>
      <c r="AD181" s="141"/>
      <c r="AE181" s="606"/>
      <c r="AF181" s="607"/>
      <c r="AG181" s="607"/>
      <c r="AH181" s="607"/>
      <c r="AI181" s="608"/>
    </row>
    <row r="182" spans="25:35" x14ac:dyDescent="0.2">
      <c r="Y182" s="64" t="s">
        <v>68</v>
      </c>
      <c r="Z182" s="33" t="str">
        <f>""</f>
        <v/>
      </c>
      <c r="AA182" s="12">
        <v>0</v>
      </c>
      <c r="AB182" s="12" t="str">
        <f>""</f>
        <v/>
      </c>
      <c r="AC182" s="2"/>
      <c r="AD182" s="141"/>
      <c r="AE182" s="606"/>
      <c r="AF182" s="607"/>
      <c r="AG182" s="607"/>
      <c r="AH182" s="607"/>
      <c r="AI182" s="608"/>
    </row>
    <row r="183" spans="25:35" x14ac:dyDescent="0.2">
      <c r="Y183" s="64" t="s">
        <v>69</v>
      </c>
      <c r="Z183" s="33" t="str">
        <f>""</f>
        <v/>
      </c>
      <c r="AA183" s="12">
        <v>0</v>
      </c>
      <c r="AB183" s="12" t="str">
        <f>""</f>
        <v/>
      </c>
      <c r="AC183" s="2"/>
      <c r="AD183" s="141"/>
      <c r="AE183" s="606"/>
      <c r="AF183" s="607"/>
      <c r="AG183" s="607"/>
      <c r="AH183" s="607"/>
      <c r="AI183" s="608"/>
    </row>
    <row r="184" spans="25:35" x14ac:dyDescent="0.2">
      <c r="Y184" s="64" t="s">
        <v>70</v>
      </c>
      <c r="Z184" s="33" t="str">
        <f>""</f>
        <v/>
      </c>
      <c r="AA184" s="12">
        <v>0</v>
      </c>
      <c r="AB184" s="12" t="str">
        <f>""</f>
        <v/>
      </c>
      <c r="AC184" s="2"/>
      <c r="AD184" s="141"/>
      <c r="AE184" s="606"/>
      <c r="AF184" s="607"/>
      <c r="AG184" s="607"/>
      <c r="AH184" s="607"/>
      <c r="AI184" s="608"/>
    </row>
    <row r="185" spans="25:35" x14ac:dyDescent="0.2">
      <c r="Y185" s="64" t="s">
        <v>71</v>
      </c>
      <c r="Z185" s="33" t="str">
        <f>""</f>
        <v/>
      </c>
      <c r="AA185" s="12">
        <v>0</v>
      </c>
      <c r="AB185" s="12" t="str">
        <f>""</f>
        <v/>
      </c>
      <c r="AC185" s="2"/>
      <c r="AD185" s="141"/>
      <c r="AE185" s="606"/>
      <c r="AF185" s="607"/>
      <c r="AG185" s="607"/>
      <c r="AH185" s="607"/>
      <c r="AI185" s="608"/>
    </row>
    <row r="186" spans="25:35" x14ac:dyDescent="0.2">
      <c r="Y186" s="64" t="s">
        <v>72</v>
      </c>
      <c r="Z186" s="33" t="str">
        <f>""</f>
        <v/>
      </c>
      <c r="AA186" s="12">
        <v>0</v>
      </c>
      <c r="AB186" s="12" t="str">
        <f>""</f>
        <v/>
      </c>
      <c r="AC186" s="2"/>
      <c r="AD186" s="141"/>
      <c r="AE186" s="606"/>
      <c r="AF186" s="607"/>
      <c r="AG186" s="607"/>
      <c r="AH186" s="607"/>
      <c r="AI186" s="608"/>
    </row>
    <row r="187" spans="25:35" x14ac:dyDescent="0.2">
      <c r="Y187" s="64" t="s">
        <v>73</v>
      </c>
      <c r="Z187" s="33" t="str">
        <f>""</f>
        <v/>
      </c>
      <c r="AA187" s="12">
        <v>0</v>
      </c>
      <c r="AB187" s="12" t="str">
        <f>""</f>
        <v/>
      </c>
      <c r="AC187" s="2"/>
      <c r="AD187" s="141"/>
      <c r="AE187" s="606"/>
      <c r="AF187" s="607"/>
      <c r="AG187" s="607"/>
      <c r="AH187" s="607"/>
      <c r="AI187" s="608"/>
    </row>
    <row r="188" spans="25:35" x14ac:dyDescent="0.2">
      <c r="Y188" s="64" t="s">
        <v>74</v>
      </c>
      <c r="Z188" s="33" t="str">
        <f>""</f>
        <v/>
      </c>
      <c r="AA188" s="12">
        <v>0</v>
      </c>
      <c r="AB188" s="12" t="str">
        <f>""</f>
        <v/>
      </c>
      <c r="AC188" s="2"/>
      <c r="AD188" s="141"/>
      <c r="AE188" s="606"/>
      <c r="AF188" s="607"/>
      <c r="AG188" s="607"/>
      <c r="AH188" s="607"/>
      <c r="AI188" s="608"/>
    </row>
    <row r="189" spans="25:35" x14ac:dyDescent="0.2">
      <c r="Y189" s="64" t="s">
        <v>75</v>
      </c>
      <c r="Z189" s="33" t="str">
        <f>""</f>
        <v/>
      </c>
      <c r="AA189" s="12">
        <v>0</v>
      </c>
      <c r="AB189" s="12" t="str">
        <f>""</f>
        <v/>
      </c>
      <c r="AC189" s="2"/>
      <c r="AD189" s="141"/>
      <c r="AE189" s="606"/>
      <c r="AF189" s="607"/>
      <c r="AG189" s="607"/>
      <c r="AH189" s="607"/>
      <c r="AI189" s="608"/>
    </row>
    <row r="190" spans="25:35" x14ac:dyDescent="0.2">
      <c r="Y190" s="64" t="s">
        <v>76</v>
      </c>
      <c r="Z190" s="33" t="str">
        <f>""</f>
        <v/>
      </c>
      <c r="AA190" s="12">
        <v>0</v>
      </c>
      <c r="AB190" s="12" t="str">
        <f>""</f>
        <v/>
      </c>
      <c r="AC190" s="2"/>
      <c r="AD190" s="141"/>
      <c r="AE190" s="606"/>
      <c r="AF190" s="607"/>
      <c r="AG190" s="607"/>
      <c r="AH190" s="607"/>
      <c r="AI190" s="608"/>
    </row>
    <row r="191" spans="25:35" x14ac:dyDescent="0.2">
      <c r="Y191" s="64" t="s">
        <v>77</v>
      </c>
      <c r="Z191" s="33" t="str">
        <f>""</f>
        <v/>
      </c>
      <c r="AA191" s="12">
        <v>0</v>
      </c>
      <c r="AB191" s="12" t="str">
        <f>""</f>
        <v/>
      </c>
      <c r="AC191" s="2"/>
      <c r="AD191" s="141"/>
      <c r="AE191" s="606"/>
      <c r="AF191" s="607"/>
      <c r="AG191" s="607"/>
      <c r="AH191" s="607"/>
      <c r="AI191" s="608"/>
    </row>
    <row r="192" spans="25:35" x14ac:dyDescent="0.2">
      <c r="Y192" s="64" t="s">
        <v>78</v>
      </c>
      <c r="Z192" s="33" t="str">
        <f>""</f>
        <v/>
      </c>
      <c r="AA192" s="12">
        <v>0</v>
      </c>
      <c r="AB192" s="12" t="str">
        <f>""</f>
        <v/>
      </c>
      <c r="AC192" s="2"/>
      <c r="AD192" s="141"/>
      <c r="AE192" s="606"/>
      <c r="AF192" s="607"/>
      <c r="AG192" s="607"/>
      <c r="AH192" s="607"/>
      <c r="AI192" s="608"/>
    </row>
    <row r="193" spans="25:35" x14ac:dyDescent="0.2">
      <c r="Y193" s="64" t="s">
        <v>79</v>
      </c>
      <c r="Z193" s="33" t="str">
        <f>""</f>
        <v/>
      </c>
      <c r="AA193" s="12">
        <v>0</v>
      </c>
      <c r="AB193" s="12" t="str">
        <f>""</f>
        <v/>
      </c>
      <c r="AC193" s="2"/>
      <c r="AD193" s="141"/>
      <c r="AE193" s="606"/>
      <c r="AF193" s="607"/>
      <c r="AG193" s="607"/>
      <c r="AH193" s="607"/>
      <c r="AI193" s="608"/>
    </row>
    <row r="194" spans="25:35" x14ac:dyDescent="0.2">
      <c r="Y194" s="64" t="s">
        <v>80</v>
      </c>
      <c r="Z194" s="33" t="str">
        <f>""</f>
        <v/>
      </c>
      <c r="AA194" s="12">
        <v>0</v>
      </c>
      <c r="AB194" s="12" t="str">
        <f>""</f>
        <v/>
      </c>
      <c r="AC194" s="2"/>
      <c r="AD194" s="141"/>
      <c r="AE194" s="606"/>
      <c r="AF194" s="607"/>
      <c r="AG194" s="607"/>
      <c r="AH194" s="607"/>
      <c r="AI194" s="608"/>
    </row>
    <row r="195" spans="25:35" x14ac:dyDescent="0.2">
      <c r="Y195" s="64" t="s">
        <v>81</v>
      </c>
      <c r="Z195" s="33" t="str">
        <f>""</f>
        <v/>
      </c>
      <c r="AA195" s="12">
        <v>0</v>
      </c>
      <c r="AB195" s="12" t="str">
        <f>""</f>
        <v/>
      </c>
      <c r="AC195" s="2"/>
      <c r="AD195" s="141"/>
      <c r="AE195" s="606"/>
      <c r="AF195" s="607"/>
      <c r="AG195" s="607"/>
      <c r="AH195" s="607"/>
      <c r="AI195" s="608"/>
    </row>
    <row r="196" spans="25:35" x14ac:dyDescent="0.2">
      <c r="Y196" s="64" t="s">
        <v>82</v>
      </c>
      <c r="Z196" s="33" t="str">
        <f>""</f>
        <v/>
      </c>
      <c r="AA196" s="12">
        <v>0</v>
      </c>
      <c r="AB196" s="12" t="str">
        <f>""</f>
        <v/>
      </c>
      <c r="AC196" s="2"/>
      <c r="AD196" s="141"/>
      <c r="AE196" s="606"/>
      <c r="AF196" s="607"/>
      <c r="AG196" s="607"/>
      <c r="AH196" s="607"/>
      <c r="AI196" s="608"/>
    </row>
    <row r="197" spans="25:35" x14ac:dyDescent="0.2">
      <c r="Y197" s="64" t="s">
        <v>83</v>
      </c>
      <c r="Z197" s="33" t="str">
        <f>""</f>
        <v/>
      </c>
      <c r="AA197" s="12">
        <v>0</v>
      </c>
      <c r="AB197" s="12" t="str">
        <f>""</f>
        <v/>
      </c>
      <c r="AC197" s="2"/>
      <c r="AD197" s="141"/>
      <c r="AE197" s="606"/>
      <c r="AF197" s="607"/>
      <c r="AG197" s="607"/>
      <c r="AH197" s="607"/>
      <c r="AI197" s="608"/>
    </row>
    <row r="198" spans="25:35" x14ac:dyDescent="0.2">
      <c r="Y198" s="64" t="s">
        <v>84</v>
      </c>
      <c r="Z198" s="33" t="str">
        <f>""</f>
        <v/>
      </c>
      <c r="AA198" s="12">
        <v>0</v>
      </c>
      <c r="AB198" s="12" t="str">
        <f>""</f>
        <v/>
      </c>
      <c r="AC198" s="2"/>
      <c r="AD198" s="141"/>
      <c r="AE198" s="606"/>
      <c r="AF198" s="607"/>
      <c r="AG198" s="607"/>
      <c r="AH198" s="607"/>
      <c r="AI198" s="608"/>
    </row>
    <row r="199" spans="25:35" x14ac:dyDescent="0.2">
      <c r="Y199" s="64" t="s">
        <v>85</v>
      </c>
      <c r="Z199" s="33" t="str">
        <f>""</f>
        <v/>
      </c>
      <c r="AA199" s="12">
        <v>0</v>
      </c>
      <c r="AB199" s="12" t="str">
        <f>""</f>
        <v/>
      </c>
      <c r="AC199" s="2"/>
      <c r="AD199" s="141"/>
      <c r="AE199" s="606"/>
      <c r="AF199" s="607"/>
      <c r="AG199" s="607"/>
      <c r="AH199" s="607"/>
      <c r="AI199" s="608"/>
    </row>
    <row r="200" spans="25:35" x14ac:dyDescent="0.2">
      <c r="Y200" s="64" t="s">
        <v>86</v>
      </c>
      <c r="Z200" s="33" t="str">
        <f>""</f>
        <v/>
      </c>
      <c r="AA200" s="12">
        <v>0</v>
      </c>
      <c r="AB200" s="12" t="str">
        <f>""</f>
        <v/>
      </c>
      <c r="AC200" s="2"/>
      <c r="AD200" s="141"/>
      <c r="AE200" s="606"/>
      <c r="AF200" s="607"/>
      <c r="AG200" s="607"/>
      <c r="AH200" s="607"/>
      <c r="AI200" s="608"/>
    </row>
    <row r="201" spans="25:35" x14ac:dyDescent="0.2">
      <c r="Y201" s="64" t="s">
        <v>87</v>
      </c>
      <c r="Z201" s="33" t="str">
        <f>""</f>
        <v/>
      </c>
      <c r="AA201" s="12">
        <v>0</v>
      </c>
      <c r="AB201" s="12" t="str">
        <f>""</f>
        <v/>
      </c>
      <c r="AC201" s="2"/>
      <c r="AD201" s="141"/>
      <c r="AE201" s="606"/>
      <c r="AF201" s="607"/>
      <c r="AG201" s="607"/>
      <c r="AH201" s="607"/>
      <c r="AI201" s="608"/>
    </row>
    <row r="202" spans="25:35" x14ac:dyDescent="0.2">
      <c r="Y202" s="64" t="s">
        <v>88</v>
      </c>
      <c r="Z202" s="33" t="str">
        <f>""</f>
        <v/>
      </c>
      <c r="AA202" s="12">
        <v>0</v>
      </c>
      <c r="AB202" s="12" t="str">
        <f>""</f>
        <v/>
      </c>
      <c r="AC202" s="2"/>
      <c r="AD202" s="141"/>
      <c r="AE202" s="606"/>
      <c r="AF202" s="607"/>
      <c r="AG202" s="607"/>
      <c r="AH202" s="607"/>
      <c r="AI202" s="608"/>
    </row>
    <row r="203" spans="25:35" x14ac:dyDescent="0.2">
      <c r="Y203" s="64" t="s">
        <v>89</v>
      </c>
      <c r="Z203" s="33" t="str">
        <f>""</f>
        <v/>
      </c>
      <c r="AA203" s="12">
        <v>0</v>
      </c>
      <c r="AB203" s="12" t="str">
        <f>""</f>
        <v/>
      </c>
      <c r="AC203" s="2"/>
      <c r="AD203" s="141"/>
      <c r="AE203" s="606"/>
      <c r="AF203" s="607"/>
      <c r="AG203" s="607"/>
      <c r="AH203" s="607"/>
      <c r="AI203" s="608"/>
    </row>
    <row r="204" spans="25:35" x14ac:dyDescent="0.2">
      <c r="Y204" s="64" t="s">
        <v>90</v>
      </c>
      <c r="Z204" s="33" t="str">
        <f>""</f>
        <v/>
      </c>
      <c r="AA204" s="12">
        <v>0</v>
      </c>
      <c r="AB204" s="12" t="str">
        <f>""</f>
        <v/>
      </c>
      <c r="AC204" s="2"/>
      <c r="AD204" s="141"/>
      <c r="AE204" s="606"/>
      <c r="AF204" s="607"/>
      <c r="AG204" s="607"/>
      <c r="AH204" s="607"/>
      <c r="AI204" s="608"/>
    </row>
    <row r="205" spans="25:35" x14ac:dyDescent="0.2">
      <c r="Y205" s="64" t="s">
        <v>91</v>
      </c>
      <c r="Z205" s="33" t="str">
        <f>""</f>
        <v/>
      </c>
      <c r="AA205" s="12">
        <v>0</v>
      </c>
      <c r="AB205" s="12" t="str">
        <f>""</f>
        <v/>
      </c>
      <c r="AC205" s="2"/>
      <c r="AD205" s="141"/>
      <c r="AE205" s="606"/>
      <c r="AF205" s="607"/>
      <c r="AG205" s="607"/>
      <c r="AH205" s="607"/>
      <c r="AI205" s="608"/>
    </row>
    <row r="206" spans="25:35" x14ac:dyDescent="0.2">
      <c r="Y206" s="64" t="s">
        <v>92</v>
      </c>
      <c r="Z206" s="33" t="str">
        <f>""</f>
        <v/>
      </c>
      <c r="AA206" s="12">
        <v>0</v>
      </c>
      <c r="AB206" s="12" t="str">
        <f>""</f>
        <v/>
      </c>
      <c r="AC206" s="2"/>
      <c r="AD206" s="141"/>
      <c r="AE206" s="606"/>
      <c r="AF206" s="607"/>
      <c r="AG206" s="607"/>
      <c r="AH206" s="607"/>
      <c r="AI206" s="608"/>
    </row>
    <row r="207" spans="25:35" ht="12.75" thickBot="1" x14ac:dyDescent="0.25">
      <c r="Y207" s="65" t="s">
        <v>93</v>
      </c>
      <c r="Z207" s="35" t="str">
        <f>""</f>
        <v/>
      </c>
      <c r="AA207" s="36">
        <v>0</v>
      </c>
      <c r="AB207" s="142" t="str">
        <f>""</f>
        <v/>
      </c>
      <c r="AC207" s="144"/>
      <c r="AD207" s="143"/>
      <c r="AE207" s="610"/>
      <c r="AF207" s="611"/>
      <c r="AG207" s="611"/>
      <c r="AH207" s="611"/>
      <c r="AI207" s="612"/>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19</vt:i4>
      </vt:variant>
    </vt:vector>
  </HeadingPairs>
  <TitlesOfParts>
    <vt:vector size="19" baseType="lpstr">
      <vt:lpstr>Planung</vt:lpstr>
      <vt:lpstr>proof</vt:lpstr>
      <vt:lpstr>Pairings</vt:lpstr>
      <vt:lpstr>Vorrunde</vt:lpstr>
      <vt:lpstr>TieBreak</vt:lpstr>
      <vt:lpstr>Endrunde 1</vt:lpstr>
      <vt:lpstr>Endrunde 2</vt:lpstr>
      <vt:lpstr>DirVergleich_A</vt:lpstr>
      <vt:lpstr>DirVergleich_B</vt:lpstr>
      <vt:lpstr>Endrunde 3</vt:lpstr>
      <vt:lpstr>Endrunde 4</vt:lpstr>
      <vt:lpstr>Sprache</vt:lpstr>
      <vt:lpstr>Einstellungen</vt:lpstr>
      <vt:lpstr>Info</vt:lpstr>
      <vt:lpstr>Calc1</vt:lpstr>
      <vt:lpstr>Calc2</vt:lpstr>
      <vt:lpstr>CalcE1</vt:lpstr>
      <vt:lpstr>CalcE2</vt:lpstr>
      <vt:lpstr>CalcE3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2023-05-15T19:37:38Z</cp:lastPrinted>
  <dcterms:created xsi:type="dcterms:W3CDTF">2010-02-21T20:03:25Z</dcterms:created>
  <dcterms:modified xsi:type="dcterms:W3CDTF">2025-03-19T10:59:11Z</dcterms:modified>
</cp:coreProperties>
</file>